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6cdc7f43e00e4f5/Documents/Investments and Policies/"/>
    </mc:Choice>
  </mc:AlternateContent>
  <xr:revisionPtr revIDLastSave="114" documentId="13_ncr:1_{E97D9032-1C5A-4181-9EAC-E06178468A76}" xr6:coauthVersionLast="47" xr6:coauthVersionMax="47" xr10:uidLastSave="{37D25C3E-BECA-4F69-A5F1-1A03E7E1ACA4}"/>
  <bookViews>
    <workbookView minimized="1" xWindow="1776" yWindow="1776" windowWidth="17280" windowHeight="12120" tabRatio="726" firstSheet="1" activeTab="1" xr2:uid="{00000000-000D-0000-FFFF-FFFF00000000}"/>
  </bookViews>
  <sheets>
    <sheet name="How to Use" sheetId="12" r:id="rId1"/>
    <sheet name="Dashboard" sheetId="1" r:id="rId2"/>
    <sheet name="NAV Reference" sheetId="2" r:id="rId3"/>
    <sheet name="Scheme Map" sheetId="3" r:id="rId4"/>
    <sheet name="Txn-ICICI-Ashu" sheetId="4" r:id="rId5"/>
    <sheet name="Txn-Maniqm-Ashu" sheetId="5" r:id="rId6"/>
    <sheet name="Txn-Maniqm-Hars" sheetId="6" r:id="rId7"/>
    <sheet name="Txn-Zerodh-Ashu" sheetId="7" r:id="rId8"/>
    <sheet name="Txn-Zerodh-Hars" sheetId="8" r:id="rId9"/>
    <sheet name="SIPs" sheetId="11" r:id="rId10"/>
    <sheet name="NAVAll" sheetId="10" r:id="rId11"/>
    <sheet name="_CashFlows" sheetId="13" r:id="rId12"/>
  </sheets>
  <definedNames>
    <definedName name="ExternalData_1" localSheetId="10" hidden="1">NAVAll!$A$1:$F$17505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4" i="8" l="1"/>
  <c r="K24" i="8"/>
  <c r="L23" i="8"/>
  <c r="K23" i="8"/>
  <c r="L22" i="8"/>
  <c r="K22" i="8"/>
  <c r="L21" i="8"/>
  <c r="K21" i="8"/>
  <c r="L317" i="6"/>
  <c r="K317" i="6"/>
  <c r="L316" i="6"/>
  <c r="K316" i="6"/>
  <c r="L315" i="6"/>
  <c r="K315" i="6"/>
  <c r="L314" i="6"/>
  <c r="K314" i="6"/>
  <c r="L313" i="6"/>
  <c r="K313" i="6"/>
  <c r="L312" i="6"/>
  <c r="K312" i="6"/>
  <c r="L311" i="6"/>
  <c r="K311" i="6"/>
  <c r="L310" i="6"/>
  <c r="K310" i="6"/>
  <c r="L195" i="5"/>
  <c r="K195" i="5"/>
  <c r="L194" i="5"/>
  <c r="K194" i="5"/>
  <c r="L193" i="5"/>
  <c r="K193" i="5"/>
  <c r="L192" i="5"/>
  <c r="K192" i="5"/>
  <c r="L191" i="5"/>
  <c r="K191" i="5"/>
  <c r="L190" i="5"/>
  <c r="K190" i="5"/>
  <c r="L6" i="4"/>
  <c r="L5" i="4"/>
  <c r="I2" i="11"/>
  <c r="L189" i="5"/>
  <c r="K189" i="5"/>
  <c r="L188" i="5"/>
  <c r="K188" i="5"/>
  <c r="L187" i="5"/>
  <c r="K187" i="5"/>
  <c r="L309" i="6"/>
  <c r="K309" i="6"/>
  <c r="L308" i="6"/>
  <c r="L307" i="6"/>
  <c r="L306" i="6"/>
  <c r="K308" i="6"/>
  <c r="K307" i="6"/>
  <c r="K306" i="6"/>
  <c r="D80" i="1"/>
  <c r="D79" i="1"/>
  <c r="D78" i="1"/>
  <c r="A2" i="1"/>
  <c r="C87" i="1"/>
  <c r="B86" i="1"/>
  <c r="B85" i="1"/>
  <c r="B84" i="1"/>
  <c r="B83" i="1"/>
  <c r="B82" i="1"/>
  <c r="C81" i="1" a="1"/>
  <c r="C81" i="1" s="1"/>
  <c r="B81" i="1"/>
  <c r="B80" i="1"/>
  <c r="B79" i="1"/>
  <c r="B78" i="1"/>
  <c r="D77" i="1"/>
  <c r="C77" i="1" a="1"/>
  <c r="C77" i="1" s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C63" i="1" a="1"/>
  <c r="C63" i="1" s="1"/>
  <c r="B63" i="1"/>
  <c r="B62" i="1"/>
  <c r="B61" i="1"/>
  <c r="B60" i="1"/>
  <c r="B59" i="1"/>
  <c r="C58" i="1" a="1"/>
  <c r="C58" i="1" s="1"/>
  <c r="B58" i="1"/>
  <c r="B57" i="1"/>
  <c r="B56" i="1"/>
  <c r="B55" i="1"/>
  <c r="B54" i="1"/>
  <c r="B53" i="1"/>
  <c r="B52" i="1"/>
  <c r="B51" i="1"/>
  <c r="B50" i="1"/>
  <c r="B49" i="1"/>
  <c r="B48" i="1"/>
  <c r="C47" i="1" a="1"/>
  <c r="C47" i="1" s="1"/>
  <c r="B47" i="1"/>
  <c r="B591" i="13"/>
  <c r="C591" i="13"/>
  <c r="B592" i="13"/>
  <c r="C592" i="13"/>
  <c r="B593" i="13"/>
  <c r="C593" i="13"/>
  <c r="B594" i="13"/>
  <c r="C594" i="13"/>
  <c r="B595" i="13"/>
  <c r="C595" i="13"/>
  <c r="B596" i="13"/>
  <c r="C596" i="13"/>
  <c r="B597" i="13"/>
  <c r="C597" i="13"/>
  <c r="B598" i="13"/>
  <c r="C598" i="13"/>
  <c r="B599" i="13"/>
  <c r="C599" i="13"/>
  <c r="B600" i="13"/>
  <c r="C600" i="13"/>
  <c r="B601" i="13"/>
  <c r="C601" i="13"/>
  <c r="B602" i="13"/>
  <c r="C602" i="13"/>
  <c r="B603" i="13"/>
  <c r="C603" i="13"/>
  <c r="B604" i="13"/>
  <c r="C604" i="13"/>
  <c r="B605" i="13"/>
  <c r="C605" i="13"/>
  <c r="B606" i="13"/>
  <c r="C606" i="13"/>
  <c r="B585" i="13"/>
  <c r="C585" i="13"/>
  <c r="D585" i="13"/>
  <c r="B586" i="13"/>
  <c r="C586" i="13"/>
  <c r="D586" i="13"/>
  <c r="B587" i="13"/>
  <c r="C587" i="13"/>
  <c r="D587" i="13"/>
  <c r="B588" i="13"/>
  <c r="C588" i="13"/>
  <c r="D588" i="13"/>
  <c r="B589" i="13"/>
  <c r="C589" i="13"/>
  <c r="D589" i="13"/>
  <c r="B590" i="13"/>
  <c r="C590" i="13"/>
  <c r="D590" i="13"/>
  <c r="B284" i="13"/>
  <c r="C284" i="13"/>
  <c r="B285" i="13"/>
  <c r="C285" i="13"/>
  <c r="B286" i="13"/>
  <c r="C286" i="13"/>
  <c r="B287" i="13"/>
  <c r="C287" i="13"/>
  <c r="B288" i="13"/>
  <c r="C288" i="13"/>
  <c r="B289" i="13"/>
  <c r="C289" i="13"/>
  <c r="B290" i="13"/>
  <c r="C290" i="13"/>
  <c r="B291" i="13"/>
  <c r="C291" i="13"/>
  <c r="B292" i="13"/>
  <c r="C292" i="13"/>
  <c r="B293" i="13"/>
  <c r="C293" i="13"/>
  <c r="B294" i="13"/>
  <c r="C294" i="13"/>
  <c r="B295" i="13"/>
  <c r="C295" i="13"/>
  <c r="B296" i="13"/>
  <c r="C296" i="13"/>
  <c r="B297" i="13"/>
  <c r="C297" i="13"/>
  <c r="B298" i="13"/>
  <c r="C298" i="13"/>
  <c r="B299" i="13"/>
  <c r="C299" i="13"/>
  <c r="B300" i="13"/>
  <c r="C300" i="13"/>
  <c r="B301" i="13"/>
  <c r="C301" i="13"/>
  <c r="B302" i="13"/>
  <c r="C302" i="13"/>
  <c r="B303" i="13"/>
  <c r="C303" i="13"/>
  <c r="B304" i="13"/>
  <c r="C304" i="13"/>
  <c r="B305" i="13"/>
  <c r="C305" i="13"/>
  <c r="B306" i="13"/>
  <c r="C306" i="13"/>
  <c r="B307" i="13"/>
  <c r="C307" i="13"/>
  <c r="B308" i="13"/>
  <c r="C308" i="13"/>
  <c r="B309" i="13"/>
  <c r="C309" i="13"/>
  <c r="B310" i="13"/>
  <c r="C310" i="13"/>
  <c r="B311" i="13"/>
  <c r="C311" i="13"/>
  <c r="B312" i="13"/>
  <c r="C312" i="13"/>
  <c r="B313" i="13"/>
  <c r="C313" i="13"/>
  <c r="B314" i="13"/>
  <c r="C314" i="13"/>
  <c r="B315" i="13"/>
  <c r="C315" i="13"/>
  <c r="B316" i="13"/>
  <c r="C316" i="13"/>
  <c r="B317" i="13"/>
  <c r="C317" i="13"/>
  <c r="B318" i="13"/>
  <c r="C318" i="13"/>
  <c r="B319" i="13"/>
  <c r="C319" i="13"/>
  <c r="B320" i="13"/>
  <c r="C320" i="13"/>
  <c r="B321" i="13"/>
  <c r="C321" i="13"/>
  <c r="B322" i="13"/>
  <c r="C322" i="13"/>
  <c r="B323" i="13"/>
  <c r="C323" i="13"/>
  <c r="B324" i="13"/>
  <c r="C324" i="13"/>
  <c r="B325" i="13"/>
  <c r="C325" i="13"/>
  <c r="B326" i="13"/>
  <c r="C326" i="13"/>
  <c r="B327" i="13"/>
  <c r="C327" i="13"/>
  <c r="B328" i="13"/>
  <c r="C328" i="13"/>
  <c r="B329" i="13"/>
  <c r="C329" i="13"/>
  <c r="B330" i="13"/>
  <c r="C330" i="13"/>
  <c r="B331" i="13"/>
  <c r="C331" i="13"/>
  <c r="B332" i="13"/>
  <c r="C332" i="13"/>
  <c r="B333" i="13"/>
  <c r="C333" i="13"/>
  <c r="B334" i="13"/>
  <c r="C334" i="13"/>
  <c r="B335" i="13"/>
  <c r="C335" i="13"/>
  <c r="B336" i="13"/>
  <c r="C336" i="13"/>
  <c r="B337" i="13"/>
  <c r="C337" i="13"/>
  <c r="B338" i="13"/>
  <c r="C338" i="13"/>
  <c r="B339" i="13"/>
  <c r="C339" i="13"/>
  <c r="B340" i="13"/>
  <c r="C340" i="13"/>
  <c r="B341" i="13"/>
  <c r="C341" i="13"/>
  <c r="B342" i="13"/>
  <c r="C342" i="13"/>
  <c r="B343" i="13"/>
  <c r="C343" i="13"/>
  <c r="B344" i="13"/>
  <c r="C344" i="13"/>
  <c r="B345" i="13"/>
  <c r="C345" i="13"/>
  <c r="B346" i="13"/>
  <c r="C346" i="13"/>
  <c r="B347" i="13"/>
  <c r="C347" i="13"/>
  <c r="B348" i="13"/>
  <c r="C348" i="13"/>
  <c r="B349" i="13"/>
  <c r="C349" i="13"/>
  <c r="B350" i="13"/>
  <c r="C350" i="13"/>
  <c r="B351" i="13"/>
  <c r="C351" i="13"/>
  <c r="B352" i="13"/>
  <c r="C352" i="13"/>
  <c r="B353" i="13"/>
  <c r="C353" i="13"/>
  <c r="B354" i="13"/>
  <c r="C354" i="13"/>
  <c r="B355" i="13"/>
  <c r="C355" i="13"/>
  <c r="B356" i="13"/>
  <c r="C356" i="13"/>
  <c r="B357" i="13"/>
  <c r="C357" i="13"/>
  <c r="B358" i="13"/>
  <c r="C358" i="13"/>
  <c r="B359" i="13"/>
  <c r="C359" i="13"/>
  <c r="B360" i="13"/>
  <c r="C360" i="13"/>
  <c r="B361" i="13"/>
  <c r="C361" i="13"/>
  <c r="B362" i="13"/>
  <c r="C362" i="13"/>
  <c r="B363" i="13"/>
  <c r="C363" i="13"/>
  <c r="B364" i="13"/>
  <c r="C364" i="13"/>
  <c r="B365" i="13"/>
  <c r="C365" i="13"/>
  <c r="B366" i="13"/>
  <c r="C366" i="13"/>
  <c r="B367" i="13"/>
  <c r="C367" i="13"/>
  <c r="B368" i="13"/>
  <c r="C368" i="13"/>
  <c r="B369" i="13"/>
  <c r="C369" i="13"/>
  <c r="B370" i="13"/>
  <c r="C370" i="13"/>
  <c r="B371" i="13"/>
  <c r="C371" i="13"/>
  <c r="B372" i="13"/>
  <c r="C372" i="13"/>
  <c r="B373" i="13"/>
  <c r="C373" i="13"/>
  <c r="B374" i="13"/>
  <c r="C374" i="13"/>
  <c r="B375" i="13"/>
  <c r="C375" i="13"/>
  <c r="B376" i="13"/>
  <c r="C376" i="13"/>
  <c r="B377" i="13"/>
  <c r="C377" i="13"/>
  <c r="B378" i="13"/>
  <c r="C378" i="13"/>
  <c r="B379" i="13"/>
  <c r="C379" i="13"/>
  <c r="B380" i="13"/>
  <c r="C380" i="13"/>
  <c r="B381" i="13"/>
  <c r="C381" i="13"/>
  <c r="B382" i="13"/>
  <c r="C382" i="13"/>
  <c r="B383" i="13"/>
  <c r="C383" i="13"/>
  <c r="B384" i="13"/>
  <c r="C384" i="13"/>
  <c r="B385" i="13"/>
  <c r="C385" i="13"/>
  <c r="B386" i="13"/>
  <c r="C386" i="13"/>
  <c r="B387" i="13"/>
  <c r="C387" i="13"/>
  <c r="B388" i="13"/>
  <c r="C388" i="13"/>
  <c r="B389" i="13"/>
  <c r="C389" i="13"/>
  <c r="B390" i="13"/>
  <c r="C390" i="13"/>
  <c r="B391" i="13"/>
  <c r="C391" i="13"/>
  <c r="B392" i="13"/>
  <c r="C392" i="13"/>
  <c r="B393" i="13"/>
  <c r="C393" i="13"/>
  <c r="B394" i="13"/>
  <c r="C394" i="13"/>
  <c r="B395" i="13"/>
  <c r="C395" i="13"/>
  <c r="B396" i="13"/>
  <c r="C396" i="13"/>
  <c r="B397" i="13"/>
  <c r="C397" i="13"/>
  <c r="B398" i="13"/>
  <c r="C398" i="13"/>
  <c r="B399" i="13"/>
  <c r="C399" i="13"/>
  <c r="B400" i="13"/>
  <c r="C400" i="13"/>
  <c r="B401" i="13"/>
  <c r="C401" i="13"/>
  <c r="B402" i="13"/>
  <c r="C402" i="13"/>
  <c r="B403" i="13"/>
  <c r="C403" i="13"/>
  <c r="B404" i="13"/>
  <c r="C404" i="13"/>
  <c r="B405" i="13"/>
  <c r="C405" i="13"/>
  <c r="B406" i="13"/>
  <c r="C406" i="13"/>
  <c r="B407" i="13"/>
  <c r="C407" i="13"/>
  <c r="B408" i="13"/>
  <c r="C408" i="13"/>
  <c r="B409" i="13"/>
  <c r="C409" i="13"/>
  <c r="B410" i="13"/>
  <c r="C410" i="13"/>
  <c r="B411" i="13"/>
  <c r="C411" i="13"/>
  <c r="B412" i="13"/>
  <c r="C412" i="13"/>
  <c r="B413" i="13"/>
  <c r="C413" i="13"/>
  <c r="B414" i="13"/>
  <c r="C414" i="13"/>
  <c r="B415" i="13"/>
  <c r="C415" i="13"/>
  <c r="B416" i="13"/>
  <c r="C416" i="13"/>
  <c r="B417" i="13"/>
  <c r="C417" i="13"/>
  <c r="B418" i="13"/>
  <c r="C418" i="13"/>
  <c r="B419" i="13"/>
  <c r="C419" i="13"/>
  <c r="B420" i="13"/>
  <c r="C420" i="13"/>
  <c r="B421" i="13"/>
  <c r="C421" i="13"/>
  <c r="B422" i="13"/>
  <c r="C422" i="13"/>
  <c r="B423" i="13"/>
  <c r="C423" i="13"/>
  <c r="B424" i="13"/>
  <c r="C424" i="13"/>
  <c r="B425" i="13"/>
  <c r="C425" i="13"/>
  <c r="B426" i="13"/>
  <c r="C426" i="13"/>
  <c r="B427" i="13"/>
  <c r="C427" i="13"/>
  <c r="B428" i="13"/>
  <c r="C428" i="13"/>
  <c r="B429" i="13"/>
  <c r="C429" i="13"/>
  <c r="B430" i="13"/>
  <c r="C430" i="13"/>
  <c r="B431" i="13"/>
  <c r="C431" i="13"/>
  <c r="B432" i="13"/>
  <c r="C432" i="13"/>
  <c r="B433" i="13"/>
  <c r="C433" i="13"/>
  <c r="B434" i="13"/>
  <c r="C434" i="13"/>
  <c r="B435" i="13"/>
  <c r="C435" i="13"/>
  <c r="B436" i="13"/>
  <c r="C436" i="13"/>
  <c r="B437" i="13"/>
  <c r="C437" i="13"/>
  <c r="B438" i="13"/>
  <c r="C438" i="13"/>
  <c r="B439" i="13"/>
  <c r="C439" i="13"/>
  <c r="B440" i="13"/>
  <c r="C440" i="13"/>
  <c r="B441" i="13"/>
  <c r="C441" i="13"/>
  <c r="B442" i="13"/>
  <c r="C442" i="13"/>
  <c r="B443" i="13"/>
  <c r="C443" i="13"/>
  <c r="B444" i="13"/>
  <c r="C444" i="13"/>
  <c r="B445" i="13"/>
  <c r="C445" i="13"/>
  <c r="B446" i="13"/>
  <c r="C446" i="13"/>
  <c r="B447" i="13"/>
  <c r="C447" i="13"/>
  <c r="B448" i="13"/>
  <c r="C448" i="13"/>
  <c r="B449" i="13"/>
  <c r="C449" i="13"/>
  <c r="B450" i="13"/>
  <c r="C450" i="13"/>
  <c r="B451" i="13"/>
  <c r="C451" i="13"/>
  <c r="B452" i="13"/>
  <c r="C452" i="13"/>
  <c r="B453" i="13"/>
  <c r="C453" i="13"/>
  <c r="B454" i="13"/>
  <c r="C454" i="13"/>
  <c r="B455" i="13"/>
  <c r="C455" i="13"/>
  <c r="B456" i="13"/>
  <c r="C456" i="13"/>
  <c r="B457" i="13"/>
  <c r="C457" i="13"/>
  <c r="B458" i="13"/>
  <c r="C458" i="13"/>
  <c r="B459" i="13"/>
  <c r="C459" i="13"/>
  <c r="B460" i="13"/>
  <c r="C460" i="13"/>
  <c r="B461" i="13"/>
  <c r="C461" i="13"/>
  <c r="B462" i="13"/>
  <c r="C462" i="13"/>
  <c r="B463" i="13"/>
  <c r="C463" i="13"/>
  <c r="B464" i="13"/>
  <c r="C464" i="13"/>
  <c r="B465" i="13"/>
  <c r="C465" i="13"/>
  <c r="B466" i="13"/>
  <c r="C466" i="13"/>
  <c r="B467" i="13"/>
  <c r="C467" i="13"/>
  <c r="B468" i="13"/>
  <c r="C468" i="13"/>
  <c r="B469" i="13"/>
  <c r="C469" i="13"/>
  <c r="B470" i="13"/>
  <c r="C470" i="13"/>
  <c r="B471" i="13"/>
  <c r="C471" i="13"/>
  <c r="B472" i="13"/>
  <c r="C472" i="13"/>
  <c r="B473" i="13"/>
  <c r="C473" i="13"/>
  <c r="B474" i="13"/>
  <c r="C474" i="13"/>
  <c r="B475" i="13"/>
  <c r="C475" i="13"/>
  <c r="B476" i="13"/>
  <c r="C476" i="13"/>
  <c r="B477" i="13"/>
  <c r="C477" i="13"/>
  <c r="B478" i="13"/>
  <c r="C478" i="13"/>
  <c r="B479" i="13"/>
  <c r="C479" i="13"/>
  <c r="B480" i="13"/>
  <c r="C480" i="13"/>
  <c r="B481" i="13"/>
  <c r="C481" i="13"/>
  <c r="B482" i="13"/>
  <c r="C482" i="13"/>
  <c r="B483" i="13"/>
  <c r="C483" i="13"/>
  <c r="B484" i="13"/>
  <c r="C484" i="13"/>
  <c r="B485" i="13"/>
  <c r="C485" i="13"/>
  <c r="B486" i="13"/>
  <c r="C486" i="13"/>
  <c r="B487" i="13"/>
  <c r="C487" i="13"/>
  <c r="B488" i="13"/>
  <c r="C488" i="13"/>
  <c r="B489" i="13"/>
  <c r="C489" i="13"/>
  <c r="B490" i="13"/>
  <c r="C490" i="13"/>
  <c r="B491" i="13"/>
  <c r="C491" i="13"/>
  <c r="B492" i="13"/>
  <c r="C492" i="13"/>
  <c r="B493" i="13"/>
  <c r="C493" i="13"/>
  <c r="B494" i="13"/>
  <c r="C494" i="13"/>
  <c r="B495" i="13"/>
  <c r="C495" i="13"/>
  <c r="B496" i="13"/>
  <c r="C496" i="13"/>
  <c r="B497" i="13"/>
  <c r="C497" i="13"/>
  <c r="B498" i="13"/>
  <c r="C498" i="13"/>
  <c r="B499" i="13"/>
  <c r="C499" i="13"/>
  <c r="B500" i="13"/>
  <c r="C500" i="13"/>
  <c r="B501" i="13"/>
  <c r="C501" i="13"/>
  <c r="B502" i="13"/>
  <c r="C502" i="13"/>
  <c r="B503" i="13"/>
  <c r="C503" i="13"/>
  <c r="B504" i="13"/>
  <c r="C504" i="13"/>
  <c r="B505" i="13"/>
  <c r="C505" i="13"/>
  <c r="B506" i="13"/>
  <c r="C506" i="13"/>
  <c r="B507" i="13"/>
  <c r="C507" i="13"/>
  <c r="B508" i="13"/>
  <c r="C508" i="13"/>
  <c r="B509" i="13"/>
  <c r="C509" i="13"/>
  <c r="B510" i="13"/>
  <c r="C510" i="13"/>
  <c r="B511" i="13"/>
  <c r="C511" i="13"/>
  <c r="B512" i="13"/>
  <c r="C512" i="13"/>
  <c r="B513" i="13"/>
  <c r="C513" i="13"/>
  <c r="B514" i="13"/>
  <c r="C514" i="13"/>
  <c r="B515" i="13"/>
  <c r="C515" i="13"/>
  <c r="B516" i="13"/>
  <c r="C516" i="13"/>
  <c r="B517" i="13"/>
  <c r="C517" i="13"/>
  <c r="B518" i="13"/>
  <c r="C518" i="13"/>
  <c r="B519" i="13"/>
  <c r="C519" i="13"/>
  <c r="B520" i="13"/>
  <c r="C520" i="13"/>
  <c r="B521" i="13"/>
  <c r="C521" i="13"/>
  <c r="B522" i="13"/>
  <c r="C522" i="13"/>
  <c r="B523" i="13"/>
  <c r="C523" i="13"/>
  <c r="B524" i="13"/>
  <c r="C524" i="13"/>
  <c r="B525" i="13"/>
  <c r="C525" i="13"/>
  <c r="B526" i="13"/>
  <c r="C526" i="13"/>
  <c r="B527" i="13"/>
  <c r="C527" i="13"/>
  <c r="B528" i="13"/>
  <c r="C528" i="13"/>
  <c r="B529" i="13"/>
  <c r="C529" i="13"/>
  <c r="B530" i="13"/>
  <c r="C530" i="13"/>
  <c r="B531" i="13"/>
  <c r="C531" i="13"/>
  <c r="B532" i="13"/>
  <c r="C532" i="13"/>
  <c r="B533" i="13"/>
  <c r="C533" i="13"/>
  <c r="B534" i="13"/>
  <c r="C534" i="13"/>
  <c r="B535" i="13"/>
  <c r="C535" i="13"/>
  <c r="B536" i="13"/>
  <c r="C536" i="13"/>
  <c r="B537" i="13"/>
  <c r="C537" i="13"/>
  <c r="B538" i="13"/>
  <c r="C538" i="13"/>
  <c r="B539" i="13"/>
  <c r="C539" i="13"/>
  <c r="B540" i="13"/>
  <c r="C540" i="13"/>
  <c r="B541" i="13"/>
  <c r="C541" i="13"/>
  <c r="B542" i="13"/>
  <c r="C542" i="13"/>
  <c r="B543" i="13"/>
  <c r="C543" i="13"/>
  <c r="B544" i="13"/>
  <c r="C544" i="13"/>
  <c r="B545" i="13"/>
  <c r="C545" i="13"/>
  <c r="B546" i="13"/>
  <c r="C546" i="13"/>
  <c r="B547" i="13"/>
  <c r="C547" i="13"/>
  <c r="B548" i="13"/>
  <c r="C548" i="13"/>
  <c r="B549" i="13"/>
  <c r="C549" i="13"/>
  <c r="B550" i="13"/>
  <c r="C550" i="13"/>
  <c r="B551" i="13"/>
  <c r="C551" i="13"/>
  <c r="B552" i="13"/>
  <c r="C552" i="13"/>
  <c r="B553" i="13"/>
  <c r="C553" i="13"/>
  <c r="B554" i="13"/>
  <c r="C554" i="13"/>
  <c r="B555" i="13"/>
  <c r="C555" i="13"/>
  <c r="B556" i="13"/>
  <c r="C556" i="13"/>
  <c r="B557" i="13"/>
  <c r="C557" i="13"/>
  <c r="B558" i="13"/>
  <c r="C558" i="13"/>
  <c r="B559" i="13"/>
  <c r="C559" i="13"/>
  <c r="B560" i="13"/>
  <c r="C560" i="13"/>
  <c r="B561" i="13"/>
  <c r="C561" i="13"/>
  <c r="B562" i="13"/>
  <c r="C562" i="13"/>
  <c r="B563" i="13"/>
  <c r="C563" i="13"/>
  <c r="B564" i="13"/>
  <c r="C564" i="13"/>
  <c r="B565" i="13"/>
  <c r="C565" i="13"/>
  <c r="B566" i="13"/>
  <c r="C566" i="13"/>
  <c r="B567" i="13"/>
  <c r="C567" i="13"/>
  <c r="B568" i="13"/>
  <c r="C568" i="13"/>
  <c r="B569" i="13"/>
  <c r="C569" i="13"/>
  <c r="B570" i="13"/>
  <c r="C570" i="13"/>
  <c r="B571" i="13"/>
  <c r="C571" i="13"/>
  <c r="B572" i="13"/>
  <c r="C572" i="13"/>
  <c r="B573" i="13"/>
  <c r="C573" i="13"/>
  <c r="B574" i="13"/>
  <c r="C574" i="13"/>
  <c r="B575" i="13"/>
  <c r="C575" i="13"/>
  <c r="B576" i="13"/>
  <c r="C576" i="13"/>
  <c r="B577" i="13"/>
  <c r="C577" i="13"/>
  <c r="B578" i="13"/>
  <c r="C578" i="13"/>
  <c r="B579" i="13"/>
  <c r="C579" i="13"/>
  <c r="B580" i="13"/>
  <c r="C580" i="13"/>
  <c r="B581" i="13"/>
  <c r="C581" i="13"/>
  <c r="B582" i="13"/>
  <c r="C582" i="13"/>
  <c r="B583" i="13"/>
  <c r="C583" i="13"/>
  <c r="B584" i="13"/>
  <c r="C584" i="13"/>
  <c r="B102" i="13"/>
  <c r="C102" i="13"/>
  <c r="B103" i="13"/>
  <c r="C103" i="13"/>
  <c r="B104" i="13"/>
  <c r="C104" i="13"/>
  <c r="B105" i="13"/>
  <c r="C105" i="13"/>
  <c r="B106" i="13"/>
  <c r="C106" i="13"/>
  <c r="B107" i="13"/>
  <c r="C107" i="13"/>
  <c r="B108" i="13"/>
  <c r="C108" i="13"/>
  <c r="B109" i="13"/>
  <c r="C109" i="13"/>
  <c r="B110" i="13"/>
  <c r="C110" i="13"/>
  <c r="B111" i="13"/>
  <c r="C111" i="13"/>
  <c r="B112" i="13"/>
  <c r="C112" i="13"/>
  <c r="B113" i="13"/>
  <c r="C113" i="13"/>
  <c r="B114" i="13"/>
  <c r="C114" i="13"/>
  <c r="B115" i="13"/>
  <c r="C115" i="13"/>
  <c r="B116" i="13"/>
  <c r="C116" i="13"/>
  <c r="B117" i="13"/>
  <c r="C117" i="13"/>
  <c r="B118" i="13"/>
  <c r="C118" i="13"/>
  <c r="B119" i="13"/>
  <c r="C119" i="13"/>
  <c r="B120" i="13"/>
  <c r="C120" i="13"/>
  <c r="B121" i="13"/>
  <c r="C121" i="13"/>
  <c r="B122" i="13"/>
  <c r="C122" i="13"/>
  <c r="B123" i="13"/>
  <c r="C123" i="13"/>
  <c r="B124" i="13"/>
  <c r="C124" i="13"/>
  <c r="B125" i="13"/>
  <c r="C125" i="13"/>
  <c r="B126" i="13"/>
  <c r="C126" i="13"/>
  <c r="B127" i="13"/>
  <c r="C127" i="13"/>
  <c r="B128" i="13"/>
  <c r="C128" i="13"/>
  <c r="B129" i="13"/>
  <c r="C129" i="13"/>
  <c r="B130" i="13"/>
  <c r="C130" i="13"/>
  <c r="B131" i="13"/>
  <c r="C131" i="13"/>
  <c r="B132" i="13"/>
  <c r="C132" i="13"/>
  <c r="B133" i="13"/>
  <c r="C133" i="13"/>
  <c r="B134" i="13"/>
  <c r="C134" i="13"/>
  <c r="B135" i="13"/>
  <c r="C135" i="13"/>
  <c r="B136" i="13"/>
  <c r="C136" i="13"/>
  <c r="B137" i="13"/>
  <c r="C137" i="13"/>
  <c r="B138" i="13"/>
  <c r="C138" i="13"/>
  <c r="B139" i="13"/>
  <c r="C139" i="13"/>
  <c r="B140" i="13"/>
  <c r="C140" i="13"/>
  <c r="B141" i="13"/>
  <c r="C141" i="13"/>
  <c r="B142" i="13"/>
  <c r="C142" i="13"/>
  <c r="B143" i="13"/>
  <c r="C143" i="13"/>
  <c r="B144" i="13"/>
  <c r="C144" i="13"/>
  <c r="B145" i="13"/>
  <c r="C145" i="13"/>
  <c r="B146" i="13"/>
  <c r="C146" i="13"/>
  <c r="B147" i="13"/>
  <c r="C147" i="13"/>
  <c r="B148" i="13"/>
  <c r="C148" i="13"/>
  <c r="B149" i="13"/>
  <c r="C149" i="13"/>
  <c r="B150" i="13"/>
  <c r="C150" i="13"/>
  <c r="B151" i="13"/>
  <c r="C151" i="13"/>
  <c r="B152" i="13"/>
  <c r="C152" i="13"/>
  <c r="B153" i="13"/>
  <c r="C153" i="13"/>
  <c r="B154" i="13"/>
  <c r="C154" i="13"/>
  <c r="B155" i="13"/>
  <c r="C155" i="13"/>
  <c r="B156" i="13"/>
  <c r="C156" i="13"/>
  <c r="B157" i="13"/>
  <c r="C157" i="13"/>
  <c r="B158" i="13"/>
  <c r="C158" i="13"/>
  <c r="B159" i="13"/>
  <c r="C159" i="13"/>
  <c r="B160" i="13"/>
  <c r="C160" i="13"/>
  <c r="B161" i="13"/>
  <c r="C161" i="13"/>
  <c r="B162" i="13"/>
  <c r="C162" i="13"/>
  <c r="B163" i="13"/>
  <c r="C163" i="13"/>
  <c r="B164" i="13"/>
  <c r="C164" i="13"/>
  <c r="B165" i="13"/>
  <c r="C165" i="13"/>
  <c r="B166" i="13"/>
  <c r="C166" i="13"/>
  <c r="B167" i="13"/>
  <c r="C167" i="13"/>
  <c r="B168" i="13"/>
  <c r="C168" i="13"/>
  <c r="B169" i="13"/>
  <c r="C169" i="13"/>
  <c r="B170" i="13"/>
  <c r="C170" i="13"/>
  <c r="B171" i="13"/>
  <c r="C171" i="13"/>
  <c r="B172" i="13"/>
  <c r="C172" i="13"/>
  <c r="B173" i="13"/>
  <c r="C173" i="13"/>
  <c r="B174" i="13"/>
  <c r="C174" i="13"/>
  <c r="B175" i="13"/>
  <c r="C175" i="13"/>
  <c r="B176" i="13"/>
  <c r="C176" i="13"/>
  <c r="B177" i="13"/>
  <c r="C177" i="13"/>
  <c r="B178" i="13"/>
  <c r="C178" i="13"/>
  <c r="B179" i="13"/>
  <c r="C179" i="13"/>
  <c r="B180" i="13"/>
  <c r="C180" i="13"/>
  <c r="B181" i="13"/>
  <c r="C181" i="13"/>
  <c r="B182" i="13"/>
  <c r="C182" i="13"/>
  <c r="B183" i="13"/>
  <c r="C183" i="13"/>
  <c r="B184" i="13"/>
  <c r="C184" i="13"/>
  <c r="B185" i="13"/>
  <c r="C185" i="13"/>
  <c r="B186" i="13"/>
  <c r="C186" i="13"/>
  <c r="B187" i="13"/>
  <c r="C187" i="13"/>
  <c r="B188" i="13"/>
  <c r="C188" i="13"/>
  <c r="B189" i="13"/>
  <c r="C189" i="13"/>
  <c r="B190" i="13"/>
  <c r="C190" i="13"/>
  <c r="B191" i="13"/>
  <c r="C191" i="13"/>
  <c r="B192" i="13"/>
  <c r="C192" i="13"/>
  <c r="B193" i="13"/>
  <c r="C193" i="13"/>
  <c r="B194" i="13"/>
  <c r="C194" i="13"/>
  <c r="B195" i="13"/>
  <c r="C195" i="13"/>
  <c r="B196" i="13"/>
  <c r="C196" i="13"/>
  <c r="B197" i="13"/>
  <c r="C197" i="13"/>
  <c r="B198" i="13"/>
  <c r="C198" i="13"/>
  <c r="B199" i="13"/>
  <c r="C199" i="13"/>
  <c r="B200" i="13"/>
  <c r="C200" i="13"/>
  <c r="B201" i="13"/>
  <c r="C201" i="13"/>
  <c r="B202" i="13"/>
  <c r="C202" i="13"/>
  <c r="B203" i="13"/>
  <c r="C203" i="13"/>
  <c r="B204" i="13"/>
  <c r="C204" i="13"/>
  <c r="B205" i="13"/>
  <c r="C205" i="13"/>
  <c r="B206" i="13"/>
  <c r="C206" i="13"/>
  <c r="B207" i="13"/>
  <c r="C207" i="13"/>
  <c r="B208" i="13"/>
  <c r="C208" i="13"/>
  <c r="B209" i="13"/>
  <c r="C209" i="13"/>
  <c r="B210" i="13"/>
  <c r="C210" i="13"/>
  <c r="B211" i="13"/>
  <c r="C211" i="13"/>
  <c r="B212" i="13"/>
  <c r="C212" i="13"/>
  <c r="B213" i="13"/>
  <c r="C213" i="13"/>
  <c r="B214" i="13"/>
  <c r="C214" i="13"/>
  <c r="B215" i="13"/>
  <c r="C215" i="13"/>
  <c r="B216" i="13"/>
  <c r="C216" i="13"/>
  <c r="B217" i="13"/>
  <c r="C217" i="13"/>
  <c r="B218" i="13"/>
  <c r="C218" i="13"/>
  <c r="B219" i="13"/>
  <c r="C219" i="13"/>
  <c r="B220" i="13"/>
  <c r="C220" i="13"/>
  <c r="B221" i="13"/>
  <c r="C221" i="13"/>
  <c r="B222" i="13"/>
  <c r="C222" i="13"/>
  <c r="B223" i="13"/>
  <c r="C223" i="13"/>
  <c r="B224" i="13"/>
  <c r="C224" i="13"/>
  <c r="B225" i="13"/>
  <c r="C225" i="13"/>
  <c r="B226" i="13"/>
  <c r="C226" i="13"/>
  <c r="B227" i="13"/>
  <c r="C227" i="13"/>
  <c r="B228" i="13"/>
  <c r="C228" i="13"/>
  <c r="B229" i="13"/>
  <c r="C229" i="13"/>
  <c r="B230" i="13"/>
  <c r="C230" i="13"/>
  <c r="B231" i="13"/>
  <c r="C231" i="13"/>
  <c r="B232" i="13"/>
  <c r="C232" i="13"/>
  <c r="B233" i="13"/>
  <c r="C233" i="13"/>
  <c r="B234" i="13"/>
  <c r="C234" i="13"/>
  <c r="B235" i="13"/>
  <c r="C235" i="13"/>
  <c r="B236" i="13"/>
  <c r="C236" i="13"/>
  <c r="B237" i="13"/>
  <c r="C237" i="13"/>
  <c r="B238" i="13"/>
  <c r="C238" i="13"/>
  <c r="B239" i="13"/>
  <c r="C239" i="13"/>
  <c r="B240" i="13"/>
  <c r="C240" i="13"/>
  <c r="B241" i="13"/>
  <c r="C241" i="13"/>
  <c r="B242" i="13"/>
  <c r="C242" i="13"/>
  <c r="B243" i="13"/>
  <c r="C243" i="13"/>
  <c r="B244" i="13"/>
  <c r="C244" i="13"/>
  <c r="B245" i="13"/>
  <c r="C245" i="13"/>
  <c r="B246" i="13"/>
  <c r="C246" i="13"/>
  <c r="B247" i="13"/>
  <c r="C247" i="13"/>
  <c r="B248" i="13"/>
  <c r="C248" i="13"/>
  <c r="B249" i="13"/>
  <c r="C249" i="13"/>
  <c r="B250" i="13"/>
  <c r="C250" i="13"/>
  <c r="B251" i="13"/>
  <c r="C251" i="13"/>
  <c r="B252" i="13"/>
  <c r="C252" i="13"/>
  <c r="B253" i="13"/>
  <c r="C253" i="13"/>
  <c r="B254" i="13"/>
  <c r="C254" i="13"/>
  <c r="B255" i="13"/>
  <c r="C255" i="13"/>
  <c r="B256" i="13"/>
  <c r="C256" i="13"/>
  <c r="B257" i="13"/>
  <c r="C257" i="13"/>
  <c r="B258" i="13"/>
  <c r="C258" i="13"/>
  <c r="B259" i="13"/>
  <c r="C259" i="13"/>
  <c r="B260" i="13"/>
  <c r="C260" i="13"/>
  <c r="B261" i="13"/>
  <c r="C261" i="13"/>
  <c r="B262" i="13"/>
  <c r="C262" i="13"/>
  <c r="B263" i="13"/>
  <c r="C263" i="13"/>
  <c r="B264" i="13"/>
  <c r="C264" i="13"/>
  <c r="B265" i="13"/>
  <c r="C265" i="13"/>
  <c r="B266" i="13"/>
  <c r="C266" i="13"/>
  <c r="B267" i="13"/>
  <c r="C267" i="13"/>
  <c r="B268" i="13"/>
  <c r="C268" i="13"/>
  <c r="B269" i="13"/>
  <c r="C269" i="13"/>
  <c r="B270" i="13"/>
  <c r="C270" i="13"/>
  <c r="B271" i="13"/>
  <c r="C271" i="13"/>
  <c r="B272" i="13"/>
  <c r="C272" i="13"/>
  <c r="B273" i="13"/>
  <c r="C273" i="13"/>
  <c r="B274" i="13"/>
  <c r="C274" i="13"/>
  <c r="B275" i="13"/>
  <c r="C275" i="13"/>
  <c r="B276" i="13"/>
  <c r="C276" i="13"/>
  <c r="B277" i="13"/>
  <c r="C277" i="13"/>
  <c r="B278" i="13"/>
  <c r="C278" i="13"/>
  <c r="B279" i="13"/>
  <c r="C279" i="13"/>
  <c r="B280" i="13"/>
  <c r="C280" i="13"/>
  <c r="B281" i="13"/>
  <c r="C281" i="13"/>
  <c r="B282" i="13"/>
  <c r="C282" i="13"/>
  <c r="B283" i="13"/>
  <c r="C283" i="13"/>
  <c r="B2" i="13"/>
  <c r="C2" i="13"/>
  <c r="B3" i="13"/>
  <c r="C3" i="13"/>
  <c r="B4" i="13"/>
  <c r="C4" i="13"/>
  <c r="B5" i="13"/>
  <c r="C5" i="13"/>
  <c r="B6" i="13"/>
  <c r="C6" i="13"/>
  <c r="B7" i="13"/>
  <c r="C7" i="13"/>
  <c r="B8" i="13"/>
  <c r="C8" i="13"/>
  <c r="B9" i="13"/>
  <c r="C9" i="13"/>
  <c r="B10" i="13"/>
  <c r="C10" i="13"/>
  <c r="B11" i="13"/>
  <c r="C11" i="13"/>
  <c r="B12" i="13"/>
  <c r="C12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34" i="13"/>
  <c r="C34" i="13"/>
  <c r="B35" i="13"/>
  <c r="C35" i="13"/>
  <c r="B36" i="13"/>
  <c r="C36" i="13"/>
  <c r="B37" i="13"/>
  <c r="C37" i="13"/>
  <c r="B38" i="13"/>
  <c r="C38" i="13"/>
  <c r="B39" i="13"/>
  <c r="C39" i="13"/>
  <c r="B40" i="13"/>
  <c r="C40" i="13"/>
  <c r="B41" i="13"/>
  <c r="C41" i="13"/>
  <c r="B42" i="13"/>
  <c r="C42" i="13"/>
  <c r="B43" i="13"/>
  <c r="C43" i="13"/>
  <c r="B44" i="13"/>
  <c r="C44" i="13"/>
  <c r="B45" i="13"/>
  <c r="C45" i="13"/>
  <c r="B46" i="13"/>
  <c r="C46" i="13"/>
  <c r="B47" i="13"/>
  <c r="C47" i="13"/>
  <c r="B48" i="13"/>
  <c r="C48" i="13"/>
  <c r="B49" i="13"/>
  <c r="C49" i="13"/>
  <c r="B50" i="13"/>
  <c r="C50" i="13"/>
  <c r="B51" i="13"/>
  <c r="C51" i="13"/>
  <c r="B52" i="13"/>
  <c r="C52" i="13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B63" i="13"/>
  <c r="C63" i="13"/>
  <c r="B64" i="13"/>
  <c r="C64" i="13"/>
  <c r="B65" i="13"/>
  <c r="C65" i="13"/>
  <c r="B66" i="13"/>
  <c r="C66" i="13"/>
  <c r="B67" i="13"/>
  <c r="C67" i="13"/>
  <c r="B68" i="13"/>
  <c r="C68" i="13"/>
  <c r="B69" i="13"/>
  <c r="C69" i="13"/>
  <c r="B70" i="13"/>
  <c r="C70" i="13"/>
  <c r="B71" i="13"/>
  <c r="C71" i="13"/>
  <c r="B72" i="13"/>
  <c r="C72" i="13"/>
  <c r="B73" i="13"/>
  <c r="C73" i="13"/>
  <c r="B74" i="13"/>
  <c r="C74" i="13"/>
  <c r="B75" i="13"/>
  <c r="C75" i="13"/>
  <c r="B76" i="13"/>
  <c r="C76" i="13"/>
  <c r="B77" i="13"/>
  <c r="C77" i="13"/>
  <c r="B78" i="13"/>
  <c r="C78" i="13"/>
  <c r="B79" i="13"/>
  <c r="C79" i="13"/>
  <c r="B80" i="13"/>
  <c r="C80" i="13"/>
  <c r="B81" i="13"/>
  <c r="C81" i="13"/>
  <c r="B82" i="13"/>
  <c r="C82" i="13"/>
  <c r="B83" i="13"/>
  <c r="C83" i="13"/>
  <c r="B84" i="13"/>
  <c r="C84" i="13"/>
  <c r="B85" i="13"/>
  <c r="C85" i="13"/>
  <c r="B86" i="13"/>
  <c r="C86" i="13"/>
  <c r="B87" i="13"/>
  <c r="C87" i="13"/>
  <c r="B88" i="13"/>
  <c r="C88" i="13"/>
  <c r="B89" i="13"/>
  <c r="C89" i="13"/>
  <c r="B90" i="13"/>
  <c r="C90" i="13"/>
  <c r="B91" i="13"/>
  <c r="C91" i="13"/>
  <c r="B92" i="13"/>
  <c r="C92" i="13"/>
  <c r="B93" i="13"/>
  <c r="C93" i="13"/>
  <c r="B94" i="13"/>
  <c r="C94" i="13"/>
  <c r="B95" i="13"/>
  <c r="C95" i="13"/>
  <c r="B96" i="13"/>
  <c r="C96" i="13"/>
  <c r="B97" i="13"/>
  <c r="C97" i="13"/>
  <c r="B98" i="13"/>
  <c r="C98" i="13"/>
  <c r="B99" i="13"/>
  <c r="C99" i="13"/>
  <c r="B100" i="13"/>
  <c r="C100" i="13"/>
  <c r="B101" i="13"/>
  <c r="C101" i="13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C35" i="2"/>
  <c r="C34" i="2"/>
  <c r="C33" i="2"/>
  <c r="C32" i="2"/>
  <c r="C31" i="2"/>
  <c r="C30" i="2"/>
  <c r="C29" i="2"/>
  <c r="C28" i="2"/>
  <c r="C27" i="2"/>
  <c r="C26" i="2"/>
  <c r="E32" i="1" s="1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L5" i="8"/>
  <c r="L6" i="8"/>
  <c r="D592" i="13" s="1"/>
  <c r="L7" i="8"/>
  <c r="D593" i="13" s="1"/>
  <c r="L8" i="8"/>
  <c r="D594" i="13" s="1"/>
  <c r="L9" i="8"/>
  <c r="D595" i="13" s="1"/>
  <c r="L10" i="8"/>
  <c r="L11" i="8"/>
  <c r="D597" i="13" s="1"/>
  <c r="L12" i="8"/>
  <c r="D598" i="13" s="1"/>
  <c r="L13" i="8"/>
  <c r="D599" i="13" s="1"/>
  <c r="L14" i="8"/>
  <c r="D600" i="13" s="1"/>
  <c r="L15" i="8"/>
  <c r="D601" i="13" s="1"/>
  <c r="L16" i="8"/>
  <c r="D602" i="13" s="1"/>
  <c r="L17" i="8"/>
  <c r="D603" i="13" s="1"/>
  <c r="L18" i="8"/>
  <c r="D604" i="13" s="1"/>
  <c r="L19" i="8"/>
  <c r="D605" i="13" s="1"/>
  <c r="L20" i="8"/>
  <c r="D606" i="13" s="1"/>
  <c r="L5" i="7"/>
  <c r="L6" i="7"/>
  <c r="L7" i="7"/>
  <c r="L8" i="7"/>
  <c r="L9" i="7"/>
  <c r="L10" i="7"/>
  <c r="L184" i="5"/>
  <c r="L185" i="5"/>
  <c r="L186" i="5"/>
  <c r="L181" i="5"/>
  <c r="L182" i="5"/>
  <c r="L183" i="5"/>
  <c r="L178" i="5"/>
  <c r="L179" i="5"/>
  <c r="L180" i="5"/>
  <c r="L175" i="5"/>
  <c r="L176" i="5"/>
  <c r="L177" i="5"/>
  <c r="L172" i="5"/>
  <c r="L173" i="5"/>
  <c r="L174" i="5"/>
  <c r="L169" i="5"/>
  <c r="L170" i="5"/>
  <c r="L171" i="5"/>
  <c r="L166" i="5"/>
  <c r="L167" i="5"/>
  <c r="L168" i="5"/>
  <c r="L163" i="5"/>
  <c r="L164" i="5"/>
  <c r="L165" i="5"/>
  <c r="L160" i="5"/>
  <c r="L161" i="5"/>
  <c r="L162" i="5"/>
  <c r="L157" i="5"/>
  <c r="L158" i="5"/>
  <c r="L159" i="5"/>
  <c r="L154" i="5"/>
  <c r="L155" i="5"/>
  <c r="L156" i="5"/>
  <c r="L151" i="5"/>
  <c r="L152" i="5"/>
  <c r="L153" i="5"/>
  <c r="L148" i="5"/>
  <c r="L149" i="5"/>
  <c r="L150" i="5"/>
  <c r="L145" i="5"/>
  <c r="L146" i="5"/>
  <c r="L147" i="5"/>
  <c r="L142" i="5"/>
  <c r="L143" i="5"/>
  <c r="L144" i="5"/>
  <c r="L139" i="5"/>
  <c r="L140" i="5"/>
  <c r="L141" i="5"/>
  <c r="L136" i="5"/>
  <c r="L137" i="5"/>
  <c r="L138" i="5"/>
  <c r="L133" i="5"/>
  <c r="L134" i="5"/>
  <c r="L135" i="5"/>
  <c r="L130" i="5"/>
  <c r="L131" i="5"/>
  <c r="L132" i="5"/>
  <c r="L127" i="5"/>
  <c r="L128" i="5"/>
  <c r="L129" i="5"/>
  <c r="L124" i="5"/>
  <c r="L125" i="5"/>
  <c r="L126" i="5"/>
  <c r="L121" i="5"/>
  <c r="L122" i="5"/>
  <c r="L123" i="5"/>
  <c r="L118" i="5"/>
  <c r="L119" i="5"/>
  <c r="L120" i="5"/>
  <c r="L115" i="5"/>
  <c r="L116" i="5"/>
  <c r="L117" i="5"/>
  <c r="L112" i="5"/>
  <c r="L113" i="5"/>
  <c r="L114" i="5"/>
  <c r="L109" i="5"/>
  <c r="L110" i="5"/>
  <c r="L111" i="5"/>
  <c r="L106" i="5"/>
  <c r="L107" i="5"/>
  <c r="L108" i="5"/>
  <c r="L103" i="5"/>
  <c r="L104" i="5"/>
  <c r="L105" i="5"/>
  <c r="L100" i="5"/>
  <c r="L101" i="5"/>
  <c r="L102" i="5"/>
  <c r="L97" i="5"/>
  <c r="L98" i="5"/>
  <c r="L99" i="5"/>
  <c r="L94" i="5"/>
  <c r="L95" i="5"/>
  <c r="L96" i="5"/>
  <c r="D194" i="13" s="1"/>
  <c r="L91" i="5"/>
  <c r="L92" i="5"/>
  <c r="D196" i="13" s="1"/>
  <c r="L93" i="5"/>
  <c r="L88" i="5"/>
  <c r="L89" i="5"/>
  <c r="L90" i="5"/>
  <c r="L85" i="5"/>
  <c r="L86" i="5"/>
  <c r="L87" i="5"/>
  <c r="D203" i="13" s="1"/>
  <c r="L82" i="5"/>
  <c r="D204" i="13" s="1"/>
  <c r="L83" i="5"/>
  <c r="L84" i="5"/>
  <c r="L79" i="5"/>
  <c r="L80" i="5"/>
  <c r="L81" i="5"/>
  <c r="D209" i="13" s="1"/>
  <c r="L76" i="5"/>
  <c r="D210" i="13" s="1"/>
  <c r="L77" i="5"/>
  <c r="L78" i="5"/>
  <c r="L73" i="5"/>
  <c r="D213" i="13" s="1"/>
  <c r="L74" i="5"/>
  <c r="D214" i="13" s="1"/>
  <c r="L75" i="5"/>
  <c r="L70" i="5"/>
  <c r="L71" i="5"/>
  <c r="D217" i="13" s="1"/>
  <c r="L72" i="5"/>
  <c r="D218" i="13" s="1"/>
  <c r="L67" i="5"/>
  <c r="D219" i="13" s="1"/>
  <c r="L68" i="5"/>
  <c r="L69" i="5"/>
  <c r="L64" i="5"/>
  <c r="L65" i="5"/>
  <c r="L66" i="5"/>
  <c r="L61" i="5"/>
  <c r="L62" i="5"/>
  <c r="L63" i="5"/>
  <c r="L60" i="5"/>
  <c r="L57" i="5"/>
  <c r="L58" i="5"/>
  <c r="L59" i="5"/>
  <c r="D231" i="13" s="1"/>
  <c r="L54" i="5"/>
  <c r="L55" i="5"/>
  <c r="D233" i="13" s="1"/>
  <c r="L56" i="5"/>
  <c r="D234" i="13" s="1"/>
  <c r="L51" i="5"/>
  <c r="D235" i="13" s="1"/>
  <c r="L52" i="5"/>
  <c r="L53" i="5"/>
  <c r="D237" i="13" s="1"/>
  <c r="L48" i="5"/>
  <c r="D238" i="13" s="1"/>
  <c r="L49" i="5"/>
  <c r="L50" i="5"/>
  <c r="L45" i="5"/>
  <c r="D241" i="13" s="1"/>
  <c r="L46" i="5"/>
  <c r="D242" i="13" s="1"/>
  <c r="L47" i="5"/>
  <c r="D243" i="13" s="1"/>
  <c r="L42" i="5"/>
  <c r="D244" i="13" s="1"/>
  <c r="L43" i="5"/>
  <c r="D245" i="13" s="1"/>
  <c r="L44" i="5"/>
  <c r="L39" i="5"/>
  <c r="D247" i="13" s="1"/>
  <c r="L40" i="5"/>
  <c r="D248" i="13" s="1"/>
  <c r="L41" i="5"/>
  <c r="L36" i="5"/>
  <c r="L37" i="5"/>
  <c r="D251" i="13" s="1"/>
  <c r="L38" i="5"/>
  <c r="D252" i="13" s="1"/>
  <c r="L33" i="5"/>
  <c r="D253" i="13" s="1"/>
  <c r="L34" i="5"/>
  <c r="L35" i="5"/>
  <c r="D255" i="13" s="1"/>
  <c r="L30" i="5"/>
  <c r="L31" i="5"/>
  <c r="D257" i="13" s="1"/>
  <c r="L32" i="5"/>
  <c r="D258" i="13" s="1"/>
  <c r="L27" i="5"/>
  <c r="D259" i="13" s="1"/>
  <c r="L28" i="5"/>
  <c r="L29" i="5"/>
  <c r="D261" i="13" s="1"/>
  <c r="L24" i="5"/>
  <c r="D262" i="13" s="1"/>
  <c r="L25" i="5"/>
  <c r="L26" i="5"/>
  <c r="L23" i="5"/>
  <c r="L20" i="5"/>
  <c r="D266" i="13" s="1"/>
  <c r="L21" i="5"/>
  <c r="D267" i="13" s="1"/>
  <c r="L22" i="5"/>
  <c r="D268" i="13" s="1"/>
  <c r="L17" i="5"/>
  <c r="D269" i="13" s="1"/>
  <c r="L18" i="5"/>
  <c r="L19" i="5"/>
  <c r="D271" i="13" s="1"/>
  <c r="L14" i="5"/>
  <c r="D272" i="13" s="1"/>
  <c r="L15" i="5"/>
  <c r="L16" i="5"/>
  <c r="L11" i="5"/>
  <c r="D275" i="13" s="1"/>
  <c r="L12" i="5"/>
  <c r="D276" i="13" s="1"/>
  <c r="L13" i="5"/>
  <c r="D277" i="13" s="1"/>
  <c r="L8" i="5"/>
  <c r="L9" i="5"/>
  <c r="D279" i="13" s="1"/>
  <c r="L10" i="5"/>
  <c r="L5" i="5"/>
  <c r="D281" i="13" s="1"/>
  <c r="L6" i="5"/>
  <c r="D282" i="13" s="1"/>
  <c r="L7" i="5"/>
  <c r="D283" i="13" s="1"/>
  <c r="L7" i="4"/>
  <c r="D2" i="13" s="1"/>
  <c r="L8" i="4"/>
  <c r="L9" i="4"/>
  <c r="D5" i="13" s="1"/>
  <c r="L10" i="4"/>
  <c r="L11" i="4"/>
  <c r="L12" i="4"/>
  <c r="L13" i="4"/>
  <c r="D9" i="13" s="1"/>
  <c r="L14" i="4"/>
  <c r="D11" i="13" s="1"/>
  <c r="L15" i="4"/>
  <c r="L16" i="4"/>
  <c r="L17" i="4"/>
  <c r="L18" i="4"/>
  <c r="L19" i="4"/>
  <c r="L20" i="4"/>
  <c r="L21" i="4"/>
  <c r="D17" i="13" s="1"/>
  <c r="L22" i="4"/>
  <c r="D18" i="13" s="1"/>
  <c r="L23" i="4"/>
  <c r="L24" i="4"/>
  <c r="L25" i="4"/>
  <c r="L26" i="4"/>
  <c r="L27" i="4"/>
  <c r="L28" i="4"/>
  <c r="L29" i="4"/>
  <c r="D25" i="13" s="1"/>
  <c r="L30" i="4"/>
  <c r="D26" i="13" s="1"/>
  <c r="L31" i="4"/>
  <c r="L32" i="4"/>
  <c r="L33" i="4"/>
  <c r="D29" i="13" s="1"/>
  <c r="L34" i="4"/>
  <c r="L35" i="4"/>
  <c r="L36" i="4"/>
  <c r="L37" i="4"/>
  <c r="D33" i="13" s="1"/>
  <c r="L38" i="4"/>
  <c r="D34" i="13" s="1"/>
  <c r="L39" i="4"/>
  <c r="L40" i="4"/>
  <c r="L41" i="4"/>
  <c r="L42" i="4"/>
  <c r="L43" i="4"/>
  <c r="L44" i="4"/>
  <c r="L45" i="4"/>
  <c r="D41" i="13" s="1"/>
  <c r="L46" i="4"/>
  <c r="D42" i="13" s="1"/>
  <c r="L47" i="4"/>
  <c r="L48" i="4"/>
  <c r="L49" i="4"/>
  <c r="D45" i="13" s="1"/>
  <c r="L50" i="4"/>
  <c r="L51" i="4"/>
  <c r="L52" i="4"/>
  <c r="L53" i="4"/>
  <c r="D49" i="13" s="1"/>
  <c r="L54" i="4"/>
  <c r="D50" i="13" s="1"/>
  <c r="L55" i="4"/>
  <c r="L56" i="4"/>
  <c r="L57" i="4"/>
  <c r="D53" i="13" s="1"/>
  <c r="L58" i="4"/>
  <c r="L59" i="4"/>
  <c r="L60" i="4"/>
  <c r="L61" i="4"/>
  <c r="D57" i="13" s="1"/>
  <c r="L62" i="4"/>
  <c r="D49" i="1" s="1"/>
  <c r="L63" i="4"/>
  <c r="L64" i="4"/>
  <c r="L65" i="4"/>
  <c r="L66" i="4"/>
  <c r="L67" i="4"/>
  <c r="D48" i="1" s="1"/>
  <c r="L68" i="4"/>
  <c r="L69" i="4"/>
  <c r="D65" i="13" s="1"/>
  <c r="L70" i="4"/>
  <c r="L71" i="4"/>
  <c r="D67" i="13" s="1"/>
  <c r="L72" i="4"/>
  <c r="L73" i="4"/>
  <c r="L74" i="4"/>
  <c r="L75" i="4"/>
  <c r="L76" i="4"/>
  <c r="L77" i="4"/>
  <c r="D73" i="13" s="1"/>
  <c r="L78" i="4"/>
  <c r="D74" i="13" s="1"/>
  <c r="L79" i="4"/>
  <c r="D75" i="13" s="1"/>
  <c r="L80" i="4"/>
  <c r="L81" i="4"/>
  <c r="L82" i="4"/>
  <c r="L83" i="4"/>
  <c r="L84" i="4"/>
  <c r="L85" i="4"/>
  <c r="D81" i="13" s="1"/>
  <c r="L86" i="4"/>
  <c r="D82" i="13" s="1"/>
  <c r="L87" i="4"/>
  <c r="L88" i="4"/>
  <c r="L89" i="4"/>
  <c r="L90" i="4"/>
  <c r="L91" i="4"/>
  <c r="L92" i="4"/>
  <c r="L93" i="4"/>
  <c r="D89" i="13" s="1"/>
  <c r="L94" i="4"/>
  <c r="D90" i="13" s="1"/>
  <c r="L95" i="4"/>
  <c r="L96" i="4"/>
  <c r="L97" i="4"/>
  <c r="L98" i="4"/>
  <c r="L99" i="4"/>
  <c r="L100" i="4"/>
  <c r="L101" i="4"/>
  <c r="D56" i="1" s="1"/>
  <c r="L102" i="4"/>
  <c r="D52" i="1" s="1"/>
  <c r="L103" i="4"/>
  <c r="L104" i="4"/>
  <c r="L105" i="4"/>
  <c r="L106" i="4"/>
  <c r="L5" i="6"/>
  <c r="D284" i="13" s="1"/>
  <c r="L6" i="6"/>
  <c r="D285" i="13" s="1"/>
  <c r="L7" i="6"/>
  <c r="D286" i="13" s="1"/>
  <c r="L8" i="6"/>
  <c r="D287" i="13" s="1"/>
  <c r="L9" i="6"/>
  <c r="D288" i="13" s="1"/>
  <c r="L10" i="6"/>
  <c r="D289" i="13" s="1"/>
  <c r="L11" i="6"/>
  <c r="D290" i="13" s="1"/>
  <c r="L12" i="6"/>
  <c r="D291" i="13" s="1"/>
  <c r="L13" i="6"/>
  <c r="D292" i="13" s="1"/>
  <c r="L14" i="6"/>
  <c r="D293" i="13" s="1"/>
  <c r="L15" i="6"/>
  <c r="D294" i="13" s="1"/>
  <c r="L16" i="6"/>
  <c r="D295" i="13" s="1"/>
  <c r="L17" i="6"/>
  <c r="D296" i="13" s="1"/>
  <c r="L18" i="6"/>
  <c r="D297" i="13" s="1"/>
  <c r="L19" i="6"/>
  <c r="D298" i="13" s="1"/>
  <c r="L20" i="6"/>
  <c r="D299" i="13" s="1"/>
  <c r="L21" i="6"/>
  <c r="D300" i="13" s="1"/>
  <c r="L22" i="6"/>
  <c r="D301" i="13" s="1"/>
  <c r="L23" i="6"/>
  <c r="D302" i="13" s="1"/>
  <c r="L24" i="6"/>
  <c r="D303" i="13" s="1"/>
  <c r="L25" i="6"/>
  <c r="D304" i="13" s="1"/>
  <c r="L26" i="6"/>
  <c r="D305" i="13" s="1"/>
  <c r="L27" i="6"/>
  <c r="D306" i="13" s="1"/>
  <c r="L28" i="6"/>
  <c r="D307" i="13" s="1"/>
  <c r="L29" i="6"/>
  <c r="D308" i="13" s="1"/>
  <c r="L30" i="6"/>
  <c r="D309" i="13" s="1"/>
  <c r="L31" i="6"/>
  <c r="D310" i="13" s="1"/>
  <c r="L32" i="6"/>
  <c r="D311" i="13" s="1"/>
  <c r="L33" i="6"/>
  <c r="D312" i="13" s="1"/>
  <c r="L34" i="6"/>
  <c r="D313" i="13" s="1"/>
  <c r="L35" i="6"/>
  <c r="D314" i="13" s="1"/>
  <c r="L36" i="6"/>
  <c r="D315" i="13" s="1"/>
  <c r="L37" i="6"/>
  <c r="D316" i="13" s="1"/>
  <c r="L38" i="6"/>
  <c r="D317" i="13" s="1"/>
  <c r="L39" i="6"/>
  <c r="D318" i="13" s="1"/>
  <c r="L40" i="6"/>
  <c r="D319" i="13" s="1"/>
  <c r="L41" i="6"/>
  <c r="D320" i="13" s="1"/>
  <c r="L42" i="6"/>
  <c r="D321" i="13" s="1"/>
  <c r="L43" i="6"/>
  <c r="D322" i="13" s="1"/>
  <c r="L44" i="6"/>
  <c r="D323" i="13" s="1"/>
  <c r="L45" i="6"/>
  <c r="D324" i="13" s="1"/>
  <c r="L46" i="6"/>
  <c r="D325" i="13" s="1"/>
  <c r="L47" i="6"/>
  <c r="D326" i="13" s="1"/>
  <c r="L48" i="6"/>
  <c r="D327" i="13" s="1"/>
  <c r="L49" i="6"/>
  <c r="D328" i="13" s="1"/>
  <c r="L50" i="6"/>
  <c r="D329" i="13" s="1"/>
  <c r="L51" i="6"/>
  <c r="D330" i="13" s="1"/>
  <c r="L52" i="6"/>
  <c r="D331" i="13" s="1"/>
  <c r="L53" i="6"/>
  <c r="D332" i="13" s="1"/>
  <c r="L54" i="6"/>
  <c r="D333" i="13" s="1"/>
  <c r="L55" i="6"/>
  <c r="D334" i="13" s="1"/>
  <c r="L56" i="6"/>
  <c r="D335" i="13" s="1"/>
  <c r="L57" i="6"/>
  <c r="D336" i="13" s="1"/>
  <c r="L58" i="6"/>
  <c r="D337" i="13" s="1"/>
  <c r="L59" i="6"/>
  <c r="D338" i="13" s="1"/>
  <c r="L60" i="6"/>
  <c r="D339" i="13" s="1"/>
  <c r="L61" i="6"/>
  <c r="D340" i="13" s="1"/>
  <c r="L62" i="6"/>
  <c r="D341" i="13" s="1"/>
  <c r="L63" i="6"/>
  <c r="D342" i="13" s="1"/>
  <c r="L64" i="6"/>
  <c r="D343" i="13" s="1"/>
  <c r="L65" i="6"/>
  <c r="D344" i="13" s="1"/>
  <c r="L66" i="6"/>
  <c r="D345" i="13" s="1"/>
  <c r="L67" i="6"/>
  <c r="D346" i="13" s="1"/>
  <c r="L68" i="6"/>
  <c r="D347" i="13" s="1"/>
  <c r="L69" i="6"/>
  <c r="D348" i="13" s="1"/>
  <c r="L70" i="6"/>
  <c r="D349" i="13" s="1"/>
  <c r="L71" i="6"/>
  <c r="D350" i="13" s="1"/>
  <c r="L72" i="6"/>
  <c r="D351" i="13" s="1"/>
  <c r="L73" i="6"/>
  <c r="D352" i="13" s="1"/>
  <c r="L74" i="6"/>
  <c r="D353" i="13" s="1"/>
  <c r="L75" i="6"/>
  <c r="D354" i="13" s="1"/>
  <c r="L76" i="6"/>
  <c r="D355" i="13" s="1"/>
  <c r="L77" i="6"/>
  <c r="D356" i="13" s="1"/>
  <c r="L78" i="6"/>
  <c r="D357" i="13" s="1"/>
  <c r="L79" i="6"/>
  <c r="D358" i="13" s="1"/>
  <c r="L80" i="6"/>
  <c r="D359" i="13" s="1"/>
  <c r="L81" i="6"/>
  <c r="D360" i="13" s="1"/>
  <c r="L82" i="6"/>
  <c r="D361" i="13" s="1"/>
  <c r="L83" i="6"/>
  <c r="D362" i="13" s="1"/>
  <c r="L84" i="6"/>
  <c r="D363" i="13" s="1"/>
  <c r="L85" i="6"/>
  <c r="D364" i="13" s="1"/>
  <c r="L86" i="6"/>
  <c r="D365" i="13" s="1"/>
  <c r="L87" i="6"/>
  <c r="D366" i="13" s="1"/>
  <c r="L88" i="6"/>
  <c r="D367" i="13" s="1"/>
  <c r="L89" i="6"/>
  <c r="D368" i="13" s="1"/>
  <c r="L90" i="6"/>
  <c r="D369" i="13" s="1"/>
  <c r="L91" i="6"/>
  <c r="D370" i="13" s="1"/>
  <c r="L92" i="6"/>
  <c r="D371" i="13" s="1"/>
  <c r="L93" i="6"/>
  <c r="D372" i="13" s="1"/>
  <c r="L94" i="6"/>
  <c r="D373" i="13" s="1"/>
  <c r="L95" i="6"/>
  <c r="D374" i="13" s="1"/>
  <c r="L96" i="6"/>
  <c r="D375" i="13" s="1"/>
  <c r="L97" i="6"/>
  <c r="D376" i="13" s="1"/>
  <c r="L98" i="6"/>
  <c r="D377" i="13" s="1"/>
  <c r="L99" i="6"/>
  <c r="D378" i="13" s="1"/>
  <c r="L100" i="6"/>
  <c r="D379" i="13" s="1"/>
  <c r="L101" i="6"/>
  <c r="D380" i="13" s="1"/>
  <c r="L102" i="6"/>
  <c r="D381" i="13" s="1"/>
  <c r="L103" i="6"/>
  <c r="D382" i="13" s="1"/>
  <c r="L104" i="6"/>
  <c r="D383" i="13" s="1"/>
  <c r="L105" i="6"/>
  <c r="D384" i="13" s="1"/>
  <c r="L106" i="6"/>
  <c r="D385" i="13" s="1"/>
  <c r="L107" i="6"/>
  <c r="D386" i="13" s="1"/>
  <c r="L108" i="6"/>
  <c r="D387" i="13" s="1"/>
  <c r="L109" i="6"/>
  <c r="D388" i="13" s="1"/>
  <c r="L110" i="6"/>
  <c r="D389" i="13" s="1"/>
  <c r="L111" i="6"/>
  <c r="D390" i="13" s="1"/>
  <c r="L112" i="6"/>
  <c r="D391" i="13" s="1"/>
  <c r="L113" i="6"/>
  <c r="D392" i="13" s="1"/>
  <c r="L114" i="6"/>
  <c r="D393" i="13" s="1"/>
  <c r="L115" i="6"/>
  <c r="D394" i="13" s="1"/>
  <c r="L116" i="6"/>
  <c r="D395" i="13" s="1"/>
  <c r="L117" i="6"/>
  <c r="D396" i="13" s="1"/>
  <c r="L118" i="6"/>
  <c r="D397" i="13" s="1"/>
  <c r="L119" i="6"/>
  <c r="D398" i="13" s="1"/>
  <c r="L120" i="6"/>
  <c r="D399" i="13" s="1"/>
  <c r="L121" i="6"/>
  <c r="D400" i="13" s="1"/>
  <c r="L122" i="6"/>
  <c r="D401" i="13" s="1"/>
  <c r="L123" i="6"/>
  <c r="D402" i="13" s="1"/>
  <c r="L124" i="6"/>
  <c r="D403" i="13" s="1"/>
  <c r="L125" i="6"/>
  <c r="D404" i="13" s="1"/>
  <c r="L126" i="6"/>
  <c r="D405" i="13" s="1"/>
  <c r="L127" i="6"/>
  <c r="D406" i="13" s="1"/>
  <c r="L128" i="6"/>
  <c r="D407" i="13" s="1"/>
  <c r="L129" i="6"/>
  <c r="L130" i="6"/>
  <c r="D409" i="13" s="1"/>
  <c r="L131" i="6"/>
  <c r="D410" i="13" s="1"/>
  <c r="L132" i="6"/>
  <c r="D411" i="13" s="1"/>
  <c r="L133" i="6"/>
  <c r="D412" i="13" s="1"/>
  <c r="L134" i="6"/>
  <c r="D413" i="13" s="1"/>
  <c r="L135" i="6"/>
  <c r="D414" i="13" s="1"/>
  <c r="L136" i="6"/>
  <c r="D415" i="13" s="1"/>
  <c r="L137" i="6"/>
  <c r="D416" i="13" s="1"/>
  <c r="L138" i="6"/>
  <c r="D417" i="13" s="1"/>
  <c r="L139" i="6"/>
  <c r="D418" i="13" s="1"/>
  <c r="L140" i="6"/>
  <c r="D419" i="13" s="1"/>
  <c r="L141" i="6"/>
  <c r="D420" i="13" s="1"/>
  <c r="L142" i="6"/>
  <c r="D421" i="13" s="1"/>
  <c r="L143" i="6"/>
  <c r="D422" i="13" s="1"/>
  <c r="L144" i="6"/>
  <c r="D423" i="13" s="1"/>
  <c r="L145" i="6"/>
  <c r="D424" i="13" s="1"/>
  <c r="L146" i="6"/>
  <c r="D425" i="13" s="1"/>
  <c r="L147" i="6"/>
  <c r="D426" i="13" s="1"/>
  <c r="L148" i="6"/>
  <c r="D427" i="13" s="1"/>
  <c r="L149" i="6"/>
  <c r="D428" i="13" s="1"/>
  <c r="L150" i="6"/>
  <c r="D429" i="13" s="1"/>
  <c r="L151" i="6"/>
  <c r="D430" i="13" s="1"/>
  <c r="L152" i="6"/>
  <c r="D431" i="13" s="1"/>
  <c r="L153" i="6"/>
  <c r="D432" i="13" s="1"/>
  <c r="L154" i="6"/>
  <c r="D433" i="13" s="1"/>
  <c r="L155" i="6"/>
  <c r="D434" i="13" s="1"/>
  <c r="L156" i="6"/>
  <c r="D435" i="13" s="1"/>
  <c r="L157" i="6"/>
  <c r="D436" i="13" s="1"/>
  <c r="L158" i="6"/>
  <c r="D437" i="13" s="1"/>
  <c r="L159" i="6"/>
  <c r="D438" i="13" s="1"/>
  <c r="L160" i="6"/>
  <c r="D439" i="13" s="1"/>
  <c r="L161" i="6"/>
  <c r="D440" i="13" s="1"/>
  <c r="L162" i="6"/>
  <c r="D441" i="13" s="1"/>
  <c r="L163" i="6"/>
  <c r="D442" i="13" s="1"/>
  <c r="L164" i="6"/>
  <c r="D443" i="13" s="1"/>
  <c r="L165" i="6"/>
  <c r="D444" i="13" s="1"/>
  <c r="L166" i="6"/>
  <c r="D445" i="13" s="1"/>
  <c r="L167" i="6"/>
  <c r="D446" i="13" s="1"/>
  <c r="L168" i="6"/>
  <c r="D447" i="13" s="1"/>
  <c r="L169" i="6"/>
  <c r="L170" i="6"/>
  <c r="D449" i="13" s="1"/>
  <c r="L171" i="6"/>
  <c r="L172" i="6"/>
  <c r="L173" i="6"/>
  <c r="D452" i="13" s="1"/>
  <c r="L174" i="6"/>
  <c r="D453" i="13" s="1"/>
  <c r="L175" i="6"/>
  <c r="D454" i="13" s="1"/>
  <c r="L176" i="6"/>
  <c r="D455" i="13" s="1"/>
  <c r="L177" i="6"/>
  <c r="D456" i="13" s="1"/>
  <c r="L178" i="6"/>
  <c r="D457" i="13" s="1"/>
  <c r="L179" i="6"/>
  <c r="D458" i="13" s="1"/>
  <c r="L180" i="6"/>
  <c r="D459" i="13" s="1"/>
  <c r="L181" i="6"/>
  <c r="D460" i="13" s="1"/>
  <c r="L182" i="6"/>
  <c r="D461" i="13" s="1"/>
  <c r="L183" i="6"/>
  <c r="D462" i="13" s="1"/>
  <c r="L184" i="6"/>
  <c r="D463" i="13" s="1"/>
  <c r="L185" i="6"/>
  <c r="D464" i="13" s="1"/>
  <c r="L186" i="6"/>
  <c r="D465" i="13" s="1"/>
  <c r="L187" i="6"/>
  <c r="D466" i="13" s="1"/>
  <c r="L188" i="6"/>
  <c r="D467" i="13" s="1"/>
  <c r="L189" i="6"/>
  <c r="D468" i="13" s="1"/>
  <c r="L190" i="6"/>
  <c r="D469" i="13" s="1"/>
  <c r="L191" i="6"/>
  <c r="D470" i="13" s="1"/>
  <c r="L192" i="6"/>
  <c r="D471" i="13" s="1"/>
  <c r="L193" i="6"/>
  <c r="D472" i="13" s="1"/>
  <c r="L194" i="6"/>
  <c r="D473" i="13" s="1"/>
  <c r="L195" i="6"/>
  <c r="D474" i="13" s="1"/>
  <c r="L196" i="6"/>
  <c r="D475" i="13" s="1"/>
  <c r="L197" i="6"/>
  <c r="D476" i="13" s="1"/>
  <c r="L198" i="6"/>
  <c r="D477" i="13" s="1"/>
  <c r="L199" i="6"/>
  <c r="D478" i="13" s="1"/>
  <c r="L200" i="6"/>
  <c r="D479" i="13" s="1"/>
  <c r="L201" i="6"/>
  <c r="D480" i="13" s="1"/>
  <c r="L202" i="6"/>
  <c r="D481" i="13" s="1"/>
  <c r="L203" i="6"/>
  <c r="D482" i="13" s="1"/>
  <c r="L204" i="6"/>
  <c r="D483" i="13" s="1"/>
  <c r="L205" i="6"/>
  <c r="D484" i="13" s="1"/>
  <c r="L206" i="6"/>
  <c r="D485" i="13" s="1"/>
  <c r="L207" i="6"/>
  <c r="D486" i="13" s="1"/>
  <c r="L208" i="6"/>
  <c r="D487" i="13" s="1"/>
  <c r="L209" i="6"/>
  <c r="D488" i="13" s="1"/>
  <c r="L210" i="6"/>
  <c r="D489" i="13" s="1"/>
  <c r="L211" i="6"/>
  <c r="D490" i="13" s="1"/>
  <c r="L212" i="6"/>
  <c r="D491" i="13" s="1"/>
  <c r="L213" i="6"/>
  <c r="D492" i="13" s="1"/>
  <c r="L214" i="6"/>
  <c r="D493" i="13" s="1"/>
  <c r="L215" i="6"/>
  <c r="D494" i="13" s="1"/>
  <c r="L216" i="6"/>
  <c r="D495" i="13" s="1"/>
  <c r="L217" i="6"/>
  <c r="D496" i="13" s="1"/>
  <c r="L218" i="6"/>
  <c r="D497" i="13" s="1"/>
  <c r="L219" i="6"/>
  <c r="D498" i="13" s="1"/>
  <c r="L220" i="6"/>
  <c r="D499" i="13" s="1"/>
  <c r="L221" i="6"/>
  <c r="D500" i="13" s="1"/>
  <c r="L222" i="6"/>
  <c r="D501" i="13" s="1"/>
  <c r="L223" i="6"/>
  <c r="D502" i="13" s="1"/>
  <c r="L224" i="6"/>
  <c r="D503" i="13" s="1"/>
  <c r="L225" i="6"/>
  <c r="D504" i="13" s="1"/>
  <c r="L226" i="6"/>
  <c r="D505" i="13" s="1"/>
  <c r="L227" i="6"/>
  <c r="D506" i="13" s="1"/>
  <c r="L228" i="6"/>
  <c r="D507" i="13" s="1"/>
  <c r="L229" i="6"/>
  <c r="D508" i="13" s="1"/>
  <c r="L230" i="6"/>
  <c r="D509" i="13" s="1"/>
  <c r="L231" i="6"/>
  <c r="D510" i="13" s="1"/>
  <c r="L232" i="6"/>
  <c r="D511" i="13" s="1"/>
  <c r="L233" i="6"/>
  <c r="D512" i="13" s="1"/>
  <c r="L234" i="6"/>
  <c r="D513" i="13" s="1"/>
  <c r="L235" i="6"/>
  <c r="D514" i="13" s="1"/>
  <c r="L236" i="6"/>
  <c r="D515" i="13" s="1"/>
  <c r="L237" i="6"/>
  <c r="D516" i="13" s="1"/>
  <c r="L238" i="6"/>
  <c r="D517" i="13" s="1"/>
  <c r="L239" i="6"/>
  <c r="D518" i="13" s="1"/>
  <c r="L240" i="6"/>
  <c r="D519" i="13" s="1"/>
  <c r="L241" i="6"/>
  <c r="D520" i="13" s="1"/>
  <c r="L242" i="6"/>
  <c r="D521" i="13" s="1"/>
  <c r="L243" i="6"/>
  <c r="D522" i="13" s="1"/>
  <c r="L244" i="6"/>
  <c r="D523" i="13" s="1"/>
  <c r="L245" i="6"/>
  <c r="D524" i="13" s="1"/>
  <c r="L246" i="6"/>
  <c r="D525" i="13" s="1"/>
  <c r="L247" i="6"/>
  <c r="D526" i="13" s="1"/>
  <c r="L248" i="6"/>
  <c r="D527" i="13" s="1"/>
  <c r="L249" i="6"/>
  <c r="D528" i="13" s="1"/>
  <c r="L250" i="6"/>
  <c r="D529" i="13" s="1"/>
  <c r="L251" i="6"/>
  <c r="D530" i="13" s="1"/>
  <c r="L252" i="6"/>
  <c r="D531" i="13" s="1"/>
  <c r="L253" i="6"/>
  <c r="D532" i="13" s="1"/>
  <c r="L254" i="6"/>
  <c r="L255" i="6"/>
  <c r="D534" i="13" s="1"/>
  <c r="L256" i="6"/>
  <c r="D535" i="13" s="1"/>
  <c r="L257" i="6"/>
  <c r="D536" i="13" s="1"/>
  <c r="L258" i="6"/>
  <c r="D537" i="13" s="1"/>
  <c r="L259" i="6"/>
  <c r="D538" i="13" s="1"/>
  <c r="L260" i="6"/>
  <c r="L261" i="6"/>
  <c r="D540" i="13" s="1"/>
  <c r="L262" i="6"/>
  <c r="D541" i="13" s="1"/>
  <c r="L263" i="6"/>
  <c r="D542" i="13" s="1"/>
  <c r="L264" i="6"/>
  <c r="D543" i="13" s="1"/>
  <c r="L265" i="6"/>
  <c r="D544" i="13" s="1"/>
  <c r="L266" i="6"/>
  <c r="D545" i="13" s="1"/>
  <c r="L267" i="6"/>
  <c r="D546" i="13" s="1"/>
  <c r="L268" i="6"/>
  <c r="D547" i="13" s="1"/>
  <c r="L269" i="6"/>
  <c r="D548" i="13" s="1"/>
  <c r="L270" i="6"/>
  <c r="D549" i="13" s="1"/>
  <c r="L271" i="6"/>
  <c r="D550" i="13" s="1"/>
  <c r="L272" i="6"/>
  <c r="D551" i="13" s="1"/>
  <c r="L273" i="6"/>
  <c r="D552" i="13" s="1"/>
  <c r="L274" i="6"/>
  <c r="D553" i="13" s="1"/>
  <c r="L275" i="6"/>
  <c r="D554" i="13" s="1"/>
  <c r="L276" i="6"/>
  <c r="D555" i="13" s="1"/>
  <c r="L277" i="6"/>
  <c r="D556" i="13" s="1"/>
  <c r="L278" i="6"/>
  <c r="D557" i="13" s="1"/>
  <c r="L279" i="6"/>
  <c r="D558" i="13" s="1"/>
  <c r="L280" i="6"/>
  <c r="D559" i="13" s="1"/>
  <c r="L281" i="6"/>
  <c r="D560" i="13" s="1"/>
  <c r="L282" i="6"/>
  <c r="D561" i="13" s="1"/>
  <c r="L283" i="6"/>
  <c r="D562" i="13" s="1"/>
  <c r="L284" i="6"/>
  <c r="D563" i="13" s="1"/>
  <c r="L285" i="6"/>
  <c r="D564" i="13" s="1"/>
  <c r="L286" i="6"/>
  <c r="D565" i="13" s="1"/>
  <c r="L287" i="6"/>
  <c r="D566" i="13" s="1"/>
  <c r="L288" i="6"/>
  <c r="D567" i="13" s="1"/>
  <c r="L289" i="6"/>
  <c r="D568" i="13" s="1"/>
  <c r="L290" i="6"/>
  <c r="D569" i="13" s="1"/>
  <c r="L291" i="6"/>
  <c r="D570" i="13" s="1"/>
  <c r="L292" i="6"/>
  <c r="D571" i="13" s="1"/>
  <c r="L293" i="6"/>
  <c r="D572" i="13" s="1"/>
  <c r="L294" i="6"/>
  <c r="D573" i="13" s="1"/>
  <c r="L295" i="6"/>
  <c r="D574" i="13" s="1"/>
  <c r="L296" i="6"/>
  <c r="D575" i="13" s="1"/>
  <c r="L297" i="6"/>
  <c r="D576" i="13" s="1"/>
  <c r="L298" i="6"/>
  <c r="D577" i="13" s="1"/>
  <c r="L299" i="6"/>
  <c r="D578" i="13" s="1"/>
  <c r="L300" i="6"/>
  <c r="D579" i="13" s="1"/>
  <c r="L301" i="6"/>
  <c r="D580" i="13" s="1"/>
  <c r="L302" i="6"/>
  <c r="D581" i="13" s="1"/>
  <c r="L303" i="6"/>
  <c r="D582" i="13" s="1"/>
  <c r="L304" i="6"/>
  <c r="D583" i="13" s="1"/>
  <c r="L305" i="6"/>
  <c r="D584" i="13" s="1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10" i="7"/>
  <c r="K9" i="7"/>
  <c r="K8" i="7"/>
  <c r="K7" i="7"/>
  <c r="K6" i="7"/>
  <c r="K5" i="7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B30" i="1" s="1"/>
  <c r="H30" i="1" s="1"/>
  <c r="K259" i="6"/>
  <c r="K258" i="6"/>
  <c r="K257" i="6"/>
  <c r="K256" i="6"/>
  <c r="K255" i="6"/>
  <c r="K254" i="6"/>
  <c r="B26" i="1" s="1"/>
  <c r="H26" i="1" s="1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B24" i="1" s="1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7" i="5"/>
  <c r="K6" i="5"/>
  <c r="K5" i="5"/>
  <c r="K10" i="5"/>
  <c r="K9" i="5"/>
  <c r="K8" i="5"/>
  <c r="K13" i="5"/>
  <c r="K12" i="5"/>
  <c r="K11" i="5"/>
  <c r="K16" i="5"/>
  <c r="K15" i="5"/>
  <c r="K14" i="5"/>
  <c r="K19" i="5"/>
  <c r="K18" i="5"/>
  <c r="K17" i="5"/>
  <c r="K22" i="5"/>
  <c r="K21" i="5"/>
  <c r="K20" i="5"/>
  <c r="K23" i="5"/>
  <c r="K26" i="5"/>
  <c r="K25" i="5"/>
  <c r="K24" i="5"/>
  <c r="K29" i="5"/>
  <c r="K28" i="5"/>
  <c r="K27" i="5"/>
  <c r="K32" i="5"/>
  <c r="K31" i="5"/>
  <c r="K30" i="5"/>
  <c r="K35" i="5"/>
  <c r="K34" i="5"/>
  <c r="K33" i="5"/>
  <c r="K38" i="5"/>
  <c r="K37" i="5"/>
  <c r="K36" i="5"/>
  <c r="K41" i="5"/>
  <c r="K40" i="5"/>
  <c r="K39" i="5"/>
  <c r="K44" i="5"/>
  <c r="K43" i="5"/>
  <c r="K42" i="5"/>
  <c r="K47" i="5"/>
  <c r="K46" i="5"/>
  <c r="K45" i="5"/>
  <c r="K50" i="5"/>
  <c r="K49" i="5"/>
  <c r="K48" i="5"/>
  <c r="K53" i="5"/>
  <c r="K52" i="5"/>
  <c r="K51" i="5"/>
  <c r="K56" i="5"/>
  <c r="K55" i="5"/>
  <c r="K54" i="5"/>
  <c r="K59" i="5"/>
  <c r="K58" i="5"/>
  <c r="K57" i="5"/>
  <c r="K60" i="5"/>
  <c r="K63" i="5"/>
  <c r="K62" i="5"/>
  <c r="K61" i="5"/>
  <c r="K66" i="5"/>
  <c r="K65" i="5"/>
  <c r="K64" i="5"/>
  <c r="K69" i="5"/>
  <c r="K68" i="5"/>
  <c r="K67" i="5"/>
  <c r="K72" i="5"/>
  <c r="K71" i="5"/>
  <c r="K70" i="5"/>
  <c r="K75" i="5"/>
  <c r="K74" i="5"/>
  <c r="K73" i="5"/>
  <c r="K78" i="5"/>
  <c r="K77" i="5"/>
  <c r="K76" i="5"/>
  <c r="K81" i="5"/>
  <c r="K80" i="5"/>
  <c r="K79" i="5"/>
  <c r="K84" i="5"/>
  <c r="K83" i="5"/>
  <c r="K82" i="5"/>
  <c r="K87" i="5"/>
  <c r="K86" i="5"/>
  <c r="K85" i="5"/>
  <c r="K90" i="5"/>
  <c r="K89" i="5"/>
  <c r="K88" i="5"/>
  <c r="K93" i="5"/>
  <c r="K92" i="5"/>
  <c r="K91" i="5"/>
  <c r="K96" i="5"/>
  <c r="K95" i="5"/>
  <c r="K94" i="5"/>
  <c r="K99" i="5"/>
  <c r="K98" i="5"/>
  <c r="K97" i="5"/>
  <c r="K102" i="5"/>
  <c r="K101" i="5"/>
  <c r="K100" i="5"/>
  <c r="K105" i="5"/>
  <c r="K104" i="5"/>
  <c r="K103" i="5"/>
  <c r="K108" i="5"/>
  <c r="K107" i="5"/>
  <c r="K106" i="5"/>
  <c r="K111" i="5"/>
  <c r="K110" i="5"/>
  <c r="K109" i="5"/>
  <c r="K114" i="5"/>
  <c r="K113" i="5"/>
  <c r="K112" i="5"/>
  <c r="K117" i="5"/>
  <c r="K116" i="5"/>
  <c r="K115" i="5"/>
  <c r="K120" i="5"/>
  <c r="K119" i="5"/>
  <c r="K118" i="5"/>
  <c r="K123" i="5"/>
  <c r="K122" i="5"/>
  <c r="K121" i="5"/>
  <c r="K126" i="5"/>
  <c r="K125" i="5"/>
  <c r="K124" i="5"/>
  <c r="K129" i="5"/>
  <c r="K128" i="5"/>
  <c r="K127" i="5"/>
  <c r="K132" i="5"/>
  <c r="K131" i="5"/>
  <c r="K130" i="5"/>
  <c r="K135" i="5"/>
  <c r="K134" i="5"/>
  <c r="K133" i="5"/>
  <c r="K138" i="5"/>
  <c r="K137" i="5"/>
  <c r="K136" i="5"/>
  <c r="K141" i="5"/>
  <c r="K140" i="5"/>
  <c r="K139" i="5"/>
  <c r="K144" i="5"/>
  <c r="K143" i="5"/>
  <c r="K142" i="5"/>
  <c r="K147" i="5"/>
  <c r="K146" i="5"/>
  <c r="K145" i="5"/>
  <c r="K150" i="5"/>
  <c r="K149" i="5"/>
  <c r="K148" i="5"/>
  <c r="K153" i="5"/>
  <c r="K152" i="5"/>
  <c r="K151" i="5"/>
  <c r="K156" i="5"/>
  <c r="K155" i="5"/>
  <c r="K154" i="5"/>
  <c r="K159" i="5"/>
  <c r="K158" i="5"/>
  <c r="K157" i="5"/>
  <c r="K162" i="5"/>
  <c r="K161" i="5"/>
  <c r="K160" i="5"/>
  <c r="K165" i="5"/>
  <c r="K164" i="5"/>
  <c r="K163" i="5"/>
  <c r="K168" i="5"/>
  <c r="K167" i="5"/>
  <c r="K166" i="5"/>
  <c r="K171" i="5"/>
  <c r="K170" i="5"/>
  <c r="K169" i="5"/>
  <c r="K174" i="5"/>
  <c r="K173" i="5"/>
  <c r="K172" i="5"/>
  <c r="K177" i="5"/>
  <c r="K176" i="5"/>
  <c r="K175" i="5"/>
  <c r="K180" i="5"/>
  <c r="K179" i="5"/>
  <c r="K178" i="5"/>
  <c r="K183" i="5"/>
  <c r="K182" i="5"/>
  <c r="K181" i="5"/>
  <c r="K186" i="5"/>
  <c r="K185" i="5"/>
  <c r="K184" i="5"/>
  <c r="K106" i="4"/>
  <c r="K105" i="4"/>
  <c r="K104" i="4"/>
  <c r="K103" i="4"/>
  <c r="K102" i="4"/>
  <c r="K101" i="4"/>
  <c r="B37" i="1" s="1"/>
  <c r="H37" i="1" s="1"/>
  <c r="K100" i="4"/>
  <c r="B34" i="1" s="1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B14" i="1" s="1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B33" i="1"/>
  <c r="B29" i="1"/>
  <c r="H29" i="1" s="1"/>
  <c r="B28" i="1"/>
  <c r="H28" i="1" s="1"/>
  <c r="B23" i="1"/>
  <c r="B22" i="1"/>
  <c r="B15" i="1"/>
  <c r="B11" i="1"/>
  <c r="H11" i="1" s="1"/>
  <c r="B18" i="1" l="1"/>
  <c r="H18" i="1" s="1"/>
  <c r="B16" i="1"/>
  <c r="B19" i="1"/>
  <c r="H19" i="1" s="1"/>
  <c r="D84" i="1"/>
  <c r="D85" i="1"/>
  <c r="D83" i="1"/>
  <c r="D86" i="1"/>
  <c r="D82" i="1"/>
  <c r="D81" i="1"/>
  <c r="D591" i="13"/>
  <c r="D596" i="13"/>
  <c r="B41" i="1"/>
  <c r="D41" i="1" s="1"/>
  <c r="D274" i="13"/>
  <c r="D250" i="13"/>
  <c r="D202" i="13"/>
  <c r="D280" i="13"/>
  <c r="D264" i="13"/>
  <c r="D256" i="13"/>
  <c r="D240" i="13"/>
  <c r="D232" i="13"/>
  <c r="D216" i="13"/>
  <c r="D208" i="13"/>
  <c r="D207" i="13"/>
  <c r="D278" i="13"/>
  <c r="D254" i="13"/>
  <c r="D230" i="13"/>
  <c r="D206" i="13"/>
  <c r="D263" i="13"/>
  <c r="D239" i="13"/>
  <c r="D215" i="13"/>
  <c r="D199" i="13"/>
  <c r="D270" i="13"/>
  <c r="D246" i="13"/>
  <c r="D198" i="13"/>
  <c r="D205" i="13"/>
  <c r="D197" i="13"/>
  <c r="D260" i="13"/>
  <c r="D236" i="13"/>
  <c r="D212" i="13"/>
  <c r="D211" i="13"/>
  <c r="D273" i="13"/>
  <c r="D249" i="13"/>
  <c r="D201" i="13"/>
  <c r="D55" i="1"/>
  <c r="D59" i="13"/>
  <c r="D51" i="13"/>
  <c r="D43" i="13"/>
  <c r="D36" i="13"/>
  <c r="D28" i="13"/>
  <c r="D20" i="13"/>
  <c r="D12" i="13"/>
  <c r="D4" i="13"/>
  <c r="D53" i="1"/>
  <c r="D62" i="13"/>
  <c r="D54" i="13"/>
  <c r="D46" i="13"/>
  <c r="D38" i="13"/>
  <c r="D30" i="13"/>
  <c r="D22" i="13"/>
  <c r="D14" i="13"/>
  <c r="D6" i="13"/>
  <c r="D3" i="13"/>
  <c r="D96" i="13"/>
  <c r="D64" i="13"/>
  <c r="D32" i="13"/>
  <c r="D8" i="13"/>
  <c r="D95" i="13"/>
  <c r="D54" i="1"/>
  <c r="D79" i="13"/>
  <c r="D71" i="13"/>
  <c r="D55" i="13"/>
  <c r="D47" i="13"/>
  <c r="D39" i="13"/>
  <c r="D31" i="13"/>
  <c r="D23" i="13"/>
  <c r="D15" i="13"/>
  <c r="D7" i="13"/>
  <c r="D94" i="13"/>
  <c r="D86" i="13"/>
  <c r="D78" i="13"/>
  <c r="D70" i="13"/>
  <c r="D88" i="13"/>
  <c r="D56" i="13"/>
  <c r="D40" i="13"/>
  <c r="D24" i="13"/>
  <c r="B27" i="1"/>
  <c r="D27" i="1" s="1"/>
  <c r="D101" i="13"/>
  <c r="D93" i="13"/>
  <c r="D85" i="13"/>
  <c r="D77" i="13"/>
  <c r="D69" i="13"/>
  <c r="D61" i="13"/>
  <c r="D37" i="13"/>
  <c r="D21" i="13"/>
  <c r="D13" i="13"/>
  <c r="D57" i="1"/>
  <c r="D48" i="13"/>
  <c r="D16" i="13"/>
  <c r="D92" i="13"/>
  <c r="D84" i="13"/>
  <c r="D76" i="13"/>
  <c r="D68" i="13"/>
  <c r="D60" i="13"/>
  <c r="D52" i="13"/>
  <c r="D44" i="13"/>
  <c r="D99" i="13"/>
  <c r="D35" i="13"/>
  <c r="D80" i="13"/>
  <c r="D50" i="1"/>
  <c r="D47" i="1"/>
  <c r="D91" i="13"/>
  <c r="D27" i="13"/>
  <c r="D10" i="13"/>
  <c r="D83" i="13"/>
  <c r="D19" i="13"/>
  <c r="E54" i="1"/>
  <c r="H54" i="1" s="1"/>
  <c r="D98" i="13"/>
  <c r="D66" i="13"/>
  <c r="D58" i="13"/>
  <c r="E52" i="1"/>
  <c r="H52" i="1" s="1"/>
  <c r="D87" i="13"/>
  <c r="D63" i="13"/>
  <c r="D51" i="1"/>
  <c r="E55" i="1"/>
  <c r="H55" i="1" s="1"/>
  <c r="D100" i="13"/>
  <c r="D97" i="13"/>
  <c r="E57" i="1"/>
  <c r="H57" i="1" s="1"/>
  <c r="D72" i="13"/>
  <c r="E51" i="1"/>
  <c r="H51" i="1" s="1"/>
  <c r="E53" i="1"/>
  <c r="H53" i="1" s="1"/>
  <c r="E38" i="1"/>
  <c r="D158" i="13"/>
  <c r="D161" i="13"/>
  <c r="D163" i="13"/>
  <c r="D193" i="13"/>
  <c r="D154" i="13"/>
  <c r="D162" i="13"/>
  <c r="D166" i="13"/>
  <c r="D188" i="13"/>
  <c r="D157" i="13"/>
  <c r="D165" i="13"/>
  <c r="D159" i="13"/>
  <c r="D160" i="13"/>
  <c r="D111" i="13"/>
  <c r="D123" i="13"/>
  <c r="D130" i="13"/>
  <c r="D138" i="13"/>
  <c r="D146" i="13"/>
  <c r="D155" i="13"/>
  <c r="D172" i="13"/>
  <c r="D181" i="13"/>
  <c r="D190" i="13"/>
  <c r="D106" i="13"/>
  <c r="D110" i="13"/>
  <c r="D118" i="13"/>
  <c r="D127" i="13"/>
  <c r="D136" i="13"/>
  <c r="D145" i="13"/>
  <c r="D164" i="13"/>
  <c r="D173" i="13"/>
  <c r="D183" i="13"/>
  <c r="D105" i="13"/>
  <c r="D119" i="13"/>
  <c r="D125" i="13"/>
  <c r="D134" i="13"/>
  <c r="D141" i="13"/>
  <c r="D150" i="13"/>
  <c r="D167" i="13"/>
  <c r="D176" i="13"/>
  <c r="D184" i="13"/>
  <c r="D192" i="13"/>
  <c r="D107" i="13"/>
  <c r="D109" i="13"/>
  <c r="D117" i="13"/>
  <c r="D121" i="13"/>
  <c r="D124" i="13"/>
  <c r="D128" i="13"/>
  <c r="D131" i="13"/>
  <c r="D135" i="13"/>
  <c r="D139" i="13"/>
  <c r="D144" i="13"/>
  <c r="D148" i="13"/>
  <c r="D153" i="13"/>
  <c r="D170" i="13"/>
  <c r="D174" i="13"/>
  <c r="D178" i="13"/>
  <c r="D182" i="13"/>
  <c r="D191" i="13"/>
  <c r="D108" i="13"/>
  <c r="D113" i="13"/>
  <c r="D116" i="13"/>
  <c r="D120" i="13"/>
  <c r="D122" i="13"/>
  <c r="D126" i="13"/>
  <c r="D129" i="13"/>
  <c r="D132" i="13"/>
  <c r="D137" i="13"/>
  <c r="D140" i="13"/>
  <c r="D143" i="13"/>
  <c r="D147" i="13"/>
  <c r="D152" i="13"/>
  <c r="D156" i="13"/>
  <c r="D171" i="13"/>
  <c r="D175" i="13"/>
  <c r="D180" i="13"/>
  <c r="D185" i="13"/>
  <c r="D189" i="13"/>
  <c r="D195" i="13"/>
  <c r="D114" i="13"/>
  <c r="D149" i="13"/>
  <c r="D168" i="13"/>
  <c r="D177" i="13"/>
  <c r="D186" i="13"/>
  <c r="D112" i="13"/>
  <c r="D133" i="13"/>
  <c r="D142" i="13"/>
  <c r="D151" i="13"/>
  <c r="D169" i="13"/>
  <c r="D179" i="13"/>
  <c r="D220" i="13"/>
  <c r="D221" i="13"/>
  <c r="D222" i="13"/>
  <c r="D223" i="13"/>
  <c r="D224" i="13"/>
  <c r="D225" i="13"/>
  <c r="D226" i="13"/>
  <c r="D227" i="13"/>
  <c r="D228" i="13"/>
  <c r="D229" i="13"/>
  <c r="D200" i="13"/>
  <c r="D187" i="13"/>
  <c r="E75" i="1"/>
  <c r="E68" i="1"/>
  <c r="D63" i="1"/>
  <c r="E76" i="1"/>
  <c r="E73" i="1"/>
  <c r="D73" i="1"/>
  <c r="D65" i="1"/>
  <c r="D66" i="1"/>
  <c r="D75" i="1"/>
  <c r="D72" i="1"/>
  <c r="D74" i="1"/>
  <c r="D76" i="1"/>
  <c r="D68" i="1"/>
  <c r="D408" i="13"/>
  <c r="D67" i="1"/>
  <c r="D448" i="13"/>
  <c r="D64" i="1"/>
  <c r="D450" i="13"/>
  <c r="D71" i="1"/>
  <c r="D451" i="13"/>
  <c r="D69" i="1"/>
  <c r="D533" i="13"/>
  <c r="D70" i="1"/>
  <c r="D539" i="13"/>
  <c r="B87" i="1"/>
  <c r="D62" i="1"/>
  <c r="D102" i="13"/>
  <c r="D103" i="13"/>
  <c r="D59" i="1"/>
  <c r="D61" i="1"/>
  <c r="D104" i="13"/>
  <c r="D58" i="1"/>
  <c r="D115" i="13"/>
  <c r="D60" i="1"/>
  <c r="D265" i="13"/>
  <c r="E33" i="1"/>
  <c r="F33" i="1" s="1"/>
  <c r="E25" i="1"/>
  <c r="C16" i="1"/>
  <c r="D16" i="1" s="1"/>
  <c r="H16" i="1"/>
  <c r="C24" i="1"/>
  <c r="H24" i="1"/>
  <c r="D34" i="1"/>
  <c r="H34" i="1"/>
  <c r="D33" i="1"/>
  <c r="H33" i="1"/>
  <c r="C23" i="1"/>
  <c r="D23" i="1" s="1"/>
  <c r="H23" i="1"/>
  <c r="C22" i="1"/>
  <c r="D22" i="1" s="1"/>
  <c r="H22" i="1"/>
  <c r="C15" i="1"/>
  <c r="D15" i="1" s="1"/>
  <c r="H15" i="1"/>
  <c r="C14" i="1"/>
  <c r="D14" i="1" s="1"/>
  <c r="H14" i="1"/>
  <c r="E15" i="1"/>
  <c r="F15" i="1" s="1"/>
  <c r="E82" i="1"/>
  <c r="H82" i="1" s="1"/>
  <c r="E39" i="1"/>
  <c r="E74" i="1"/>
  <c r="H74" i="1" s="1"/>
  <c r="E37" i="1"/>
  <c r="F37" i="1" s="1"/>
  <c r="E56" i="1"/>
  <c r="H56" i="1" s="1"/>
  <c r="E62" i="1"/>
  <c r="H62" i="1" s="1"/>
  <c r="E80" i="1"/>
  <c r="E72" i="1"/>
  <c r="H72" i="1" s="1"/>
  <c r="E31" i="1"/>
  <c r="E71" i="1"/>
  <c r="H71" i="1" s="1"/>
  <c r="E30" i="1"/>
  <c r="F30" i="1" s="1"/>
  <c r="E70" i="1"/>
  <c r="H70" i="1" s="1"/>
  <c r="E29" i="1"/>
  <c r="F29" i="1" s="1"/>
  <c r="E61" i="1"/>
  <c r="H61" i="1" s="1"/>
  <c r="E60" i="1"/>
  <c r="H60" i="1" s="1"/>
  <c r="E28" i="1"/>
  <c r="F28" i="1" s="1"/>
  <c r="E26" i="1"/>
  <c r="F26" i="1" s="1"/>
  <c r="E69" i="1"/>
  <c r="H69" i="1" s="1"/>
  <c r="E23" i="1"/>
  <c r="F23" i="1" s="1"/>
  <c r="E79" i="1"/>
  <c r="H79" i="1" s="1"/>
  <c r="E22" i="1"/>
  <c r="F22" i="1" s="1"/>
  <c r="E86" i="1"/>
  <c r="E21" i="1"/>
  <c r="E67" i="1"/>
  <c r="H67" i="1" s="1"/>
  <c r="E20" i="1"/>
  <c r="E66" i="1"/>
  <c r="H66" i="1" s="1"/>
  <c r="E19" i="1"/>
  <c r="F19" i="1" s="1"/>
  <c r="E85" i="1"/>
  <c r="E18" i="1"/>
  <c r="F18" i="1" s="1"/>
  <c r="E84" i="1"/>
  <c r="H84" i="1" s="1"/>
  <c r="E17" i="1"/>
  <c r="E50" i="1"/>
  <c r="H50" i="1" s="1"/>
  <c r="E78" i="1"/>
  <c r="H78" i="1" s="1"/>
  <c r="E16" i="1"/>
  <c r="F16" i="1" s="1"/>
  <c r="E83" i="1"/>
  <c r="H83" i="1" s="1"/>
  <c r="E14" i="1"/>
  <c r="F14" i="1" s="1"/>
  <c r="E49" i="1"/>
  <c r="H49" i="1" s="1"/>
  <c r="E13" i="1"/>
  <c r="E48" i="1"/>
  <c r="H48" i="1" s="1"/>
  <c r="E65" i="1"/>
  <c r="H65" i="1" s="1"/>
  <c r="E12" i="1"/>
  <c r="E64" i="1"/>
  <c r="H64" i="1" s="1"/>
  <c r="E11" i="1"/>
  <c r="F11" i="1" s="1"/>
  <c r="E59" i="1"/>
  <c r="H59" i="1" s="1"/>
  <c r="I57" i="1" a="1"/>
  <c r="I57" i="1" s="1"/>
  <c r="F57" i="1"/>
  <c r="G55" i="1"/>
  <c r="J55" i="1"/>
  <c r="J54" i="1"/>
  <c r="F54" i="1"/>
  <c r="G53" i="1"/>
  <c r="J52" i="1"/>
  <c r="F52" i="1"/>
  <c r="I51" i="1" a="1"/>
  <c r="I51" i="1" s="1"/>
  <c r="C11" i="1"/>
  <c r="C19" i="1"/>
  <c r="D19" i="1" s="1"/>
  <c r="B35" i="1"/>
  <c r="H35" i="1" s="1"/>
  <c r="C33" i="1"/>
  <c r="D24" i="1"/>
  <c r="C18" i="1"/>
  <c r="D18" i="1" s="1"/>
  <c r="C26" i="1"/>
  <c r="D26" i="1" s="1"/>
  <c r="C34" i="1"/>
  <c r="C28" i="1"/>
  <c r="D28" i="1" s="1"/>
  <c r="C29" i="1"/>
  <c r="D29" i="1" s="1"/>
  <c r="C37" i="1"/>
  <c r="D37" i="1" s="1"/>
  <c r="C30" i="1"/>
  <c r="D30" i="1" s="1"/>
  <c r="B20" i="1"/>
  <c r="H20" i="1" s="1"/>
  <c r="B31" i="1"/>
  <c r="H31" i="1" s="1"/>
  <c r="B40" i="1"/>
  <c r="B25" i="1"/>
  <c r="H25" i="1" s="1"/>
  <c r="B36" i="1"/>
  <c r="H36" i="1" s="1"/>
  <c r="B17" i="1"/>
  <c r="H17" i="1" s="1"/>
  <c r="B38" i="1"/>
  <c r="H38" i="1" s="1"/>
  <c r="B32" i="1"/>
  <c r="H32" i="1" s="1"/>
  <c r="B13" i="1"/>
  <c r="B21" i="1"/>
  <c r="H21" i="1" s="1"/>
  <c r="B12" i="1"/>
  <c r="H12" i="1" s="1"/>
  <c r="B39" i="1"/>
  <c r="H39" i="1" s="1"/>
  <c r="J34" i="1"/>
  <c r="J33" i="1"/>
  <c r="J24" i="1"/>
  <c r="G54" i="1" l="1"/>
  <c r="C41" i="1"/>
  <c r="J41" i="1"/>
  <c r="H41" i="1"/>
  <c r="J27" i="1"/>
  <c r="I54" i="1" a="1"/>
  <c r="I54" i="1" s="1"/>
  <c r="F51" i="1"/>
  <c r="F53" i="1"/>
  <c r="J53" i="1"/>
  <c r="I53" i="1" a="1"/>
  <c r="I53" i="1" s="1"/>
  <c r="I52" i="1" a="1"/>
  <c r="I52" i="1" s="1"/>
  <c r="G52" i="1"/>
  <c r="C27" i="1"/>
  <c r="F55" i="1"/>
  <c r="H27" i="1"/>
  <c r="I55" i="1" a="1"/>
  <c r="I55" i="1" s="1"/>
  <c r="F73" i="1"/>
  <c r="F75" i="1"/>
  <c r="F76" i="1"/>
  <c r="F68" i="1"/>
  <c r="H75" i="1"/>
  <c r="I75" i="1" a="1"/>
  <c r="I75" i="1" s="1"/>
  <c r="J75" i="1"/>
  <c r="G75" i="1"/>
  <c r="H68" i="1"/>
  <c r="G68" i="1"/>
  <c r="J68" i="1"/>
  <c r="I68" i="1" a="1"/>
  <c r="I68" i="1" s="1"/>
  <c r="D87" i="1"/>
  <c r="H76" i="1"/>
  <c r="I76" i="1" a="1"/>
  <c r="I76" i="1" s="1"/>
  <c r="G76" i="1"/>
  <c r="J76" i="1"/>
  <c r="H73" i="1"/>
  <c r="I73" i="1" a="1"/>
  <c r="I73" i="1" s="1"/>
  <c r="G73" i="1"/>
  <c r="J73" i="1"/>
  <c r="H86" i="1"/>
  <c r="I86" i="1" a="1"/>
  <c r="I86" i="1" s="1"/>
  <c r="H85" i="1"/>
  <c r="I85" i="1" a="1"/>
  <c r="I85" i="1" s="1"/>
  <c r="F85" i="1"/>
  <c r="F86" i="1"/>
  <c r="G86" i="1" s="1"/>
  <c r="F80" i="1"/>
  <c r="G80" i="1" s="1"/>
  <c r="H80" i="1"/>
  <c r="D11" i="1"/>
  <c r="J40" i="1"/>
  <c r="H40" i="1"/>
  <c r="C13" i="1"/>
  <c r="D13" i="1" s="1"/>
  <c r="H13" i="1"/>
  <c r="I84" i="1" a="1"/>
  <c r="I84" i="1" s="1"/>
  <c r="F84" i="1"/>
  <c r="I83" i="1" a="1"/>
  <c r="I83" i="1" s="1"/>
  <c r="F83" i="1"/>
  <c r="F20" i="1"/>
  <c r="F31" i="1"/>
  <c r="I82" i="1" a="1"/>
  <c r="I82" i="1" s="1"/>
  <c r="F82" i="1"/>
  <c r="F74" i="1"/>
  <c r="I74" i="1" a="1"/>
  <c r="I74" i="1" s="1"/>
  <c r="F56" i="1"/>
  <c r="J56" i="1" s="1"/>
  <c r="I56" i="1" a="1"/>
  <c r="I56" i="1" s="1"/>
  <c r="I62" i="1" a="1"/>
  <c r="I62" i="1" s="1"/>
  <c r="F62" i="1"/>
  <c r="I80" i="1" a="1"/>
  <c r="I80" i="1" s="1"/>
  <c r="F72" i="1"/>
  <c r="I72" i="1" a="1"/>
  <c r="I72" i="1" s="1"/>
  <c r="I71" i="1" a="1"/>
  <c r="I71" i="1" s="1"/>
  <c r="F71" i="1"/>
  <c r="F70" i="1"/>
  <c r="I70" i="1" a="1"/>
  <c r="I70" i="1" s="1"/>
  <c r="F61" i="1"/>
  <c r="G61" i="1" s="1"/>
  <c r="I61" i="1" a="1"/>
  <c r="I61" i="1" s="1"/>
  <c r="F60" i="1"/>
  <c r="I60" i="1" a="1"/>
  <c r="I60" i="1" s="1"/>
  <c r="F69" i="1"/>
  <c r="I69" i="1" a="1"/>
  <c r="I69" i="1" s="1"/>
  <c r="F79" i="1"/>
  <c r="I79" i="1" a="1"/>
  <c r="I79" i="1" s="1"/>
  <c r="F67" i="1"/>
  <c r="I67" i="1" a="1"/>
  <c r="I67" i="1" s="1"/>
  <c r="I66" i="1" a="1"/>
  <c r="I66" i="1" s="1"/>
  <c r="F66" i="1"/>
  <c r="I50" i="1" a="1"/>
  <c r="I50" i="1" s="1"/>
  <c r="F50" i="1"/>
  <c r="I78" i="1" a="1"/>
  <c r="I78" i="1" s="1"/>
  <c r="F78" i="1"/>
  <c r="I49" i="1" a="1"/>
  <c r="I49" i="1" s="1"/>
  <c r="F49" i="1"/>
  <c r="F48" i="1"/>
  <c r="I48" i="1" a="1"/>
  <c r="I48" i="1" s="1"/>
  <c r="F65" i="1"/>
  <c r="I65" i="1" a="1"/>
  <c r="I65" i="1" s="1"/>
  <c r="F64" i="1"/>
  <c r="I64" i="1" a="1"/>
  <c r="I64" i="1" s="1"/>
  <c r="I59" i="1" a="1"/>
  <c r="I59" i="1" s="1"/>
  <c r="F59" i="1"/>
  <c r="G51" i="1"/>
  <c r="J51" i="1"/>
  <c r="J57" i="1"/>
  <c r="G57" i="1"/>
  <c r="G37" i="1"/>
  <c r="K37" i="1" a="1"/>
  <c r="K37" i="1" s="1"/>
  <c r="G33" i="1"/>
  <c r="I33" i="1" s="1"/>
  <c r="K33" i="1" a="1"/>
  <c r="K33" i="1" s="1"/>
  <c r="G30" i="1"/>
  <c r="K30" i="1" a="1"/>
  <c r="K30" i="1" s="1"/>
  <c r="G29" i="1"/>
  <c r="K29" i="1" a="1"/>
  <c r="K29" i="1" s="1"/>
  <c r="G28" i="1"/>
  <c r="K28" i="1" a="1"/>
  <c r="K28" i="1" s="1"/>
  <c r="G26" i="1"/>
  <c r="K26" i="1" a="1"/>
  <c r="K26" i="1" s="1"/>
  <c r="G23" i="1"/>
  <c r="K23" i="1" a="1"/>
  <c r="K23" i="1" s="1"/>
  <c r="G22" i="1"/>
  <c r="K22" i="1" a="1"/>
  <c r="K22" i="1" s="1"/>
  <c r="G19" i="1"/>
  <c r="K19" i="1" a="1"/>
  <c r="K19" i="1" s="1"/>
  <c r="G18" i="1"/>
  <c r="K18" i="1" a="1"/>
  <c r="K18" i="1" s="1"/>
  <c r="G16" i="1"/>
  <c r="K16" i="1" a="1"/>
  <c r="K16" i="1" s="1"/>
  <c r="G15" i="1"/>
  <c r="I15" i="1" s="1"/>
  <c r="K15" i="1" a="1"/>
  <c r="K15" i="1" s="1"/>
  <c r="G14" i="1"/>
  <c r="K14" i="1" a="1"/>
  <c r="K14" i="1" s="1"/>
  <c r="G11" i="1"/>
  <c r="K11" i="1" a="1"/>
  <c r="K11" i="1" s="1"/>
  <c r="D35" i="1"/>
  <c r="C35" i="1"/>
  <c r="J35" i="1"/>
  <c r="F21" i="1"/>
  <c r="C21" i="1"/>
  <c r="D21" i="1" s="1"/>
  <c r="C40" i="1"/>
  <c r="D40" i="1"/>
  <c r="F32" i="1"/>
  <c r="C32" i="1"/>
  <c r="D32" i="1" s="1"/>
  <c r="C31" i="1"/>
  <c r="D31" i="1" s="1"/>
  <c r="C20" i="1"/>
  <c r="C38" i="1"/>
  <c r="D38" i="1" s="1"/>
  <c r="C17" i="1"/>
  <c r="C39" i="1"/>
  <c r="D39" i="1" s="1"/>
  <c r="J36" i="1"/>
  <c r="D36" i="1"/>
  <c r="C36" i="1"/>
  <c r="C12" i="1"/>
  <c r="F25" i="1"/>
  <c r="C25" i="1"/>
  <c r="D25" i="1" s="1"/>
  <c r="F38" i="1"/>
  <c r="F17" i="1"/>
  <c r="F12" i="1"/>
  <c r="F13" i="1"/>
  <c r="F39" i="1"/>
  <c r="J6" i="1"/>
  <c r="J86" i="1" l="1"/>
  <c r="G84" i="1"/>
  <c r="J84" i="1"/>
  <c r="G65" i="1"/>
  <c r="J65" i="1"/>
  <c r="G85" i="1"/>
  <c r="J85" i="1"/>
  <c r="J61" i="1"/>
  <c r="J80" i="1"/>
  <c r="G56" i="1"/>
  <c r="I11" i="1"/>
  <c r="D12" i="1"/>
  <c r="C42" i="1"/>
  <c r="J74" i="1"/>
  <c r="G74" i="1"/>
  <c r="G83" i="1"/>
  <c r="J83" i="1"/>
  <c r="G82" i="1"/>
  <c r="J82" i="1"/>
  <c r="G20" i="1"/>
  <c r="K20" i="1" a="1"/>
  <c r="K20" i="1" s="1"/>
  <c r="G31" i="1"/>
  <c r="K31" i="1" a="1"/>
  <c r="K31" i="1" s="1"/>
  <c r="G72" i="1"/>
  <c r="J72" i="1"/>
  <c r="G48" i="1"/>
  <c r="J48" i="1"/>
  <c r="G62" i="1"/>
  <c r="J62" i="1"/>
  <c r="J71" i="1"/>
  <c r="G71" i="1"/>
  <c r="J70" i="1"/>
  <c r="G70" i="1"/>
  <c r="G60" i="1"/>
  <c r="J60" i="1"/>
  <c r="G69" i="1"/>
  <c r="J69" i="1"/>
  <c r="G79" i="1"/>
  <c r="J79" i="1"/>
  <c r="G67" i="1"/>
  <c r="J67" i="1"/>
  <c r="J66" i="1"/>
  <c r="G66" i="1"/>
  <c r="G50" i="1"/>
  <c r="J50" i="1"/>
  <c r="J78" i="1"/>
  <c r="G78" i="1"/>
  <c r="J49" i="1"/>
  <c r="G49" i="1"/>
  <c r="G64" i="1"/>
  <c r="J64" i="1"/>
  <c r="J59" i="1"/>
  <c r="G59" i="1"/>
  <c r="I37" i="1"/>
  <c r="J37" i="1"/>
  <c r="I30" i="1"/>
  <c r="J30" i="1"/>
  <c r="I29" i="1"/>
  <c r="J29" i="1"/>
  <c r="I28" i="1"/>
  <c r="J28" i="1"/>
  <c r="I26" i="1"/>
  <c r="J26" i="1"/>
  <c r="I23" i="1"/>
  <c r="J23" i="1"/>
  <c r="I22" i="1"/>
  <c r="J22" i="1"/>
  <c r="I19" i="1"/>
  <c r="J19" i="1"/>
  <c r="I18" i="1"/>
  <c r="J18" i="1"/>
  <c r="I16" i="1"/>
  <c r="J16" i="1"/>
  <c r="I14" i="1"/>
  <c r="J14" i="1"/>
  <c r="G21" i="1"/>
  <c r="K21" i="1" a="1"/>
  <c r="K21" i="1" s="1"/>
  <c r="G32" i="1"/>
  <c r="K32" i="1" a="1"/>
  <c r="K32" i="1" s="1"/>
  <c r="G25" i="1"/>
  <c r="K25" i="1" a="1"/>
  <c r="K25" i="1" s="1"/>
  <c r="G38" i="1"/>
  <c r="K38" i="1" a="1"/>
  <c r="K38" i="1" s="1"/>
  <c r="G17" i="1"/>
  <c r="K17" i="1" a="1"/>
  <c r="K17" i="1" s="1"/>
  <c r="G12" i="1"/>
  <c r="K12" i="1" a="1"/>
  <c r="K12" i="1" s="1"/>
  <c r="G13" i="1"/>
  <c r="K13" i="1" a="1"/>
  <c r="K13" i="1" s="1"/>
  <c r="G39" i="1"/>
  <c r="K39" i="1" a="1"/>
  <c r="K39" i="1" s="1"/>
  <c r="D20" i="1"/>
  <c r="D17" i="1"/>
  <c r="A6" i="1"/>
  <c r="J15" i="1"/>
  <c r="J11" i="1"/>
  <c r="E35" i="1"/>
  <c r="F35" i="1" s="1"/>
  <c r="E36" i="1"/>
  <c r="F36" i="1" s="1"/>
  <c r="E27" i="1"/>
  <c r="F27" i="1" s="1"/>
  <c r="E34" i="1"/>
  <c r="F34" i="1" s="1"/>
  <c r="E40" i="1"/>
  <c r="F40" i="1" s="1"/>
  <c r="E41" i="1"/>
  <c r="F41" i="1" s="1"/>
  <c r="E24" i="1"/>
  <c r="I20" i="1" l="1"/>
  <c r="J20" i="1"/>
  <c r="I31" i="1"/>
  <c r="J31" i="1"/>
  <c r="I21" i="1"/>
  <c r="J21" i="1"/>
  <c r="I32" i="1"/>
  <c r="J32" i="1"/>
  <c r="I25" i="1"/>
  <c r="J25" i="1"/>
  <c r="I38" i="1"/>
  <c r="J38" i="1"/>
  <c r="I17" i="1"/>
  <c r="J17" i="1"/>
  <c r="I12" i="1"/>
  <c r="J12" i="1"/>
  <c r="I13" i="1"/>
  <c r="J13" i="1"/>
  <c r="I39" i="1"/>
  <c r="J39" i="1"/>
  <c r="G35" i="1"/>
  <c r="I35" i="1" s="1"/>
  <c r="K35" i="1" a="1"/>
  <c r="K35" i="1" s="1"/>
  <c r="G36" i="1"/>
  <c r="I36" i="1" s="1"/>
  <c r="K36" i="1" a="1"/>
  <c r="K36" i="1" s="1"/>
  <c r="G27" i="1"/>
  <c r="I27" i="1" s="1"/>
  <c r="K27" i="1" a="1"/>
  <c r="K27" i="1" s="1"/>
  <c r="G34" i="1"/>
  <c r="I34" i="1" s="1"/>
  <c r="K34" i="1" a="1"/>
  <c r="K34" i="1" s="1"/>
  <c r="G40" i="1"/>
  <c r="I40" i="1" s="1"/>
  <c r="K40" i="1" a="1"/>
  <c r="K40" i="1" s="1"/>
  <c r="G41" i="1"/>
  <c r="I41" i="1" s="1"/>
  <c r="K41" i="1" a="1"/>
  <c r="K41" i="1" s="1"/>
  <c r="F24" i="1"/>
  <c r="F42" i="1" s="1"/>
  <c r="E81" i="1" a="1"/>
  <c r="E81" i="1" s="1"/>
  <c r="E63" i="1" a="1"/>
  <c r="E63" i="1" s="1"/>
  <c r="E47" i="1" a="1"/>
  <c r="E47" i="1" s="1"/>
  <c r="E58" i="1" a="1"/>
  <c r="E58" i="1" s="1"/>
  <c r="E77" i="1" a="1"/>
  <c r="E77" i="1" s="1"/>
  <c r="K24" i="1" l="1" a="1"/>
  <c r="K24" i="1" s="1"/>
  <c r="G24" i="1"/>
  <c r="G42" i="1" s="1"/>
  <c r="C6" i="1"/>
  <c r="E8" i="1" s="1"/>
  <c r="F81" i="1"/>
  <c r="I81" i="1" a="1"/>
  <c r="I81" i="1" s="1"/>
  <c r="F63" i="1"/>
  <c r="I63" i="1" a="1"/>
  <c r="I63" i="1" s="1"/>
  <c r="F47" i="1"/>
  <c r="I47" i="1" a="1"/>
  <c r="I47" i="1" s="1"/>
  <c r="E87" i="1"/>
  <c r="I58" i="1" a="1"/>
  <c r="I58" i="1" s="1"/>
  <c r="F58" i="1"/>
  <c r="I77" i="1" a="1"/>
  <c r="I77" i="1" s="1"/>
  <c r="F77" i="1"/>
  <c r="G6" i="1" l="1"/>
  <c r="I24" i="1"/>
  <c r="E6" i="1"/>
  <c r="I42" i="1"/>
  <c r="G81" i="1"/>
  <c r="J81" i="1"/>
  <c r="G63" i="1"/>
  <c r="J63" i="1"/>
  <c r="G47" i="1"/>
  <c r="J47" i="1"/>
  <c r="F87" i="1"/>
  <c r="I87" i="1" a="1"/>
  <c r="I87" i="1" s="1"/>
  <c r="K6" i="1" s="1"/>
  <c r="G58" i="1"/>
  <c r="J58" i="1"/>
  <c r="G77" i="1"/>
  <c r="J77" i="1"/>
  <c r="G87" i="1" l="1"/>
  <c r="J8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9682FE-E5AB-465B-B434-5CFD27FDD715}" keepAlive="1" name="Query - AMFI_NAV" description="Connection to the 'AMFI_NAV' query in the workbook." type="5" refreshedVersion="0" background="1">
    <dbPr connection="Provider=Microsoft.Mashup.OleDb.1;Data Source=$Workbook$;Location=AMFI_NAV;Extended Properties=&quot;&quot;" command="SELECT * FROM [AMFI_NAV]"/>
  </connection>
  <connection id="2" xr16:uid="{0B3801C6-F117-441C-B208-736A3EA6779C}" keepAlive="1" name="Query - NAVAll" description="Connection to the 'NAVAll' query in the workbook." type="5" refreshedVersion="8" background="1" saveData="1">
    <dbPr connection="Provider=Microsoft.Mashup.OleDb.1;Data Source=$Workbook$;Location=NAVAll;Extended Properties=&quot;&quot;" command="SELECT * FROM [NAVAll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<sst xmlns="http://schemas.openxmlformats.org/spreadsheetml/2006/main" count="74938" uniqueCount="47252">
  <si>
    <t>Mutual Funds Portfolio Dashboard</t>
  </si>
  <si>
    <t>Snapshot</t>
  </si>
  <si>
    <t>Net Invested</t>
  </si>
  <si>
    <t>Current Value</t>
  </si>
  <si>
    <t>Net Gain / Loss</t>
  </si>
  <si>
    <t>Total Return %</t>
  </si>
  <si>
    <t>Active Schemes</t>
  </si>
  <si>
    <t>MF-Wise Portfolio</t>
  </si>
  <si>
    <t>Display Scheme</t>
  </si>
  <si>
    <t>Net Units</t>
  </si>
  <si>
    <t>Avg Cost NAV</t>
  </si>
  <si>
    <t>Latest NAV</t>
  </si>
  <si>
    <t>Gain/Loss</t>
  </si>
  <si>
    <t>% Gain</t>
  </si>
  <si>
    <t>Status</t>
  </si>
  <si>
    <t>Aditya Birla Sun Life Banking And Financial Services Fund Growth</t>
  </si>
  <si>
    <t>Aditya Birla Sun Life Value Fund Growth</t>
  </si>
  <si>
    <t>Canara Robeco Large And Mid Cap Fund Growth</t>
  </si>
  <si>
    <t>Canara Robeco Large Cap Fund Regulargrowth</t>
  </si>
  <si>
    <t>Hdfc Flexicap Fund Direct Growth Option</t>
  </si>
  <si>
    <t>Hdfc Gold Etf Fund Of Fund Direct Growth Option</t>
  </si>
  <si>
    <t>Hdfc Mid Cap Fund - Growth Option</t>
  </si>
  <si>
    <t>Hdfc Silver Etf Fund Of Fund Direct Growth</t>
  </si>
  <si>
    <t>Icici Prudential Balanced Advantage Fund Direct Growth</t>
  </si>
  <si>
    <t>Icici Prudential Focused Equity Fund Growth</t>
  </si>
  <si>
    <t>Icici Prudential Value Fund Growth</t>
  </si>
  <si>
    <t>Invesco India Arbitrage Fund - Direct Plan Growth</t>
  </si>
  <si>
    <t>Invesco India Contra Fund - Direct Plan</t>
  </si>
  <si>
    <t>Invesco India Multicap Fund Growth</t>
  </si>
  <si>
    <t>Kotak Contra Fund - Growth</t>
  </si>
  <si>
    <t>Kotak Multicap Fund Growth</t>
  </si>
  <si>
    <t>Lnt Flexicap Fund Regular Growth Option</t>
  </si>
  <si>
    <t>Mahindra Manulife Flexi Cap Fund Growth</t>
  </si>
  <si>
    <t>Mahindra Manulife Focused Fund Growth</t>
  </si>
  <si>
    <t>Mahindra Manulife Large And Mid Cap Fund Growth</t>
  </si>
  <si>
    <t>Mahindra Manulife Mid Cap Fund Growth</t>
  </si>
  <si>
    <t>Mirae Asset Large And Mid Cap Fund Growth</t>
  </si>
  <si>
    <t>Nippon India Elss Tax Saver Fund - Growth Plan</t>
  </si>
  <si>
    <t>Nippon India Equity Linked Savings Fund Series - I Growth</t>
  </si>
  <si>
    <t>Principal Emerging Bluechip Fund Growth</t>
  </si>
  <si>
    <t>Sbi Contra Fund Regular Idcw</t>
  </si>
  <si>
    <t>Sbi Elss Tax Saver Fund - Growth</t>
  </si>
  <si>
    <t>Sbi Flexicap Fund - Growth</t>
  </si>
  <si>
    <t>Sbi Small Cap Fund Growth</t>
  </si>
  <si>
    <t>Sundaram Large And Mid Cap Fund Growth</t>
  </si>
  <si>
    <t>Uti Focused Fund Growth</t>
  </si>
  <si>
    <t>TOTAL</t>
  </si>
  <si>
    <t>Account-Wise Portfolio</t>
  </si>
  <si>
    <t>Account</t>
  </si>
  <si>
    <t>Transactions</t>
  </si>
  <si>
    <t>Schemes</t>
  </si>
  <si>
    <t>ICICI Direct - Ashutosh</t>
  </si>
  <si>
    <t>Maniqmala - Ashutosh</t>
  </si>
  <si>
    <t>Maniqmala - Harsha</t>
  </si>
  <si>
    <t>Zerodha - Ashutosh</t>
  </si>
  <si>
    <t>Zerodha - Harsha</t>
  </si>
  <si>
    <t>How to use this dashboard</t>
  </si>
  <si>
    <t>1. Add a transaction: Open the relevant 'Txn-…' sheet and type a new row anywhere below the existing data — the Excel table extends automatically and the dashboard recalculates.</t>
  </si>
  <si>
    <t>2. Delete a transaction: Right-click a row inside the Txn-* table → Delete → Table Rows.</t>
  </si>
  <si>
    <t>3. Refresh NAVs: Edit values on the 'NAV Reference' sheet. Current Value, Gain, and % Return all update.</t>
  </si>
  <si>
    <t>4. Merge two scheme variants under one MF: Open 'Scheme Map' and edit the Display Scheme for a raw scheme to match another. Also update the 'Display Scheme' column in the affected Txn-* sheets so the dashboard groups them together.</t>
  </si>
  <si>
    <t>5. Status column: 'Redeemed' = net units near zero. 'In Profit' / 'In Loss' = current value vs. invested.</t>
  </si>
  <si>
    <t>6. Net Invested = Buy amount − Sell amount per scheme. Avg Cost NAV = Net Invested / Net Units.</t>
  </si>
  <si>
    <t>7. NAV Source 'MoneyControl' = pulled from the latest MC export. 'Last txn NAV' = no MC entry; we used the most recent transaction NAV (likely stale for fully-redeemed schemes).</t>
  </si>
  <si>
    <t>8. To re-build from raw platform/MC files, run python build_dashboard.py followed by python write_dashboard.py.</t>
  </si>
  <si>
    <t>NAV Reference — Latest NAV per Display Scheme</t>
  </si>
  <si>
    <t>NAVs sourced from MoneyControl portfolio exports where available; otherwise the most recent transaction NAV is used. Edit values here to refresh the dashboard.</t>
  </si>
  <si>
    <t>Scheme Key</t>
  </si>
  <si>
    <t>NAV Source</t>
  </si>
  <si>
    <t>Notes</t>
  </si>
  <si>
    <t>adityabirlasunlifeba</t>
  </si>
  <si>
    <t>adityabirlasunlifeva</t>
  </si>
  <si>
    <t>canararobecolargemid</t>
  </si>
  <si>
    <t>canararobecolargecap</t>
  </si>
  <si>
    <t>hdfcflexicapfund</t>
  </si>
  <si>
    <t>hdfcgoldetffundoffun</t>
  </si>
  <si>
    <t>hdfcmidcapfund</t>
  </si>
  <si>
    <t>hdfcsilveretffundoff</t>
  </si>
  <si>
    <t>iciciprudentialbalan</t>
  </si>
  <si>
    <t>iciciprudentialfocus</t>
  </si>
  <si>
    <t>iciciprudentialvalue</t>
  </si>
  <si>
    <t>invescoindiaarbitrag</t>
  </si>
  <si>
    <t>invescoindiacontrafu</t>
  </si>
  <si>
    <t>invescoindiamulticap</t>
  </si>
  <si>
    <t>kotakcontrafund</t>
  </si>
  <si>
    <t>kotakmulticapfund</t>
  </si>
  <si>
    <t>lntflexicapfund</t>
  </si>
  <si>
    <t>mahindramanulifeflex</t>
  </si>
  <si>
    <t>mahindramanulifefocu</t>
  </si>
  <si>
    <t>mahindramanulifelarg</t>
  </si>
  <si>
    <t>mahindramanulifemidc</t>
  </si>
  <si>
    <t>miraeassetlargemidca</t>
  </si>
  <si>
    <t>nipponindiaelsstaxsa</t>
  </si>
  <si>
    <t>nipponindiaequitylin</t>
  </si>
  <si>
    <t>principalemergingblu</t>
  </si>
  <si>
    <t>sbicontrafund</t>
  </si>
  <si>
    <t>sbielsstaxsaverfund</t>
  </si>
  <si>
    <t>sbiflexicapfund</t>
  </si>
  <si>
    <t>sbismallcapfund</t>
  </si>
  <si>
    <t>sundaramlargemidcapf</t>
  </si>
  <si>
    <t>utifocusedfund</t>
  </si>
  <si>
    <t>Scheme Map — Raw Platform Scheme → Canonical Display Name</t>
  </si>
  <si>
    <t>Each platform names schemes differently. The Display column is what the Dashboard groups by. Edit Display values here to merge two raw schemes under one canonical name.</t>
  </si>
  <si>
    <t>Scheme Name (raw)</t>
  </si>
  <si>
    <t>Aditya Birla Sun Life Banking and Financial Services Fund Growth</t>
  </si>
  <si>
    <t>Canara Robeco Large And Mid Cap Fund Regular -Growth</t>
  </si>
  <si>
    <t>Canara Robeco Large and Mid Cap Fund Growth</t>
  </si>
  <si>
    <t>Hdfc Flexicap Fund - Direct Plan - Growth Option</t>
  </si>
  <si>
    <t>Hdfc Gold Etf Fund Of Fund  - Direct Plan - Growth Option</t>
  </si>
  <si>
    <t>HDFC Mid Cap Fund - Growth Option</t>
  </si>
  <si>
    <t>Icici Prudential Balanced Advantage Fund - Direct Plan - Growth</t>
  </si>
  <si>
    <t>ICICI Prudential Focused Equity Fund Growth</t>
  </si>
  <si>
    <t>ICICI Prudential Value Fund Growth</t>
  </si>
  <si>
    <t>LNT Flexicap Fund-Regular Plan-Growth Option</t>
  </si>
  <si>
    <t>Mahindra Manulife Large and Mid Cap Fund Growth</t>
  </si>
  <si>
    <t>Mirae Asset Large &amp; Midcap Fund - Direct Plan - Growth</t>
  </si>
  <si>
    <t>Mirae Asset Large and Mid Cap Fund Growth</t>
  </si>
  <si>
    <t>NIPPON INDIA EQUITY LINKED SAVINGS FUND SERIES - I GROWTH</t>
  </si>
  <si>
    <t>SBI Contra Fund - Regular Plan - IDCW</t>
  </si>
  <si>
    <t>SBI Elss Tax Saver Fund - Growth</t>
  </si>
  <si>
    <t>SBI Flexicap Fund - Growth</t>
  </si>
  <si>
    <t>SBI Small Cap Fund Growth</t>
  </si>
  <si>
    <t>Sundaram Large and Mid Cap Fund Growth</t>
  </si>
  <si>
    <t>UTI Focused Fund Growth</t>
  </si>
  <si>
    <t>Transactions — ICICI Direct - Ashutosh</t>
  </si>
  <si>
    <t>100 transactions  •  Add or delete rows freely — the Dashboard auto-recomputes via the Excel table named 'tICICIAshu'.</t>
  </si>
  <si>
    <t>Date</t>
  </si>
  <si>
    <t>Transaction ID</t>
  </si>
  <si>
    <t>Transaction Type</t>
  </si>
  <si>
    <t>Fund Name</t>
  </si>
  <si>
    <t>Scheme Name</t>
  </si>
  <si>
    <t>Folio No</t>
  </si>
  <si>
    <t>Last recorded NAV</t>
  </si>
  <si>
    <t>Amount</t>
  </si>
  <si>
    <t>Unit</t>
  </si>
  <si>
    <t>Signed Unit</t>
  </si>
  <si>
    <t>Signed Amount</t>
  </si>
  <si>
    <t>220886959</t>
  </si>
  <si>
    <t>Purchase</t>
  </si>
  <si>
    <t>Kotak Mahindra Mutual Fund</t>
  </si>
  <si>
    <t>8338255</t>
  </si>
  <si>
    <t>Executed</t>
  </si>
  <si>
    <t>218814304</t>
  </si>
  <si>
    <t>216658609</t>
  </si>
  <si>
    <t>214503559</t>
  </si>
  <si>
    <t>212399210</t>
  </si>
  <si>
    <t>210209359</t>
  </si>
  <si>
    <t>208083815</t>
  </si>
  <si>
    <t>205950151</t>
  </si>
  <si>
    <t>203796826</t>
  </si>
  <si>
    <t>201645407</t>
  </si>
  <si>
    <t>199473355</t>
  </si>
  <si>
    <t>197361292</t>
  </si>
  <si>
    <t>195096993</t>
  </si>
  <si>
    <t>193049333</t>
  </si>
  <si>
    <t>191030361</t>
  </si>
  <si>
    <t>188870836</t>
  </si>
  <si>
    <t>186700380</t>
  </si>
  <si>
    <t>184493727</t>
  </si>
  <si>
    <t>182341734</t>
  </si>
  <si>
    <t>180118753</t>
  </si>
  <si>
    <t>177952007</t>
  </si>
  <si>
    <t>175376769</t>
  </si>
  <si>
    <t>173080879</t>
  </si>
  <si>
    <t>170979827</t>
  </si>
  <si>
    <t>168954172</t>
  </si>
  <si>
    <t>166947485</t>
  </si>
  <si>
    <t>164877681</t>
  </si>
  <si>
    <t>162840952</t>
  </si>
  <si>
    <t>160552326</t>
  </si>
  <si>
    <t>157619139</t>
  </si>
  <si>
    <t>155323067</t>
  </si>
  <si>
    <t>153580484</t>
  </si>
  <si>
    <t>151798079</t>
  </si>
  <si>
    <t>149932026</t>
  </si>
  <si>
    <t>148200625</t>
  </si>
  <si>
    <t>146526283</t>
  </si>
  <si>
    <t>144922358</t>
  </si>
  <si>
    <t>143329142</t>
  </si>
  <si>
    <t>141739600</t>
  </si>
  <si>
    <t>139972869</t>
  </si>
  <si>
    <t>137728740</t>
  </si>
  <si>
    <t>135516250</t>
  </si>
  <si>
    <t>132818144</t>
  </si>
  <si>
    <t>130138552</t>
  </si>
  <si>
    <t>127157541</t>
  </si>
  <si>
    <t>125338421</t>
  </si>
  <si>
    <t>123758820</t>
  </si>
  <si>
    <t>122214082</t>
  </si>
  <si>
    <t>120410397</t>
  </si>
  <si>
    <t>118792269</t>
  </si>
  <si>
    <t>117155696</t>
  </si>
  <si>
    <t>115535793</t>
  </si>
  <si>
    <t>113898265</t>
  </si>
  <si>
    <t>112260416</t>
  </si>
  <si>
    <t>110729681</t>
  </si>
  <si>
    <t>109581481</t>
  </si>
  <si>
    <t>Canara Robeco Asset Management Company Ltd</t>
  </si>
  <si>
    <t>17728478215</t>
  </si>
  <si>
    <t>109237324</t>
  </si>
  <si>
    <t>107786068</t>
  </si>
  <si>
    <t>106359840</t>
  </si>
  <si>
    <t>104886502</t>
  </si>
  <si>
    <t>104383961</t>
  </si>
  <si>
    <t>103502289</t>
  </si>
  <si>
    <t>102225961</t>
  </si>
  <si>
    <t>101160591</t>
  </si>
  <si>
    <t>Redeem</t>
  </si>
  <si>
    <t>Nippon India Mutual Fund</t>
  </si>
  <si>
    <t>43458765746</t>
  </si>
  <si>
    <t>57632707</t>
  </si>
  <si>
    <t>Hdfc Asset Management Company Limited</t>
  </si>
  <si>
    <t>9618887/63</t>
  </si>
  <si>
    <t>56519983</t>
  </si>
  <si>
    <t>55358756</t>
  </si>
  <si>
    <t>54339935</t>
  </si>
  <si>
    <t>53384916</t>
  </si>
  <si>
    <t>52709852</t>
  </si>
  <si>
    <t>Sbi Funds Management Pvt Ltd</t>
  </si>
  <si>
    <t>5579502</t>
  </si>
  <si>
    <t>52409344</t>
  </si>
  <si>
    <t>51779545</t>
  </si>
  <si>
    <t>51474614</t>
  </si>
  <si>
    <t>50894274</t>
  </si>
  <si>
    <t>50607965</t>
  </si>
  <si>
    <t>50058199</t>
  </si>
  <si>
    <t>49247345</t>
  </si>
  <si>
    <t>47659147</t>
  </si>
  <si>
    <t>47659143</t>
  </si>
  <si>
    <t>46883607</t>
  </si>
  <si>
    <t>46168694</t>
  </si>
  <si>
    <t>45513613</t>
  </si>
  <si>
    <t>44813099</t>
  </si>
  <si>
    <t>44119781</t>
  </si>
  <si>
    <t>41976376</t>
  </si>
  <si>
    <t>41976374</t>
  </si>
  <si>
    <t>38871119</t>
  </si>
  <si>
    <t>38277032</t>
  </si>
  <si>
    <t>37773472</t>
  </si>
  <si>
    <t>37244040</t>
  </si>
  <si>
    <t>36703885</t>
  </si>
  <si>
    <t>36146713</t>
  </si>
  <si>
    <t>32636503</t>
  </si>
  <si>
    <t>5500153</t>
  </si>
  <si>
    <t>5269812</t>
  </si>
  <si>
    <t>5181350</t>
  </si>
  <si>
    <t>L&amp;T Asset Management Company</t>
  </si>
  <si>
    <t>248264/71</t>
  </si>
  <si>
    <t>4972432</t>
  </si>
  <si>
    <t>4100575</t>
  </si>
  <si>
    <t>994736</t>
  </si>
  <si>
    <t>991631</t>
  </si>
  <si>
    <t>Transactions — Maniqmala - Ashutosh</t>
  </si>
  <si>
    <t>182 transactions  •  Add or delete rows freely — the Dashboard auto-recomputes via the Excel table named 'tManiqAshu'.</t>
  </si>
  <si>
    <t>EB77737044183SIN63318091</t>
  </si>
  <si>
    <t>SIP Purchase</t>
  </si>
  <si>
    <t>Mirae Asset</t>
  </si>
  <si>
    <t>780937206</t>
  </si>
  <si>
    <t>Aditya Birla</t>
  </si>
  <si>
    <t>59021679</t>
  </si>
  <si>
    <t>Mahindra Manulife</t>
  </si>
  <si>
    <t>EB77737044183SIN62437377</t>
  </si>
  <si>
    <t>773823563</t>
  </si>
  <si>
    <t>57898017</t>
  </si>
  <si>
    <t>56726979</t>
  </si>
  <si>
    <t>EB77737044183SIN61524262</t>
  </si>
  <si>
    <t>765905252</t>
  </si>
  <si>
    <t>EB77737044183SIN60589834</t>
  </si>
  <si>
    <t>758571679</t>
  </si>
  <si>
    <t>55572856</t>
  </si>
  <si>
    <t>EB77737044183SIN59666747</t>
  </si>
  <si>
    <t>751013170</t>
  </si>
  <si>
    <t>54428130</t>
  </si>
  <si>
    <t>53342334</t>
  </si>
  <si>
    <t>EB77737044183SIN58786980</t>
  </si>
  <si>
    <t>744223086</t>
  </si>
  <si>
    <t>52251340</t>
  </si>
  <si>
    <t>EB77737044183SIN57854295</t>
  </si>
  <si>
    <t>737224037</t>
  </si>
  <si>
    <t>51135276</t>
  </si>
  <si>
    <t>EB77737044183SIN56946914</t>
  </si>
  <si>
    <t>730114510</t>
  </si>
  <si>
    <t>50102852</t>
  </si>
  <si>
    <t>723605109</t>
  </si>
  <si>
    <t>EB77737044183SIN56093341</t>
  </si>
  <si>
    <t>EB77737044183SIN55147813</t>
  </si>
  <si>
    <t>48797882</t>
  </si>
  <si>
    <t>716027724</t>
  </si>
  <si>
    <t>708820713</t>
  </si>
  <si>
    <t>47649844</t>
  </si>
  <si>
    <t>EB77737044183SIN54268738</t>
  </si>
  <si>
    <t>701290733</t>
  </si>
  <si>
    <t>46479027</t>
  </si>
  <si>
    <t>EB77737044183SIN53347893</t>
  </si>
  <si>
    <t>EB77737044183SIN52397531</t>
  </si>
  <si>
    <t>45410399</t>
  </si>
  <si>
    <t>694671324</t>
  </si>
  <si>
    <t>EB77737044183SIN51405246</t>
  </si>
  <si>
    <t>687688467</t>
  </si>
  <si>
    <t>44228310</t>
  </si>
  <si>
    <t>680682314</t>
  </si>
  <si>
    <t>43061555</t>
  </si>
  <si>
    <t>EB77737044183SIN50485164</t>
  </si>
  <si>
    <t>41705987</t>
  </si>
  <si>
    <t>EB77737044183SIN49418423</t>
  </si>
  <si>
    <t>671906443</t>
  </si>
  <si>
    <t>40297569</t>
  </si>
  <si>
    <t>EB77737044183SIN48427568</t>
  </si>
  <si>
    <t>663025384</t>
  </si>
  <si>
    <t>39126554</t>
  </si>
  <si>
    <t>EB77737044183SIN47506191</t>
  </si>
  <si>
    <t>655207728</t>
  </si>
  <si>
    <t>647648726</t>
  </si>
  <si>
    <t>37896537</t>
  </si>
  <si>
    <t>EB77737044183SIN46497980</t>
  </si>
  <si>
    <t>EB77737044183SIN45527658</t>
  </si>
  <si>
    <t>639798106</t>
  </si>
  <si>
    <t>36663419</t>
  </si>
  <si>
    <t>EB77737044183SIN44572653</t>
  </si>
  <si>
    <t>632068014</t>
  </si>
  <si>
    <t>35487836</t>
  </si>
  <si>
    <t>624121875</t>
  </si>
  <si>
    <t>34295107</t>
  </si>
  <si>
    <t>EB77737044183SIN43619562</t>
  </si>
  <si>
    <t>616124951</t>
  </si>
  <si>
    <t>33050060</t>
  </si>
  <si>
    <t>EB77737044183SIN42682803</t>
  </si>
  <si>
    <t>609060175</t>
  </si>
  <si>
    <t>EB77737044183SIN41651157</t>
  </si>
  <si>
    <t>32011771</t>
  </si>
  <si>
    <t>31103960</t>
  </si>
  <si>
    <t>602564921</t>
  </si>
  <si>
    <t>EB77737044183SIN40670981</t>
  </si>
  <si>
    <t>EB77737044183SIN39644347</t>
  </si>
  <si>
    <t>595754916</t>
  </si>
  <si>
    <t>30064670</t>
  </si>
  <si>
    <t>EB77737044183SIN38591290</t>
  </si>
  <si>
    <t>588457794</t>
  </si>
  <si>
    <t>29134344</t>
  </si>
  <si>
    <t>28258000</t>
  </si>
  <si>
    <t>EB77737044183SIN37493634</t>
  </si>
  <si>
    <t>582083181</t>
  </si>
  <si>
    <t>576810575</t>
  </si>
  <si>
    <t>27558625</t>
  </si>
  <si>
    <t>EB77737044183SIN36472841</t>
  </si>
  <si>
    <t>26857070</t>
  </si>
  <si>
    <t>EB77737044183SIN35428270</t>
  </si>
  <si>
    <t>570933324</t>
  </si>
  <si>
    <t>EB77737044183SIN34416648</t>
  </si>
  <si>
    <t>565909945</t>
  </si>
  <si>
    <t>26209938</t>
  </si>
  <si>
    <t>EB77737044183SIN33401782</t>
  </si>
  <si>
    <t>25481011</t>
  </si>
  <si>
    <t>560337511</t>
  </si>
  <si>
    <t>554820449</t>
  </si>
  <si>
    <t>EB77737044183SIN32389697</t>
  </si>
  <si>
    <t>24858226</t>
  </si>
  <si>
    <t>EB77737044183SIN31513587</t>
  </si>
  <si>
    <t>24293282</t>
  </si>
  <si>
    <t>549307171</t>
  </si>
  <si>
    <t>23737206</t>
  </si>
  <si>
    <t>EB77737044183SIN30621955</t>
  </si>
  <si>
    <t>543007745</t>
  </si>
  <si>
    <t>23260167</t>
  </si>
  <si>
    <t>537545401</t>
  </si>
  <si>
    <t>EB77737044183SIN29737012</t>
  </si>
  <si>
    <t>532950008</t>
  </si>
  <si>
    <t>EB77737044183SIN28916399</t>
  </si>
  <si>
    <t>22779944</t>
  </si>
  <si>
    <t>21298657</t>
  </si>
  <si>
    <t>EB77737044183SIN27960057</t>
  </si>
  <si>
    <t>524738738</t>
  </si>
  <si>
    <t>476481392</t>
  </si>
  <si>
    <t>EB77737044183SIN27020204</t>
  </si>
  <si>
    <t>19567917</t>
  </si>
  <si>
    <t>443420430</t>
  </si>
  <si>
    <t>17883226</t>
  </si>
  <si>
    <t>EB77737044183SIN26157044</t>
  </si>
  <si>
    <t>EB77737044183SIN25287967</t>
  </si>
  <si>
    <t>16041186</t>
  </si>
  <si>
    <t>410363352</t>
  </si>
  <si>
    <t>14264691</t>
  </si>
  <si>
    <t>EB77737044183SIN22568866</t>
  </si>
  <si>
    <t>398295730</t>
  </si>
  <si>
    <t>392941262</t>
  </si>
  <si>
    <t>10785807</t>
  </si>
  <si>
    <t>EB77737044183SIN20345686</t>
  </si>
  <si>
    <t>387436955</t>
  </si>
  <si>
    <t>EB77737044183SIN19551894</t>
  </si>
  <si>
    <t>381962248</t>
  </si>
  <si>
    <t>10232813</t>
  </si>
  <si>
    <t>376850284</t>
  </si>
  <si>
    <t>9818621</t>
  </si>
  <si>
    <t>EB77737044183SIN18876284</t>
  </si>
  <si>
    <t>370538106</t>
  </si>
  <si>
    <t>EB77737044183SIN17991033</t>
  </si>
  <si>
    <t>9357312</t>
  </si>
  <si>
    <t>364974592</t>
  </si>
  <si>
    <t>EB77737044183SIN17166594</t>
  </si>
  <si>
    <t>8905205</t>
  </si>
  <si>
    <t>8479864</t>
  </si>
  <si>
    <t>EB77737044183SIN16343494</t>
  </si>
  <si>
    <t>359282104</t>
  </si>
  <si>
    <t>EB77737044183SIN15571403</t>
  </si>
  <si>
    <t>8049939</t>
  </si>
  <si>
    <t>353152856</t>
  </si>
  <si>
    <t>347148592</t>
  </si>
  <si>
    <t>7598426</t>
  </si>
  <si>
    <t>EB77737044183SIN14729175</t>
  </si>
  <si>
    <t>7180670</t>
  </si>
  <si>
    <t>EB77737044183SIN13932456</t>
  </si>
  <si>
    <t>340590531</t>
  </si>
  <si>
    <t>6830617</t>
  </si>
  <si>
    <t>EB77737044183SIN13158689</t>
  </si>
  <si>
    <t>332520825</t>
  </si>
  <si>
    <t>EB77737044183SIN12346316</t>
  </si>
  <si>
    <t>326739305</t>
  </si>
  <si>
    <t>6524309</t>
  </si>
  <si>
    <t>320439118</t>
  </si>
  <si>
    <t>6222144</t>
  </si>
  <si>
    <t>EB77737044183SIN11640643</t>
  </si>
  <si>
    <t>6004864</t>
  </si>
  <si>
    <t>314065816</t>
  </si>
  <si>
    <t>EB77737044183SIN10889341</t>
  </si>
  <si>
    <t>5909842</t>
  </si>
  <si>
    <t>308117156</t>
  </si>
  <si>
    <t>5535801</t>
  </si>
  <si>
    <t>EB77737044183SIN10205152</t>
  </si>
  <si>
    <t>302355017</t>
  </si>
  <si>
    <t>5302318</t>
  </si>
  <si>
    <t>EB77737044183SIN9552635</t>
  </si>
  <si>
    <t>5099056</t>
  </si>
  <si>
    <t>EB77737044183SIN8914241</t>
  </si>
  <si>
    <t>296957598</t>
  </si>
  <si>
    <t>4930170</t>
  </si>
  <si>
    <t>EB77737044183SIN8348808</t>
  </si>
  <si>
    <t>292266072</t>
  </si>
  <si>
    <t>283638899</t>
  </si>
  <si>
    <t>EB77737044183SIN7522762</t>
  </si>
  <si>
    <t>4644276</t>
  </si>
  <si>
    <t>Transactions — Maniqmala - Harsha</t>
  </si>
  <si>
    <t>301 transactions  •  Add or delete rows freely — the Dashboard auto-recomputes via the Excel table named 'tManiqHars'.</t>
  </si>
  <si>
    <t>EB77737362992SIN61556445</t>
  </si>
  <si>
    <t>1349215618</t>
  </si>
  <si>
    <t>Sbi Small</t>
  </si>
  <si>
    <t>EQ17725810101SIN39210888</t>
  </si>
  <si>
    <t>Canara Robeco</t>
  </si>
  <si>
    <t>1454705404</t>
  </si>
  <si>
    <t>Icici Prudential</t>
  </si>
  <si>
    <t>EQ17725810101SIN38487214</t>
  </si>
  <si>
    <t>1429710817</t>
  </si>
  <si>
    <t>EB77737362992SIN60618952</t>
  </si>
  <si>
    <t>1324799666</t>
  </si>
  <si>
    <t>EB77737362992SIN59666749</t>
  </si>
  <si>
    <t>1404072054</t>
  </si>
  <si>
    <t>EQ17725810101SIN37814827</t>
  </si>
  <si>
    <t>1300545794</t>
  </si>
  <si>
    <t>1278402851</t>
  </si>
  <si>
    <t>1381275292</t>
  </si>
  <si>
    <t>EB77737362992SIN58786982</t>
  </si>
  <si>
    <t>EQ17725810101SIN37164282</t>
  </si>
  <si>
    <t>1354290888</t>
  </si>
  <si>
    <t>EQ17725810101SIN36466679</t>
  </si>
  <si>
    <t>1255907616</t>
  </si>
  <si>
    <t>EB77737362992SIN57854296</t>
  </si>
  <si>
    <t>1233009535</t>
  </si>
  <si>
    <t>EB77737362992SIN56946916</t>
  </si>
  <si>
    <t>EQ17725810101SIN35780864</t>
  </si>
  <si>
    <t>1330882884</t>
  </si>
  <si>
    <t>1308742476</t>
  </si>
  <si>
    <t>EB77737362992SIN56064251</t>
  </si>
  <si>
    <t>1211398991</t>
  </si>
  <si>
    <t>EQ17725810101SIN35085412</t>
  </si>
  <si>
    <t>1284877867</t>
  </si>
  <si>
    <t>EQ17725810101SIN34278797</t>
  </si>
  <si>
    <t>EB77737362992SIN55147815</t>
  </si>
  <si>
    <t>1188742890</t>
  </si>
  <si>
    <t>EB77737362992SIN54258830</t>
  </si>
  <si>
    <t>EQ17725810101SIN33569817</t>
  </si>
  <si>
    <t>1166768338</t>
  </si>
  <si>
    <t>1262501589</t>
  </si>
  <si>
    <t>EQ17725810101SIN32839540</t>
  </si>
  <si>
    <t>EB77737362992SIN53360239</t>
  </si>
  <si>
    <t>1240843817</t>
  </si>
  <si>
    <t>1145565113</t>
  </si>
  <si>
    <t>EB77737362992SIN52382924</t>
  </si>
  <si>
    <t>1218726346</t>
  </si>
  <si>
    <t>EQ17725810101SIN32105672</t>
  </si>
  <si>
    <t>1124453095</t>
  </si>
  <si>
    <t>1105804610</t>
  </si>
  <si>
    <t>EB77737362992SIN51446274</t>
  </si>
  <si>
    <t>EQ17725810101SIN31411850</t>
  </si>
  <si>
    <t>1195884616</t>
  </si>
  <si>
    <t>1173679938</t>
  </si>
  <si>
    <t>EB77737362992SIN50525285</t>
  </si>
  <si>
    <t>EQ17725810101SIN30678702</t>
  </si>
  <si>
    <t>1085436077</t>
  </si>
  <si>
    <t>1143679881</t>
  </si>
  <si>
    <t>1058919170</t>
  </si>
  <si>
    <t>EQ17725810101SIN29843527</t>
  </si>
  <si>
    <t>EB77737362992SIN49418425</t>
  </si>
  <si>
    <t>1036251451</t>
  </si>
  <si>
    <t>1118528318</t>
  </si>
  <si>
    <t>EQ17725810101SIN29034097</t>
  </si>
  <si>
    <t>EB77737362992SIN48427569</t>
  </si>
  <si>
    <t>EB77737362992SIN47506192</t>
  </si>
  <si>
    <t>1093083525</t>
  </si>
  <si>
    <t>EQ17725810101SIN28273534</t>
  </si>
  <si>
    <t>1017235527</t>
  </si>
  <si>
    <t>EB77737362992SIN46525950</t>
  </si>
  <si>
    <t>995047454</t>
  </si>
  <si>
    <t>1070768534</t>
  </si>
  <si>
    <t>EQ17725810101SIN27490731</t>
  </si>
  <si>
    <t>1045474514</t>
  </si>
  <si>
    <t>EB77737362992SIN45527660</t>
  </si>
  <si>
    <t>972737307</t>
  </si>
  <si>
    <t>EQ17725810101SIN26684017</t>
  </si>
  <si>
    <t>1025575364</t>
  </si>
  <si>
    <t>EB77737362992SIN44590982</t>
  </si>
  <si>
    <t>953099334</t>
  </si>
  <si>
    <t>EQ17725810101SIN25944575</t>
  </si>
  <si>
    <t>EQ17725810101SIN25140972</t>
  </si>
  <si>
    <t>1004784140</t>
  </si>
  <si>
    <t>EB77737362992SIN43631287</t>
  </si>
  <si>
    <t>932766971</t>
  </si>
  <si>
    <t>912884528</t>
  </si>
  <si>
    <t>984818369</t>
  </si>
  <si>
    <t>EQ17725810101SIN24412869</t>
  </si>
  <si>
    <t>EB77737362992SIN42747319</t>
  </si>
  <si>
    <t>894331033</t>
  </si>
  <si>
    <t>EQ17725810101SIN23646495</t>
  </si>
  <si>
    <t>EB77737362992SIN41652563</t>
  </si>
  <si>
    <t>964921902</t>
  </si>
  <si>
    <t>EQ17725810101SIN22938952</t>
  </si>
  <si>
    <t>EB77737362992SIN40670983</t>
  </si>
  <si>
    <t>949038793</t>
  </si>
  <si>
    <t>878462555</t>
  </si>
  <si>
    <t>931986633</t>
  </si>
  <si>
    <t>860234879</t>
  </si>
  <si>
    <t>EQ17725810101SIN22214603</t>
  </si>
  <si>
    <t>EB77737362992SIN39644349</t>
  </si>
  <si>
    <t>915954486</t>
  </si>
  <si>
    <t>842025760</t>
  </si>
  <si>
    <t>EQ17725810101SIN21472110</t>
  </si>
  <si>
    <t>EB77737362992SIN38591292</t>
  </si>
  <si>
    <t>EB77737362992SIN37519427</t>
  </si>
  <si>
    <t>EQ17725810101SIN20737043</t>
  </si>
  <si>
    <t>900787276</t>
  </si>
  <si>
    <t>826519565</t>
  </si>
  <si>
    <t>811940282</t>
  </si>
  <si>
    <t>EB77737362992SIN36523929</t>
  </si>
  <si>
    <t>EQ17725810101SIN20004472</t>
  </si>
  <si>
    <t>887553675</t>
  </si>
  <si>
    <t>EQ17725810101SIN19200321</t>
  </si>
  <si>
    <t>871443458</t>
  </si>
  <si>
    <t>795290615</t>
  </si>
  <si>
    <t>EB77737362992SIN35428272</t>
  </si>
  <si>
    <t>EQ17725810101SIN18469526</t>
  </si>
  <si>
    <t>781731063</t>
  </si>
  <si>
    <t>EB77737362992SIN34416649</t>
  </si>
  <si>
    <t>858079292</t>
  </si>
  <si>
    <t>765950675</t>
  </si>
  <si>
    <t>EQ17725810101SIN17682155</t>
  </si>
  <si>
    <t>EB77737362992SIN33401784</t>
  </si>
  <si>
    <t>842439431</t>
  </si>
  <si>
    <t>751357450</t>
  </si>
  <si>
    <t>EB77737362992SIN32389699</t>
  </si>
  <si>
    <t>EQ17725810101SIN16953240</t>
  </si>
  <si>
    <t>829112791</t>
  </si>
  <si>
    <t>MS31011218264FUL66762493243810</t>
  </si>
  <si>
    <t>Redemption</t>
  </si>
  <si>
    <t>Invesco India</t>
  </si>
  <si>
    <t>LM63220381FUL52697502256578</t>
  </si>
  <si>
    <t>Sundaram Large</t>
  </si>
  <si>
    <t>LM62884111FUL52697492269748</t>
  </si>
  <si>
    <t>EY509339181185FUL122579097004574</t>
  </si>
  <si>
    <t>Uti Focused</t>
  </si>
  <si>
    <t>EQ17725810101SIN16240027</t>
  </si>
  <si>
    <t>EB77737362992SIN31513589</t>
  </si>
  <si>
    <t>816485691</t>
  </si>
  <si>
    <t>737295142</t>
  </si>
  <si>
    <t>EQ17725810101SIN15528948</t>
  </si>
  <si>
    <t>EB77737362992SIN30621957</t>
  </si>
  <si>
    <t>801986995</t>
  </si>
  <si>
    <t>723162689</t>
  </si>
  <si>
    <t>789502212</t>
  </si>
  <si>
    <t>709568140</t>
  </si>
  <si>
    <t>EB77737362992SIN29737015</t>
  </si>
  <si>
    <t>EQ17725810101SIN14836458</t>
  </si>
  <si>
    <t>EQ17725810101SIN14210688</t>
  </si>
  <si>
    <t>EB77737362992SIN28916402</t>
  </si>
  <si>
    <t>698654176</t>
  </si>
  <si>
    <t>779697532</t>
  </si>
  <si>
    <t>EQ17725810101SIN13485444</t>
  </si>
  <si>
    <t>EB77737362992SIN27975657</t>
  </si>
  <si>
    <t>767963060</t>
  </si>
  <si>
    <t>685050084</t>
  </si>
  <si>
    <t>EQ17725810101SIN12748869</t>
  </si>
  <si>
    <t>EB77737362992SIN27020208</t>
  </si>
  <si>
    <t>663313766</t>
  </si>
  <si>
    <t>726975704</t>
  </si>
  <si>
    <t>EB77737362992SIN26181041</t>
  </si>
  <si>
    <t>645490728</t>
  </si>
  <si>
    <t>689821219</t>
  </si>
  <si>
    <t>EQ17725810101SIN12102227</t>
  </si>
  <si>
    <t>EB77737362992SIN25287971</t>
  </si>
  <si>
    <t>644491639</t>
  </si>
  <si>
    <t>EQ17725810101SIN11392588</t>
  </si>
  <si>
    <t>625223684</t>
  </si>
  <si>
    <t>597393015</t>
  </si>
  <si>
    <t>606219773</t>
  </si>
  <si>
    <t>EQ17725810101SIN10541869</t>
  </si>
  <si>
    <t>EB77737362992SIN22568870</t>
  </si>
  <si>
    <t>577093419</t>
  </si>
  <si>
    <t>EQ17728054215SIN9615444</t>
  </si>
  <si>
    <t>395539634</t>
  </si>
  <si>
    <t>13395587</t>
  </si>
  <si>
    <t>EB77737362992SIN21130458</t>
  </si>
  <si>
    <t>586804102</t>
  </si>
  <si>
    <t>EB77737362992SIN20345687</t>
  </si>
  <si>
    <t>530736281</t>
  </si>
  <si>
    <t>567811971</t>
  </si>
  <si>
    <t>EQ17725810101SIN8610254</t>
  </si>
  <si>
    <t>EB77737362992SIN19551895</t>
  </si>
  <si>
    <t>EQ17725810101SIN8024212</t>
  </si>
  <si>
    <t>549360283</t>
  </si>
  <si>
    <t>505413706</t>
  </si>
  <si>
    <t>EB77737362992SIN18871428</t>
  </si>
  <si>
    <t>EQ17725810101SIN7585611</t>
  </si>
  <si>
    <t>532512032</t>
  </si>
  <si>
    <t>EB77737362992SIN17991034</t>
  </si>
  <si>
    <t>EQ17725810101SIN7069886</t>
  </si>
  <si>
    <t>513844562</t>
  </si>
  <si>
    <t>473808822</t>
  </si>
  <si>
    <t>EQ17728054215SIN6827578</t>
  </si>
  <si>
    <t>466653698</t>
  </si>
  <si>
    <t>9123070</t>
  </si>
  <si>
    <t>367736331</t>
  </si>
  <si>
    <t>496223002</t>
  </si>
  <si>
    <t>459425374</t>
  </si>
  <si>
    <t>EB77737362992SIN17166595</t>
  </si>
  <si>
    <t>EQ17725810101SIN6545389</t>
  </si>
  <si>
    <t>362264112</t>
  </si>
  <si>
    <t>8701022</t>
  </si>
  <si>
    <t>EQ17728054215SIN6335306</t>
  </si>
  <si>
    <t>452733961</t>
  </si>
  <si>
    <t>EB77737362992SIN16343495</t>
  </si>
  <si>
    <t>445952222</t>
  </si>
  <si>
    <t>EQ17725810101SIN6073382</t>
  </si>
  <si>
    <t>478456484</t>
  </si>
  <si>
    <t>439578625</t>
  </si>
  <si>
    <t>356186238</t>
  </si>
  <si>
    <t>8233720</t>
  </si>
  <si>
    <t>EQ17728054215SIN5867829</t>
  </si>
  <si>
    <t>EQ17725810101SIN5629271</t>
  </si>
  <si>
    <t>460483996</t>
  </si>
  <si>
    <t>434612011</t>
  </si>
  <si>
    <t>EB77737362992SIN15571404</t>
  </si>
  <si>
    <t>EQ17728054215SIN5416845</t>
  </si>
  <si>
    <t>429479990</t>
  </si>
  <si>
    <t>350131777</t>
  </si>
  <si>
    <t>7809216</t>
  </si>
  <si>
    <t>424149738</t>
  </si>
  <si>
    <t>443322829</t>
  </si>
  <si>
    <t>EB77737362992SIN14729176</t>
  </si>
  <si>
    <t>EQ17725810101SIN5177487</t>
  </si>
  <si>
    <t>7384520</t>
  </si>
  <si>
    <t>EQ17728054215SIN4963894</t>
  </si>
  <si>
    <t>418792075</t>
  </si>
  <si>
    <t>343352093</t>
  </si>
  <si>
    <t>EB63220381SWOF2256577918349</t>
  </si>
  <si>
    <t>Switch Out</t>
  </si>
  <si>
    <t>Principal Emerging</t>
  </si>
  <si>
    <t>EB62884111SWOF2269747738186</t>
  </si>
  <si>
    <t>LM62884111SWIN2269748738186</t>
  </si>
  <si>
    <t>Switch In</t>
  </si>
  <si>
    <t>LM63220381SWIN2256578918349</t>
  </si>
  <si>
    <t>430355996</t>
  </si>
  <si>
    <t>414060864</t>
  </si>
  <si>
    <t>EB77737362992SIN13932457</t>
  </si>
  <si>
    <t>EQ17725810101SIN4769061</t>
  </si>
  <si>
    <t>EQ17728054215SIN4572562</t>
  </si>
  <si>
    <t>6994333</t>
  </si>
  <si>
    <t>335851786</t>
  </si>
  <si>
    <t>408843295</t>
  </si>
  <si>
    <t>401961397</t>
  </si>
  <si>
    <t>EB77737362992SIN13158690</t>
  </si>
  <si>
    <t>EQ17725810101SIN4382860</t>
  </si>
  <si>
    <t>419570106</t>
  </si>
  <si>
    <t>EQ17728054215SIN4203464</t>
  </si>
  <si>
    <t>396944259</t>
  </si>
  <si>
    <t>329402067</t>
  </si>
  <si>
    <t>6662892</t>
  </si>
  <si>
    <t>EQ17725810101SIN4015380</t>
  </si>
  <si>
    <t>EB77737362992SIN12346317</t>
  </si>
  <si>
    <t>409845206</t>
  </si>
  <si>
    <t>392390053</t>
  </si>
  <si>
    <t>323592817</t>
  </si>
  <si>
    <t>387124723</t>
  </si>
  <si>
    <t>EQ17728054215SIN3857771</t>
  </si>
  <si>
    <t>6356145</t>
  </si>
  <si>
    <t>149442943</t>
  </si>
  <si>
    <t>Kotak Multicap</t>
  </si>
  <si>
    <t>EB77737362992SIN11640644</t>
  </si>
  <si>
    <t>399009096</t>
  </si>
  <si>
    <t>382272614</t>
  </si>
  <si>
    <t>EQ17725810101SIN3682874</t>
  </si>
  <si>
    <t>MS31011218264NEW3243810</t>
  </si>
  <si>
    <t>6172973</t>
  </si>
  <si>
    <t>EB63220381NEW918349</t>
  </si>
  <si>
    <t>EQ17728054215SIN3529040</t>
  </si>
  <si>
    <t>377388033</t>
  </si>
  <si>
    <t>317702465</t>
  </si>
  <si>
    <t>6074404</t>
  </si>
  <si>
    <t>EY509339181185IPO7004574</t>
  </si>
  <si>
    <t>372054893</t>
  </si>
  <si>
    <t>EQ17725810101SIN3331404</t>
  </si>
  <si>
    <t>EB77737362992SIN10889342</t>
  </si>
  <si>
    <t>387629842</t>
  </si>
  <si>
    <t>EY577339161541IPOD3573721</t>
  </si>
  <si>
    <t>Initial Purchase Pre-Rejection</t>
  </si>
  <si>
    <t>367453379</t>
  </si>
  <si>
    <t>310984318</t>
  </si>
  <si>
    <t>5658374</t>
  </si>
  <si>
    <t>EQ17728054215SIN3181741</t>
  </si>
  <si>
    <t>362578893</t>
  </si>
  <si>
    <t>EQ17725810101SIN3024185</t>
  </si>
  <si>
    <t>EB77737362992SIN10205153</t>
  </si>
  <si>
    <t>377436785</t>
  </si>
  <si>
    <t>EQ17728054215SIN2898410</t>
  </si>
  <si>
    <t>5420700</t>
  </si>
  <si>
    <t>305245663</t>
  </si>
  <si>
    <t>357331804</t>
  </si>
  <si>
    <t>EQ17725810101SIN2749201</t>
  </si>
  <si>
    <t>352147221</t>
  </si>
  <si>
    <t>367914485</t>
  </si>
  <si>
    <t>EB77737362992SIN9552636</t>
  </si>
  <si>
    <t>342835551</t>
  </si>
  <si>
    <t>296951377</t>
  </si>
  <si>
    <t>EB77737362992SIN8914243</t>
  </si>
  <si>
    <t>342831924</t>
  </si>
  <si>
    <t>EQ17725810101SIN2483006</t>
  </si>
  <si>
    <t>EQ17728054215SIN2483008</t>
  </si>
  <si>
    <t>359871482</t>
  </si>
  <si>
    <t>5098100</t>
  </si>
  <si>
    <t>EQ17725810101SIN2236035</t>
  </si>
  <si>
    <t>EB77737362992SIN8348809</t>
  </si>
  <si>
    <t>336112359</t>
  </si>
  <si>
    <t>352135169</t>
  </si>
  <si>
    <t>EQ17726353215NEW2045101</t>
  </si>
  <si>
    <t>EB62884111NEW738186</t>
  </si>
  <si>
    <t>EQ17725810101SIN1942744</t>
  </si>
  <si>
    <t>326898958</t>
  </si>
  <si>
    <t>340860616</t>
  </si>
  <si>
    <t>EB77737362992SIN7639105</t>
  </si>
  <si>
    <t>Transactions — Zerodha - Ashutosh</t>
  </si>
  <si>
    <t>6 transactions  •  Add or delete rows freely — the Dashboard auto-recomputes via the Excel table named 'tZerodhAshu'.</t>
  </si>
  <si>
    <t>2275390896</t>
  </si>
  <si>
    <t>INF769K01BI1</t>
  </si>
  <si>
    <t>2262311934</t>
  </si>
  <si>
    <t>2247476443</t>
  </si>
  <si>
    <t>Hdfc Gold</t>
  </si>
  <si>
    <t>INF179K01VX0</t>
  </si>
  <si>
    <t>2067782380</t>
  </si>
  <si>
    <t>2001085180</t>
  </si>
  <si>
    <t>INF205K01LE4</t>
  </si>
  <si>
    <t>222538790</t>
  </si>
  <si>
    <t>Transactions — Zerodha - Harsha</t>
  </si>
  <si>
    <t>16 transactions  •  Add or delete rows freely — the Dashboard auto-recomputes via the Excel table named 'tZerodhHars'.</t>
  </si>
  <si>
    <t>2635339247</t>
  </si>
  <si>
    <t>INF109K012B0</t>
  </si>
  <si>
    <t>2589024593</t>
  </si>
  <si>
    <t>2556981312</t>
  </si>
  <si>
    <t>2468301967</t>
  </si>
  <si>
    <t>2433900591</t>
  </si>
  <si>
    <t>2433899090</t>
  </si>
  <si>
    <t>Hdfc Silver</t>
  </si>
  <si>
    <t>INF179KC1DU7</t>
  </si>
  <si>
    <t>2433898499</t>
  </si>
  <si>
    <t>INF205K01KR8</t>
  </si>
  <si>
    <t>2433897751</t>
  </si>
  <si>
    <t>2423379772</t>
  </si>
  <si>
    <t>2423379427</t>
  </si>
  <si>
    <t>2423381154</t>
  </si>
  <si>
    <t>2377410585</t>
  </si>
  <si>
    <t>2377411406</t>
  </si>
  <si>
    <t>2277141402</t>
  </si>
  <si>
    <t>Hdfc Flexicap</t>
  </si>
  <si>
    <t>INF179K01UT0</t>
  </si>
  <si>
    <t>2277140775</t>
  </si>
  <si>
    <t>2236046295</t>
  </si>
  <si>
    <t>Scheme Code</t>
  </si>
  <si>
    <t>ISIN Div Payout/ ISIN Growth</t>
  </si>
  <si>
    <t>ISIN Div Reinvestment</t>
  </si>
  <si>
    <t>Net Asset Value</t>
  </si>
  <si>
    <t/>
  </si>
  <si>
    <t>INF209KA12Z1</t>
  </si>
  <si>
    <t>INF209KA13Z9</t>
  </si>
  <si>
    <t>Aditya Birla Sun Life Banking &amp; PSU Debt Fund  - DIRECT - IDCW</t>
  </si>
  <si>
    <t>INF209K01YM2</t>
  </si>
  <si>
    <t>-</t>
  </si>
  <si>
    <t>Aditya Birla Sun Life Banking &amp; PSU Debt Fund  - DIRECT - MONTHLY IDCW</t>
  </si>
  <si>
    <t>INF209K01YO8</t>
  </si>
  <si>
    <t>Aditya Birla Sun Life Banking &amp; PSU Debt Fund  - Direct - Quarterly IDCW</t>
  </si>
  <si>
    <t>INF209K01LX6</t>
  </si>
  <si>
    <t>INF209KA11Z3</t>
  </si>
  <si>
    <t>Aditya Birla Sun Life Banking &amp; PSU Debt Fund  - REGULAR - IDCW</t>
  </si>
  <si>
    <t>INF209K01LU2</t>
  </si>
  <si>
    <t>Aditya Birla Sun Life Banking &amp; PSU Debt Fund  - REGULAR - MONTHLY IDCW</t>
  </si>
  <si>
    <t>INF209K01LN7</t>
  </si>
  <si>
    <t>Aditya Birla Sun Life Banking &amp; PSU Debt Fund  - REGULAR - Quarterly IDCW</t>
  </si>
  <si>
    <t>INF209K01LV0</t>
  </si>
  <si>
    <t>Aditya Birla Sun Life Banking &amp; PSU Debt Fund - Regular Plan-Growth</t>
  </si>
  <si>
    <t>INF209K01YN0</t>
  </si>
  <si>
    <t>Aditya Birla Sun Life Banking &amp; PSU Debt Fund- Direct Plan-Growth</t>
  </si>
  <si>
    <t>INF846K01NF8</t>
  </si>
  <si>
    <t>Axis Banking &amp; PSU Debt Fund - Direct Plan - Bonus Option</t>
  </si>
  <si>
    <t>INF846K01CU0</t>
  </si>
  <si>
    <t>Axis Banking &amp; PSU Debt Fund - Direct Plan - Daily IDCW</t>
  </si>
  <si>
    <t>INF846K01CR6</t>
  </si>
  <si>
    <t>Axis Banking &amp; PSU Debt Fund - Direct Plan - Growth Option</t>
  </si>
  <si>
    <t>INF846K01CT2</t>
  </si>
  <si>
    <t>INF846K01CS4</t>
  </si>
  <si>
    <t>Axis Banking &amp; PSU Debt Fund - Direct Plan - Monthly IDCW</t>
  </si>
  <si>
    <t>INF846K01CV8</t>
  </si>
  <si>
    <t>INF846K01CW6</t>
  </si>
  <si>
    <t>Axis Banking &amp; PSU Debt Fund - Direct Plan - Weekly IDCW</t>
  </si>
  <si>
    <t>INF846K01NG6</t>
  </si>
  <si>
    <t>Axis Banking &amp; PSU Debt Fund - Regular Plan - Bonus Option</t>
  </si>
  <si>
    <t>INF846K01CC8</t>
  </si>
  <si>
    <t>Axis Banking &amp; PSU Debt Fund - Regular Plan - Daily IDCW</t>
  </si>
  <si>
    <t>INF846K01CB0</t>
  </si>
  <si>
    <t>Axis Banking &amp; PSU Debt Fund - Regular Plan - Growth option</t>
  </si>
  <si>
    <t>INF846K01CF1</t>
  </si>
  <si>
    <t>INF846K01CG9</t>
  </si>
  <si>
    <t>Axis Banking &amp; PSU Debt Fund - Regular Plan - Monthly IDCW</t>
  </si>
  <si>
    <t>INF846K01CD6</t>
  </si>
  <si>
    <t>INF846K01CE4</t>
  </si>
  <si>
    <t>Axis Banking &amp; PSU Debt Fund - Regular Plan - Weekly IDCW</t>
  </si>
  <si>
    <t>INF0QA701649</t>
  </si>
  <si>
    <t>INF0QA701631</t>
  </si>
  <si>
    <t>Bajaj Finserv Banking and PSU Fund-  Direct Plan-Monthly- IDCW</t>
  </si>
  <si>
    <t>INF0QA701615</t>
  </si>
  <si>
    <t>INF0QA701623</t>
  </si>
  <si>
    <t>Bajaj Finserv Banking and PSU Fund- Direct Plan- IDCW</t>
  </si>
  <si>
    <t>INF0QA701557</t>
  </si>
  <si>
    <t>Bajaj Finserv Banking and PSU Fund- Regular Plan- Growth</t>
  </si>
  <si>
    <t>INF0QA701565</t>
  </si>
  <si>
    <t>INF0QA701573</t>
  </si>
  <si>
    <t>Bajaj Finserv Banking and PSU Fund- Regular Plan- IDCW</t>
  </si>
  <si>
    <t>INF0QA701607</t>
  </si>
  <si>
    <t>Bajaj Finserv Banking and PSU Fund-Direct Plan- Growth</t>
  </si>
  <si>
    <t>INF0QA701599</t>
  </si>
  <si>
    <t>INF0QA701581</t>
  </si>
  <si>
    <t>Bajaj Finserv Banking and PSU Fund-Regular Plan-Monthly-IDCW</t>
  </si>
  <si>
    <t>INF194K019M8</t>
  </si>
  <si>
    <t>Bandhan Banking and PSU Fund - Direct Annual IDCW</t>
  </si>
  <si>
    <t>INF194KA1JD3</t>
  </si>
  <si>
    <t>Bandhan Banking and PSU Fund - Direct Daily IDCW</t>
  </si>
  <si>
    <t>INF194K010N5</t>
  </si>
  <si>
    <t>Bandhan Banking and PSU Fund - Direct Fortnightly IDCW</t>
  </si>
  <si>
    <t>INF194K015G8</t>
  </si>
  <si>
    <t>Bandhan Banking and PSU Fund - Direct Growth</t>
  </si>
  <si>
    <t>INF194K016G6</t>
  </si>
  <si>
    <t>INF194K017G4</t>
  </si>
  <si>
    <t>Bandhan Banking and PSU Fund - Direct IDCW</t>
  </si>
  <si>
    <t>INF194K011N3</t>
  </si>
  <si>
    <t>Bandhan Banking and PSU Fund - Direct Monthly IDCW</t>
  </si>
  <si>
    <t>INF194K018M0</t>
  </si>
  <si>
    <t>Bandhan Banking and PSU Fund - Direct Quarterly IDCW</t>
  </si>
  <si>
    <t>INF194K015M6</t>
  </si>
  <si>
    <t>Bandhan Banking and PSU Fund - Regular Annual IDCW</t>
  </si>
  <si>
    <t>INF194KA1JC5</t>
  </si>
  <si>
    <t>Bandhan Banking and PSU Fund - Regular Daily IDCW</t>
  </si>
  <si>
    <t>INF194K016M4</t>
  </si>
  <si>
    <t>Bandhan Banking and PSU Fund - Regular Fortnightly IDCW</t>
  </si>
  <si>
    <t>INF194K01SN6</t>
  </si>
  <si>
    <t>Bandhan Banking and PSU Fund - Regular Growth</t>
  </si>
  <si>
    <t>INF194K01SO4</t>
  </si>
  <si>
    <t>INF194K012D2</t>
  </si>
  <si>
    <t>Bandhan Banking and PSU Fund - Regular IDCW</t>
  </si>
  <si>
    <t>INF194K017M2</t>
  </si>
  <si>
    <t>Bandhan Banking and PSU Fund - Regular Monthly IDCW</t>
  </si>
  <si>
    <t>INF194K014M9</t>
  </si>
  <si>
    <t>Bandhan Banking and PSU Fund - Regular Quarterly IDCW</t>
  </si>
  <si>
    <t>INF760K01KC4</t>
  </si>
  <si>
    <t>Canara Robeco Banking and PSU Debt Fund- Direct Plan- Growth Option</t>
  </si>
  <si>
    <t>INF760K01KE0</t>
  </si>
  <si>
    <t>INF760K01KD2</t>
  </si>
  <si>
    <t>Canara Robeco Banking and PSU Debt Fund- Direct Plan- IDCW Payout</t>
  </si>
  <si>
    <t>INF760K01KF7</t>
  </si>
  <si>
    <t>Canara Robeco Banking and PSU Debt Fund- Regular Plan- Growth Option</t>
  </si>
  <si>
    <t>INF760K01KH3</t>
  </si>
  <si>
    <t>INF760K01KG5</t>
  </si>
  <si>
    <t>Canara Robeco Banking and PSU Debt Fund- Regular Plan- IDCW (Payout/ Reinvestment)</t>
  </si>
  <si>
    <t>INF740K01ZW2</t>
  </si>
  <si>
    <t>DSP Banking &amp; PSU Debt Fund - Direct Plan - Growth</t>
  </si>
  <si>
    <t>INF740K01A18</t>
  </si>
  <si>
    <t>INF740K01A26</t>
  </si>
  <si>
    <t>DSP Banking &amp; PSU Debt Fund - Direct Plan - IDCW</t>
  </si>
  <si>
    <t>INF740KA1OF7</t>
  </si>
  <si>
    <t>DSP Banking &amp; PSU Debt Fund - Direct Plan - IDCW - Daily Reinvest</t>
  </si>
  <si>
    <t>INF740K01ZX0</t>
  </si>
  <si>
    <t>INF740K01ZY8</t>
  </si>
  <si>
    <t>DSP Banking &amp; PSU Debt Fund - Direct Plan - IDCW - Monthly</t>
  </si>
  <si>
    <t>INF740K01ZZ5</t>
  </si>
  <si>
    <t>INF740K01A00</t>
  </si>
  <si>
    <t xml:space="preserve">DSP Banking &amp; PSU Debt Fund - Direct Plan - IDCW - Quarterly </t>
  </si>
  <si>
    <t>INF740KA1OG5</t>
  </si>
  <si>
    <t>INF740KA1OH3</t>
  </si>
  <si>
    <t>DSP Banking &amp; PSU Debt Fund - Direct Plan - IDCW - Weekly</t>
  </si>
  <si>
    <t>INF740K01ZP6</t>
  </si>
  <si>
    <t>DSP Banking &amp; PSU Debt Fund - Regular Plan - Growth</t>
  </si>
  <si>
    <t>INF740K01ZU6</t>
  </si>
  <si>
    <t>INF740K01ZV4</t>
  </si>
  <si>
    <t>DSP Banking &amp; PSU Debt Fund - Regular Plan - IDCW</t>
  </si>
  <si>
    <t>INF740KA1OI1</t>
  </si>
  <si>
    <t>DSP Banking &amp; PSU Debt Fund - Regular Plan - IDCW - Daily Reinvest</t>
  </si>
  <si>
    <t>INF740K01ZQ4</t>
  </si>
  <si>
    <t>INF740K01ZR2</t>
  </si>
  <si>
    <t>DSP Banking &amp; PSU Debt Fund - Regular Plan - IDCW - Monthly</t>
  </si>
  <si>
    <t>INF740K01ZS0</t>
  </si>
  <si>
    <t>INF740K01ZT8</t>
  </si>
  <si>
    <t xml:space="preserve">DSP Banking &amp; PSU Debt Fund - Regular Plan - IDCW - Quarterly </t>
  </si>
  <si>
    <t>INF740KA1OJ9</t>
  </si>
  <si>
    <t>INF740KA1OK7</t>
  </si>
  <si>
    <t>DSP Banking &amp; PSU Debt Fund - Regular Plan - IDCW - Weekly</t>
  </si>
  <si>
    <t>INF843K01FC8</t>
  </si>
  <si>
    <t>Edelweiss Banking and PSU Debt Fund - Direct Plan - Growth Option</t>
  </si>
  <si>
    <t>INF843K01FD6</t>
  </si>
  <si>
    <t>INF843K01FE4</t>
  </si>
  <si>
    <t>Edelweiss Banking and PSU Debt Fund - Direct Plan - IDCW Option</t>
  </si>
  <si>
    <t>INF843K01FG9</t>
  </si>
  <si>
    <t>Edelweiss Banking and PSU Debt Fund - Direct Plan Fortnightly - IDCW Option</t>
  </si>
  <si>
    <t>INF843K01FI5</t>
  </si>
  <si>
    <t>INF843K01FH7</t>
  </si>
  <si>
    <t>Edelweiss Banking and PSU Debt Fund - Direct Plan Monthly - IDCW Option</t>
  </si>
  <si>
    <t>INF843K01FF1</t>
  </si>
  <si>
    <t>Edelweiss Banking and PSU Debt Fund - Direct Plan weekly - IDCW Option</t>
  </si>
  <si>
    <t>INF843K01FK1</t>
  </si>
  <si>
    <t>Edelweiss Banking and PSU Debt Fund - Regular Plan - Growth Option</t>
  </si>
  <si>
    <t>INF843K01FL9</t>
  </si>
  <si>
    <t>INF843K01FM7</t>
  </si>
  <si>
    <t>Edelweiss Banking and PSU Debt Fund - Regular Plan - IDCW Option</t>
  </si>
  <si>
    <t>INF843K01FO3</t>
  </si>
  <si>
    <t>Edelweiss Banking and PSU Debt Fund - Regular Plan Fortnightly - IDCW Option</t>
  </si>
  <si>
    <t>INF843K01FQ8</t>
  </si>
  <si>
    <t>INF843K01FP0</t>
  </si>
  <si>
    <t>Edelweiss Banking and PSU Debt Fund - Regular Plan Monthly - IDCW Option</t>
  </si>
  <si>
    <t>INF843K01FN5</t>
  </si>
  <si>
    <t>Edelweiss Banking and PSU Debt Fund - Regular Plan Weekly - IDCW Option</t>
  </si>
  <si>
    <t>INF090I01KR8</t>
  </si>
  <si>
    <t>Franklin India Banking &amp; PSU Debt Fund - Direct - Growth</t>
  </si>
  <si>
    <t>INF090I01KO5</t>
  </si>
  <si>
    <t>Franklin India Banking &amp; PSU Debt Fund - Growth</t>
  </si>
  <si>
    <t>INF090I01KS6</t>
  </si>
  <si>
    <t>INF090I01KT4</t>
  </si>
  <si>
    <t xml:space="preserve">Franklin India Banking and PSU Debt Fund - Direct - IDCW </t>
  </si>
  <si>
    <t>INF090I01KP2</t>
  </si>
  <si>
    <t>INF090I01KQ0</t>
  </si>
  <si>
    <t xml:space="preserve">Franklin India Banking and PSU Debt Fund - IDCW </t>
  </si>
  <si>
    <t>INF179KA1JC4</t>
  </si>
  <si>
    <t>HDFC Banking and PSU Debt Fund - Growth Option</t>
  </si>
  <si>
    <t>INF179KA1IZ7</t>
  </si>
  <si>
    <t>HDFC Banking and PSU Debt Fund - Growth Option - Direct Plan</t>
  </si>
  <si>
    <t>INF179KA1JD2</t>
  </si>
  <si>
    <t>INF179KA1JE0</t>
  </si>
  <si>
    <t>HDFC Banking and PSU Debt Fund - IDCW Option</t>
  </si>
  <si>
    <t>INF179KA1JA8</t>
  </si>
  <si>
    <t>INF179KA1JB6</t>
  </si>
  <si>
    <t>HDFC Banking and PSU Debt Fund - IDCW Option - Direct Plan</t>
  </si>
  <si>
    <t>INF917K01HL7</t>
  </si>
  <si>
    <t>HSBC Banking and PSU Debt Fund - Direct Daily IDCW</t>
  </si>
  <si>
    <t>INF917K01HH5</t>
  </si>
  <si>
    <t>HSBC Banking and PSU Debt Fund - Direct Growth</t>
  </si>
  <si>
    <t>INF917K01HJ1</t>
  </si>
  <si>
    <t>INF917K01HI3</t>
  </si>
  <si>
    <t>HSBC Banking and PSU Debt Fund - Direct Monthly IDCW</t>
  </si>
  <si>
    <t>INF917K01HK9</t>
  </si>
  <si>
    <t>HSBC Banking and PSU Debt Fund - Direct Weekly IDCW</t>
  </si>
  <si>
    <t>INF677K01AF4</t>
  </si>
  <si>
    <t>HSBC Banking and PSU Debt Fund - Regular Daily IDCW</t>
  </si>
  <si>
    <t>INF677K01AE7</t>
  </si>
  <si>
    <t>HSBC Banking and PSU Debt Fund - Regular Growth</t>
  </si>
  <si>
    <t>INF677K01AI8</t>
  </si>
  <si>
    <t>INF677K01AJ6</t>
  </si>
  <si>
    <t>HSBC Banking and PSU Debt Fund - Regular Monthly IDCW</t>
  </si>
  <si>
    <t>INF917K01HM5</t>
  </si>
  <si>
    <t>HSBC Banking and PSU Debt Fund - Regular Weekly IDCW</t>
  </si>
  <si>
    <t>INF109K01WS5</t>
  </si>
  <si>
    <t>INF109K01RV9</t>
  </si>
  <si>
    <t>ICICI Prudential Banking and PSU Debt Fund -  Daily IDCW</t>
  </si>
  <si>
    <t>INF109K01WR7</t>
  </si>
  <si>
    <t>INF109K01RU1</t>
  </si>
  <si>
    <t>ICICI Prudential Banking and PSU Debt Fund -  Weekly IDCW</t>
  </si>
  <si>
    <t>INF109KA1B57</t>
  </si>
  <si>
    <t>ICICI Prudential Banking and PSU Debt Fund - Bonus</t>
  </si>
  <si>
    <t>INF109K01Z89</t>
  </si>
  <si>
    <t>INF109K01Z97</t>
  </si>
  <si>
    <t>ICICI Prudential Banking and PSU Debt Fund - Direct Plan -  Daily IDCW</t>
  </si>
  <si>
    <t>INF109K010A6</t>
  </si>
  <si>
    <t>ICICI Prudential Banking and PSU Debt Fund - Direct Plan -  Growth</t>
  </si>
  <si>
    <t>INF109K011A4</t>
  </si>
  <si>
    <t>INF109K012A2</t>
  </si>
  <si>
    <t>ICICI Prudential Banking and PSU Debt Fund - Direct Plan -  Quarterly IDCW</t>
  </si>
  <si>
    <t>INF109K013A0</t>
  </si>
  <si>
    <t>INF109K014A8</t>
  </si>
  <si>
    <t>ICICI Prudential Banking and PSU Debt Fund - Direct Plan -  Weekly IDCW</t>
  </si>
  <si>
    <t>INF109KA1B40</t>
  </si>
  <si>
    <t>ICICI Prudential Banking and PSU Debt Fund - Direct Plan Bonus</t>
  </si>
  <si>
    <t>INF109KA1M96</t>
  </si>
  <si>
    <t>INF109KA1M88</t>
  </si>
  <si>
    <t>ICICI Prudential Banking and PSU Debt Fund - Direct Plan Half Yearly IDCW Option</t>
  </si>
  <si>
    <t>INF109K01RT3</t>
  </si>
  <si>
    <t>ICICI Prudential Banking and PSU Debt Fund - Growth</t>
  </si>
  <si>
    <t>INF109K01YE1</t>
  </si>
  <si>
    <t>INF109K01YD3</t>
  </si>
  <si>
    <t>ICICI Prudential Banking and PSU Debt Fund - Quarterly IDCW</t>
  </si>
  <si>
    <t>INF109KA1M70</t>
  </si>
  <si>
    <t>INF109KA1M62</t>
  </si>
  <si>
    <t>ICICI Prudential Banking and PSU Debt Fund Half Yearly IDCW Option</t>
  </si>
  <si>
    <t>INF109K01WW7</t>
  </si>
  <si>
    <t>INF109K01JM5</t>
  </si>
  <si>
    <t>ICICI Prudential Banking and PSU Debt Fund Retail Daily Dividend</t>
  </si>
  <si>
    <t>INF109K01II5</t>
  </si>
  <si>
    <t>ICICI Prudential Banking and PSU Debt Fund Retail Growth</t>
  </si>
  <si>
    <t>INF109K01WV9</t>
  </si>
  <si>
    <t>INF109K01IJ3</t>
  </si>
  <si>
    <t>ICICI Prudential Banking and PSU Debt Fund Retail Weekly Dividend</t>
  </si>
  <si>
    <t>INF205K01KT4</t>
  </si>
  <si>
    <t>Invesco India Banking and PSU Fund - Direct Plan -  Growth Option</t>
  </si>
  <si>
    <t>INF205K01KS6</t>
  </si>
  <si>
    <t>Invesco India Banking and PSU Fund - Direct Plan - Daily IDCW (Reinvestment)</t>
  </si>
  <si>
    <t>INF205K01KU2</t>
  </si>
  <si>
    <t>INF205K01KV0</t>
  </si>
  <si>
    <t>Invesco India Banking and PSU Fund - Direct Plan - Monthly IDCW (Payout / Reinvestment)</t>
  </si>
  <si>
    <t>INF205K01JX8</t>
  </si>
  <si>
    <t>Invesco India Banking and PSU Fund - Regular Plan - Daily IDCW (Reinvestment)</t>
  </si>
  <si>
    <t>INF205K01JV2</t>
  </si>
  <si>
    <t>Invesco India Banking and PSU Fund - Regular Plan - Growth Option</t>
  </si>
  <si>
    <t>INF205K01JW0</t>
  </si>
  <si>
    <t>INF205K01JY6</t>
  </si>
  <si>
    <t>Invesco India Banking and PSU Fund - Regular Plan - Monthly IDCW (Payout / Reinvestment)</t>
  </si>
  <si>
    <t>INF00XX01861</t>
  </si>
  <si>
    <t>ITI Banking &amp; PSU Debt Fund - Direct Plan - Growth Option</t>
  </si>
  <si>
    <t>INF00XX01879</t>
  </si>
  <si>
    <t>INF00XX01887</t>
  </si>
  <si>
    <t>ITI Banking &amp; PSU Debt Fund - Direct Plan - IDCW Option</t>
  </si>
  <si>
    <t>INF00XX01838</t>
  </si>
  <si>
    <t>ITI Banking &amp; PSU Debt Fund - Regular Plan - Growth Option</t>
  </si>
  <si>
    <t>INF00XX01846</t>
  </si>
  <si>
    <t>INF00XX01853</t>
  </si>
  <si>
    <t>ITI Banking &amp; PSU Debt Fund - Regular Plan - IDCW Option</t>
  </si>
  <si>
    <t>INF174K01FO3</t>
  </si>
  <si>
    <t>Kotak Banking and PSU Debt - Growth</t>
  </si>
  <si>
    <t>INF174K01FQ8</t>
  </si>
  <si>
    <t>INF174K01FP0</t>
  </si>
  <si>
    <t>Kotak Banking and PSU Debt - Monthly Payout of Income Distribution cum capital withdrawal option</t>
  </si>
  <si>
    <t>INF174K01KI5</t>
  </si>
  <si>
    <t>INF174K01KJ3</t>
  </si>
  <si>
    <t>Kotak Banking and PSU Debt Direct - Annual Dividend</t>
  </si>
  <si>
    <t>INF174K01KH7</t>
  </si>
  <si>
    <t>Kotak Banking and PSU Debt Direct - Growth</t>
  </si>
  <si>
    <t>INF174K01KK1</t>
  </si>
  <si>
    <t>INF174K01KL9</t>
  </si>
  <si>
    <t>Kotak Banking and PSU Debt Direct - Monthly Payout of Income Distribution cum capital withdrawal option</t>
  </si>
  <si>
    <t>INF767K01GJ2</t>
  </si>
  <si>
    <t>INF767K01GM6</t>
  </si>
  <si>
    <t>LIC MF Banking &amp; PSU Fund-Direct Plan-Daily IDCW</t>
  </si>
  <si>
    <t>INF767K01GI4</t>
  </si>
  <si>
    <t>LIC MF Banking &amp; PSU Fund-Direct Plan-Growth</t>
  </si>
  <si>
    <t>INF767K01GK0</t>
  </si>
  <si>
    <t>INF767K01GN4</t>
  </si>
  <si>
    <t>LIC MF Banking &amp; PSU Fund-Direct Plan-Monthly IDCW</t>
  </si>
  <si>
    <t>INF767K01GL8</t>
  </si>
  <si>
    <t>INF767K01GO2</t>
  </si>
  <si>
    <t>LIC MF Banking &amp; PSU Fund-Direct Plan-Weekly IDCW</t>
  </si>
  <si>
    <t>INF767K01519</t>
  </si>
  <si>
    <t>INF767K01527</t>
  </si>
  <si>
    <t>LIC MF Banking &amp; PSU Fund-Regular Plan-Daily IDCW</t>
  </si>
  <si>
    <t>INF767K01535</t>
  </si>
  <si>
    <t>LIC MF Banking &amp; PSU Fund-Regular Plan-Growth</t>
  </si>
  <si>
    <t>INF767K01543</t>
  </si>
  <si>
    <t>INF767K01550</t>
  </si>
  <si>
    <t>LIC MF Banking &amp; PSU Fund-Regular Plan-Monthly IDCW</t>
  </si>
  <si>
    <t>INF767K01568</t>
  </si>
  <si>
    <t>INF767K01576</t>
  </si>
  <si>
    <t>LIC MF Banking &amp; PSU Fund-Regular Plan-Weekly IDCW</t>
  </si>
  <si>
    <t>INF769K01FY9</t>
  </si>
  <si>
    <t>Mirae Asset Banking and PSU Fund - Direct Plan - Growth</t>
  </si>
  <si>
    <t>INF769K01FX1</t>
  </si>
  <si>
    <t>INF769K01FZ6</t>
  </si>
  <si>
    <t>Mirae Asset Banking and PSU Fund - Direct Plan - IDCW</t>
  </si>
  <si>
    <t>INF769K01FV5</t>
  </si>
  <si>
    <t>Mirae Asset Banking and PSU Fund - Regular Plan - Growth</t>
  </si>
  <si>
    <t>INF769K01FU7</t>
  </si>
  <si>
    <t>INF769K01FW3</t>
  </si>
  <si>
    <t>Mirae Asset Banking and PSU Fund - Regular plan - IDCW</t>
  </si>
  <si>
    <t>INF204KA1U79</t>
  </si>
  <si>
    <t>INF204KA1U87</t>
  </si>
  <si>
    <t>NIPPON INDIA BANKING and PSU  FUND - Direct Plan - IDCW Option</t>
  </si>
  <si>
    <t>INF204KA1U12</t>
  </si>
  <si>
    <t>INF204KA1U20</t>
  </si>
  <si>
    <t>NIPPON INDIA BANKING and PSU  FUND - WEEKLY IDCW Option</t>
  </si>
  <si>
    <t>INF204KA1U53</t>
  </si>
  <si>
    <t>Nippon India Banking and PSU  Fund- Direct Plan-Growth Plan- Growth Option</t>
  </si>
  <si>
    <t>INF204KA1V37</t>
  </si>
  <si>
    <t>INF204KA1V45</t>
  </si>
  <si>
    <t>NIPPON INDIA BANKING and PSU FUND - Direct Plan - MONTHLY IDCW Option</t>
  </si>
  <si>
    <t>INF204KA1U95</t>
  </si>
  <si>
    <t>INF204KA1V03</t>
  </si>
  <si>
    <t>NIPPON INDIA BANKING and PSU FUND - Direct Plan - QUARTERLY IDCW Option</t>
  </si>
  <si>
    <t>INF204KA1V11</t>
  </si>
  <si>
    <t>INF204KA1V29</t>
  </si>
  <si>
    <t>NIPPON INDIA BANKING and PSU FUND - Direct Plan - WEEKLY IDCW Option</t>
  </si>
  <si>
    <t>INF204KA1T72</t>
  </si>
  <si>
    <t>INF204KA1T80</t>
  </si>
  <si>
    <t>NIPPON INDIA BANKING and PSU FUND - IDCW Option</t>
  </si>
  <si>
    <t>INF204KA1U38</t>
  </si>
  <si>
    <t>INF204KA1U46</t>
  </si>
  <si>
    <t>NIPPON INDIA BANKING and PSU FUND - MONTHLY IDCW Option</t>
  </si>
  <si>
    <t>INF204KA1T98</t>
  </si>
  <si>
    <t>INF204KA1U04</t>
  </si>
  <si>
    <t>NIPPON INDIA BANKING and PSU FUND - QUARTERLY IDCW Option</t>
  </si>
  <si>
    <t>INF204KA1U61</t>
  </si>
  <si>
    <t>Nippon India Banking and PSU Fund- Direct Plan-Growth Plan- Bonus Option</t>
  </si>
  <si>
    <t>INF204KA1T64</t>
  </si>
  <si>
    <t>Nippon India Banking and PSU Fund- Growth Plan- Bonus Option</t>
  </si>
  <si>
    <t>INF204KA1T56</t>
  </si>
  <si>
    <t>Nippon India Banking and PSU Fund- Growth Plan- Growth Option</t>
  </si>
  <si>
    <t>INF200K01V16</t>
  </si>
  <si>
    <t>SBI Banking &amp; PSU Fund - Direct Plan - Daily Income Distribution cum Capital Withdrawal Option (IDCW)</t>
  </si>
  <si>
    <t>INF200K01V08</t>
  </si>
  <si>
    <t>SBI BANKING &amp; PSU FUND - Direct Plan - Growth</t>
  </si>
  <si>
    <t>INF200K01V40</t>
  </si>
  <si>
    <t>INF200K01V57</t>
  </si>
  <si>
    <t>SBI Banking &amp; PSU Fund - Direct Plan - Monthly Income Distribution cum Capital Withdrawal Option (IDCW)</t>
  </si>
  <si>
    <t>INF200K01V32</t>
  </si>
  <si>
    <t>INF200K01V24</t>
  </si>
  <si>
    <t>SBI Banking &amp; PSU Fund - Direct Plan - Weekly Income Distribution cum Capital Withdrawal Option (IDCW)</t>
  </si>
  <si>
    <t>INF200K01U41</t>
  </si>
  <si>
    <t>SBI BANKING &amp; PSU FUND - Regular Paln - Growth</t>
  </si>
  <si>
    <t>INF200K01U58</t>
  </si>
  <si>
    <t>SBI Banking &amp; PSU Fund - Regular Plan - Daily Income Distribution cum Capital Withdrawal Option (IDCW)</t>
  </si>
  <si>
    <t>INF200K01U82</t>
  </si>
  <si>
    <t>INF200K01U90</t>
  </si>
  <si>
    <t>SBI Banking &amp; PSU Fund - Regular Plan - Monthly Income Distribution cum Capital Withdrawal Option (IDCW)</t>
  </si>
  <si>
    <t>INF200K01U74</t>
  </si>
  <si>
    <t>INF200K01U66</t>
  </si>
  <si>
    <t>SBI Banking &amp; PSU Fund - Regular Plan - Weekly Income Distribution cum Capital Withdrawal Option (IDCW)</t>
  </si>
  <si>
    <t>INF903J017I5</t>
  </si>
  <si>
    <t>Sundaram Banking &amp; PSU Fund (Formerly Known as Sundaram Banking &amp; PSU Debt Fund) - Direct Growth</t>
  </si>
  <si>
    <t>INF903J012J4</t>
  </si>
  <si>
    <t>INF903J013J2</t>
  </si>
  <si>
    <t>Sundaram Banking &amp; PSU Fund (Formerly Known as Sundaram Banking &amp; PSU Debt Fund) - Direct Monthly Dividend</t>
  </si>
  <si>
    <t>INF903J019I1</t>
  </si>
  <si>
    <t>INF903J014J0</t>
  </si>
  <si>
    <t>Sundaram Banking &amp; PSU Fund (Formerly Known as Sundaram Banking &amp; PSU Debt Fund) - Direct Quarterly Dividend</t>
  </si>
  <si>
    <t>INF903J016I7</t>
  </si>
  <si>
    <t>Sundaram Banking &amp; PSU Fund (Formerly Known as Sundaram Banking &amp; PSU Debt Fund) - Regular Annual Bonus</t>
  </si>
  <si>
    <t>INF903J010I0</t>
  </si>
  <si>
    <t>Sundaram Banking &amp; PSU Fund (Formerly Known as Sundaram Banking &amp; PSU Debt Fund) - Regular Daily Dividend Reinvestment</t>
  </si>
  <si>
    <t>INF903J016H9</t>
  </si>
  <si>
    <t>Sundaram Banking &amp; PSU Fund (Formerly Known as Sundaram Banking &amp; PSU Debt Fund) - Regular Growth</t>
  </si>
  <si>
    <t>INF903J018H5</t>
  </si>
  <si>
    <t>INF903J012I6</t>
  </si>
  <si>
    <t>Sundaram Banking &amp; PSU Fund (Formerly Known as Sundaram Banking &amp; PSU Debt Fund) - Regular Monthly Dividend</t>
  </si>
  <si>
    <t>INF903J014I2</t>
  </si>
  <si>
    <t>Sundaram Banking &amp; PSU Fund (Formerly Known as Sundaram Banking &amp; PSU Debt Fund) - Regular Quarterly Bonus</t>
  </si>
  <si>
    <t>INF903J019H3</t>
  </si>
  <si>
    <t>INF903J013I4</t>
  </si>
  <si>
    <t>Sundaram Banking &amp; PSU Fund (Formerly Known as Sundaram Banking &amp; PSU Debt Fund) - Regular Quarterly Dividend</t>
  </si>
  <si>
    <t>INF903J017H7</t>
  </si>
  <si>
    <t>INF903J011I8</t>
  </si>
  <si>
    <t>Sundaram Banking &amp; PSU Fund (Formerly Known as Sundaram Banking &amp; PSU Debt Fund) - Regular Weekly Dividend</t>
  </si>
  <si>
    <t>INF903J01RI4</t>
  </si>
  <si>
    <t>Sundaram Banking &amp; PSU Fund (Formerly Known as Sundaram Banking and PSU Debt Fund) Direct Plan - Bonus</t>
  </si>
  <si>
    <t>INF903J01PC1</t>
  </si>
  <si>
    <t>Sundaram Banking &amp; PSU Fund (Formerly Known as Sundaram Banking and PSU Debt Fund) Direct Plan - Daily Reinvestment of Income Distribution cum Capital Withdrawal (IDCW)</t>
  </si>
  <si>
    <t>INF903J01PA5</t>
  </si>
  <si>
    <t>Sundaram Banking &amp; PSU Fund (Formerly Known as Sundaram Banking and PSU Debt Fund) Direct Plan - Growth</t>
  </si>
  <si>
    <t>INF903J01PB3</t>
  </si>
  <si>
    <t>INF903J01PE7</t>
  </si>
  <si>
    <t>Sundaram Banking &amp; PSU Fund (Formerly Known as Sundaram Banking and PSU Debt Fund) Direct Plan - Income Distribution cum Capital Withdrawal (IDCW)</t>
  </si>
  <si>
    <t>INF903J01LY4</t>
  </si>
  <si>
    <t>Sundaram Banking &amp; PSU Fund (Formerly Known as Sundaram Banking and PSU Debt Fund) Regular Plan - Bonus</t>
  </si>
  <si>
    <t>INF903J01IP8</t>
  </si>
  <si>
    <t>Sundaram Banking &amp; PSU Fund (Formerly Known as Sundaram Banking and PSU Debt Fund) Regular Plan - Daily Reinvestment of Income Distribution cum Capital Withdrawal (IDCW)</t>
  </si>
  <si>
    <t>INF903J01IN3</t>
  </si>
  <si>
    <t>Sundaram Banking &amp; PSU Fund (Formerly Known as Sundaram Banking and PSU Debt Fund) Regular Plan - Growth</t>
  </si>
  <si>
    <t>INF903J01IO1</t>
  </si>
  <si>
    <t>INF903J01IR4</t>
  </si>
  <si>
    <t>Sundaram Banking &amp; PSU Fund (Formerly Known as Sundaram Banking and PSU Debt Fund) Regular Plan - Income Distribution cum Capital Withdrawal (IDCW)</t>
  </si>
  <si>
    <t>INF903J01IQ6</t>
  </si>
  <si>
    <t>Sundaram Banking &amp; PSU Fund (Formerly Known as Sundaram Banking and PSU Debt Fund) Regular Plan - Weekly Reinvestment of Income Distribution cum Capital Withdrawal (IDCW)</t>
  </si>
  <si>
    <t>INF903J01IK9</t>
  </si>
  <si>
    <t>Sundaram Banking &amp; PSU Fund (Formerly Known as Sundaram Banking and PSU Debt Fund) Retail Plan - Growth</t>
  </si>
  <si>
    <t>INF903J01IL7</t>
  </si>
  <si>
    <t>INF903J01IM5</t>
  </si>
  <si>
    <t>Sundaram Banking &amp; PSU Fund (Formerly Known as Sundaram Banking and PSU Debt Fund) Retail Plan - Monthly Income Distribution cum Capital Withdrawal (IDCW)</t>
  </si>
  <si>
    <t>INF789FA1V03</t>
  </si>
  <si>
    <t>INF789FA1V11</t>
  </si>
  <si>
    <t>UTI Banking &amp; PSU Fund - Direct Plan - Annual IDCW</t>
  </si>
  <si>
    <t>INF789FA1V29</t>
  </si>
  <si>
    <t>INF789FA1V37</t>
  </si>
  <si>
    <t>UTI Banking &amp; PSU Fund - Direct Plan - Flexi IDCW</t>
  </si>
  <si>
    <t>INF789F015Z6</t>
  </si>
  <si>
    <t>UTI Banking &amp; PSU Fund - Direct Plan - Growth Option</t>
  </si>
  <si>
    <t>INF789FA1U87</t>
  </si>
  <si>
    <t>INF789FA1U95</t>
  </si>
  <si>
    <t>UTI Banking &amp; PSU Fund - Direct Plan - Half-Yearly IDCW</t>
  </si>
  <si>
    <t>INF789FC1HE1</t>
  </si>
  <si>
    <t>INF789FC1HF8</t>
  </si>
  <si>
    <t>UTI Banking &amp; PSU Fund - Direct Plan - Monthly IDCW</t>
  </si>
  <si>
    <t>INF789F016Z4</t>
  </si>
  <si>
    <t>INF789F017Z2</t>
  </si>
  <si>
    <t>UTI Banking &amp; PSU Fund - Direct Plan - Quarterly IDCW</t>
  </si>
  <si>
    <t>INF789FA1U46</t>
  </si>
  <si>
    <t>INF789FA1U53</t>
  </si>
  <si>
    <t>UTI Banking &amp; PSU Fund - Regular Plan - Annual IDCW</t>
  </si>
  <si>
    <t>INF789FA1U61</t>
  </si>
  <si>
    <t>INF789FA1U79</t>
  </si>
  <si>
    <t>UTI Banking &amp; PSU Fund - Regular Plan - Flexi IDCW</t>
  </si>
  <si>
    <t>INF789FA1U20</t>
  </si>
  <si>
    <t>INF789FA1U38</t>
  </si>
  <si>
    <t>UTI Banking &amp; PSU Fund - Regular Plan - Half-Yearly IDCW</t>
  </si>
  <si>
    <t>INF789FC1HC5</t>
  </si>
  <si>
    <t>INF789FC1HD3</t>
  </si>
  <si>
    <t>UTI Banking &amp; PSU Fund - Regular Plan - Monthly IDCW</t>
  </si>
  <si>
    <t>INF789F012Z3</t>
  </si>
  <si>
    <t>INF789F013Z1</t>
  </si>
  <si>
    <t>UTI Banking &amp; PSU Fund - Regular Plan - Quarterly IDCW</t>
  </si>
  <si>
    <t>INF789F014Z9</t>
  </si>
  <si>
    <t>UTI Banking &amp; PSU Fund- Regular Plan - Growth Option</t>
  </si>
  <si>
    <t>INF209K01S38</t>
  </si>
  <si>
    <t>Aditya Birla Sun Life Corporate Bond Fund - Growth - Direct Plan</t>
  </si>
  <si>
    <t>INF209K01785</t>
  </si>
  <si>
    <t>Aditya Birla Sun Life Corporate Bond Fund - Growth - Regular Plan</t>
  </si>
  <si>
    <t>INF209KA1KT0</t>
  </si>
  <si>
    <t>Aditya Birla Sun Life Corporate Bond Fund -DIRECT - IDCW</t>
  </si>
  <si>
    <t>INF209K01N90</t>
  </si>
  <si>
    <t>INF209KA1KU8</t>
  </si>
  <si>
    <t>Aditya Birla Sun Life Corporate Bond Fund -DIRECT - MONTHLY IDCW</t>
  </si>
  <si>
    <t>INF209KA1KS2</t>
  </si>
  <si>
    <t>Aditya Birla Sun Life Corporate Bond Fund -REGULAR - IDCW</t>
  </si>
  <si>
    <t>INF209K01983</t>
  </si>
  <si>
    <t>INF209K01DL8</t>
  </si>
  <si>
    <t>Aditya Birla Sun Life Corporate Bond Fund -REGULAR - MONTHLY IDCW</t>
  </si>
  <si>
    <t>INF846K01ZN6</t>
  </si>
  <si>
    <t>Axis Corporate Bond Fund - Direct Plan - Daily IDCW</t>
  </si>
  <si>
    <t>INF846K01ZQ9</t>
  </si>
  <si>
    <t>INF846K01ZR7</t>
  </si>
  <si>
    <t>Axis Corporate Bond Fund - Direct Plan - Monthly IDCW</t>
  </si>
  <si>
    <t>INF846K01ZS5</t>
  </si>
  <si>
    <t>INF846K01ZT3</t>
  </si>
  <si>
    <t>Axis Corporate Bond Fund - Direct Plan - Regular IDCW</t>
  </si>
  <si>
    <t>INF846K01ZO4</t>
  </si>
  <si>
    <t>INF846K01ZP1</t>
  </si>
  <si>
    <t>Axis Corporate Bond Fund - Direct Plan - Weekly IDCW</t>
  </si>
  <si>
    <t>INF846K01ZM8</t>
  </si>
  <si>
    <t>Axis Corporate Bond Fund - Direct Plan Growth</t>
  </si>
  <si>
    <t>INF846K01ZV9</t>
  </si>
  <si>
    <t>Axis Corporate Bond Fund - Regular Plan - Daily IDCW</t>
  </si>
  <si>
    <t>INF846K01ZY3</t>
  </si>
  <si>
    <t>INF846K01ZZ0</t>
  </si>
  <si>
    <t>Axis Corporate Bond Fund - Regular Plan - Monthly IDCW</t>
  </si>
  <si>
    <t>INF846K01A03</t>
  </si>
  <si>
    <t>INF846K01A11</t>
  </si>
  <si>
    <t>Axis Corporate Bond Fund - Regular Plan - Regular IDCW</t>
  </si>
  <si>
    <t>INF846K01ZW7</t>
  </si>
  <si>
    <t>INF846K01ZX5</t>
  </si>
  <si>
    <t>Axis Corporate Bond Fund - Regular Plan - Weekly IDCW</t>
  </si>
  <si>
    <t>INF846K01ZU1</t>
  </si>
  <si>
    <t>Axis Corporate Bond Fund - Regular Plan Growth</t>
  </si>
  <si>
    <t>INF194KA1T34</t>
  </si>
  <si>
    <t>INF194KA1T42</t>
  </si>
  <si>
    <t>BANDHAN Corporate Bond Fund - Direct Annual IDCW</t>
  </si>
  <si>
    <t>INF194KA1M23</t>
  </si>
  <si>
    <t>BANDHAN Corporate Bond Fund - Direct Growth</t>
  </si>
  <si>
    <t>INF194KA1T00</t>
  </si>
  <si>
    <t>INF194KA1T18</t>
  </si>
  <si>
    <t>BANDHAN Corporate Bond Fund - Direct Half Yearly IDCW</t>
  </si>
  <si>
    <t>INF194KA1S43</t>
  </si>
  <si>
    <t>INF194KA1S50</t>
  </si>
  <si>
    <t>BANDHAN Corporate Bond Fund - Direct Monthly IDCW</t>
  </si>
  <si>
    <t>INF194KA1M31</t>
  </si>
  <si>
    <t>INF194KA1M49</t>
  </si>
  <si>
    <t>BANDHAN Corporate Bond Fund - Direct Periodic IDCW</t>
  </si>
  <si>
    <t>INF194KA1S76</t>
  </si>
  <si>
    <t>INF194KA1S84</t>
  </si>
  <si>
    <t>BANDHAN Corporate Bond Fund - Direct Quarterly IDCW</t>
  </si>
  <si>
    <t>INF194KA1S19</t>
  </si>
  <si>
    <t>INF194KA1S27</t>
  </si>
  <si>
    <t>BANDHAN Corporate Bond Fund - Regular Annual IDCW</t>
  </si>
  <si>
    <t>INF194KA1L81</t>
  </si>
  <si>
    <t>BANDHAN Corporate Bond Fund - Regular Growth</t>
  </si>
  <si>
    <t>INF194KA1R85</t>
  </si>
  <si>
    <t>INF194KA1R93</t>
  </si>
  <si>
    <t>BANDHAN Corporate Bond Fund - Regular Half Yearly IDCW</t>
  </si>
  <si>
    <t>INF194KA1R28</t>
  </si>
  <si>
    <t>INF194KA1R36</t>
  </si>
  <si>
    <t>BANDHAN Corporate Bond Fund - Regular Monthly IDCW</t>
  </si>
  <si>
    <t>INF194KA1L99</t>
  </si>
  <si>
    <t>INF194KA1M07</t>
  </si>
  <si>
    <t>BANDHAN Corporate Bond Fund - Regular Periodic IDCW</t>
  </si>
  <si>
    <t>INF194KA1R51</t>
  </si>
  <si>
    <t>INF194KA1R69</t>
  </si>
  <si>
    <t>BANDHAN Corporate Bond Fund - Regular Quarterly IDCW</t>
  </si>
  <si>
    <t>INF251K01EN4</t>
  </si>
  <si>
    <t>INF251K01EO2</t>
  </si>
  <si>
    <t>BARODA BNP PARIBAS Corporate Bond Fund - Defunct Plan - Annual-IDCW Option</t>
  </si>
  <si>
    <t>INF251K01EI4</t>
  </si>
  <si>
    <t>BARODA BNP PARIBAS Corporate Bond Fund - Defunct Plan - Growth Option</t>
  </si>
  <si>
    <t>INF251K01EJ2</t>
  </si>
  <si>
    <t>INF251K01EK0</t>
  </si>
  <si>
    <t>BARODA BNP PARIBAS Corporate Bond Fund - Defunct Plan - Monthly-IDCW Option</t>
  </si>
  <si>
    <t>INF251K01EL8</t>
  </si>
  <si>
    <t>INF251K01EM6</t>
  </si>
  <si>
    <t>BARODA BNP PARIBAS Corporate Bond Fund - Defunct Plan - Quarterly-IDCW Option</t>
  </si>
  <si>
    <t>INF251K01GU4</t>
  </si>
  <si>
    <t>INF251K01GV2</t>
  </si>
  <si>
    <t>BARODA BNP PARIBAS Corporate Bond Fund - Direct Plan - Annual IDCW Option</t>
  </si>
  <si>
    <t>INF251K01GP4</t>
  </si>
  <si>
    <t>BARODA BNP PARIBAS Corporate Bond Fund - Direct Plan - Growth Option</t>
  </si>
  <si>
    <t>INF251K01GQ2</t>
  </si>
  <si>
    <t>INF251K01GR0</t>
  </si>
  <si>
    <t>BARODA BNP PARIBAS Corporate Bond Fund - Direct Plan - Monthly IDCW Option</t>
  </si>
  <si>
    <t>INF251K01GS8</t>
  </si>
  <si>
    <t>INF251K01GT6</t>
  </si>
  <si>
    <t>BARODA BNP PARIBAS Corporate Bond Fund - Direct Plan - Quarterly IDCW Option</t>
  </si>
  <si>
    <t>INF251K01EU9</t>
  </si>
  <si>
    <t>INF251K01EV7</t>
  </si>
  <si>
    <t>BARODA BNP PARIBAS CORPORATE BOND FUND - Regular Plan - ANNUAL IDCW OPTION</t>
  </si>
  <si>
    <t>INF251K01EP9</t>
  </si>
  <si>
    <t>BARODA BNP PARIBAS CORPORATE BOND FUND - Regular Plan - GROWTH OPTION</t>
  </si>
  <si>
    <t>INF251K01EQ7</t>
  </si>
  <si>
    <t>INF251K01ER5</t>
  </si>
  <si>
    <t>BARODA BNP PARIBAS CORPORATE BOND FUND - Regular Plan - MONTHLY IDCW OPTION</t>
  </si>
  <si>
    <t>INF251K01ES3</t>
  </si>
  <si>
    <t>INF251K01ET1</t>
  </si>
  <si>
    <t>BARODA BNP PARIBAS CORPORATE BOND FUND - Regular Plan - QUARTERLY IDCW OPTION</t>
  </si>
  <si>
    <t>INF760K01HB2</t>
  </si>
  <si>
    <t>CANARA ROBECO CORPORATE BOND FUND - DIRECT PLAN - GROWTH OPTION</t>
  </si>
  <si>
    <t>INF760K01HC0</t>
  </si>
  <si>
    <t>INF760K01HD8</t>
  </si>
  <si>
    <t>CANARA ROBECO CORPORATE BOND FUND - DIRECT PLAN - IDCW (Payout/Reinvestment)</t>
  </si>
  <si>
    <t>INF760K01GY6</t>
  </si>
  <si>
    <t>CANARA ROBECO CORPORATE BOND FUND - REGULAR PLAN - GROWTH OPTION</t>
  </si>
  <si>
    <t>INF760K01GZ3</t>
  </si>
  <si>
    <t>INF760K01HA4</t>
  </si>
  <si>
    <t>CANARA ROBECO CORPORATE BOND FUND - REGULAR PLAN - IDCW (Payout/Reinvestment)</t>
  </si>
  <si>
    <t>INF740KA1KE8</t>
  </si>
  <si>
    <t>DSP Corporate Bond Fund - Direct - Growth</t>
  </si>
  <si>
    <t>INF740KA1KF5</t>
  </si>
  <si>
    <t>INF740KA1KG3</t>
  </si>
  <si>
    <t>DSP Corporate Bond Fund - Direct - IDCW</t>
  </si>
  <si>
    <t>INF740KA1KH1</t>
  </si>
  <si>
    <t>INF740KA1KI9</t>
  </si>
  <si>
    <t>DSP Corporate Bond Fund - Direct - IDCW - Monthly</t>
  </si>
  <si>
    <t>INF740KA1KJ7</t>
  </si>
  <si>
    <t>INF740KA1KK5</t>
  </si>
  <si>
    <t xml:space="preserve">DSP Corporate Bond Fund - Direct - IDCW - Quarterly </t>
  </si>
  <si>
    <t>INF740KA1JX0</t>
  </si>
  <si>
    <t>DSP Corporate Bond Fund - Regular - Growth</t>
  </si>
  <si>
    <t>INF740KA1JY8</t>
  </si>
  <si>
    <t>INF740KA1JZ5</t>
  </si>
  <si>
    <t>DSP Corporate Bond Fund - Regular - IDCW</t>
  </si>
  <si>
    <t>INF740KA1KA6</t>
  </si>
  <si>
    <t>INF740KA1KB4</t>
  </si>
  <si>
    <t>DSP Corporate Bond Fund - Regular - IDCW - Monthly</t>
  </si>
  <si>
    <t>INF740KA1KC2</t>
  </si>
  <si>
    <t>INF740KA1KD0</t>
  </si>
  <si>
    <t xml:space="preserve">DSP Corporate Bond Fund - Regular - IDCW - Quarterly </t>
  </si>
  <si>
    <t>INF090I01KC0</t>
  </si>
  <si>
    <t>Franklin India Corporate Debt Fund - Direct - Bonus</t>
  </si>
  <si>
    <t>INF090I01FW8</t>
  </si>
  <si>
    <t>Franklin India Corporate Debt Fund - Direct - GROWTH</t>
  </si>
  <si>
    <t>INF090I01DG6</t>
  </si>
  <si>
    <t>Franklin India Corporate Debt Fund - Growth</t>
  </si>
  <si>
    <t>INF090I01DC5</t>
  </si>
  <si>
    <t>Franklin India Corporate Debt Fund - Monthly Bonus</t>
  </si>
  <si>
    <t>INF090I01DH4</t>
  </si>
  <si>
    <t>INF090I01DI2</t>
  </si>
  <si>
    <t>Franklin India Corporate Debt Fund - Plan A - Annual - IDCW</t>
  </si>
  <si>
    <t>INF090I01FX6</t>
  </si>
  <si>
    <t>INF090I01FY4</t>
  </si>
  <si>
    <t>Franklin India Corporate Debt Fund - Plan A - Direct - Annual - IDCW</t>
  </si>
  <si>
    <t>INF090I01FU2</t>
  </si>
  <si>
    <t>INF090I01FV0</t>
  </si>
  <si>
    <t>Franklin India Corporate Debt Fund - Plan A - Direct - Half yearly - IDCW</t>
  </si>
  <si>
    <t>INF090I01FQ0</t>
  </si>
  <si>
    <t>INF090I01FR8</t>
  </si>
  <si>
    <t>Franklin India Corporate Debt Fund - Plan A - Direct - Monthly - IDCW</t>
  </si>
  <si>
    <t>INF090I01FS6</t>
  </si>
  <si>
    <t>INF090I01FT4</t>
  </si>
  <si>
    <t>Franklin India Corporate Debt Fund - Plan A - Direct - Quarterly - IDCW</t>
  </si>
  <si>
    <t>INF090I01DN2</t>
  </si>
  <si>
    <t>INF090I01DO0</t>
  </si>
  <si>
    <t>Franklin India Corporate Debt Fund - Plan B - Half yearly - IDCW</t>
  </si>
  <si>
    <t>INF090I01DJ0</t>
  </si>
  <si>
    <t>INF090I01DK8</t>
  </si>
  <si>
    <t>Franklin India Corporate Debt Fund - Plan B - Monthly - IDCW</t>
  </si>
  <si>
    <t>INF090I01DL6</t>
  </si>
  <si>
    <t>INF090I01DM4</t>
  </si>
  <si>
    <t>Franklin India Corporate Debt Fund - Plan B - Quarterly - IDCW</t>
  </si>
  <si>
    <t>INF179K01DC2</t>
  </si>
  <si>
    <t>HDFC Corporate Bond Fund - Growth Option</t>
  </si>
  <si>
    <t>INF179K01XD8</t>
  </si>
  <si>
    <t>HDFC Corporate Bond Fund - Growth Option - Direct Plan</t>
  </si>
  <si>
    <t>INF179KA1D33</t>
  </si>
  <si>
    <t>INF179KA1D25</t>
  </si>
  <si>
    <t>HDFC Corporate Bond Fund - IDCW Option</t>
  </si>
  <si>
    <t>INF179KA1D17</t>
  </si>
  <si>
    <t>HDFC Corporate Bond Fund - IDCW Option - Direct Plan</t>
  </si>
  <si>
    <t>INF179K01DD0</t>
  </si>
  <si>
    <t>INF179K01DE8</t>
  </si>
  <si>
    <t>HDFC Corporate Bond Fund - Quarterly IDCW Option</t>
  </si>
  <si>
    <t>INF179K01XB2</t>
  </si>
  <si>
    <t>INF179K01XC0</t>
  </si>
  <si>
    <t>HDFC Corporate Bond Fund - Quarterly IDCW Option - Direct Plan</t>
  </si>
  <si>
    <t>INF917K01VZ8</t>
  </si>
  <si>
    <t>INF917K01VY1</t>
  </si>
  <si>
    <t>HSBC Corporate Bond Fund - Direct Annual IDCW</t>
  </si>
  <si>
    <t>INF917K01HN3</t>
  </si>
  <si>
    <t>HSBC Corporate Bond Fund - Direct Growth</t>
  </si>
  <si>
    <t>INF917K01HP8</t>
  </si>
  <si>
    <t>INF917K01HO1</t>
  </si>
  <si>
    <t>HSBC Corporate Bond Fund - Direct Quarterly IDCW</t>
  </si>
  <si>
    <t>INF917K01HR4</t>
  </si>
  <si>
    <t>INF917K01HQ6</t>
  </si>
  <si>
    <t>HSBC Corporate Bond Fund - Direct Semi Annual IDCW</t>
  </si>
  <si>
    <t>INF917K01WB7</t>
  </si>
  <si>
    <t>INF917K01WA9</t>
  </si>
  <si>
    <t>HSBC Corporate Bond Fund - Regular Annual IDCW</t>
  </si>
  <si>
    <t>INF917K01AH0</t>
  </si>
  <si>
    <t>HSBC Corporate Bond Fund - Regular Growth</t>
  </si>
  <si>
    <t>INF917K01AF4</t>
  </si>
  <si>
    <t>INF917K01AG2</t>
  </si>
  <si>
    <t>HSBC Corporate Bond Fund - Regular Quarterly IDCW</t>
  </si>
  <si>
    <t>INF917K01AI8</t>
  </si>
  <si>
    <t>INF917K01AJ6</t>
  </si>
  <si>
    <t>HSBC Corporate Bond Fund - Regular Semi Annual IDCW</t>
  </si>
  <si>
    <t>INF917K01AK4</t>
  </si>
  <si>
    <t>HSBC Corporate Bond Fund -Regular Plan - Bonus</t>
  </si>
  <si>
    <t>INF109KA1I84</t>
  </si>
  <si>
    <t>ICICI Prudential Corporate Bond Fund - Bonus</t>
  </si>
  <si>
    <t>INF109K01CR9</t>
  </si>
  <si>
    <t>ICICI Prudential Corporate Bond Fund - Daily IDCW</t>
  </si>
  <si>
    <t>INF109K013B8</t>
  </si>
  <si>
    <t>ICICI Prudential Corporate Bond Fund - Direct Plan - Daily IDCW</t>
  </si>
  <si>
    <t>INF109K014B6</t>
  </si>
  <si>
    <t>INF109K015B3</t>
  </si>
  <si>
    <t>ICICI Prudential Corporate Bond Fund - Direct Plan - Fortnightly IDCW</t>
  </si>
  <si>
    <t>INF109K016B1</t>
  </si>
  <si>
    <t>ICICI Prudential Corporate Bond Fund - Direct Plan - Growth</t>
  </si>
  <si>
    <t>INF109KA1N38</t>
  </si>
  <si>
    <t>INF109KA1N20</t>
  </si>
  <si>
    <t>ICICI Prudential Corporate Bond Fund - Direct Plan - Half Yearly IDCW Option</t>
  </si>
  <si>
    <t>INF109K017B9</t>
  </si>
  <si>
    <t>INF109K018B7</t>
  </si>
  <si>
    <t>ICICI Prudential Corporate Bond Fund - Direct Plan - Monthly IDCW</t>
  </si>
  <si>
    <t>INF109K019B5</t>
  </si>
  <si>
    <t>INF109K012C8</t>
  </si>
  <si>
    <t>ICICI Prudential Corporate Bond Fund - Direct Plan - Quarterly IDCW</t>
  </si>
  <si>
    <t>INF109K010C2</t>
  </si>
  <si>
    <t>INF109K011C0</t>
  </si>
  <si>
    <t>ICICI Prudential Corporate Bond Fund - Direct Plan - Weekly IDCW</t>
  </si>
  <si>
    <t>INF109K01SJ2</t>
  </si>
  <si>
    <t>INF109K01CS7</t>
  </si>
  <si>
    <t>ICICI Prudential Corporate Bond Fund - Fortnightly IDCW</t>
  </si>
  <si>
    <t>INF109K01CQ1</t>
  </si>
  <si>
    <t>ICICI Prudential Corporate Bond Fund - Growth</t>
  </si>
  <si>
    <t>INF109KA1N12</t>
  </si>
  <si>
    <t>INF109KA1N04</t>
  </si>
  <si>
    <t>ICICI Prudential Corporate Bond Fund - Half Yearly IDCW Option</t>
  </si>
  <si>
    <t>INF109K01SK0</t>
  </si>
  <si>
    <t>INF109K01CT5</t>
  </si>
  <si>
    <t>ICICI Prudential Corporate Bond Fund - Monthly IDCW</t>
  </si>
  <si>
    <t>INF109K01CL2</t>
  </si>
  <si>
    <t>ICICI Prudential Corporate Bond Fund - Premium Daily Dividend</t>
  </si>
  <si>
    <t>INF109K01CO6</t>
  </si>
  <si>
    <t>ICICI Prudential Corporate Bond Fund - Premium Monthly Dividend</t>
  </si>
  <si>
    <t>INF109K01SL8</t>
  </si>
  <si>
    <t>INF109K01SM6</t>
  </si>
  <si>
    <t>ICICI Prudential Corporate Bond Fund - Weekly IDCW</t>
  </si>
  <si>
    <t>INF109K01SN4</t>
  </si>
  <si>
    <t>INF109K01SO2</t>
  </si>
  <si>
    <t>ICICI Prudential Corporate Bond Fund -Quarterly IDCW</t>
  </si>
  <si>
    <t>INF109K01CF4</t>
  </si>
  <si>
    <t>ICICI Prudential Corporate Bond Fund Retail Daily Dividend</t>
  </si>
  <si>
    <t>INF109K01SF0</t>
  </si>
  <si>
    <t>INF109K01CH0</t>
  </si>
  <si>
    <t>ICICI Prudential Corporate Bond Fund Retail Fort Nightly Dividend</t>
  </si>
  <si>
    <t>INF109K01CE7</t>
  </si>
  <si>
    <t>ICICI Prudential Corporate Bond Fund Retail Growth</t>
  </si>
  <si>
    <t>INF109K01QM0</t>
  </si>
  <si>
    <t>INF109K01CI8</t>
  </si>
  <si>
    <t>ICICI Prudential Corporate Bond Fund Retail Monthly Dividend</t>
  </si>
  <si>
    <t>INF109K01FQ4</t>
  </si>
  <si>
    <t>INF109K01CJ6</t>
  </si>
  <si>
    <t>ICICI Prudential Corporate Bond Fund Retail Quarterly Dividend</t>
  </si>
  <si>
    <t>INF109K01SE3</t>
  </si>
  <si>
    <t>INF109K01CG2</t>
  </si>
  <si>
    <t>ICICI Prudential Corporate Bond Fund Retail Weekly Dividend</t>
  </si>
  <si>
    <t>INF205K01RA9</t>
  </si>
  <si>
    <t>INF205K01RB7</t>
  </si>
  <si>
    <t>Invesco India Corporate Bond Fund - Direct Plan - Annual IDCW (Payout / Reinvestment)</t>
  </si>
  <si>
    <t>INF205K01RD3</t>
  </si>
  <si>
    <t>INF205K01RE1</t>
  </si>
  <si>
    <t>Invesco India Corporate Bond Fund - Direct Plan - Discretionary IDCW (Payout / Reinvestment)</t>
  </si>
  <si>
    <t>INF205K01RF8</t>
  </si>
  <si>
    <t>Invesco India Corporate Bond Fund - Direct Plan - Growth</t>
  </si>
  <si>
    <t>INF205K01RG6</t>
  </si>
  <si>
    <t>INF205K01RH4</t>
  </si>
  <si>
    <t>Invesco India Corporate Bond Fund - Direct Plan - Monthly IDCW (Payout / Reinvestment)</t>
  </si>
  <si>
    <t>INF205K01RI2</t>
  </si>
  <si>
    <t>INF205K01RJ0</t>
  </si>
  <si>
    <t>Invesco India Corporate Bond Fund - Direct Plan - Quarterly IDCW (Payout / Reinvestment)</t>
  </si>
  <si>
    <t>INF205K01QX3</t>
  </si>
  <si>
    <t>INF205K01QY1</t>
  </si>
  <si>
    <t>Invesco India Corporate Bond Fund - Regular Plan - Annual IDCW (Payout / Reinvestment)</t>
  </si>
  <si>
    <t>INF205K01RK8</t>
  </si>
  <si>
    <t>INF205K01RL6</t>
  </si>
  <si>
    <t>Invesco India Corporate Bond Fund - Regular Plan - Discretionary IDCW (Payout / Reinvestment)</t>
  </si>
  <si>
    <t>INF205K01RM4</t>
  </si>
  <si>
    <t>Invesco India Corporate Bond Fund - Regular Plan - Growth</t>
  </si>
  <si>
    <t>INF205K01RN2</t>
  </si>
  <si>
    <t>INF205K01RO0</t>
  </si>
  <si>
    <t>Invesco India Corporate Bond Fund - Regular Plan - Monthly IDCW (Payout / Reinvestment)</t>
  </si>
  <si>
    <t>INF205K01RP7</t>
  </si>
  <si>
    <t>INF205K01RQ5</t>
  </si>
  <si>
    <t>Invesco India Corporate Bond Fund - Regular Plan - Quarterly IDCW (Payout / Reinvestment)</t>
  </si>
  <si>
    <t>Kotak Coporate Bond Fund- Retail Plan-Growth Option</t>
  </si>
  <si>
    <t>INF178L01BY0</t>
  </si>
  <si>
    <t>Kotak Corporate Bond Fund- Direct Plan- Growth Option</t>
  </si>
  <si>
    <t>INF178L01BZ7</t>
  </si>
  <si>
    <t>Kotak Corporate Bond Fund- Direct Plan- Monthly Payout of Income Distribution cum capital withdrawal option</t>
  </si>
  <si>
    <t>INF178L01921</t>
  </si>
  <si>
    <t>Kotak Corporate Bond Fund- Institutional Plan-Growth Option</t>
  </si>
  <si>
    <t>INF178L01BO1</t>
  </si>
  <si>
    <t>Kotak Corporate Bond Fund- Regular Plan-Growth Option</t>
  </si>
  <si>
    <t>INF178L01BQ6</t>
  </si>
  <si>
    <t>INF178L01BP8</t>
  </si>
  <si>
    <t>Kotak Corporate Bond Fund- Regular Plan-Monthly Dividend Option</t>
  </si>
  <si>
    <t>INF178L01BR4</t>
  </si>
  <si>
    <t>Kotak Corporate Bond Fund- Regular Plan-Quarterly Dividend Option</t>
  </si>
  <si>
    <t>INF178L01855</t>
  </si>
  <si>
    <t>Kotak Corporate Bond Fund- Retail Plan- Monthly Dividend Option</t>
  </si>
  <si>
    <t>INF178L01897</t>
  </si>
  <si>
    <t>Kotak Corporate Bond Fund- Retail Plan- Weekly Dividend Option</t>
  </si>
  <si>
    <t>Kotak Corporate Bond Fund- Retail Plan-Daily Dividend Option</t>
  </si>
  <si>
    <t>INF178L01BU8</t>
  </si>
  <si>
    <t>Kotak Corporate Bond Fund- Standard Plan-Daily Dividend Option</t>
  </si>
  <si>
    <t xml:space="preserve">INF178L01BT0 </t>
  </si>
  <si>
    <t>Kotak Corporate Bond Fund- Standard Plan-Weekly Dividend Option</t>
  </si>
  <si>
    <t>INF769K01HD9</t>
  </si>
  <si>
    <t>Mirae Asset Corporate Bond Fund Direct Growth Plan</t>
  </si>
  <si>
    <t>INF769K01HC1</t>
  </si>
  <si>
    <t>INF769K01HE7</t>
  </si>
  <si>
    <t>Mirae Asset Corporate Bond Fund Direct IDCW</t>
  </si>
  <si>
    <t>INF769K01HA5</t>
  </si>
  <si>
    <t>Mirae Asset Corporate Bond Fund Regular Growth</t>
  </si>
  <si>
    <t>INF769K01GZ4</t>
  </si>
  <si>
    <t>INF769K01HB3</t>
  </si>
  <si>
    <t>Mirae Asset Corporate Bond Fund Regular IDCW</t>
  </si>
  <si>
    <t>INF204K01EG7</t>
  </si>
  <si>
    <t>NIPPON INDIA CORPORATE BOND FUND - DAILY IDCW Option</t>
  </si>
  <si>
    <t>INF204K01C23</t>
  </si>
  <si>
    <t>NIPPON INDIA CORPORATE BOND FUND - DIRECT Plan - DAILY IDCW Option</t>
  </si>
  <si>
    <t>INF204KA1EO9</t>
  </si>
  <si>
    <t>INF204KA1EP6</t>
  </si>
  <si>
    <t>NIPPON INDIA CORPORATE BOND FUND - DIRECT Plan - IDCW Option</t>
  </si>
  <si>
    <t>INF204K01C56</t>
  </si>
  <si>
    <t>INF204K01C64</t>
  </si>
  <si>
    <t>NIPPON INDIA CORPORATE BOND FUND - DIRECT Plan - MONTHLY IDCW Option</t>
  </si>
  <si>
    <t>INF204K01C72</t>
  </si>
  <si>
    <t>INF204K01C80</t>
  </si>
  <si>
    <t>NIPPON INDIA CORPORATE BOND FUND - DIRECT Plan - QUARTERLY IDCW Option</t>
  </si>
  <si>
    <t>INF204K01C31</t>
  </si>
  <si>
    <t>INF204K01C49</t>
  </si>
  <si>
    <t>NIPPON INDIA CORPORATE BOND FUND - DIRECT Plan - WEEKLY IDCW Option</t>
  </si>
  <si>
    <t>INF204K01D63</t>
  </si>
  <si>
    <t>Nippon India Corporate Bond Fund - Direct Plan Growth Plan - Bonus</t>
  </si>
  <si>
    <t>INF204K01C15</t>
  </si>
  <si>
    <t>Nippon India Corporate Bond Fund - Direct Plan Growth Plan - Growth Option</t>
  </si>
  <si>
    <t>INF204KA12N8</t>
  </si>
  <si>
    <t>Nippon India Corporate Bond Fund - Growth Plan - Bonus Option</t>
  </si>
  <si>
    <t>INF204K01EF9</t>
  </si>
  <si>
    <t>Nippon India Corporate Bond Fund - Growth Plan - Growth Option</t>
  </si>
  <si>
    <t>INF204KA1EM3</t>
  </si>
  <si>
    <t>INF204KA1EN1</t>
  </si>
  <si>
    <t>NIPPON INDIA CORPORATE BOND FUND - IDCW Option</t>
  </si>
  <si>
    <t>INF204K01EJ1</t>
  </si>
  <si>
    <t>INF204K01EK9</t>
  </si>
  <si>
    <t>NIPPON INDIA CORPORATE BOND FUND - MONTHLY IDCW Option</t>
  </si>
  <si>
    <t>INF204K01EL7</t>
  </si>
  <si>
    <t>INF204K01EM5</t>
  </si>
  <si>
    <t>NIPPON INDIA CORPORATE BOND FUND - QUARTERLY IDCW Option</t>
  </si>
  <si>
    <t>INF204K01EH5</t>
  </si>
  <si>
    <t>INF204K01EI3</t>
  </si>
  <si>
    <t>NIPPON INDIA CORPORATE BOND FUND - WEEKLY IDCW Option</t>
  </si>
  <si>
    <t>INF223J01CY6</t>
  </si>
  <si>
    <t>INF223J01CZ3</t>
  </si>
  <si>
    <t>PGIM India Corporate Bond Fund - Annual Dividend</t>
  </si>
  <si>
    <t>INF223J01OM6</t>
  </si>
  <si>
    <t>PGIM India Corporate Bond Fund - Direct Plan - Annual Dividend</t>
  </si>
  <si>
    <t>INF223J01OO2</t>
  </si>
  <si>
    <t>PGIM India Corporate Bond Fund - Direct Plan - Growth</t>
  </si>
  <si>
    <t>INF223J01OP9</t>
  </si>
  <si>
    <t>PGIM India Corporate Bond Fund - Direct Plan - Monthly Dividend</t>
  </si>
  <si>
    <t>INF223J01OR5</t>
  </si>
  <si>
    <t>INF223J01OS3</t>
  </si>
  <si>
    <t>PGIM India Corporate Bond Fund - Direct Plan - Quarterly Dividend</t>
  </si>
  <si>
    <t>INF223J01DB2</t>
  </si>
  <si>
    <t>PGIM India Corporate Bond Fund - Growth</t>
  </si>
  <si>
    <t>INF223J01DC0</t>
  </si>
  <si>
    <t>INF223J01DD8</t>
  </si>
  <si>
    <t>PGIM India Corporate Bond Fund - Monthly Dividend</t>
  </si>
  <si>
    <t>INF223J01CQ2</t>
  </si>
  <si>
    <t>PGIM India Corporate Bond Fund - Premium Plus Plan - Growth</t>
  </si>
  <si>
    <t>INF223J01DE6</t>
  </si>
  <si>
    <t>INF223J01DF3</t>
  </si>
  <si>
    <t>PGIM India Corporate Bond Fund - Quarterly Dividend</t>
  </si>
  <si>
    <t>INF223J01WZ1</t>
  </si>
  <si>
    <t>PGIM India Premier Bond Fund - Annual Bonus</t>
  </si>
  <si>
    <t>INF223J01DA4</t>
  </si>
  <si>
    <t>PGIM India Premier Bond Fund - Bonus</t>
  </si>
  <si>
    <t>INF223J01WG1</t>
  </si>
  <si>
    <t>PGIM India Premier Bond Fund - Direct Plan - Half-Yearly Bonus</t>
  </si>
  <si>
    <t>INF223J01WF3</t>
  </si>
  <si>
    <t>PGIM India Premier Bond Fund - Half-Yearly Bonus</t>
  </si>
  <si>
    <t>INF200KA1YR4</t>
  </si>
  <si>
    <t>SBI Corporate Bond Fund - Direct Plan - Growth</t>
  </si>
  <si>
    <t>INF200KA1YS2</t>
  </si>
  <si>
    <t>INF200KA1YT0</t>
  </si>
  <si>
    <t>SBI Corporate Bond Fund - Direct Plan - Monthly Income Distribution cum Capital Withdrawal Option (IDCW)</t>
  </si>
  <si>
    <t>INF200KA1YU8</t>
  </si>
  <si>
    <t>INF200KA1YV6</t>
  </si>
  <si>
    <t>SBI Corporate Bond Fund - Direct Plan - Quarterly Income Distribution cum Capital Withdrawal Option (IDCW)</t>
  </si>
  <si>
    <t>INF200KA1YM5</t>
  </si>
  <si>
    <t>SBI Corporate Bond Fund - Regular Plan - Growth</t>
  </si>
  <si>
    <t>INF200KA1YN3</t>
  </si>
  <si>
    <t>INF200KA1YO1</t>
  </si>
  <si>
    <t>SBI Corporate Bond Fund - Regular Plan - Monthly Income Distribution cum Capital Withdrawal Option (IDCW)</t>
  </si>
  <si>
    <t>INF200KA1YP8</t>
  </si>
  <si>
    <t>INF200KA1YQ6</t>
  </si>
  <si>
    <t>SBI Corporate Bond Fund - Regular Plan - Quarterly Income Distribution cum Capital Withdrawal Option (IDCW)</t>
  </si>
  <si>
    <t>INF903J01PD9</t>
  </si>
  <si>
    <t>Sundaram Banking and PSU Debt Fund Direct Plan - Weekly Reinvestment of Income Distribution cum Capital Withdrawal (IDCW)</t>
  </si>
  <si>
    <t>INF903J01NR4</t>
  </si>
  <si>
    <t>Sundaram Corporate Bond Fund Direct Plan - Growth</t>
  </si>
  <si>
    <t>INF903J01OW2</t>
  </si>
  <si>
    <t>INF903J01OY8</t>
  </si>
  <si>
    <t>Sundaram Corporate Bond Fund Direct Plan - Income Distribution cum Capital Withdrawal (IDCW)</t>
  </si>
  <si>
    <t>INF903J01NS2</t>
  </si>
  <si>
    <t>INF903J01NT0</t>
  </si>
  <si>
    <t>Sundaram Corporate Bond Fund Direct Plan - Income Distribution cum Capital Withdrawal(IDCW)</t>
  </si>
  <si>
    <t>INF903J01OX0</t>
  </si>
  <si>
    <t>INF903J01OZ5</t>
  </si>
  <si>
    <t>Sundaram Corporate Bond Fund Direct Plan -Income Distribution cum Capital Withdrawal (IDCW)</t>
  </si>
  <si>
    <t>INF903J01NU8</t>
  </si>
  <si>
    <t>INF903J01NV6</t>
  </si>
  <si>
    <t>Sundaram Corporate Bond Fund Direct Plan-Income Distribution cum Capital Withdrawal(IDCW)</t>
  </si>
  <si>
    <t>INF903J01HY2</t>
  </si>
  <si>
    <t>INF903J01IC6</t>
  </si>
  <si>
    <t>Sundaram Corporate Bond Fund Regular Plan - Income Distribution cum Capital Withdrawal (IDCW )</t>
  </si>
  <si>
    <t>INF903J01HX4</t>
  </si>
  <si>
    <t>INF903J01IB8</t>
  </si>
  <si>
    <t>Sundaram Corporate Bond Fund Regular Plan -Income Distribution cum Capital Withdrawal(IDCW)</t>
  </si>
  <si>
    <t>INF903J01HW6</t>
  </si>
  <si>
    <t>Sundaram Corporate Bond Fund Regular Plan- Growth</t>
  </si>
  <si>
    <t>INF903J01IA0</t>
  </si>
  <si>
    <t>INF903J01IE2</t>
  </si>
  <si>
    <t>Sundaram Corporate Bond Fund Regular Plan- Income Distribution cum Capital Withdrawal (IDCW)</t>
  </si>
  <si>
    <t>INF903J01HZ9</t>
  </si>
  <si>
    <t>INF903J01ID4</t>
  </si>
  <si>
    <t>Sundaram Corporate Bond Fund Regular Plan-Income Distribution cum Capital Withdrawal (IDCW)</t>
  </si>
  <si>
    <t>INF277KA1224</t>
  </si>
  <si>
    <t>Tata Corporate Bond Fund-Direct Plan-Growth</t>
  </si>
  <si>
    <t>INF277KA1240</t>
  </si>
  <si>
    <t>Tata Corporate Bond Fund-Direct Plan-IDCW Monthly Payout</t>
  </si>
  <si>
    <t>INF277KA1273</t>
  </si>
  <si>
    <t>Tata Corporate Bond Fund-Direct Plan-IDCW Monthly Reinvestment</t>
  </si>
  <si>
    <t>INF277KA1232</t>
  </si>
  <si>
    <t>Tata Corporate Bond Fund-Direct Plan-IDCW Periodic Payout</t>
  </si>
  <si>
    <t>INF277KA1265</t>
  </si>
  <si>
    <t>Tata Corporate Bond Fund-Direct Plan-IDCW Periodic Reinvestment</t>
  </si>
  <si>
    <t>INF277KA1257</t>
  </si>
  <si>
    <t>Tata Corporate Bond Fund-Direct Plan-IDCW Quarterly Payout</t>
  </si>
  <si>
    <t>INF277KA1281</t>
  </si>
  <si>
    <t>Tata Corporate Bond Fund-Direct Plan-IDCW Quarterly Reinvestment</t>
  </si>
  <si>
    <t>INF277KA1299</t>
  </si>
  <si>
    <t>Tata Corporate Bond Fund-Regular Plan-Growth</t>
  </si>
  <si>
    <t>INF277KA1315</t>
  </si>
  <si>
    <t>Tata Corporate Bond Fund-Regular Plan-IDCW Monthly Payout</t>
  </si>
  <si>
    <t>INF277KA1349</t>
  </si>
  <si>
    <t>Tata Corporate Bond Fund-Regular Plan-IDCW Monthly Reinvestment</t>
  </si>
  <si>
    <t>INF277KA1307</t>
  </si>
  <si>
    <t>Tata Corporate Bond Fund-Regular Plan-IDCW Periodic Payout</t>
  </si>
  <si>
    <t>INF277KA1331</t>
  </si>
  <si>
    <t>Tata Corporate Bond Fund-Regular Plan-IDCW Periodic Reinvestment</t>
  </si>
  <si>
    <t>INF277KA1323</t>
  </si>
  <si>
    <t>Tata Corporate Bond Fund-Regular Plan-IDCW Quarterly Payout</t>
  </si>
  <si>
    <t>INF277KA1356</t>
  </si>
  <si>
    <t>Tata Corporate Bond Fund-Regular Plan-IDCW Quarterly Reinvestment</t>
  </si>
  <si>
    <t>INF0GCD01560</t>
  </si>
  <si>
    <t>TRUSTMF CORPORATE BOND FUND-DIRECT PLAN-GROWTH</t>
  </si>
  <si>
    <t>INF0GCD01586</t>
  </si>
  <si>
    <t>INF0GCD01578</t>
  </si>
  <si>
    <t>TRUSTMF CORPORATE BOND FUND-DIRECT PLAN-MONTHLY IDCW</t>
  </si>
  <si>
    <t>INF0GCD01537</t>
  </si>
  <si>
    <t>TRUSTMF CORPORATE BOND FUND-REGULAR PLAN-GROWTH</t>
  </si>
  <si>
    <t>INF0GCD01552</t>
  </si>
  <si>
    <t>INF0GCD01545</t>
  </si>
  <si>
    <t>TRUSTMF CORPORATE BOND FUND-REGULAR PLAN-MONTHLY IDCW</t>
  </si>
  <si>
    <t>INF582M01DU5</t>
  </si>
  <si>
    <t>Union Corporate Bond Fund - Direct Plan - Growth Option</t>
  </si>
  <si>
    <t>INF582M01DW1</t>
  </si>
  <si>
    <t>INF582M01DV3</t>
  </si>
  <si>
    <t>Union Corporate Bond Fund - Direct Plan - IDCW Option</t>
  </si>
  <si>
    <t>INF582M01DY7</t>
  </si>
  <si>
    <t>Union Corporate Bond Fund - Regular Plan - Growth Option</t>
  </si>
  <si>
    <t>INF582M01EA5</t>
  </si>
  <si>
    <t>INF582M01DZ4</t>
  </si>
  <si>
    <t>Union Corporate Bond Fund - Regular Plan - IDCW Option</t>
  </si>
  <si>
    <t>INF789F1AOW2</t>
  </si>
  <si>
    <t>UTI - Bond Fund ( Segregated - 17022020) - Regular Plan - Growth Option</t>
  </si>
  <si>
    <t>INF789F1APF4</t>
  </si>
  <si>
    <t>UTI - Bond Fund (Segregated - 17022020) - Direct Plan - Growth Option</t>
  </si>
  <si>
    <t>INF789F1APK4</t>
  </si>
  <si>
    <t>INF789F1APL2</t>
  </si>
  <si>
    <t>UTI Bond Fund ( Segregated - 17022020) - Direct Plan - Annual IDCW</t>
  </si>
  <si>
    <t>INF789F1APM0</t>
  </si>
  <si>
    <t>INF789F1APN8</t>
  </si>
  <si>
    <t>UTI Bond Fund ( Segregated - 17022020) - Direct Plan - Flexi IDCW</t>
  </si>
  <si>
    <t>INF789F1API8</t>
  </si>
  <si>
    <t>INF789F1APJ6</t>
  </si>
  <si>
    <t>UTI Bond Fund ( Segregated - 17022020) - Direct Plan - Half-Yearly IDCW</t>
  </si>
  <si>
    <t>INF789F1APG2</t>
  </si>
  <si>
    <t>INF789F1APH0</t>
  </si>
  <si>
    <t>UTI Bond Fund ( Segregated - 17022020) - Direct Plan - Quarterly IDCW</t>
  </si>
  <si>
    <t>INF789F1APB3</t>
  </si>
  <si>
    <t>INF789F1APC1</t>
  </si>
  <si>
    <t>UTI Bond Fund ( Segregated - 17022020) - Regular Plan - Annual IDCW</t>
  </si>
  <si>
    <t>INF789F1APD9</t>
  </si>
  <si>
    <t>INF789F1APE7</t>
  </si>
  <si>
    <t>UTI Bond Fund ( Segregated - 17022020) - Regular Plan - Flexi IDCW</t>
  </si>
  <si>
    <t>INF789F1AOZ5</t>
  </si>
  <si>
    <t>INF789F1APA5</t>
  </si>
  <si>
    <t>UTI Bond Fund ( Segregated - 17022020) - Regular Plan - Half-Yearly IDCW</t>
  </si>
  <si>
    <t>INF789F1AOX0</t>
  </si>
  <si>
    <t>INF789F1AOY8</t>
  </si>
  <si>
    <t>UTI Bond Fund ( Segregated - 17022020) - Regular Plan - Quarterly IDCW</t>
  </si>
  <si>
    <t>INF789F1A587</t>
  </si>
  <si>
    <t>INF789F1A595</t>
  </si>
  <si>
    <t>UTI Corporate Bond Fund - Direct Plan - Annual IDCW</t>
  </si>
  <si>
    <t>INF789F1A603</t>
  </si>
  <si>
    <t>INF789F1A611</t>
  </si>
  <si>
    <t>UTI Corporate Bond Fund - Direct Plan - Flexi IDCW</t>
  </si>
  <si>
    <t>INF789F1A538</t>
  </si>
  <si>
    <t>UTI Corporate Bond Fund - Direct Plan - Growth Option</t>
  </si>
  <si>
    <t>INF789F1A561</t>
  </si>
  <si>
    <t>INF789F1A579</t>
  </si>
  <si>
    <t>UTI Corporate Bond Fund - Direct Plan - Half-Yearly IDCW</t>
  </si>
  <si>
    <t>INF789F1A546</t>
  </si>
  <si>
    <t>INF789F1A553</t>
  </si>
  <si>
    <t>UTI Corporate Bond Fund - Direct Plan - Quarterly IDCW</t>
  </si>
  <si>
    <t>INF789F1A496</t>
  </si>
  <si>
    <t>INF789F1A504</t>
  </si>
  <si>
    <t>UTI Corporate Bond Fund - Regular Plan - Annual IDCW</t>
  </si>
  <si>
    <t>INF789F1A512</t>
  </si>
  <si>
    <t>INF789F1A520</t>
  </si>
  <si>
    <t>UTI Corporate Bond Fund - Regular Plan - Flexi IDCW</t>
  </si>
  <si>
    <t>INF789F1A447</t>
  </si>
  <si>
    <t>UTI Corporate Bond Fund - Regular Plan - Growth Option</t>
  </si>
  <si>
    <t>INF789F1A470</t>
  </si>
  <si>
    <t>INF789F1A488</t>
  </si>
  <si>
    <t>UTI Corporate Bond Fund - Regular Plan - Half-Yearly IDCW</t>
  </si>
  <si>
    <t>INF789F1A454</t>
  </si>
  <si>
    <t>INF789F1A462</t>
  </si>
  <si>
    <t>UTI Corporate Bond Fund - Regular Plan - Quarterly IDCW</t>
  </si>
  <si>
    <t>INF209KA1K96</t>
  </si>
  <si>
    <t>INF209KA1L04</t>
  </si>
  <si>
    <t>Aditya Birla Sun Life Credit Risk Fund - Direct - IDCW</t>
  </si>
  <si>
    <t>INF209KA1L12</t>
  </si>
  <si>
    <t>Aditya Birla Sun Life Credit Risk Fund - Direct Plan - Bonus</t>
  </si>
  <si>
    <t>INF209KA1K88</t>
  </si>
  <si>
    <t>Aditya Birla Sun Life Credit Risk Fund - Direct Plan - Growth</t>
  </si>
  <si>
    <t>INF209KA1K54</t>
  </si>
  <si>
    <t>INF209KA1K62</t>
  </si>
  <si>
    <t>Aditya Birla Sun Life Credit Risk Fund - Regular - IDCW</t>
  </si>
  <si>
    <t>INF209KA1K70</t>
  </si>
  <si>
    <t>Aditya Birla Sun Life Credit Risk Fund - Regular Plan - Bonus</t>
  </si>
  <si>
    <t>INF209KA1K47</t>
  </si>
  <si>
    <t>Aditya Birla Sun Life Credit Risk Fund - Regular Plan - Growth</t>
  </si>
  <si>
    <t>INF846K01PJ5</t>
  </si>
  <si>
    <t>Axis Credit Risk Fund - Direct Plan - Growth</t>
  </si>
  <si>
    <t>INF846K01PM9</t>
  </si>
  <si>
    <t>INF846K01PN7</t>
  </si>
  <si>
    <t>Axis Credit Risk Fund - Direct Plan - Monthly IDCW</t>
  </si>
  <si>
    <t>INF846K01PK3</t>
  </si>
  <si>
    <t>INF846K01PL1</t>
  </si>
  <si>
    <t>Axis Credit Risk Fund - Direct Plan - Weekly IDCW</t>
  </si>
  <si>
    <t>INF846K01PO5</t>
  </si>
  <si>
    <t>Axis Credit Risk Fund - Regular Plan - Growth</t>
  </si>
  <si>
    <t>INF846K01PR8</t>
  </si>
  <si>
    <t>INF846K01PS6</t>
  </si>
  <si>
    <t>Axis Credit Risk Fund - Regular Plan - Monthly IDCW</t>
  </si>
  <si>
    <t>INF846K01PP2</t>
  </si>
  <si>
    <t>INF846K01PQ0</t>
  </si>
  <si>
    <t>Axis Credit Risk Fund - Regular Plan - Weekly IDCW</t>
  </si>
  <si>
    <t>INF194KA1X04</t>
  </si>
  <si>
    <t>INF194KA1X12</t>
  </si>
  <si>
    <t>BANDHAN CREDIT RISK FUND - DIRECT PLAN HALF YEARLY IDCW</t>
  </si>
  <si>
    <t>INF194KA1W05</t>
  </si>
  <si>
    <t>INF194KA1W13</t>
  </si>
  <si>
    <t>BANDHAN Credit Risk Fund - Regular Plan Annual IDCW</t>
  </si>
  <si>
    <t>INF194KA1W39</t>
  </si>
  <si>
    <t>BANDHAN Credit Risk Fund - Regular Plan Growth</t>
  </si>
  <si>
    <t>INF194KA1V71</t>
  </si>
  <si>
    <t>INF194KA1V89</t>
  </si>
  <si>
    <t>BANDHAN Credit Risk Fund - Regular Plan Half Yearly IDCW</t>
  </si>
  <si>
    <t>INF194KA1V14</t>
  </si>
  <si>
    <t>INF194KA1V22</t>
  </si>
  <si>
    <t>BANDHAN Credit Risk Fund - Regular Plan Periodic IDCW</t>
  </si>
  <si>
    <t>INF194KA1V48</t>
  </si>
  <si>
    <t>INF194KA1V55</t>
  </si>
  <si>
    <t>BANDHAN Credit Risk Fund - Regular Plan Quarterly IDCW</t>
  </si>
  <si>
    <t>INF194KA1X38</t>
  </si>
  <si>
    <t>INF194KA1X46</t>
  </si>
  <si>
    <t>BANDHAN Credit Risk Fund-Direct Plan-Annual IDCW</t>
  </si>
  <si>
    <t>INF194KA1X61</t>
  </si>
  <si>
    <t>BANDHAN Credit Risk Fund-Direct Plan-Growth</t>
  </si>
  <si>
    <t>INF194KA1W47</t>
  </si>
  <si>
    <t>INF194KA1W54</t>
  </si>
  <si>
    <t>BANDHAN Credit Risk Fund-Direct Plan-Periodic IDCW</t>
  </si>
  <si>
    <t>INF194KA1W70</t>
  </si>
  <si>
    <t>INF194KA1W88</t>
  </si>
  <si>
    <t>BANDHAN Credit Risk Fund-Direct Plan-Quarterly IDCW</t>
  </si>
  <si>
    <t>INF761K01DG8</t>
  </si>
  <si>
    <t>BANK OF INDIA Credit Risk  Fund - Direct Plan</t>
  </si>
  <si>
    <t>INF761K01DH6</t>
  </si>
  <si>
    <t>BANK OF INDIA Credit Risk Fund - Regular Plan</t>
  </si>
  <si>
    <t>INF955L01IZ3</t>
  </si>
  <si>
    <t>INF955L01JA4</t>
  </si>
  <si>
    <t>Baroda BNP Paribas Credit Risk fund - Regular-Quarterly- IDCW option -Seg. Portfolio 2 (erstwhile BBNPP Medium Duration Fund Regular-Quarterly IDCW option Seg. Portfolio 1)</t>
  </si>
  <si>
    <t>INF955L01JE6</t>
  </si>
  <si>
    <t>Baroda BNP Paribas Credit Risk fund - Regular-Weekly-IDCW option -Seg. Portfolio 2 (erstwhile BBNPP Medium Duration Fund Regular-Weekly IDCW option Seg. Portfolio 1)</t>
  </si>
  <si>
    <t>INF955L01JM9</t>
  </si>
  <si>
    <t>Baroda BNP Paribas Credit risk fund -Defunct -Growth option -Seg-Portfolio 2 (erstwhile BBNPP Medium Duration Fund-Defunct Growth Option Seg.Portfolio1)</t>
  </si>
  <si>
    <t>INF955L01JP2</t>
  </si>
  <si>
    <t>INF955L01JQ0</t>
  </si>
  <si>
    <t>Baroda BNP Paribas Credit Risk fund -Defunct -Monthly IDCW option -Seg. Portfolio 2 (erstwhile BBNPP Medium Duration Fund Defunct-Monthly IDCW option Seg. Portfolio 1)</t>
  </si>
  <si>
    <t>INF955L01JO5</t>
  </si>
  <si>
    <t>Baroda BNP Paribas Credit Risk fund -Defunct -Weekly IDCW option -Seg. Portfolio 2 (erstwhile BBNPP Medium Duration Fund Defunct-Weekly IDCW option Seg. Portfolio 1)</t>
  </si>
  <si>
    <t>INF955L01JF3</t>
  </si>
  <si>
    <t>Baroda BNP Paribas Credit Risk fund -Direct - Growth option -Seg. Portfolio 2 (erstwhile BBNPP Medium Duration Fund Direct-Growth option Seg. Portfolio 1)</t>
  </si>
  <si>
    <t>INF955L01JJ5</t>
  </si>
  <si>
    <t>Baroda BNP Paribas Credit Risk fund -Direct -Monthly IDCW option -Seg. Portfolio 2 (erstwhile BBNPP Medium Duration Fund Direct-Monthly IDCW option Seg. Portfolio 1)</t>
  </si>
  <si>
    <t>INF955L01JG1</t>
  </si>
  <si>
    <t>INF955L01JH9</t>
  </si>
  <si>
    <t>Baroda BNP Paribas Credit Risk fund -Direct -Quarterly IDCW option -Seg. Portfolio 2 (erstwhile BBNPP Medium Duration Fund Direct-Quarterly IDCW option Seg. Portfolio 1)</t>
  </si>
  <si>
    <t>INF955L01JL1</t>
  </si>
  <si>
    <t>Baroda BNP Paribas Credit Risk fund -Direct -Weekly IDCW option -Seg. Portfolio 2 (erstwhile BBNPP Medium Duration Fund Direct-weekly IDCW option Seg. Portfolio 1)</t>
  </si>
  <si>
    <t>INF955L01FZ9</t>
  </si>
  <si>
    <t>Baroda BNP Paribas Credit Risk Fund -Direct- Monthly IDCW</t>
  </si>
  <si>
    <t>INF955L01GA0</t>
  </si>
  <si>
    <t>Baroda BNP Paribas Credit Risk Fund -Direct- Quarterly IDCW</t>
  </si>
  <si>
    <t>INF955L01JI7</t>
  </si>
  <si>
    <t>INF955L01JK3</t>
  </si>
  <si>
    <t>Baroda BNP Paribas Credit Risk fund -Direct-Daily IDCW option -Seg. Portfolio 2 (erstwhile BBNPP Medium Duration Fund Direct-daily-IDCW option Seg. Portfolio 1)</t>
  </si>
  <si>
    <t>INF955L01FR6</t>
  </si>
  <si>
    <t>Baroda BNP Paribas Credit Risk Fund -Direct-Growth Option</t>
  </si>
  <si>
    <t>INF955L01JD8</t>
  </si>
  <si>
    <t>Baroda BNP Paribas Credit Risk fund -Regular -Daily-IDCW option -Seg. Portfolio 2 (erstwhile BBNPP Medium Duration Fund Regular-Daily-IDCW option Seg. Portfolio 1)</t>
  </si>
  <si>
    <t>INF955L01JB2</t>
  </si>
  <si>
    <t>INF955L01JC0</t>
  </si>
  <si>
    <t>Baroda BNP Paribas Credit Risk fund -Regular -Monthly IDCW option -Seg. Portfolio 2 (erstwhile BBNPP Medium Duration Fund Regular-Monthly IDCW option Seg. Portfolio 1)</t>
  </si>
  <si>
    <t>INF955L01IY6</t>
  </si>
  <si>
    <t>Baroda BNP Paribas Credit Risk fund -Regular-Growth -Seg. Portfolio 2 (erstwhile BBNPP Medium Duration Fund Regular Growth Seg. Portfolio 1)</t>
  </si>
  <si>
    <t>INF955L01FP0</t>
  </si>
  <si>
    <t>Baroda BNP Paribas Credit Risk Fund -Regular-Growth Option</t>
  </si>
  <si>
    <t>INF955L01FU0</t>
  </si>
  <si>
    <t>Baroda BNP Paribas Credit Risk Fund -Regular-Monthly IDCW</t>
  </si>
  <si>
    <t>INF955L01FV8</t>
  </si>
  <si>
    <t>Baroda BNP Paribas Credit Risk Fund -Regular-Quarterly IDCW</t>
  </si>
  <si>
    <t>Baroda BNP Paribas Credit Risk Fund- Direct - Bonus Option- Segregated Portfolio- 1</t>
  </si>
  <si>
    <t>INF955L01IT6</t>
  </si>
  <si>
    <t>Baroda BNP Paribas Credit Risk Fund- Direct- Growth Option- Segregated Portfolio- 1</t>
  </si>
  <si>
    <t>INF955L01IW0</t>
  </si>
  <si>
    <t>INF955L01IX8</t>
  </si>
  <si>
    <t>Baroda BNP Paribas Credit Risk Fund- Direct- Monthly IDCW Option- Segregated Portfolio- 1</t>
  </si>
  <si>
    <t>Baroda BNP Paribas Credit Risk Fund- Regular- Bonus Option- Segregated Portfolio- 1</t>
  </si>
  <si>
    <t>INF955L01IO7</t>
  </si>
  <si>
    <t>Baroda BNP Paribas Credit Risk Fund- Regular- Growth Option- Segregated Portfolio- 1</t>
  </si>
  <si>
    <t>INF955L01IR0</t>
  </si>
  <si>
    <t>INF955L01IS8</t>
  </si>
  <si>
    <t>Baroda BNP Paribas Credit Risk Fund- Regular- Monthly IDCW Option- Segregated Portfolio- 1</t>
  </si>
  <si>
    <t>INF955L01IP4</t>
  </si>
  <si>
    <t>INF955L01IQ2</t>
  </si>
  <si>
    <t>Baroda BNP Paribas Credit Risk Fund- Regular- Quarterly IDCW Option- Segregated Portfolio- 1</t>
  </si>
  <si>
    <t>INF955L01JN7</t>
  </si>
  <si>
    <t>Baroda BNP Paribas Credit Risk Fund-Defunct -Daily IDCW option - seg Portfolio 2 (erstwhile BBNPP Medium Duration fund Defunct Daily IDCW daily option Seg Portfolio 1)</t>
  </si>
  <si>
    <t>INF955L01IU4</t>
  </si>
  <si>
    <t>INF955L01IV2</t>
  </si>
  <si>
    <t>Baroda BNP Paribas Credit Risk Fund-Direct- Quarterly IDCW Option- Segregated Portfolio- 1</t>
  </si>
  <si>
    <t>INF740K01OV8</t>
  </si>
  <si>
    <t>INF740K01OW6</t>
  </si>
  <si>
    <t>DSP Credit Risk Fund - Direct Plan -  IDCW - Monthly</t>
  </si>
  <si>
    <t>INF740K01OS4</t>
  </si>
  <si>
    <t>DSP Credit Risk Fund - Direct Plan - Growth</t>
  </si>
  <si>
    <t>INF740K01OT2</t>
  </si>
  <si>
    <t>INF740K01OU0</t>
  </si>
  <si>
    <t>DSP Credit Risk Fund - Direct Plan - IDCW</t>
  </si>
  <si>
    <t>INF740KA1NX2</t>
  </si>
  <si>
    <t>DSP Credit Risk Fund - Direct Plan - IDCW - Daily</t>
  </si>
  <si>
    <t>INF740K01OX4</t>
  </si>
  <si>
    <t>INF740K01OY2</t>
  </si>
  <si>
    <t xml:space="preserve">DSP Credit Risk Fund - Direct Plan - IDCW - Quarterly </t>
  </si>
  <si>
    <t>INF740KA1NY0</t>
  </si>
  <si>
    <t>INF740KA1NZ7</t>
  </si>
  <si>
    <t>DSP Credit Risk Fund - Direct Plan - IDCW - Weekly</t>
  </si>
  <si>
    <t>INF740K01581</t>
  </si>
  <si>
    <t>INF740K01AB9</t>
  </si>
  <si>
    <t>DSP Credit Risk Fund - Regular Plan - IDCW</t>
  </si>
  <si>
    <t>INF740KA1OA8</t>
  </si>
  <si>
    <t>DSP Credit Risk Fund - Regular Plan - IDCW - Daily</t>
  </si>
  <si>
    <t>INF740K01JW6</t>
  </si>
  <si>
    <t>INF740K01JV8</t>
  </si>
  <si>
    <t>DSP Credit Risk Fund - Regular Plan - IDCW - Monthly</t>
  </si>
  <si>
    <t>INF740K01JY2</t>
  </si>
  <si>
    <t>INF740K01JX4</t>
  </si>
  <si>
    <t xml:space="preserve">DSP Credit Risk Fund - Regular Plan - IDCW - Quarterly </t>
  </si>
  <si>
    <t>INF740K01FR4</t>
  </si>
  <si>
    <t>INF740K01FQ6</t>
  </si>
  <si>
    <t>DSP Credit Risk Fund - Regular Plan - IDCW - Weekly</t>
  </si>
  <si>
    <t>INF740K01599</t>
  </si>
  <si>
    <t>DSP Credit Risk Fund - Regular Plan -Growth</t>
  </si>
  <si>
    <t>INF090I01JL3</t>
  </si>
  <si>
    <t>Franklin India Credit Risk Fund - Direct - Growth</t>
  </si>
  <si>
    <t>INF090I01JJ7</t>
  </si>
  <si>
    <t>INF090I01JK5</t>
  </si>
  <si>
    <t xml:space="preserve">Franklin India Credit Risk Fund - Direct - IDCW </t>
  </si>
  <si>
    <t>INF090I01ET7</t>
  </si>
  <si>
    <t>Franklin India Credit Risk Fund - Growth</t>
  </si>
  <si>
    <t>INF090I01ES9</t>
  </si>
  <si>
    <t>INF090I01ER1</t>
  </si>
  <si>
    <t xml:space="preserve">Franklin India Credit Risk Fund - IDCW </t>
  </si>
  <si>
    <t>INF090I01VZ8</t>
  </si>
  <si>
    <t>Franklin India Credit Risk Fund - Segregated Portfolio 3 (9.50% Yes bank Ltd CO 23Dec21) - Direct Growth Plan</t>
  </si>
  <si>
    <t>INF090I01VX3</t>
  </si>
  <si>
    <t>Franklin India Credit Risk Fund - Segregated Portfolio 3 (9.50% Yes Bank Ltd CO 23Dec21) - Growth Plan</t>
  </si>
  <si>
    <t>INF090I01TK4</t>
  </si>
  <si>
    <t>Franklin India Credit Risk Fund- Segregated Portfolio 1- 8.25% Vodafone Idea Ltd-10JUL20-Direct-Dividend Plan</t>
  </si>
  <si>
    <t>INF090I01TL2</t>
  </si>
  <si>
    <t>Franklin India Credit Risk Fund- Segregated Portfolio 1- 8.25% Vodafone Idea Ltd-10JUL20-Direct-Growth Plan</t>
  </si>
  <si>
    <t>INF090I01TI8</t>
  </si>
  <si>
    <t>Franklin India Credit Risk Fund- Segregated Portfolio 1- 8.25% Vodafone Idea Ltd-10JUL20-Dividend Plan</t>
  </si>
  <si>
    <t>INF090I01TJ6</t>
  </si>
  <si>
    <t>Franklin India Credit Risk Fund- Segregated Portfolio 1- 8.25% Vodafone Idea Ltd-10JUL20-Growth Plan</t>
  </si>
  <si>
    <t>INF090I01TM0</t>
  </si>
  <si>
    <t>Franklin India Credit Risk Fund- Segregated Portfolio 2 - 10.90% Vodafone Idea Ltd (02-Sep-2023) - IDCW</t>
  </si>
  <si>
    <t>INF090I01TP3</t>
  </si>
  <si>
    <t>Franklin India Credit Risk Fund- Segregated Portfolio 2- 10.90% Vodafone Idea Ltd 02Sep2023-Direct Growth Plan</t>
  </si>
  <si>
    <t>INF090I01TN8</t>
  </si>
  <si>
    <t>Franklin India Credit Risk Fund- Segregated Portfolio 2- 10.90% Vodafone Idea Ltd 02Sep2023-Growth Plan</t>
  </si>
  <si>
    <t>INF090I01VW5</t>
  </si>
  <si>
    <t>Franklin India Credit Risk Fund- Segregated Portfolio 3 (9.50% Yes Bank Ltd CO 23Dec21) - IDCW</t>
  </si>
  <si>
    <t>INF090I01TO6</t>
  </si>
  <si>
    <t>Franklin India Credit Risk Fund-Segregated Portfolio 2 - 10.90% Vodafone Idea Ltd (02-Sep-2023) - Direct IDCW</t>
  </si>
  <si>
    <t>INF090I01VY1</t>
  </si>
  <si>
    <t>Franklin India Credit Risk Fund-Segregated Portfolio 3 (9.50% Yes Bank Ltd CO 23Dec21) - Direct IDCW</t>
  </si>
  <si>
    <t>INF179KA1GC0</t>
  </si>
  <si>
    <t>HDFC Credit Risk Debt Fund - Growth Option</t>
  </si>
  <si>
    <t>INF179KA1FZ3</t>
  </si>
  <si>
    <t>HDFC Credit Risk Debt Fund - Growth Option - Direct Plan</t>
  </si>
  <si>
    <t>INF179KA1I87</t>
  </si>
  <si>
    <t>INF179KA1I79</t>
  </si>
  <si>
    <t>HDFC Credit Risk Debt Fund - IDCW Option</t>
  </si>
  <si>
    <t>INF179KA1I61</t>
  </si>
  <si>
    <t>INF179KA1I53</t>
  </si>
  <si>
    <t>HDFC Credit Risk Debt Fund - IDCW Option - Direct Plan</t>
  </si>
  <si>
    <t>INF179KA1GA4</t>
  </si>
  <si>
    <t>INF179KA1GB2</t>
  </si>
  <si>
    <t>HDFC Credit Risk Debt Fund - Quarterly IDCW - Direct Plan</t>
  </si>
  <si>
    <t>INF179KA1GD8</t>
  </si>
  <si>
    <t>INF179KA1GE6</t>
  </si>
  <si>
    <t>HDFC Credit Risk Debt Fund - Quarterly IDCW Option</t>
  </si>
  <si>
    <t>INF917K01UL0</t>
  </si>
  <si>
    <t>INF917K01UK2</t>
  </si>
  <si>
    <t>HSBC Credit Risk Fund - Direct Annual IDCW</t>
  </si>
  <si>
    <t>INF917K01UH8</t>
  </si>
  <si>
    <t>HSBC Credit Risk Fund - Direct Growth</t>
  </si>
  <si>
    <t>INF917K01E29</t>
  </si>
  <si>
    <t>INF917K01UI6</t>
  </si>
  <si>
    <t>HSBC Credit Risk Fund - Direct IDCW</t>
  </si>
  <si>
    <t>INF917K01UN6</t>
  </si>
  <si>
    <t>INF917K01UM8</t>
  </si>
  <si>
    <t>HSBC Credit Risk Fund - Regular Annual IDCW</t>
  </si>
  <si>
    <t>INF917K01130</t>
  </si>
  <si>
    <t>HSBC Credit Risk Fund - Regular Growth</t>
  </si>
  <si>
    <t>INF917K01114</t>
  </si>
  <si>
    <t>INF917K01122</t>
  </si>
  <si>
    <t>HSBC Credit Risk Fund - Regular IDCW</t>
  </si>
  <si>
    <t>INF917K01CU9</t>
  </si>
  <si>
    <t>HSBC Credit Risk Fund- Regular Plan - Bonus</t>
  </si>
  <si>
    <t>INF109KB1AF0</t>
  </si>
  <si>
    <t>INF109KB1AG8</t>
  </si>
  <si>
    <t>ICICI Prudential Credit Risk Fund - Annual IDCW</t>
  </si>
  <si>
    <t>INF109KA1I27</t>
  </si>
  <si>
    <t>ICICI Prudential Credit Risk Fund - Bonus</t>
  </si>
  <si>
    <t>INF109KB1AD5</t>
  </si>
  <si>
    <t>INF109KB1AE3</t>
  </si>
  <si>
    <t>ICICI Prudential Credit Risk Fund - Direct Plan - Annual IDCW</t>
  </si>
  <si>
    <t>INF109K01V00</t>
  </si>
  <si>
    <t>ICICI Prudential Credit Risk Fund - Direct Plan - Growth</t>
  </si>
  <si>
    <t>INF109K01V18</t>
  </si>
  <si>
    <t>INF109K01V26</t>
  </si>
  <si>
    <t>ICICI Prudential Credit Risk Fund - Direct Plan - Half Yearly IDCW</t>
  </si>
  <si>
    <t>INF109K01V34</t>
  </si>
  <si>
    <t>INF109K01V42</t>
  </si>
  <si>
    <t>ICICI Prudential Credit Risk Fund - Direct Plan - Quarterly IDCW</t>
  </si>
  <si>
    <t>INF109KA1I19</t>
  </si>
  <si>
    <t>ICICI Prudential Credit Risk Fund - Direct Plan Bonus</t>
  </si>
  <si>
    <t>INF109K01GU4</t>
  </si>
  <si>
    <t>ICICI Prudential Credit Risk Fund - Growth</t>
  </si>
  <si>
    <t>INF109K01GX8</t>
  </si>
  <si>
    <t>INF109K01GY6</t>
  </si>
  <si>
    <t>ICICI Prudential Credit Risk Fund - Half Yearly IDCW</t>
  </si>
  <si>
    <t>INF109K01GV2</t>
  </si>
  <si>
    <t>INF109K01GW0</t>
  </si>
  <si>
    <t>ICICI Prudential Credit Risk Fund - Quarterly IDCW</t>
  </si>
  <si>
    <t>INF205K01J09</t>
  </si>
  <si>
    <t>INF205K01J25</t>
  </si>
  <si>
    <t>Invesco India Credit Risk Fund - Direct Plan - Discretionary IDCW (Payout / Reinvestment)</t>
  </si>
  <si>
    <t>INF205K01I83</t>
  </si>
  <si>
    <t>Invesco India Credit Risk Fund - Direct Plan - Growth</t>
  </si>
  <si>
    <t>INF205K01I91</t>
  </si>
  <si>
    <t>INF205K01J17</t>
  </si>
  <si>
    <t>Invesco India Credit Risk Fund - Direct Plan - Monthly IDCW (Payout / Reinvestment)</t>
  </si>
  <si>
    <t>INF205K01I59</t>
  </si>
  <si>
    <t>INF205K01I75</t>
  </si>
  <si>
    <t>Invesco India Credit Risk Fund - Regular Plan - Discretionary IDCW (Payout / Reinvestment)</t>
  </si>
  <si>
    <t>INF205K01I34</t>
  </si>
  <si>
    <t>Invesco India Credit Risk Fund - Regular Plan - Growth</t>
  </si>
  <si>
    <t>INF205K01I42</t>
  </si>
  <si>
    <t>INF205K01I67</t>
  </si>
  <si>
    <t>Invesco India Credit Risk Fund - Regular Plan - Monthly IDCW (Payout / Reinvestment)</t>
  </si>
  <si>
    <t>INF174K01MG5</t>
  </si>
  <si>
    <t>Kotak Credit Risk Fund - Direct Plan - Standard Income Distribution cum capital withdrawal option</t>
  </si>
  <si>
    <t>INF174K01DY7</t>
  </si>
  <si>
    <t>Kotak Credit Risk Fund - Growth</t>
  </si>
  <si>
    <t>INF174K01LZ7</t>
  </si>
  <si>
    <t>Kotak Credit Risk Fund - Growth - Direct</t>
  </si>
  <si>
    <t>INF174K01EG2</t>
  </si>
  <si>
    <t>INF174K01EF4</t>
  </si>
  <si>
    <t>Kotak Credit Risk Fund - Regular Plan - Standard Income Distribution cum capital withdrawal option</t>
  </si>
  <si>
    <t>INF204K01FQ3</t>
  </si>
  <si>
    <t>Nippon India Credit Risk Fund  - Growth Plan</t>
  </si>
  <si>
    <t>INF204K01FT7</t>
  </si>
  <si>
    <t>Nippon India Credit Risk Fund  - Institutional Growth Plan</t>
  </si>
  <si>
    <t>INF204KB17P0</t>
  </si>
  <si>
    <t>INF204KB18P8</t>
  </si>
  <si>
    <t>NIPPON INDIA CREDIT RISK FUND -  SEGREGATED PORTFOLIO 2 - DIRECT Plan - IDCW Option</t>
  </si>
  <si>
    <t>INF204KB15P4</t>
  </si>
  <si>
    <t>INF204KB16P2</t>
  </si>
  <si>
    <t>NIPPON INDIA CREDIT RISK FUND -  SEGREGATED PORTFOLIO 2 - DIRECT Plan - QUARTERLY IDCW Option</t>
  </si>
  <si>
    <t>INF204KB13Q7</t>
  </si>
  <si>
    <t>INF204KB14Q5</t>
  </si>
  <si>
    <t>NIPPON INDIA CREDIT RISK FUND -  SEGREGATED PORTFOLIO 2 - IDCW Option</t>
  </si>
  <si>
    <t>INF204KB11Q1</t>
  </si>
  <si>
    <t>INF204KB12Q9</t>
  </si>
  <si>
    <t>NIPPON INDIA CREDIT RISK FUND -  SEGREGATED PORTFOLIO 2 - QUARTERLY IDCW Option</t>
  </si>
  <si>
    <t>INF204K01A74</t>
  </si>
  <si>
    <t>Nippon India Credit Risk Fund - Direct Plan - Growth Plan</t>
  </si>
  <si>
    <t>INF204KA1WV6</t>
  </si>
  <si>
    <t>NIPPON INDIA CREDIT RISK FUND - DIRECT Plan - IDCW Option</t>
  </si>
  <si>
    <t>INF204K01A82</t>
  </si>
  <si>
    <t>INF204K01A90</t>
  </si>
  <si>
    <t>NIPPON INDIA CREDIT RISK FUND - DIRECT Plan - QUARTERLY IDCW Option</t>
  </si>
  <si>
    <t>INF204KA1WT0</t>
  </si>
  <si>
    <t>INF204KA1WS2</t>
  </si>
  <si>
    <t>NIPPON INDIA CREDIT RISK FUND - IDCW Option</t>
  </si>
  <si>
    <t>INF204K01FR1</t>
  </si>
  <si>
    <t>INF204K01FS9</t>
  </si>
  <si>
    <t>NIPPON INDIA CREDIT RISK FUND - QUARTERLY IDCW Option</t>
  </si>
  <si>
    <t>INF204KB12L0</t>
  </si>
  <si>
    <t>Nippon India Credit Risk Fund - Segregated Portfolio 1 - Direct Plan - Growth Plan</t>
  </si>
  <si>
    <t>INF204KB15L3</t>
  </si>
  <si>
    <t>INF204KB16L1</t>
  </si>
  <si>
    <t>NIPPON INDIA CREDIT RISK FUND - SEGREGATED PORTFOLIO 1 - Direct Plan - IDCW Option</t>
  </si>
  <si>
    <t>INF204KB13L8</t>
  </si>
  <si>
    <t>INF204KB14L6</t>
  </si>
  <si>
    <t>NIPPON INDIA CREDIT RISK FUND - SEGREGATED PORTFOLIO 1 - Direct Plan - QUARTERLY IDCW Option</t>
  </si>
  <si>
    <t>INF204KB17L9</t>
  </si>
  <si>
    <t>Nippon India Credit Risk Fund - Segregated Portfolio 1 - Growth Plan</t>
  </si>
  <si>
    <t>INF204KB11M0</t>
  </si>
  <si>
    <t>INF204KB12M8</t>
  </si>
  <si>
    <t>NIPPON INDIA CREDIT RISK FUND - SEGREGATED PORTFOLIO 1 - IDCW Option</t>
  </si>
  <si>
    <t>INF204KB18L7</t>
  </si>
  <si>
    <t>Nippon India Credit Risk Fund - Segregated Portfolio 1 - Institutional Growth Plan</t>
  </si>
  <si>
    <t>INF204KB19L5</t>
  </si>
  <si>
    <t>INF204KB10M2</t>
  </si>
  <si>
    <t>NIPPON INDIA CREDIT RISK FUND - SEGREGATED PORTFOLIO 1 - QUARTERLY IDCW Option</t>
  </si>
  <si>
    <t>INF204KB14P7</t>
  </si>
  <si>
    <t>Nippon India Credit Risk Fund - Segregated Portfolio 2 - Direct Plan - Growth Plan</t>
  </si>
  <si>
    <t>INF204KB19P6</t>
  </si>
  <si>
    <t>Nippon India Credit Risk Fund - Segregated Portfolio 2 - Growth Plan</t>
  </si>
  <si>
    <t>INF204KB10Q3</t>
  </si>
  <si>
    <t>Nippon India Credit Risk Fund - Segregated Portfolio 2 - Institutional Growth Plan</t>
  </si>
  <si>
    <t>INF200K01SS0</t>
  </si>
  <si>
    <t>SBI Credit Risk Fund - Direct Plan - Daily Income Distribution cum Capital Withdrawal Option (IDCW)</t>
  </si>
  <si>
    <t>INF200K01ST8</t>
  </si>
  <si>
    <t>INF200K01SU6</t>
  </si>
  <si>
    <t>SBI Credit Risk Fund - Direct Plan - Income Distribution cum Capital Withdrawal Option (IDCW)</t>
  </si>
  <si>
    <t>INF200K01SV4</t>
  </si>
  <si>
    <t>SBI CREDIT RISK FUND - DIRECT PLAN -GROWTH</t>
  </si>
  <si>
    <t>INF200K01QK1</t>
  </si>
  <si>
    <t>SBI Credit Risk Fund - Regular Plan - Daily Income Distribution cum Capital Withdrawal Option (IDCW)</t>
  </si>
  <si>
    <t>INF200K01685</t>
  </si>
  <si>
    <t>SBI CREDIT RISK FUND - REGULAR PLAN - GROWTH</t>
  </si>
  <si>
    <t>INF200K01693</t>
  </si>
  <si>
    <t>INF200K01701</t>
  </si>
  <si>
    <t>SBI Credit Risk Fund - Regular Plan - Income Distribution cum Capital Withdrawal Option (IDCW)</t>
  </si>
  <si>
    <t>INF789F1ARG8</t>
  </si>
  <si>
    <t>INF789F1ARH6</t>
  </si>
  <si>
    <t>UTI - Credit Risk Fund (Segregated - 06032020) - Direct Plan - Annual Dividend Option</t>
  </si>
  <si>
    <t>INF789F1ARK0</t>
  </si>
  <si>
    <t>INF789F1ARL8</t>
  </si>
  <si>
    <t>UTI - Credit Risk Fund (Segregated - 06032020) - Direct Plan - Flexi Dividend Option</t>
  </si>
  <si>
    <t>INF789F1ARF0</t>
  </si>
  <si>
    <t>UTI - Credit Risk Fund (Segregated - 06032020) - Direct Plan - Growth Option</t>
  </si>
  <si>
    <t>INF789F1ARI4</t>
  </si>
  <si>
    <t>INF789F1ARJ2</t>
  </si>
  <si>
    <t>UTI - Credit Risk Fund (Segregated - 06032020) - Direct Plan - Half Yearly Dividend Option</t>
  </si>
  <si>
    <t>INF789F1ARM6</t>
  </si>
  <si>
    <t>INF789F1ARN4</t>
  </si>
  <si>
    <t>UTI - Credit Risk Fund (Segregated - 06032020) - Direct Plan - Monthly Dividend Option</t>
  </si>
  <si>
    <t>INF789F1ARD5</t>
  </si>
  <si>
    <t>INF789F1ARE3</t>
  </si>
  <si>
    <t>UTI - Credit Risk Fund (Segregated - 06032020) - Direct Plan - Quarterly Dividend Option</t>
  </si>
  <si>
    <t>INF789F1ARR5</t>
  </si>
  <si>
    <t>INF789F1ARS3</t>
  </si>
  <si>
    <t>UTI - Credit Risk Fund (Segregated - 06032020) - Regular Plan - Annual Dividend Option</t>
  </si>
  <si>
    <t>INF789F1ARV7</t>
  </si>
  <si>
    <t>INF789F1ARW5</t>
  </si>
  <si>
    <t>UTI - Credit Risk Fund (Segregated - 06032020) - Regular Plan - Flexi Dividend Option</t>
  </si>
  <si>
    <t>INF789F1ARQ7</t>
  </si>
  <si>
    <t>UTI - Credit Risk Fund (Segregated - 06032020) - Regular Plan - Growth Option</t>
  </si>
  <si>
    <t>INF789F1ART1</t>
  </si>
  <si>
    <t>INF789F1ARU9</t>
  </si>
  <si>
    <t>UTI - Credit Risk Fund (Segregated - 06032020) - Regular Plan - Half Yearly Dividend Option</t>
  </si>
  <si>
    <t>INF789F1ARX3</t>
  </si>
  <si>
    <t>INF789F1ARY1</t>
  </si>
  <si>
    <t>UTI - Credit Risk Fund (Segregated - 06032020) - Regular Plan - Monthly Dividend Option</t>
  </si>
  <si>
    <t>INF789F1ARO2</t>
  </si>
  <si>
    <t>INF789F1ARP9</t>
  </si>
  <si>
    <t>UTI - Credit Risk Fund (Segregated - 06032020) - Regular Plan - Quarterly Dividend Option</t>
  </si>
  <si>
    <t>UTI - Credit Risk Fund (Segregated - 07072020) - Direct  Plan - Quarterly Dividend Option</t>
  </si>
  <si>
    <t>UTI - Credit Risk Fund (Segregated - 07072020) - Direct Plan - Annual Dividend Option</t>
  </si>
  <si>
    <t>UTI - Credit Risk Fund (Segregated - 07072020) - Direct Plan - Flexi  Dividend Option</t>
  </si>
  <si>
    <t>UTI - Credit Risk Fund (Segregated - 07072020) - Direct Plan - Growth Option</t>
  </si>
  <si>
    <t>UTI - Credit Risk Fund (Segregated - 07072020) - Direct Plan - Half Yearly Dividend Option</t>
  </si>
  <si>
    <t>UTI - Credit Risk Fund (Segregated - 07072020) - Direct Plan - Monthly Dividend Option</t>
  </si>
  <si>
    <t>UTI - Credit Risk Fund (Segregated - 07072020) - Regular Plan - Annual Dividend Option</t>
  </si>
  <si>
    <t>UTI - Credit Risk Fund (Segregated - 07072020) - Regular Plan - Flexi  Dividend Option</t>
  </si>
  <si>
    <t>UTI - Credit Risk Fund (Segregated - 07072020) - Regular Plan - Growth Option</t>
  </si>
  <si>
    <t>UTI - Credit Risk Fund (Segregated - 07072020) - Regular Plan - Half Yearly Dividend Option</t>
  </si>
  <si>
    <t>UTI - Credit Risk Fund (Segregated - 07072020) - Regular Plan - Monthly Dividend Option</t>
  </si>
  <si>
    <t>UTI - Credit Risk Fund (Segregated - 07072020) - Regular Plan - Quarterly Dividend Option</t>
  </si>
  <si>
    <t>INF789F1AML9</t>
  </si>
  <si>
    <t>INF789F1AMM7</t>
  </si>
  <si>
    <t>UTI - Credit Risk Fund (Segregated - 13092019) - Direct Plan - Annual Dividend Option</t>
  </si>
  <si>
    <t>INF789F1AMP0</t>
  </si>
  <si>
    <t>INF789F1AMQ8</t>
  </si>
  <si>
    <t>UTI - Credit Risk Fund (Segregated - 13092019) - Direct Plan - Flexi Dividend Option</t>
  </si>
  <si>
    <t>INF789F1AMK1</t>
  </si>
  <si>
    <t>UTI - Credit Risk Fund (Segregated - 13092019) - Direct Plan - Growth Option</t>
  </si>
  <si>
    <t>INF789F1AMN5</t>
  </si>
  <si>
    <t>INF789F1AMO3</t>
  </si>
  <si>
    <t>UTI - Credit Risk Fund (Segregated - 13092019) - Direct Plan - Half Yearly Dividend Option</t>
  </si>
  <si>
    <t>INF789F1AMR6</t>
  </si>
  <si>
    <t>INF789F1AMS4</t>
  </si>
  <si>
    <t>UTI - Credit Risk Fund (Segregated - 13092019) - Direct Plan - Monthly Dividend Option</t>
  </si>
  <si>
    <t>INF789F1AMI5</t>
  </si>
  <si>
    <t>INF789F1AMJ3</t>
  </si>
  <si>
    <t>UTI - Credit Risk Fund (Segregated - 13092019) - Direct Plan - Quarterly Dividend Option</t>
  </si>
  <si>
    <t>INF789F1AMW6</t>
  </si>
  <si>
    <t>INF789F1AMX4</t>
  </si>
  <si>
    <t>UTI - Credit Risk Fund (Segregated - 13092019) - Regular Plan - Annual Dividend Option</t>
  </si>
  <si>
    <t>INF789F1ANA0</t>
  </si>
  <si>
    <t>INF789F1ANB8</t>
  </si>
  <si>
    <t>UTI - Credit Risk Fund (Segregated - 13092019) - Regular Plan - Flexi Dividend Option</t>
  </si>
  <si>
    <t>INF789F1AMV8</t>
  </si>
  <si>
    <t>UTI - Credit Risk Fund (Segregated - 13092019) - Regular Plan - Growth Option</t>
  </si>
  <si>
    <t>INF789F1AMY2</t>
  </si>
  <si>
    <t>INF789F1AMZ9</t>
  </si>
  <si>
    <t>UTI - Credit Risk Fund (Segregated - 13092019) - Regular Plan - Half Yearly Dividend Option</t>
  </si>
  <si>
    <t>INF789F1ANC6</t>
  </si>
  <si>
    <t>INF789F1AND4</t>
  </si>
  <si>
    <t>UTI - Credit Risk Fund (Segregated - 13092019) - Regular Plan - Monthly Dividend Option</t>
  </si>
  <si>
    <t>INF789F1AMT2</t>
  </si>
  <si>
    <t>INF789F1AMU0</t>
  </si>
  <si>
    <t>UTI - Credit Risk Fund (Segregated - 13092019) - Regular Plan - Quarterly Dividend Option</t>
  </si>
  <si>
    <t>INF789F1ANG7</t>
  </si>
  <si>
    <t>UTI - Credit Risk Fund (Segregated - 17022020) - Direct Plan - Growth Option</t>
  </si>
  <si>
    <t>INF789F1ANR4</t>
  </si>
  <si>
    <t>UTI - Credit Risk Fund (Segregated - 17022020) - Regular Plan - Growth Option</t>
  </si>
  <si>
    <t>INF789F1ANH5</t>
  </si>
  <si>
    <t>INF789F1ANI3</t>
  </si>
  <si>
    <t>UTI Credit Risk Fund ( Segregated - 17022020 ) - Direct Plan - Annual IDCW</t>
  </si>
  <si>
    <t>INF789F1ANL7</t>
  </si>
  <si>
    <t>INF789F1ANM5</t>
  </si>
  <si>
    <t>UTI Credit Risk Fund ( Segregated - 17022020 ) - Direct Plan - Flexi IDCW</t>
  </si>
  <si>
    <t>INF789F1ANJ1</t>
  </si>
  <si>
    <t>INF789F1ANK9</t>
  </si>
  <si>
    <t>UTI Credit Risk Fund ( Segregated - 17022020 ) - Direct Plan - Half-Yearly IDCW</t>
  </si>
  <si>
    <t>INF789F1ANN3</t>
  </si>
  <si>
    <t>INF789F1ANO1</t>
  </si>
  <si>
    <t>UTI Credit Risk Fund ( Segregated - 17022020 ) - Direct Plan - Monthly IDCW</t>
  </si>
  <si>
    <t>INF789F1ANE2</t>
  </si>
  <si>
    <t>INF789F1ANF9</t>
  </si>
  <si>
    <t>UTI Credit Risk Fund ( Segregated - 17022020 ) - Direct Plan - Quarterly IDCW</t>
  </si>
  <si>
    <t>INF789F1ANS2</t>
  </si>
  <si>
    <t>INF789F1ANT0</t>
  </si>
  <si>
    <t>UTI Credit Risk Fund ( Segregated - 17022020 ) - Regular Plan - Annual IDCW</t>
  </si>
  <si>
    <t>INF789F1ANW4</t>
  </si>
  <si>
    <t>INF789F1ANX2</t>
  </si>
  <si>
    <t>UTI Credit Risk Fund ( Segregated - 17022020 ) - Regular Plan - Flexi IDCW</t>
  </si>
  <si>
    <t>INF789F1ANU8</t>
  </si>
  <si>
    <t>INF789F1ANV6</t>
  </si>
  <si>
    <t>UTI Credit Risk Fund ( Segregated - 17022020 ) - Regular Plan - Half-Yearly IDCW</t>
  </si>
  <si>
    <t>INF789F1ANY0</t>
  </si>
  <si>
    <t>INF789F1ANZ7</t>
  </si>
  <si>
    <t>UTI Credit Risk Fund ( Segregated - 17022020 ) - Regular Plan - Monthly IDCW</t>
  </si>
  <si>
    <t>INF789F1ANP8</t>
  </si>
  <si>
    <t>INF789F1ANQ6</t>
  </si>
  <si>
    <t>UTI Credit Risk Fund ( Segregated - 17022020 ) - Regular Plan - Quarterly IDCW</t>
  </si>
  <si>
    <t>INF789F01QZ1</t>
  </si>
  <si>
    <t>UTI Credit Risk Fund  - Regular Plan - Growth Option</t>
  </si>
  <si>
    <t>INF789FB1U28</t>
  </si>
  <si>
    <t>INF789FB1U36</t>
  </si>
  <si>
    <t>UTI Credit Risk Fund - Direct Plan - Annual IDCW</t>
  </si>
  <si>
    <t>INF789FB1U44</t>
  </si>
  <si>
    <t>INF789FB1U51</t>
  </si>
  <si>
    <t>UTI Credit Risk Fund - Direct Plan - Flexi IDCW</t>
  </si>
  <si>
    <t>INF789F01YB6</t>
  </si>
  <si>
    <t>UTI Credit Risk Fund - Direct Plan - Growth Option</t>
  </si>
  <si>
    <t>INF789FA1W02</t>
  </si>
  <si>
    <t>INF789FA1W10</t>
  </si>
  <si>
    <t>UTI Credit Risk Fund - Direct Plan - Half-Yearly IDCW</t>
  </si>
  <si>
    <t>INF789FB1U02</t>
  </si>
  <si>
    <t>INF789FB1U10</t>
  </si>
  <si>
    <t>UTI Credit Risk Fund - Direct Plan - Monthly IDCW</t>
  </si>
  <si>
    <t>INF789F01YC4</t>
  </si>
  <si>
    <t>INF789F01YD2</t>
  </si>
  <si>
    <t>UTI Credit Risk Fund - Direct Plan - Quarterly IDCW</t>
  </si>
  <si>
    <t>INF789FA1V60</t>
  </si>
  <si>
    <t>INF789FA1V78</t>
  </si>
  <si>
    <t>UTI Credit Risk Fund - Regular Plan - Annual IDCW</t>
  </si>
  <si>
    <t>INF789FA1V86</t>
  </si>
  <si>
    <t>INF789FA1V94</t>
  </si>
  <si>
    <t>UTI Credit Risk Fund - Regular Plan - Flexi IDCW</t>
  </si>
  <si>
    <t>INF789FA1V45</t>
  </si>
  <si>
    <t>INF789FA1V52</t>
  </si>
  <si>
    <t>UTI Credit Risk Fund - Regular Plan - Half-Yearly IDCW</t>
  </si>
  <si>
    <t>INF789FB1T88</t>
  </si>
  <si>
    <t>INF789FB1T96</t>
  </si>
  <si>
    <t>UTI Credit Risk Fund - Regular Plan - Monthly IDCW</t>
  </si>
  <si>
    <t>INF789F01RA2</t>
  </si>
  <si>
    <t>INF789F01RB0</t>
  </si>
  <si>
    <t>UTI Credit Risk Fund - Regular Plan - Quarterly IDCW</t>
  </si>
  <si>
    <t>INF579M01183</t>
  </si>
  <si>
    <t>360 ONE Dynamic Bond Fund - Regular Plan - Growth Option</t>
  </si>
  <si>
    <t>INF579M01266</t>
  </si>
  <si>
    <t>360 ONE Dynamic Bond Fund Direct Plan Growth</t>
  </si>
  <si>
    <t>INF579M01282</t>
  </si>
  <si>
    <t>INF579M01316</t>
  </si>
  <si>
    <t>360 ONE Dynamic Bond Fund Direct Plan Monthly Dividend</t>
  </si>
  <si>
    <t>INF579M01290</t>
  </si>
  <si>
    <t>INF579M01324</t>
  </si>
  <si>
    <t>360 ONE Dynamic Bond Fund Direct Plan Quarterly Dividend</t>
  </si>
  <si>
    <t>INF579M01191</t>
  </si>
  <si>
    <t>360 ONE Dynamic Bond Fund Regular Plan Bonus</t>
  </si>
  <si>
    <t>INF579M01225</t>
  </si>
  <si>
    <t>INF579M01258</t>
  </si>
  <si>
    <t>360 ONE Dynamic Bond Fund Regular Plan Half Yearly Dividend</t>
  </si>
  <si>
    <t>INF579M01209</t>
  </si>
  <si>
    <t>INF579M01233</t>
  </si>
  <si>
    <t>360 ONE Dynamic Bond Fund Regular Plan Monthly Dividend</t>
  </si>
  <si>
    <t>INF579M01217</t>
  </si>
  <si>
    <t>INF579M01241</t>
  </si>
  <si>
    <t>360 ONE Dynamic Bond Fund Regular Plan Quarterly Dividend</t>
  </si>
  <si>
    <t>INF209K01N82</t>
  </si>
  <si>
    <t>Aditya Birla Sun Life Dynamic Bond Fund - Growth - Direct Plan</t>
  </si>
  <si>
    <t>INF209K01793</t>
  </si>
  <si>
    <t>Aditya Birla Sun Life Dynamic Bond Fund - Growth - Regular Plan</t>
  </si>
  <si>
    <t>INF209KA1TX3</t>
  </si>
  <si>
    <t>Aditya Birla Sun Life Dynamic Bond Fund -Direct - IDCW</t>
  </si>
  <si>
    <t>INF209K01R62</t>
  </si>
  <si>
    <t>Aditya Birla Sun Life Dynamic Bond Fund -DIRECT - MONTHLY IDCW</t>
  </si>
  <si>
    <t>INF209K01R88</t>
  </si>
  <si>
    <t>Aditya Birla Sun Life Dynamic Bond Fund -Direct - Quarterly IDCW</t>
  </si>
  <si>
    <t>INF209KA1TV7</t>
  </si>
  <si>
    <t>Aditya Birla Sun Life Dynamic Bond Fund -Regular - IDCW</t>
  </si>
  <si>
    <t>INF209K01801</t>
  </si>
  <si>
    <t>INF209K01DG8</t>
  </si>
  <si>
    <t>Aditya Birla Sun Life Dynamic Bond Fund -REGULAR - MONTHLY IDCW</t>
  </si>
  <si>
    <t>INF209K01819</t>
  </si>
  <si>
    <t>INF209K01DH6</t>
  </si>
  <si>
    <t>Aditya Birla Sun Life Dynamic Bond Fund -Regular - Quarterly IDCW</t>
  </si>
  <si>
    <t>INF846K01DI3</t>
  </si>
  <si>
    <t>Axis Dynamic Bond Fund - Direct Plan - Growth Option</t>
  </si>
  <si>
    <t>INF846K01DJ1</t>
  </si>
  <si>
    <t>INF846K01DK9</t>
  </si>
  <si>
    <t>Axis Dynamic Bond Fund - Direct Plan - Half Yearly IDCW</t>
  </si>
  <si>
    <t>INF846K01DL7</t>
  </si>
  <si>
    <t>INF846K01DM5</t>
  </si>
  <si>
    <t>Axis Dynamic Bond Fund - Direct Plan - Quarterly IDCW</t>
  </si>
  <si>
    <t>INF846K01917</t>
  </si>
  <si>
    <t>Axis Dynamic Bond Fund - Regular Plan - Growth Option</t>
  </si>
  <si>
    <t>INF846K01941</t>
  </si>
  <si>
    <t>INF846K01958</t>
  </si>
  <si>
    <t>Axis Dynamic Bond Fund - Regular Plan - Half Yearly IDCW</t>
  </si>
  <si>
    <t>INF846K01925</t>
  </si>
  <si>
    <t>INF846K01933</t>
  </si>
  <si>
    <t>Axis Dynamic Bond Fund - Regular Plan - Quarterly IDCW</t>
  </si>
  <si>
    <t>INF194K01QI0</t>
  </si>
  <si>
    <t>INF194K01QH2</t>
  </si>
  <si>
    <t>BANDHAN Dynamic Bond Fund - Regular Plan B - Quarterly IDCW</t>
  </si>
  <si>
    <t>INF194K01QL4</t>
  </si>
  <si>
    <t>INF194K01QK6</t>
  </si>
  <si>
    <t>BANDHAN Dynamic Bond Fund - Regular Plan B - Annual IDCW</t>
  </si>
  <si>
    <t>INF194K01QG4</t>
  </si>
  <si>
    <t>BANDHAN Dynamic Bond Fund - Regular Plan B - Growth</t>
  </si>
  <si>
    <t>INF194K018R9</t>
  </si>
  <si>
    <t>INF194K019R7</t>
  </si>
  <si>
    <t>BANDHAN Dynamic Bond Fund - Regular Plan B - Half Yearly IDCW</t>
  </si>
  <si>
    <t>INF194K01QO8</t>
  </si>
  <si>
    <t>INF194K01QN0</t>
  </si>
  <si>
    <t>BANDHAN Dynamic Bond Fund - Regular Plan B - IDCW</t>
  </si>
  <si>
    <t>INF194KA1TM3</t>
  </si>
  <si>
    <t>INF194KA1TN1</t>
  </si>
  <si>
    <t>BANDHAN Dynamic Bond Fund - Regular Plan B - Periodic IDCW</t>
  </si>
  <si>
    <t>INF194K01O13</t>
  </si>
  <si>
    <t>INF194K01O05</t>
  </si>
  <si>
    <t>BANDHAN Dynamic Bond Fund-Direct Plan-Annual IDCW</t>
  </si>
  <si>
    <t>INF194K01N63</t>
  </si>
  <si>
    <t>BANDHAN Dynamic Bond Fund-Direct Plan-Growth</t>
  </si>
  <si>
    <t>INF194K011P8</t>
  </si>
  <si>
    <t>INF194K012P6</t>
  </si>
  <si>
    <t>BANDHAN Dynamic Bond Fund-Direct Plan-Half Yearly IDCW</t>
  </si>
  <si>
    <t>INF194K01O47</t>
  </si>
  <si>
    <t>INF194K01O39</t>
  </si>
  <si>
    <t>BANDHAN Dynamic Bond Fund-Direct Plan-IDCW</t>
  </si>
  <si>
    <t>INF194KA1TP6</t>
  </si>
  <si>
    <t>INF194KA1TQ4</t>
  </si>
  <si>
    <t>BANDHAN Dynamic Bond Fund-Direct Plan-Periodic IDCW</t>
  </si>
  <si>
    <t>INF194K01N89</t>
  </si>
  <si>
    <t>INF194K01N71</t>
  </si>
  <si>
    <t>BANDHAN Dynamic Bond Fund-Direct Plan-Quarterly IDCW</t>
  </si>
  <si>
    <t>INF251K01GX8</t>
  </si>
  <si>
    <t>Baroda BNP Paribas Dynamic Bond Fund - Direct Plan - Daily IDCW Option</t>
  </si>
  <si>
    <t>INF251K01GW0</t>
  </si>
  <si>
    <t>Baroda BNP Paribas Dynamic Bond Fund - Direct Plan - Growth Option</t>
  </si>
  <si>
    <t>INF251K01HD8</t>
  </si>
  <si>
    <t>INF251K01HE6</t>
  </si>
  <si>
    <t>Baroda BNP Paribas Dynamic Bond Fund - Direct Plan - Half Yearly IDCW Option</t>
  </si>
  <si>
    <t>INF251K01GZ3</t>
  </si>
  <si>
    <t>INF251K01HA4</t>
  </si>
  <si>
    <t>Baroda BNP Paribas Dynamic Bond Fund - Direct Plan - Monthly IDCW Option</t>
  </si>
  <si>
    <t>INF251K01HB2</t>
  </si>
  <si>
    <t>INF251K01HC0</t>
  </si>
  <si>
    <t>Baroda BNP Paribas Dynamic Bond Fund - Direct Plan - Quarterly IDCW Option</t>
  </si>
  <si>
    <t>INF251K01GY6</t>
  </si>
  <si>
    <t>Baroda BNP Paribas Dynamic Bond Fund - Direct Plan - Weekly IDCW Option</t>
  </si>
  <si>
    <t>INF251K01DX5</t>
  </si>
  <si>
    <t>Baroda BNP Paribas Dynamic Bond Fund - Regular Plan - Daily IDCW Option</t>
  </si>
  <si>
    <t>INF251K01DW7</t>
  </si>
  <si>
    <t>Baroda BNP Paribas Dynamic Bond Fund - Regular Plan - Growth Option</t>
  </si>
  <si>
    <t>INF251K01ED5</t>
  </si>
  <si>
    <t>INF251K01EE3</t>
  </si>
  <si>
    <t>Baroda BNP Paribas Dynamic Bond Fund - Regular Plan - Half Yearly IDCW Option</t>
  </si>
  <si>
    <t>INF251K01DZ0</t>
  </si>
  <si>
    <t>INF251K01EA1</t>
  </si>
  <si>
    <t>Baroda BNP Paribas Dynamic Bond Fund - Regular Plan - Monthly IDCW Option</t>
  </si>
  <si>
    <t>INF251K01EB9</t>
  </si>
  <si>
    <t>INF251K01EC7</t>
  </si>
  <si>
    <t>Baroda BNP Paribas Dynamic Bond Fund - Regular Plan - Quarterly IDCW Option</t>
  </si>
  <si>
    <t>INF251K01DY3</t>
  </si>
  <si>
    <t>Baroda BNP Paribas Dynamic Bond Fund - Regular Plan - Weekly IDCW Option</t>
  </si>
  <si>
    <t>INF251K01EF0</t>
  </si>
  <si>
    <t>Baroda BNP Paribas Dynamic Bond Fund-Defunct Plan - Growth Option</t>
  </si>
  <si>
    <t>INF760K01EC7</t>
  </si>
  <si>
    <t>CANARA ROBECO DYNAMIC BOND FUND - DIRECT PLAN - GROWTH OPTION</t>
  </si>
  <si>
    <t>INF760K01EA1</t>
  </si>
  <si>
    <t>INF760K01EB9</t>
  </si>
  <si>
    <t>CANARA ROBECO DYNAMIC BOND FUND - DIRECT PLAN - IDCW (Payout/Reinvestment)</t>
  </si>
  <si>
    <t>INF760K01449</t>
  </si>
  <si>
    <t>CANARA ROBECO DYNAMIC BOND FUND - REGULAR PLAN - GROWTH OPTION</t>
  </si>
  <si>
    <t>INF760K01423</t>
  </si>
  <si>
    <t>INF760K01431</t>
  </si>
  <si>
    <t>CANARA ROBECO DYNAMIC BOND FUND - REGULAR PLAN - IDCW (Payout/Reinvestment)</t>
  </si>
  <si>
    <t>INF740K01QG4</t>
  </si>
  <si>
    <t>DSP Strategic Bond Fund - Direct Plan - Growth</t>
  </si>
  <si>
    <t>INF740K01QI0</t>
  </si>
  <si>
    <t>INF740K01QK6</t>
  </si>
  <si>
    <t>DSP Strategic Bond Fund - Direct Plan - IDCW</t>
  </si>
  <si>
    <t>INF740KA1OX0</t>
  </si>
  <si>
    <t>DSP Strategic Bond Fund - Direct Plan - IDCW - Daily</t>
  </si>
  <si>
    <t>INF740K01QH2</t>
  </si>
  <si>
    <t>INF740K01QJ8</t>
  </si>
  <si>
    <t>DSP Strategic Bond Fund - Direct Plan - IDCW - Monthly</t>
  </si>
  <si>
    <t>INF740KA1OY8</t>
  </si>
  <si>
    <t>INF740KA1OZ5</t>
  </si>
  <si>
    <t>DSP Strategic Bond Fund - Direct Plan - IDCW - Weekly</t>
  </si>
  <si>
    <t>INF740K01GK7</t>
  </si>
  <si>
    <t>DSP Strategic Bond Fund - Regular Plan - Growth</t>
  </si>
  <si>
    <t>INF740K01GO9</t>
  </si>
  <si>
    <t>INF740K01GN1</t>
  </si>
  <si>
    <t>DSP Strategic Bond Fund - Regular Plan - IDCW</t>
  </si>
  <si>
    <t>INF740KA1PA5</t>
  </si>
  <si>
    <t>DSP Strategic Bond Fund - Regular Plan - IDCW - Daily</t>
  </si>
  <si>
    <t>INF740K01GM3</t>
  </si>
  <si>
    <t>INF740K01GL5</t>
  </si>
  <si>
    <t>DSP Strategic Bond Fund - Regular Plan - IDCW - Monthly</t>
  </si>
  <si>
    <t>INF740K01GQ4</t>
  </si>
  <si>
    <t>INF740K01GP6</t>
  </si>
  <si>
    <t>DSP Strategic Bond Fund - Regular Plan - IDCW - Weekly</t>
  </si>
  <si>
    <t>INF090I01HB8</t>
  </si>
  <si>
    <t>Franklin India Dynamic Accrual Fund - Direct - Growth</t>
  </si>
  <si>
    <t>INF090I01GZ9</t>
  </si>
  <si>
    <t>INF090I01HA0</t>
  </si>
  <si>
    <t xml:space="preserve">Franklin India Dynamic Accrual Fund - Direct - IDCW </t>
  </si>
  <si>
    <t>INF090I01BN6</t>
  </si>
  <si>
    <t>INF090I01BO4</t>
  </si>
  <si>
    <t xml:space="preserve">Franklin India Dynamic Accrual Fund - IDCW </t>
  </si>
  <si>
    <t>INF090I01WD3</t>
  </si>
  <si>
    <t>Franklin India Dynamic Accrual Fund - Segregated Portfolio 3 (9.50% Yes Bank Ltd CO 23Dec21) - Direct Growth Plan</t>
  </si>
  <si>
    <t>INF090I01WB7</t>
  </si>
  <si>
    <t>Franklin India Dynamic Accrual Fund - Segregated Portfolio 3 (9.50% Yes Bank Ltd CO 23Dec21) - Growth Plan</t>
  </si>
  <si>
    <t>INF090I01TS7</t>
  </si>
  <si>
    <t>Franklin India Dynamic Accrual Fund- Segregated Portfolio 1- 8.25% Vodafone Idea Ltd-10JUL20-Direct-Dividend Plan</t>
  </si>
  <si>
    <t>INF090I01TT5</t>
  </si>
  <si>
    <t>Franklin India Dynamic Accrual Fund- Segregated Portfolio 1- 8.25% Vodafone Idea Ltd-10JUL20-Direct-Growth Plan</t>
  </si>
  <si>
    <t>INF090I01TQ1</t>
  </si>
  <si>
    <t>Franklin India Dynamic Accrual Fund- Segregated Portfolio 1- 8.25% Vodafone Idea Ltd-10JUL20-Dividend Plan</t>
  </si>
  <si>
    <t>INF090I01TR9</t>
  </si>
  <si>
    <t>Franklin India Dynamic Accrual Fund- Segregated Portfolio 1- 8.25% Vodafone Idea Ltd-10JUL20-Growth Plan</t>
  </si>
  <si>
    <t>INF090I01TU3</t>
  </si>
  <si>
    <t>Franklin India Dynamic Accrual Fund- Segregated Portfolio 2 - 10.90% Vodafone Idea Ltd (02-Sep-2023) - IDCW</t>
  </si>
  <si>
    <t>INF090I01TX7</t>
  </si>
  <si>
    <t>Franklin India Dynamic Accrual Fund- Segregated Portfolio 2- 10.90% Vodafone Idea Ltd 02Sep2023-Direct-Growth Plan</t>
  </si>
  <si>
    <t>INF090I01TV1</t>
  </si>
  <si>
    <t>Franklin India Dynamic Accrual Fund- Segregated Portfolio 2- 10.90% Vodafone Idea Ltd 02Sep2023-Growth Plan</t>
  </si>
  <si>
    <t>INF090I01WA9</t>
  </si>
  <si>
    <t>Franklin India Dynamic Accrual Fund- Segregated Portfolio 3 (9.50% Yes Bank Ltd CO 23Dec21) - IDCW</t>
  </si>
  <si>
    <t>INF090I01BP1</t>
  </si>
  <si>
    <t>Franklin India Dynamic Accrual Fund-Growth</t>
  </si>
  <si>
    <t>INF090I01TW9</t>
  </si>
  <si>
    <t>Franklin India Dynamic Accrual Fund-Segregated Portfolio 2 - 10.90% Vodafone Idea Ltd (02-Sep-2023) - Direct IDCW</t>
  </si>
  <si>
    <t>INF090I01WC5</t>
  </si>
  <si>
    <t>Franklin India Dynamic Accrual Fund-Segregated Portfolio 3 (9.50% Yes Bank Ltd CO 23Dec21) - Direct IDCW</t>
  </si>
  <si>
    <t>INF666M01EK5</t>
  </si>
  <si>
    <t>Groww Dynamic Term Fund (formerly known as Indiabulls Dynamic Bond Fund) - Direct Plan - Growth option</t>
  </si>
  <si>
    <t>INF666M01ES8</t>
  </si>
  <si>
    <t>Groww Dynamic Term Fund (formerly known as Indiabulls Dynamic Bond Fund) - Regular Plan - Growth option</t>
  </si>
  <si>
    <t>INF666M01EL3</t>
  </si>
  <si>
    <t>Groww Dynamic Term Fund (formerly known as Indiabulls Dynamic Bond Fund)- Direct Plan- - Income Distribution cum capital withdrawal Option ( Reinvestment)</t>
  </si>
  <si>
    <t>INF666M01EO7</t>
  </si>
  <si>
    <t>INF666M01EP4</t>
  </si>
  <si>
    <t>Groww Dynamic Term Fund (formerly known as Indiabulls Dynamic Bond Fund)- Direct Plan- Fortnightly - Income Distribution cum capital withdrawal Option (Payout &amp; Reinvestment)</t>
  </si>
  <si>
    <t>INF666M01EQ2</t>
  </si>
  <si>
    <t>INF666M01ER0</t>
  </si>
  <si>
    <t>Groww Dynamic Term Fund (formerly known as Indiabulls Dynamic Bond Fund)- Direct Plan- Monthly - Income Distribution cum capital withdrawal Option (Payout &amp; Reinvestment)</t>
  </si>
  <si>
    <t>INF666M01EM1</t>
  </si>
  <si>
    <t>INF666M01EN9</t>
  </si>
  <si>
    <t>Groww Dynamic Term Fund (formerly known as Indiabulls Dynamic Bond Fund)- Direct Plan- Weekly - Income Distribution cum capital withdrawal Option (Payout &amp; Reinvestment)</t>
  </si>
  <si>
    <t>INF666M01ET6</t>
  </si>
  <si>
    <t>Groww Dynamic Term Fund (formerly known as Indiabulls Dynamic Bond Fund)- Regular Plan- - Income Distribution cum capital withdrawal Option ( Reinvestment)</t>
  </si>
  <si>
    <t>INF666M01EW0</t>
  </si>
  <si>
    <t>INF666M01EX8</t>
  </si>
  <si>
    <t>Groww Dynamic Term Fund (formerly known as Indiabulls Dynamic Bond Fund)- Regular Plan- Fortnightly - Income Distribution cum capital withdrawal Option (Payout &amp; Reinvestment)</t>
  </si>
  <si>
    <t>INF666M01EY6</t>
  </si>
  <si>
    <t>INF666M01EZ3</t>
  </si>
  <si>
    <t>Groww Dynamic Term Fund (formerly known as Indiabulls Dynamic Bond Fund)- Regular Plan- Monthly - Income Distribution cum capital withdrawal Option (Payout &amp; Reinvestment)</t>
  </si>
  <si>
    <t>INF666M01EU4</t>
  </si>
  <si>
    <t>INF666M01EV2</t>
  </si>
  <si>
    <t>Groww Dynamic Term Fund (formerly known as Indiabulls Dynamic Bond Fund)- Regular Plan- Weekly - Income Distribution cum capital withdrawal Option (Payout &amp; Reinvestment)</t>
  </si>
  <si>
    <t>INF179K01848</t>
  </si>
  <si>
    <t>HDFC Dynamic Debt Fund - Growth Option</t>
  </si>
  <si>
    <t>INF179K01WB4</t>
  </si>
  <si>
    <t>HDFC Dynamic Debt Fund - Growth Option - Direct Plan</t>
  </si>
  <si>
    <t>INF179K01WC2</t>
  </si>
  <si>
    <t>INF179K01WD0</t>
  </si>
  <si>
    <t>HDFC Dynamic Debt Fund - Half Yearly IDCW - Direct Plan</t>
  </si>
  <si>
    <t>INF179K01855</t>
  </si>
  <si>
    <t>INF179K01863</t>
  </si>
  <si>
    <t>HDFC Dynamic Debt Fund - Half Yearly IDCW Option</t>
  </si>
  <si>
    <t>INF179KA1Q95</t>
  </si>
  <si>
    <t>HDFC Dynamic Debt Fund - Normal IDCW - Direct Plan</t>
  </si>
  <si>
    <t>INF179KA1R11</t>
  </si>
  <si>
    <t>HDFC Dynamic Debt Fund - Normal IDCW Option</t>
  </si>
  <si>
    <t>INF179K01WE8</t>
  </si>
  <si>
    <t>INF179K01WF5</t>
  </si>
  <si>
    <t>HDFC Dynamic Debt Fund - Quarterly IDCW - Direct Plan</t>
  </si>
  <si>
    <t>INF179K01871</t>
  </si>
  <si>
    <t>INF179K01889</t>
  </si>
  <si>
    <t>HDFC Dynamic Debt Fund - Quarterly IDCW Option</t>
  </si>
  <si>
    <t>INF179K01WG3</t>
  </si>
  <si>
    <t>INF179K01WH1</t>
  </si>
  <si>
    <t>HDFC Dynamic Debt Fund - Yearly IDCW - Direct Plan</t>
  </si>
  <si>
    <t>INF179K01921</t>
  </si>
  <si>
    <t>INF179K01939</t>
  </si>
  <si>
    <t>HDFC Dynamic Debt Fund - Yearly IDCW Option</t>
  </si>
  <si>
    <t>INF917K01VN4</t>
  </si>
  <si>
    <t>INF917K01VM6</t>
  </si>
  <si>
    <t>HSBC Dynamic Bond Fund - Direct Annual IDCW</t>
  </si>
  <si>
    <t>INF917K01HA0</t>
  </si>
  <si>
    <t>HSBC Dynamic Bond Fund - Direct Growth</t>
  </si>
  <si>
    <t>INF917K01GZ9</t>
  </si>
  <si>
    <t>INF917K01GY2</t>
  </si>
  <si>
    <t>HSBC Dynamic Bond Fund - Direct Monthly IDCW</t>
  </si>
  <si>
    <t>INF917K01VP9</t>
  </si>
  <si>
    <t>INF917K01VO2</t>
  </si>
  <si>
    <t>HSBC Dynamic Bond Fund - Regular Annual IDCW</t>
  </si>
  <si>
    <t>INF677K01916</t>
  </si>
  <si>
    <t>HSBC Dynamic Bond Fund - Regular Growth</t>
  </si>
  <si>
    <t>INF677K01924</t>
  </si>
  <si>
    <t>INF677K01932</t>
  </si>
  <si>
    <t>HSBC Dynamic Bond Fund - Regular Monthly IDCW</t>
  </si>
  <si>
    <t>INF109K01GO7</t>
  </si>
  <si>
    <t>INF109K01GP4</t>
  </si>
  <si>
    <t>ICICI Prudential All Seasons Bond Fund - Annual IDCW</t>
  </si>
  <si>
    <t>INF109KA1H36</t>
  </si>
  <si>
    <t>ICICI Prudential All Seasons Bond Fund - Bonus</t>
  </si>
  <si>
    <t>INF109K012E4</t>
  </si>
  <si>
    <t>INF109K013E2</t>
  </si>
  <si>
    <t>ICICI Prudential All Seasons Bond Fund - Direct Plan - Annual IDCW</t>
  </si>
  <si>
    <t>INF109K016E5</t>
  </si>
  <si>
    <t>ICICI Prudential All Seasons Bond Fund - Direct Plan - Growth</t>
  </si>
  <si>
    <t>INF109K014E0</t>
  </si>
  <si>
    <t>INF109K015E7</t>
  </si>
  <si>
    <t>ICICI Prudential All Seasons Bond Fund - Direct Plan - IDCW</t>
  </si>
  <si>
    <t>INF109K017E3</t>
  </si>
  <si>
    <t>INF109K018E1</t>
  </si>
  <si>
    <t>ICICI Prudential All Seasons Bond Fund - Direct Plan - Quarterly IDCW</t>
  </si>
  <si>
    <t>INF109K019E9</t>
  </si>
  <si>
    <t>INF109K010F5</t>
  </si>
  <si>
    <t>ICICI Prudential All Seasons Bond Fund - Direct Plan - Weekly IDCW</t>
  </si>
  <si>
    <t>INF109KA1H28</t>
  </si>
  <si>
    <t>ICICI Prudential All Seasons Bond Fund - Direct Plan Bonus</t>
  </si>
  <si>
    <t>INF109K01GN9</t>
  </si>
  <si>
    <t>ICICI Prudential All Seasons Bond Fund - Growth</t>
  </si>
  <si>
    <t>INF109K01GK5</t>
  </si>
  <si>
    <t>INF109K01GL3</t>
  </si>
  <si>
    <t>ICICI Prudential All Seasons Bond Fund - IDCW</t>
  </si>
  <si>
    <t>INF109K01GM1</t>
  </si>
  <si>
    <t>ICICI Prudential All Seasons Bond Fund - Premium Growth Option</t>
  </si>
  <si>
    <t>INF109K01GE8</t>
  </si>
  <si>
    <t>INF109K01GF5</t>
  </si>
  <si>
    <t>ICICI Prudential All Seasons Bond Fund - Quarterly IDCW</t>
  </si>
  <si>
    <t>INF109K01FD2</t>
  </si>
  <si>
    <t>INF109K01704</t>
  </si>
  <si>
    <t>ICICI Prudential All Seasons Bond Fund - Weekly IDCW</t>
  </si>
  <si>
    <t>INF109K01GI9</t>
  </si>
  <si>
    <t>INF109K01GJ7</t>
  </si>
  <si>
    <t>ICICI Prudential All Seasons Bond Fund Retail - Annual Dividend</t>
  </si>
  <si>
    <t>INF109K01712</t>
  </si>
  <si>
    <t>ICICI Prudential All Seasons Bond Fund Retail - Cumulative</t>
  </si>
  <si>
    <t>INF109K01GG3</t>
  </si>
  <si>
    <t>INF109K01GH1</t>
  </si>
  <si>
    <t>ICICI Prudential All Seasons Bond Fund Retail - Quarterly Dividend</t>
  </si>
  <si>
    <t>INF00XX01BK7</t>
  </si>
  <si>
    <t>INF00XX01BG5</t>
  </si>
  <si>
    <t>ITI Dynamic Bond Fund - Direct Plan - Annually IDCW Option</t>
  </si>
  <si>
    <t>INF00XX01BC4</t>
  </si>
  <si>
    <t>ITI Dynamic Bond Fund - Direct Plan - Growth Option</t>
  </si>
  <si>
    <t>INF00XX01BJ9</t>
  </si>
  <si>
    <t>INF00XX01BF7</t>
  </si>
  <si>
    <t>ITI Dynamic Bond Fund - Direct Plan - Half Yearly IDCW Option</t>
  </si>
  <si>
    <t>INF00XX01BH3</t>
  </si>
  <si>
    <t>INF00XX01BD2</t>
  </si>
  <si>
    <t>ITI Dynamic Bond Fund - Direct Plan - Monthly IDCWOption</t>
  </si>
  <si>
    <t>INF00XX01BI1</t>
  </si>
  <si>
    <t>INF00XX01BE0</t>
  </si>
  <si>
    <t>ITI Dynamic Bond Fund - Direct Plan - Quarterly IDCW Option</t>
  </si>
  <si>
    <t>INF00XX01BB6</t>
  </si>
  <si>
    <t>INF00XX01AX2</t>
  </si>
  <si>
    <t>ITI Dynamic Bond Fund - Regular Plan - Annually IDCWOption</t>
  </si>
  <si>
    <t>INF00XX01AT0</t>
  </si>
  <si>
    <t>ITI Dynamic Bond Fund - Regular Plan - Growth Option</t>
  </si>
  <si>
    <t>INF00XX01BA8</t>
  </si>
  <si>
    <t>INF00XX01AW4</t>
  </si>
  <si>
    <t>ITI Dynamic Bond Fund - Regular Plan - Half Yearly IDCW Option</t>
  </si>
  <si>
    <t>INF00XX01AY0</t>
  </si>
  <si>
    <t>INF00XX01AU8</t>
  </si>
  <si>
    <t>ITI Dynamic Bond Fund - Regular Plan - Monthly IDCW Option</t>
  </si>
  <si>
    <t>INF00XX01AZ7</t>
  </si>
  <si>
    <t>INF00XX01AV6</t>
  </si>
  <si>
    <t>ITI Dynamic Bond Fund - Regular Plan - Quarterly IDCW Option</t>
  </si>
  <si>
    <t>INF192K01CZ8</t>
  </si>
  <si>
    <t>JM Dynamic Bond Fund (Direct) - Daily IDCW</t>
  </si>
  <si>
    <t>INF192K01DB7</t>
  </si>
  <si>
    <t>INF192K01DC5</t>
  </si>
  <si>
    <t>JM Dynamic Bond Fund (Direct) - IDCW</t>
  </si>
  <si>
    <t>INF192K01IL5</t>
  </si>
  <si>
    <t>INF192K01IM3</t>
  </si>
  <si>
    <t>JM Dynamic Bond Fund (Direct) - Monthly IDCW</t>
  </si>
  <si>
    <t>INF192K01DA9</t>
  </si>
  <si>
    <t>JM Dynamic Bond Fund (Direct) - Weekly IDCW</t>
  </si>
  <si>
    <t>INF192K01EX9</t>
  </si>
  <si>
    <t>JM Dynamic Bond Fund (Regular) - Bonus Option - Principal Units</t>
  </si>
  <si>
    <t>INF192K01668</t>
  </si>
  <si>
    <t>JM Dynamic Bond Fund (Regular) - Daily IDCW</t>
  </si>
  <si>
    <t>INF192K01700</t>
  </si>
  <si>
    <t>JM Dynamic Bond Fund (Regular) - Growth Option</t>
  </si>
  <si>
    <t>INF192K01IN1</t>
  </si>
  <si>
    <t>JM Dynamic Bond Fund (Regular) - Half Yearly Bonus Option - Principal Units</t>
  </si>
  <si>
    <t>INF192K01684</t>
  </si>
  <si>
    <t>INF192K01692</t>
  </si>
  <si>
    <t>JM Dynamic Bond Fund (Regular) - IDCW</t>
  </si>
  <si>
    <t>INF192K01IJ9</t>
  </si>
  <si>
    <t>INF192K01IK7</t>
  </si>
  <si>
    <t>JM Dynamic Bond Fund (Regular) - Monthly IDCW</t>
  </si>
  <si>
    <t>INF192K01676</t>
  </si>
  <si>
    <t>JM Dynamic Bond Fund (Regular) - Weekly IDCW</t>
  </si>
  <si>
    <t>INF192K01734</t>
  </si>
  <si>
    <t>INF192K01742</t>
  </si>
  <si>
    <t>JM Dynamic Bond Fund (Regular)- Premium Plan IDCW</t>
  </si>
  <si>
    <t>INF192K01EZ4</t>
  </si>
  <si>
    <t>JM Dynamic Bond Fund - (Direct) - Bonus Option-Principal Units</t>
  </si>
  <si>
    <t>INF192K01DD3</t>
  </si>
  <si>
    <t>JM Dynamic Bond Fund - (Direct) - Growth Option</t>
  </si>
  <si>
    <t>INF192K01IP6</t>
  </si>
  <si>
    <t>JM Dynamic Bond Fund - (Direct) - Half Yearly Bonus Option - Principal Units</t>
  </si>
  <si>
    <t>INF192K01718</t>
  </si>
  <si>
    <t>JM Dynamic Bond Fund - Premium Plan - Daily Dividend Option</t>
  </si>
  <si>
    <t>INF192K01759</t>
  </si>
  <si>
    <t>JM Dynamic Bond Fund - Premium Plan - Growth Option</t>
  </si>
  <si>
    <t>INF174K01JX6</t>
  </si>
  <si>
    <t>Kotak Dynamic Bond Fund - Direct Plan - Standard Income Distribution cum capital withdrawal option</t>
  </si>
  <si>
    <t>INF174K01JU2</t>
  </si>
  <si>
    <t>Kotak Dynamic Bond Fund - Growth - Direct</t>
  </si>
  <si>
    <t>INF174K01IY6</t>
  </si>
  <si>
    <t>INF174K01IZ3</t>
  </si>
  <si>
    <t>Kotak Dynamic Bond Fund Regular Plan - Standard Income Distribution cum capital withdrawal option</t>
  </si>
  <si>
    <t>INF174K01FA2</t>
  </si>
  <si>
    <t>Kotak Dynamic Bond Fund Regular Plan Growth</t>
  </si>
  <si>
    <t>INF174V01580</t>
  </si>
  <si>
    <t>Mahindra Manulife Dynamic Bond Fund - Direct Plan - Growth</t>
  </si>
  <si>
    <t>INF174V01606</t>
  </si>
  <si>
    <t>INF174V01598</t>
  </si>
  <si>
    <t>Mahindra Manulife Dynamic Bond Fund - Direct Plan - IDCW</t>
  </si>
  <si>
    <t>INF174V01622</t>
  </si>
  <si>
    <t>INF174V01614</t>
  </si>
  <si>
    <t>Mahindra Manulife Dynamic Bond Fund - Direct Plan - Quarterly IDCW</t>
  </si>
  <si>
    <t>INF174V01531</t>
  </si>
  <si>
    <t>Mahindra Manulife Dynamic Bond Fund - Regular Plan - Growth</t>
  </si>
  <si>
    <t>INF174V01556</t>
  </si>
  <si>
    <t>INF174V01549</t>
  </si>
  <si>
    <t>Mahindra Manulife Dynamic Bond Fund - Regular Plan - IDCW</t>
  </si>
  <si>
    <t>INF174V01572</t>
  </si>
  <si>
    <t>INF174V01564</t>
  </si>
  <si>
    <t>Mahindra Manulife Dynamic Bond Fund - Regular Plan - Quarterly IDCW</t>
  </si>
  <si>
    <t>INF769K01DR8</t>
  </si>
  <si>
    <t>Mirae Asset Dynamic Bond Fund -Direct Plan -Growth</t>
  </si>
  <si>
    <t>INF769K01DS6</t>
  </si>
  <si>
    <t>INF769K01DT4</t>
  </si>
  <si>
    <t>Mirae Asset Dynamic Bond Fund Direct IDCW</t>
  </si>
  <si>
    <t>INF769K01DP2</t>
  </si>
  <si>
    <t>INF769K01DQ0</t>
  </si>
  <si>
    <t>Mirae Asset Dynamic Bond Fund Regular IDCW</t>
  </si>
  <si>
    <t>INF769K01DO5</t>
  </si>
  <si>
    <t>Mirae Asset Dynamic Bond Fund-Regular Plan Growth</t>
  </si>
  <si>
    <t>INF204K01A33</t>
  </si>
  <si>
    <t>INF204K01A41</t>
  </si>
  <si>
    <t>NIPPON INDIA DYNAMIC BOND FUND - Direct Plan - IDCW Option</t>
  </si>
  <si>
    <t>INF204K01A58</t>
  </si>
  <si>
    <t>INF204K01A66</t>
  </si>
  <si>
    <t>NIPPON INDIA DYNAMIC BOND FUND - Direct Plan - QUARTERLY IDCW Option</t>
  </si>
  <si>
    <t>INF204K01A25</t>
  </si>
  <si>
    <t>Nippon India Dynamic Bond Fund - Direct Plan Growth Plan - Growth Option</t>
  </si>
  <si>
    <t>INF204K01FJ8</t>
  </si>
  <si>
    <t>INF204K01FK6</t>
  </si>
  <si>
    <t>NIPPON INDIA DYNAMIC BOND FUND - IDCW Option</t>
  </si>
  <si>
    <t>INF204K01XB8</t>
  </si>
  <si>
    <t>INF204K01XC6</t>
  </si>
  <si>
    <t>NIPPON INDIA DYNAMIC BOND FUND - QUARTERLY IDCW Option</t>
  </si>
  <si>
    <t>INF204K01FI0</t>
  </si>
  <si>
    <t>Nippon India Dynamic Bond Fund-Growth Plan-Growth Option</t>
  </si>
  <si>
    <t>INF663L01AD7</t>
  </si>
  <si>
    <t>PGIM India Dynamic Bond Fund - Direct Plan-Growth Option</t>
  </si>
  <si>
    <t>INF663L01AF2</t>
  </si>
  <si>
    <t>INF663L01AE5</t>
  </si>
  <si>
    <t>PGIM India Dynamic Bond Fund - Direct Plan-Monthly Dividend Option</t>
  </si>
  <si>
    <t>INF663L01AI6</t>
  </si>
  <si>
    <t>INF663L01AH8</t>
  </si>
  <si>
    <t>PGIM India Dynamic Bond Fund - Direct Plan-Quarterly Dividend Option</t>
  </si>
  <si>
    <t>INF663L01492</t>
  </si>
  <si>
    <t>INF663L01500</t>
  </si>
  <si>
    <t>PGIM India Dynamic Bond Fund - Dividend Option - Monthly</t>
  </si>
  <si>
    <t>INF663L01526</t>
  </si>
  <si>
    <t>INF663L01534</t>
  </si>
  <si>
    <t>PGIM India Dynamic Bond Fund - Dividend Option - Quarterly</t>
  </si>
  <si>
    <t>INF663L01484</t>
  </si>
  <si>
    <t>PGIM India Dynamic Bond Fund - Growth Option</t>
  </si>
  <si>
    <t>INF663L01BF0</t>
  </si>
  <si>
    <t>PGIM India Dynamic Bond Fund-Bonus Option</t>
  </si>
  <si>
    <t>INF082J01176</t>
  </si>
  <si>
    <t>Quantum Dynamic Bond Fund - Direct Plan Growth Option</t>
  </si>
  <si>
    <t>INF082J01184</t>
  </si>
  <si>
    <t>INF082J01192</t>
  </si>
  <si>
    <t>Quantum Dynamic Bond Fund - Direct Plan Monthly IDCW</t>
  </si>
  <si>
    <t>INF082J01218</t>
  </si>
  <si>
    <t>Quantum Dynamic Bond Fund - Regular Plan Growth Option</t>
  </si>
  <si>
    <t>INF082J01226</t>
  </si>
  <si>
    <t>INF082J01234</t>
  </si>
  <si>
    <t>Quantum Dynamic Bond Fund - Regular Plan Monthly IDCW</t>
  </si>
  <si>
    <t>INF200K01RD4</t>
  </si>
  <si>
    <t>SBI Dynamic Bond Fund - DIRECT PLAN - Growth</t>
  </si>
  <si>
    <t>INF200K01RB8</t>
  </si>
  <si>
    <t>INF200K01RC6</t>
  </si>
  <si>
    <t>SBI Dynamic Bond Fund - Direct Plan - Income Distribution cum Capital Withdrawal Option (IDCW)</t>
  </si>
  <si>
    <t>INF200K01958</t>
  </si>
  <si>
    <t>SBI Dynamic Bond Fund - REGULAR PLAN - Growth</t>
  </si>
  <si>
    <t>INF200K01966</t>
  </si>
  <si>
    <t>INF200K01974</t>
  </si>
  <si>
    <t>SBI Dynamic Bond Fund - Regular Plan - Income Distribution cum Capital Withdrawal Option (IDCW)</t>
  </si>
  <si>
    <t>INF277K01MV5</t>
  </si>
  <si>
    <t>Tata Dynamic Bond Fund- Direct Plan-Growth Option</t>
  </si>
  <si>
    <t>INF277K01360</t>
  </si>
  <si>
    <t>Tata Dynamic Bond Fund- Regular Plan - Growth Option</t>
  </si>
  <si>
    <t>INF277K01DE0</t>
  </si>
  <si>
    <t>INF277K01352</t>
  </si>
  <si>
    <t>Tata Dynamic Bond Fund- Regular Plan - Payout of IDCW Option</t>
  </si>
  <si>
    <t>INF277K01MT9</t>
  </si>
  <si>
    <t>INF277K01MU7</t>
  </si>
  <si>
    <t>Tata Dynamic Bond- Direct Plan - Payout of IDCW Option</t>
  </si>
  <si>
    <t>INF582M01799</t>
  </si>
  <si>
    <t>Union Dynamic Bond Fund - Direct Plan - Growth Option</t>
  </si>
  <si>
    <t>INF582M01815</t>
  </si>
  <si>
    <t>INF582M01807</t>
  </si>
  <si>
    <t>Union Dynamic Bond Fund - Direct Plan - IDCW Option</t>
  </si>
  <si>
    <t>INF582M01336</t>
  </si>
  <si>
    <t>Union Dynamic Bond Fund - Growth Option</t>
  </si>
  <si>
    <t>INF582M01351</t>
  </si>
  <si>
    <t>INF582M01344</t>
  </si>
  <si>
    <t>Union Dynamic Bond Fund - IDCW Option</t>
  </si>
  <si>
    <t>INF789F1APX7</t>
  </si>
  <si>
    <t>UTI - Dynamic Bond Fund (Segregated - 17022020) - Direct Plan - Growth Option</t>
  </si>
  <si>
    <t>INF789F1APO6</t>
  </si>
  <si>
    <t>UTI - Dynamic Bond Fund (Segregated - 17022020) - Regular Plan - Growth Option</t>
  </si>
  <si>
    <t>INF789F1AQC9</t>
  </si>
  <si>
    <t>INF789F1AQD7</t>
  </si>
  <si>
    <t>UTI Dynamic Bond Fund ( Segregated - 17022020 ) - Direct Plan - Annual IDCW</t>
  </si>
  <si>
    <t>INF789F1AQE5</t>
  </si>
  <si>
    <t>INF789F1AQF2</t>
  </si>
  <si>
    <t>UTI Dynamic Bond Fund ( Segregated - 17022020 ) - Direct Plan - Flexi IDCW</t>
  </si>
  <si>
    <t>INF789F1AQA3</t>
  </si>
  <si>
    <t>INF789F1AQB1</t>
  </si>
  <si>
    <t>UTI Dynamic Bond Fund ( Segregated - 17022020 ) - Direct Plan - Half-Yearly IDCW</t>
  </si>
  <si>
    <t>INF789F1APY5</t>
  </si>
  <si>
    <t>INF789F1APZ2</t>
  </si>
  <si>
    <t>UTI Dynamic Bond Fund ( Segregated - 17022020 ) - Direct Plan - Quarterly IDCW</t>
  </si>
  <si>
    <t>INF789F1APT5</t>
  </si>
  <si>
    <t>INF789F1APU3</t>
  </si>
  <si>
    <t>UTI Dynamic Bond Fund ( Segregated - 17022020 ) - Regular Plan - Annual IDCW</t>
  </si>
  <si>
    <t>INF789F1APV1</t>
  </si>
  <si>
    <t>INF789F1APW9</t>
  </si>
  <si>
    <t>UTI Dynamic Bond Fund ( Segregated - 17022020 ) - Regular Plan - Flexi IDCW</t>
  </si>
  <si>
    <t>INF789F1APR9</t>
  </si>
  <si>
    <t>INF789F1APS7</t>
  </si>
  <si>
    <t>UTI Dynamic Bond Fund ( Segregated - 17022020 ) - Regular Plan - Half-Yearly IDCW</t>
  </si>
  <si>
    <t>INF789F1APP3</t>
  </si>
  <si>
    <t>INF789F1APQ1</t>
  </si>
  <si>
    <t>UTI Dynamic Bond Fund ( Segregated - 17022020 ) - Regular Plan - Quarterly IDCW</t>
  </si>
  <si>
    <t>INF789FA1S65</t>
  </si>
  <si>
    <t>INF789FA1S73</t>
  </si>
  <si>
    <t>UTI Dynamic Bond Fund - Direct Plan - Annual IDCW</t>
  </si>
  <si>
    <t>INF789FA1S81</t>
  </si>
  <si>
    <t>INF789FA1S99</t>
  </si>
  <si>
    <t>UTI Dynamic Bond Fund - Direct Plan - Flexi IDCW</t>
  </si>
  <si>
    <t>INF789F01XD4</t>
  </si>
  <si>
    <t>UTI Dynamic Bond Fund - Direct Plan - Growth Option</t>
  </si>
  <si>
    <t>INF789FA1S40</t>
  </si>
  <si>
    <t>INF789FA1S57</t>
  </si>
  <si>
    <t>UTI Dynamic Bond Fund - Direct Plan - Half-Yearly IDCW</t>
  </si>
  <si>
    <t>INF789F01XB8</t>
  </si>
  <si>
    <t>INF789F01XC6</t>
  </si>
  <si>
    <t>UTI Dynamic Bond Fund - Direct Plan - Quarterly IDCW</t>
  </si>
  <si>
    <t>INF789FA1S08</t>
  </si>
  <si>
    <t>INF789FA1S16</t>
  </si>
  <si>
    <t>UTI Dynamic Bond Fund - Regular Plan - Annual IDCW</t>
  </si>
  <si>
    <t>INF789FA1S24</t>
  </si>
  <si>
    <t>INF789FA1S32</t>
  </si>
  <si>
    <t>UTI Dynamic Bond Fund - Regular Plan - Flexi IDCW</t>
  </si>
  <si>
    <t>INF789F01JQ5</t>
  </si>
  <si>
    <t>UTI Dynamic Bond Fund - Regular Plan - Growth Option</t>
  </si>
  <si>
    <t>INF789FA1R82</t>
  </si>
  <si>
    <t>INF789FA1R90</t>
  </si>
  <si>
    <t>UTI Dynamic Bond Fund - Regular Plan - Half-Yearly IDCW</t>
  </si>
  <si>
    <t>INF789F01JO0</t>
  </si>
  <si>
    <t>INF789F01JP7</t>
  </si>
  <si>
    <t>UTI Dynamic Bond Fund - Regular Plan - Quarterly IDCW</t>
  </si>
  <si>
    <t>INF209K01UW9</t>
  </si>
  <si>
    <t>Aditya Birla Sun Life Floating Rate Fund-Direct - daily IDCW</t>
  </si>
  <si>
    <t>INF209K01UY5</t>
  </si>
  <si>
    <t>Aditya Birla Sun Life Floating Rate Fund-Direct - weekly IDCW</t>
  </si>
  <si>
    <t>INF209K01UX7</t>
  </si>
  <si>
    <t>Aditya Birla Sun Life Floating Rate Fund-Direct Plan-Growth</t>
  </si>
  <si>
    <t>INF209KA1LN1</t>
  </si>
  <si>
    <t>Aditya Birla Sun Life Floating Rate Fund-Regular - DAILY IDCW</t>
  </si>
  <si>
    <t>INF209K01MH7</t>
  </si>
  <si>
    <t>Aditya Birla Sun Life Floating Rate Fund-REGULAR - WEEKLY IDCW</t>
  </si>
  <si>
    <t>INF209K01MG9</t>
  </si>
  <si>
    <t>Aditya Birla Sun Life Floating Rate Fund-Regular Plan-Growth</t>
  </si>
  <si>
    <t>INF846K016A1</t>
  </si>
  <si>
    <t>INF846K015A3</t>
  </si>
  <si>
    <t>Axis Floater Fund - Direct Plan - Annual IDCW</t>
  </si>
  <si>
    <t>INF846K011B0</t>
  </si>
  <si>
    <t>Axis Floater Fund - Direct Plan - Daily IDCW</t>
  </si>
  <si>
    <t>INF846K014A6</t>
  </si>
  <si>
    <t>Axis Floater Fund - Direct Plan - Growth</t>
  </si>
  <si>
    <t>INF846K018A7</t>
  </si>
  <si>
    <t>INF846K017A9</t>
  </si>
  <si>
    <t>Axis Floater Fund - Direct Plan - Monthly IDCW</t>
  </si>
  <si>
    <t>INF846K019A5</t>
  </si>
  <si>
    <t>INF846K010B2</t>
  </si>
  <si>
    <t>Axis Floater Fund - Direct Plan - Quarterly IDCW</t>
  </si>
  <si>
    <t>INF846K014B4</t>
  </si>
  <si>
    <t>INF846K013B6</t>
  </si>
  <si>
    <t>Axis Floater Fund - Regular Plan - Annual IDCW</t>
  </si>
  <si>
    <t>INF846K019B3</t>
  </si>
  <si>
    <t>Axis Floater Fund - Regular Plan - Daily IDCW</t>
  </si>
  <si>
    <t>INF846K012B8</t>
  </si>
  <si>
    <t>Axis Floater Fund - Regular Plan - Growth</t>
  </si>
  <si>
    <t>INF846K016B9</t>
  </si>
  <si>
    <t>INF846K015B1</t>
  </si>
  <si>
    <t>Axis Floater Fund - Regular Plan - Monthly IDCW</t>
  </si>
  <si>
    <t>INF846K018B5</t>
  </si>
  <si>
    <t>INF846K017B7</t>
  </si>
  <si>
    <t>Axis Floater Fund - Regular Plan - Quarterly IDCW</t>
  </si>
  <si>
    <t>INF194KB1BB3</t>
  </si>
  <si>
    <t>BANDHAN FLOATER FUND  - DIRECT PLAN DAILY IDCW</t>
  </si>
  <si>
    <t>INF194KB1BA5</t>
  </si>
  <si>
    <t>BANDHAN FLOATER FUND  - DIRECT PLAN GROWTH</t>
  </si>
  <si>
    <t>INF194KB1BD9</t>
  </si>
  <si>
    <t>INF194KB1BE7</t>
  </si>
  <si>
    <t>BANDHAN FLOATER FUND  - DIRECT PLAN MONTHLY IDCW</t>
  </si>
  <si>
    <t>INF194KB1BH0</t>
  </si>
  <si>
    <t>INF194KB1BI8</t>
  </si>
  <si>
    <t>BANDHAN FLOATER FUND  - DIRECT PLAN PERIODIC IDCW</t>
  </si>
  <si>
    <t>INF194KB1BF4</t>
  </si>
  <si>
    <t>INF194KB1BG2</t>
  </si>
  <si>
    <t>BANDHAN FLOATER FUND  - DIRECT PLAN QUARTERLY IDCW</t>
  </si>
  <si>
    <t>INF194KB1BC1</t>
  </si>
  <si>
    <t>BANDHAN FLOATER FUND  - DIRECT PLAN WEEKLY IDCW</t>
  </si>
  <si>
    <t>INF194KB1AY7</t>
  </si>
  <si>
    <t>INF194KB1AZ4</t>
  </si>
  <si>
    <t>BANDHAN FLOATER FUND  - REGULAR PLAN ANNUAL IDCW</t>
  </si>
  <si>
    <t>INF194KB1AQ3</t>
  </si>
  <si>
    <t>BANDHAN FLOATER FUND  - REGULAR PLAN DAILY IDCW</t>
  </si>
  <si>
    <t>INF194KB1AP5</t>
  </si>
  <si>
    <t>BANDHAN FLOATER FUND  - REGULAR PLAN GROWTH</t>
  </si>
  <si>
    <t>INF194KB1AS9</t>
  </si>
  <si>
    <t>INF194KB1AT7</t>
  </si>
  <si>
    <t>BANDHAN FLOATER FUND  - REGULAR PLAN MONTHLY IDCW</t>
  </si>
  <si>
    <t>INF194KB1AW1</t>
  </si>
  <si>
    <t>INF194KB1AX9</t>
  </si>
  <si>
    <t>BANDHAN FLOATER FUND  - REGULAR PLAN PERIODIC IDCW</t>
  </si>
  <si>
    <t>INF194KB1AU5</t>
  </si>
  <si>
    <t>INF194KB1AV3</t>
  </si>
  <si>
    <t>BANDHAN FLOATER FUND  - REGULAR PLAN QUARTERLY IDCW</t>
  </si>
  <si>
    <t>INF194KB1AR1</t>
  </si>
  <si>
    <t>BANDHAN FLOATER FUND  - REGULAR PLAN WEEKLY IDCW</t>
  </si>
  <si>
    <t>INF194KB1BJ6</t>
  </si>
  <si>
    <t>INF194KB1BK4</t>
  </si>
  <si>
    <t>BANDHAN FLOATER FUND- DIRECT PLAN ANNUAL IDCW</t>
  </si>
  <si>
    <t>INF740KA1PV1</t>
  </si>
  <si>
    <t>DSP Floater Fund - Direct Plan - Growth</t>
  </si>
  <si>
    <t>INF740KA1PW9</t>
  </si>
  <si>
    <t>INF740KA1PX7</t>
  </si>
  <si>
    <t>DSP Floater Fund - Direct Plan - IDCW</t>
  </si>
  <si>
    <t>INF740KA1PS7</t>
  </si>
  <si>
    <t>DSP Floater Fund - Regular Plan - Growth</t>
  </si>
  <si>
    <t>INF740KA1PT5</t>
  </si>
  <si>
    <t>INF740KA1PU3</t>
  </si>
  <si>
    <t>DSP Floater Fund - Regular Plan - IDCW</t>
  </si>
  <si>
    <t>INF090I01LK1</t>
  </si>
  <si>
    <t>Franklin India Floating Rate Fund - Direct - Growth</t>
  </si>
  <si>
    <t>INF090I01LL9</t>
  </si>
  <si>
    <t xml:space="preserve">Franklin India Floating Rate Fund - Direct - IDCW </t>
  </si>
  <si>
    <t>INF090I01LM7</t>
  </si>
  <si>
    <t>Franklin India Floating Rate Fund - Growth Plan</t>
  </si>
  <si>
    <t>INF090I01LN5</t>
  </si>
  <si>
    <t xml:space="preserve">Franklin India Floating Rate Fund - IDCW </t>
  </si>
  <si>
    <t>INF179K01699</t>
  </si>
  <si>
    <t>HDFC Floating Rate Debt Fund - Daily IDCW Option</t>
  </si>
  <si>
    <t>INF179KC1IU6</t>
  </si>
  <si>
    <t>HDFC Floating Rate Debt Fund - Direct Plan - Daily IDCW</t>
  </si>
  <si>
    <t>INF179K01VQ4</t>
  </si>
  <si>
    <t>HDFC Floating Rate Debt Fund - Direct Plan - Growth Option</t>
  </si>
  <si>
    <t>INF179K01VO9</t>
  </si>
  <si>
    <t>INF179K01VP6</t>
  </si>
  <si>
    <t>HDFC Floating Rate Debt Fund - Direct Plan - Monthly IDCW</t>
  </si>
  <si>
    <t>INF179KC1IW2</t>
  </si>
  <si>
    <t>HDFC Floating Rate Debt Fund - Direct Plan - Weekly IDCW</t>
  </si>
  <si>
    <t>INF179K01707</t>
  </si>
  <si>
    <t>HDFC Floating Rate Debt Fund - Growth Option</t>
  </si>
  <si>
    <t>INF179K01715</t>
  </si>
  <si>
    <t>INF179K01723</t>
  </si>
  <si>
    <t>HDFC Floating Rate Debt Fund - Monthly IDCW Option</t>
  </si>
  <si>
    <t>INF179K01731</t>
  </si>
  <si>
    <t>INF179KC1IV4</t>
  </si>
  <si>
    <t>HDFC Floating Rate Debt Fund - Weekly IDCW Option</t>
  </si>
  <si>
    <t>INF109KA1I43</t>
  </si>
  <si>
    <t>ICICI Prudential Floating Interest Fund - Bonus</t>
  </si>
  <si>
    <t>INF109K01AW3</t>
  </si>
  <si>
    <t>ICICI Prudential Floating Interest Fund - Daily IDCW</t>
  </si>
  <si>
    <t>INF109K01P24</t>
  </si>
  <si>
    <t>ICICI Prudential Floating Interest Fund - Direct Plan - Daily IDCW</t>
  </si>
  <si>
    <t>INF109K01P40</t>
  </si>
  <si>
    <t>ICICI Prudential Floating Interest Fund - Direct Plan - Fortnightly IDCW</t>
  </si>
  <si>
    <t>INF109K01P57</t>
  </si>
  <si>
    <t>ICICI Prudential Floating Interest Fund - Direct Plan - Growth</t>
  </si>
  <si>
    <t>INF109K01P65</t>
  </si>
  <si>
    <t>INF109K01P32</t>
  </si>
  <si>
    <t>ICICI Prudential Floating Interest Fund - Direct Plan - IDCW Others</t>
  </si>
  <si>
    <t>INF109K018Z6</t>
  </si>
  <si>
    <t>INF109K017Z8</t>
  </si>
  <si>
    <t>ICICI Prudential Floating Interest Fund - Direct Plan - Monthly IDCW</t>
  </si>
  <si>
    <t>INF109KA1012</t>
  </si>
  <si>
    <t>INF109K019Z4</t>
  </si>
  <si>
    <t>ICICI Prudential Floating Interest Fund - Direct Plan - Quarterly IDCW</t>
  </si>
  <si>
    <t>INF109K01P73</t>
  </si>
  <si>
    <t>INF109K01P81</t>
  </si>
  <si>
    <t>ICICI Prudential Floating Interest Fund - Direct Plan - Weekly IDCW</t>
  </si>
  <si>
    <t>INF109K01AZ6</t>
  </si>
  <si>
    <t>ICICI Prudential Floating Interest Fund - Fortnightly IDCW</t>
  </si>
  <si>
    <t>INF109K01AX1</t>
  </si>
  <si>
    <t>ICICI Prudential Floating Interest Fund - Growth</t>
  </si>
  <si>
    <t>INF109K01WQ9</t>
  </si>
  <si>
    <t>INF109K01WP1</t>
  </si>
  <si>
    <t>ICICI Prudential Floating Interest Fund - IDCW Others</t>
  </si>
  <si>
    <t>INF109KA1038</t>
  </si>
  <si>
    <t>INF109KA1020</t>
  </si>
  <si>
    <t>ICICI Prudential Floating Interest Fund - Monthly IDCW</t>
  </si>
  <si>
    <t>INF109KA1053</t>
  </si>
  <si>
    <t>INF109KA1046</t>
  </si>
  <si>
    <t>ICICI Prudential Floating Interest Fund - Quarterly IDCW</t>
  </si>
  <si>
    <t>INF109K01EN4</t>
  </si>
  <si>
    <t>INF109K01AY9</t>
  </si>
  <si>
    <t>ICICI Prudential Floating Interest Fund - Weekly IDCW</t>
  </si>
  <si>
    <t>INF109K01928</t>
  </si>
  <si>
    <t>ICICI Prudential Floating Interest Fund Plan A - Dividend Daily</t>
  </si>
  <si>
    <t>INF109K01910</t>
  </si>
  <si>
    <t>ICICI Prudential Floating Interest Fund Plan A - Fortnightly Dividend</t>
  </si>
  <si>
    <t>INF109K01936</t>
  </si>
  <si>
    <t>ICICI Prudential Floating Interest Fund Plan A - Growth</t>
  </si>
  <si>
    <t>INF109K01EK0</t>
  </si>
  <si>
    <t>INF109K01944</t>
  </si>
  <si>
    <t>ICICI Prudential Floating Interest Fund Plan A - Weekly Dividend Option</t>
  </si>
  <si>
    <t>INF109K01951</t>
  </si>
  <si>
    <t>ICICI Prudential Floating Interest Fund Plan B - Dividend Daily</t>
  </si>
  <si>
    <t>INF109K01969</t>
  </si>
  <si>
    <t>ICICI Prudential Floating Interest Fund Plan B - Fortnightly Dividend</t>
  </si>
  <si>
    <t>INF109K01977</t>
  </si>
  <si>
    <t>ICICI Prudential Floating Interest Fund Plan B - Growth</t>
  </si>
  <si>
    <t>INF109K01EL8</t>
  </si>
  <si>
    <t>INF109K01985</t>
  </si>
  <si>
    <t>ICICI Prudential Floating Interest Fund Plan B - Weekly Dividend Option</t>
  </si>
  <si>
    <t>INF109K01AA9</t>
  </si>
  <si>
    <t>ICICI Prudential Floating Interest Fund Plan C - Dividend Daily</t>
  </si>
  <si>
    <t>INF109K01993</t>
  </si>
  <si>
    <t>ICICI Prudential Floating Interest Fund Plan C - Fortnightly Dividend</t>
  </si>
  <si>
    <t>INF109K01AB7</t>
  </si>
  <si>
    <t>ICICI Prudential Savings Fund Plan C - Growth</t>
  </si>
  <si>
    <t>INF109K01EM6</t>
  </si>
  <si>
    <t>INF109K01AC5</t>
  </si>
  <si>
    <t>ICICI Prudential Savings Fund Plan C - Weekly Dividend Option</t>
  </si>
  <si>
    <t>INF174KA1EC0</t>
  </si>
  <si>
    <t>KOTAK FLOATING RATE FUND-DIRECT PLAN-GROWTH OPTION</t>
  </si>
  <si>
    <t>INF174KA1EF3</t>
  </si>
  <si>
    <t>KOTAK FLOATING RATE FUND-DIRECT PLAN-Standard Reinvestment of Income Distribution cum capital withdrawal option</t>
  </si>
  <si>
    <t>INF174KA1DY6</t>
  </si>
  <si>
    <t>KOTAK FLOATING RATE FUND-REGULAR PLAN-GROWTH OPTION</t>
  </si>
  <si>
    <t>INF174KA1EB2</t>
  </si>
  <si>
    <t>KOTAK FLOATING RATE FUND-REGULAR PLAN-STANDARD Reinvestment of Income Distribution cum capital withdrawal option</t>
  </si>
  <si>
    <t>INF204K01D14</t>
  </si>
  <si>
    <t>INF204K01E13</t>
  </si>
  <si>
    <t>NIPPON INDIA FLOATER  FUND - DIRECT Plan - WEEKLY IDCW Option</t>
  </si>
  <si>
    <t>INF204K01E05</t>
  </si>
  <si>
    <t>Nippon India Floater Fund  - Direct Plan Growth Plan - Growth Option</t>
  </si>
  <si>
    <t>INF204K01CI7</t>
  </si>
  <si>
    <t>NIPPON INDIA FLOATER FUND - DAILY IDCW REINVESTMENT Option</t>
  </si>
  <si>
    <t>INF204K01D71</t>
  </si>
  <si>
    <t>NIPPON INDIA FLOATER FUND - DIRECT Plan - DAILY IDCW Option</t>
  </si>
  <si>
    <t>INF204KA1DU8</t>
  </si>
  <si>
    <t>INF204KA1DV6</t>
  </si>
  <si>
    <t>NIPPON INDIA FLOATER FUND - DIRECT Plan - IDCW Option</t>
  </si>
  <si>
    <t>INF204K01D89</t>
  </si>
  <si>
    <t>INF204K01D97</t>
  </si>
  <si>
    <t>NIPPON INDIA FLOATER FUND - DIRECT Plan - MONTHLY IDCW Option</t>
  </si>
  <si>
    <t>INF204K01C98</t>
  </si>
  <si>
    <t>INF204K01D06</t>
  </si>
  <si>
    <t>NIPPON INDIA FLOATER FUND - DIRECT Plan - QUARTERLY IDCW Option</t>
  </si>
  <si>
    <t>INF204K01CG1</t>
  </si>
  <si>
    <t>Nippon India Floater Fund - Growth Plan-Growth Option</t>
  </si>
  <si>
    <t>INF204KA1DS2</t>
  </si>
  <si>
    <t>INF204KA1DT0</t>
  </si>
  <si>
    <t>NIPPON INDIA FLOATER FUND - IDCW Option</t>
  </si>
  <si>
    <t>INF204K01CH9</t>
  </si>
  <si>
    <t>INF204K01CK3</t>
  </si>
  <si>
    <t>NIPPON INDIA FLOATER FUND - MONTHLY IDCW Option</t>
  </si>
  <si>
    <t>INF204K01HK2</t>
  </si>
  <si>
    <t>INF204K01HL0</t>
  </si>
  <si>
    <t>NIPPON INDIA FLOATER FUND - QUARTERLY IDCW Option</t>
  </si>
  <si>
    <t>INF204K01OQ5</t>
  </si>
  <si>
    <t>INF204K01CJ5</t>
  </si>
  <si>
    <t>NIPPON INDIA FLOATER FUND - WEEKLY IDCW Option</t>
  </si>
  <si>
    <t>INF200KA1R64</t>
  </si>
  <si>
    <t>SBI Floating Rate Debt Fund - Direct Plan - Growth</t>
  </si>
  <si>
    <t>INF200KA1R72</t>
  </si>
  <si>
    <t>INF200KA1R80</t>
  </si>
  <si>
    <t>SBI Floating Rate DEBT Fund - Direct Plan - Monthly Income Distribution cum Capital Withdrawal Option (IDCW)</t>
  </si>
  <si>
    <t>INF200KA1R98</t>
  </si>
  <si>
    <t>INF200KA1S06</t>
  </si>
  <si>
    <t>SBI Floating Rate DEBT Fund - Direct Plan - Quarterly Income Distribution cum Capital Withdrawal Option (IDCW)</t>
  </si>
  <si>
    <t>INF200KA1R15</t>
  </si>
  <si>
    <t>SBI Floating Rate Debt Fund - Regular Plan - Growth</t>
  </si>
  <si>
    <t>INF200KA1R23</t>
  </si>
  <si>
    <t>INF200KA1R31</t>
  </si>
  <si>
    <t>SBI Floating Rate DEBT Fund - Regular Plan - Monthly Income Distribution cum Capital Withdrawal Option (IDCW)</t>
  </si>
  <si>
    <t>INF200KA1R49</t>
  </si>
  <si>
    <t>INF200KA1R56</t>
  </si>
  <si>
    <t>SBI Floating Rate DEBT Fund - Regular Plan - Quarterly Income Distribution cum Capital Withdrawal Option (IDCW)</t>
  </si>
  <si>
    <t>INF277KA1026</t>
  </si>
  <si>
    <t>Tata Floating Rate Fund -Direct Plan-Growth</t>
  </si>
  <si>
    <t>INF277KA1075</t>
  </si>
  <si>
    <t>Tata Floating Rate Fund-Direct Plan-IDCW Monthly Dividend Reinvestment</t>
  </si>
  <si>
    <t>INF277KA1042</t>
  </si>
  <si>
    <t>Tata Floating Rate Fund-Direct Plan-IDCW Monthly Payout</t>
  </si>
  <si>
    <t>INF277KA1067</t>
  </si>
  <si>
    <t>Tata Floating Rate Fund-Direct Plan-IDCW Periodic Dividend Reinvestment</t>
  </si>
  <si>
    <t>INF277KA1034</t>
  </si>
  <si>
    <t>Tata Floating Rate Fund-Direct Plan-IDCW Periodic Payout</t>
  </si>
  <si>
    <t>INF277KA1083</t>
  </si>
  <si>
    <t>Tata Floating Rate Fund-Direct Plan-IDCW Quarterly Dividend Reinvestment</t>
  </si>
  <si>
    <t>INF277KA1059</t>
  </si>
  <si>
    <t>Tata Floating Rate Fund-Direct Plan-IDCW Quarterly Payout</t>
  </si>
  <si>
    <t>INF277KA1091</t>
  </si>
  <si>
    <t>Tata Floating Rate Fund-Regular Plan-Growth</t>
  </si>
  <si>
    <t>INF277KA1141</t>
  </si>
  <si>
    <t>Tata Floating Rate Fund-Regular Plan-IDCW Monthly Dividend Reinvestment</t>
  </si>
  <si>
    <t>INF277KA1117</t>
  </si>
  <si>
    <t>Tata Floating Rate Fund-Regular Plan-IDCW Monthly Payout</t>
  </si>
  <si>
    <t>INF277KA1133</t>
  </si>
  <si>
    <t>Tata Floating Rate Fund-Regular Plan-IDCW Periodic Dividend Reinvestment</t>
  </si>
  <si>
    <t>INF277KA1109</t>
  </si>
  <si>
    <t>Tata Floating Rate Fund-Regular Plan-IDCW Periodic Payout</t>
  </si>
  <si>
    <t>INF277KA1158</t>
  </si>
  <si>
    <t>Tata Floating Rate Fund-Regular Plan-IDCW Quarterly Dividend Reinvestment</t>
  </si>
  <si>
    <t>INF277KA1125</t>
  </si>
  <si>
    <t>Tata Floating Rate Fund-Regular Plan-IDCW Quarterly Payout</t>
  </si>
  <si>
    <t>INF789F1ACX5</t>
  </si>
  <si>
    <t>UTI - Floater Fund - Direct Plan - Growth Option</t>
  </si>
  <si>
    <t>INF789F1ACO4</t>
  </si>
  <si>
    <t>UTI - Floater Fund - Regular Plan  - Growth Option</t>
  </si>
  <si>
    <t>INF789F1ADA1</t>
  </si>
  <si>
    <t>INF789F1ADB9</t>
  </si>
  <si>
    <t>UTI Floater Fund - Direct Plan - Annual IDCW</t>
  </si>
  <si>
    <t>INF789F1ADE3</t>
  </si>
  <si>
    <t>INF789F1ADF0</t>
  </si>
  <si>
    <t>UTI Floater Fund - Direct Plan - Flexi IDCW</t>
  </si>
  <si>
    <t>INF789F1ADC7</t>
  </si>
  <si>
    <t>INF789F1ADD5</t>
  </si>
  <si>
    <t>UTI Floater Fund - Direct Plan - Half-Yearly IDCW</t>
  </si>
  <si>
    <t>INF789F1ACY3</t>
  </si>
  <si>
    <t>INF789F1ACZ0</t>
  </si>
  <si>
    <t>UTI Floater Fund - Direct Plan - Quarterly IDCW</t>
  </si>
  <si>
    <t>INF789F1ACR7</t>
  </si>
  <si>
    <t>INF789F1ACS5</t>
  </si>
  <si>
    <t>UTI Floater Fund - Regular Plan - Annual IDCW</t>
  </si>
  <si>
    <t>INF789F1ACV9</t>
  </si>
  <si>
    <t>INF789F1ACW7</t>
  </si>
  <si>
    <t>UTI Floater Fund - Regular Plan - Flexi IDCW</t>
  </si>
  <si>
    <t>INF789F1ACT3</t>
  </si>
  <si>
    <t>INF789F1ACU1</t>
  </si>
  <si>
    <t>UTI Floater Fund - Regular Plan - Half-Yearly IDCW</t>
  </si>
  <si>
    <t>INF789F1ACP1</t>
  </si>
  <si>
    <t>INF789F1ACQ9</t>
  </si>
  <si>
    <t>UTI Floater Fund - Regular Plan - Quarterly IDCW</t>
  </si>
  <si>
    <t>INF209KA1LC4</t>
  </si>
  <si>
    <t>Aditya Birla Sun Life Govenment Securities Fund -DIRECT - Quarterly IDCW</t>
  </si>
  <si>
    <t>INF209K01AF6</t>
  </si>
  <si>
    <t>INF209K01DP9</t>
  </si>
  <si>
    <t>Aditya Birla Sun Life Govenment Securities Fund -Regular - Quarterly IDCW</t>
  </si>
  <si>
    <t>INF209K01AC3</t>
  </si>
  <si>
    <t>INF209K01AD1</t>
  </si>
  <si>
    <t>Aditya Birla Sun Life Government Securities Fund  - Growth - Regular Plan</t>
  </si>
  <si>
    <t>INF209K01XP7</t>
  </si>
  <si>
    <t>Aditya Birla Sun Life Government Securities Fund - Growth - Direct Plan</t>
  </si>
  <si>
    <t>INF846K01NJ0</t>
  </si>
  <si>
    <t>Axis Gilt Fund - Direct Plan - Bonus Option</t>
  </si>
  <si>
    <t>INF846K01DD4</t>
  </si>
  <si>
    <t>Axis Gilt Fund - Direct Plan - Growth Option</t>
  </si>
  <si>
    <t>INF846K01DF9</t>
  </si>
  <si>
    <t>INF846K01DE2</t>
  </si>
  <si>
    <t>Axis Gilt Fund - Direct Plan - Half Yearly IDCW</t>
  </si>
  <si>
    <t>INF846K01DG7</t>
  </si>
  <si>
    <t>INF846K01DH5</t>
  </si>
  <si>
    <t>Axis Gilt Fund - Direct Plan - Regular IDCW</t>
  </si>
  <si>
    <t>INF846K01AX8</t>
  </si>
  <si>
    <t>Axis Gilt Fund - Regular Plan - Growth Option</t>
  </si>
  <si>
    <t>INF846K01AZ3</t>
  </si>
  <si>
    <t>INF846K01BB2</t>
  </si>
  <si>
    <t>Axis Gilt Fund - Regular Plan - Half Yearly IDCW</t>
  </si>
  <si>
    <t>INF846K01CK1</t>
  </si>
  <si>
    <t>INF846K01CL9</t>
  </si>
  <si>
    <t>Axis Gilt Fund - Regular Plan - Regular IDCW</t>
  </si>
  <si>
    <t>INF0QA701AP9</t>
  </si>
  <si>
    <t>Bajaj Finserv Gilt Fund - Direct - Growth</t>
  </si>
  <si>
    <t>INF0QA701AQ7</t>
  </si>
  <si>
    <t>INF0QA701AR5</t>
  </si>
  <si>
    <t>Bajaj Finserv Gilt Fund - Direct - IDCW</t>
  </si>
  <si>
    <t>INF0QA701AM6</t>
  </si>
  <si>
    <t>Bajaj Finserv Gilt Fund - Regular - Growth</t>
  </si>
  <si>
    <t>INF0QA701AN4</t>
  </si>
  <si>
    <t>INF0QA701AO2</t>
  </si>
  <si>
    <t>Bajaj Finserv Gilt Fund - Regular - IDCW</t>
  </si>
  <si>
    <t>INF194K01EH8</t>
  </si>
  <si>
    <t>INF194K01EG0</t>
  </si>
  <si>
    <t>Bandhan Gilt Fund - Regular Plan - Quarterly IDCW</t>
  </si>
  <si>
    <t>INF194K01Q78</t>
  </si>
  <si>
    <t>INF194K01Q60</t>
  </si>
  <si>
    <t>Bandhan Gilt Fund - Direct Plan - Annual IDCW</t>
  </si>
  <si>
    <t>INF194K01Q29</t>
  </si>
  <si>
    <t>Bandhan Gilt Fund - Direct Plan - Growth</t>
  </si>
  <si>
    <t>INF194K01Q45</t>
  </si>
  <si>
    <t>INF194K01Q37</t>
  </si>
  <si>
    <t>Bandhan Gilt Fund - Direct Plan - Half Yearly IDCW</t>
  </si>
  <si>
    <t>INF194K01R36</t>
  </si>
  <si>
    <t>INF194K01R28</t>
  </si>
  <si>
    <t>Bandhan Gilt Fund - Direct Plan - IDCW</t>
  </si>
  <si>
    <t>INF194KA1RZ9</t>
  </si>
  <si>
    <t>INF194KA1SA0</t>
  </si>
  <si>
    <t>Bandhan Gilt Fund - Direct Plan - Periodic IDCW</t>
  </si>
  <si>
    <t>INF194K01R02</t>
  </si>
  <si>
    <t>INF194K01Q94</t>
  </si>
  <si>
    <t>Bandhan Gilt Fund - Direct Plan - Quarterly IDCW</t>
  </si>
  <si>
    <t>INF194K01DZ2</t>
  </si>
  <si>
    <t>Bandhan Gilt Fund - Regular Plan - Growth</t>
  </si>
  <si>
    <t>INF194K01EK2</t>
  </si>
  <si>
    <t>INF194K01EJ4</t>
  </si>
  <si>
    <t>Bandhan Gilt Fund - Regular Plan - IDCW</t>
  </si>
  <si>
    <t>INF194KA1RW6</t>
  </si>
  <si>
    <t>INF194KA1RX4</t>
  </si>
  <si>
    <t>Bandhan Gilt Fund - Regular Plan B - Periodic IDCW</t>
  </si>
  <si>
    <t>INF194K01EE5</t>
  </si>
  <si>
    <t>INF194K01ED7</t>
  </si>
  <si>
    <t>Bandhan Gilt Fund - Regular Plan - Annual IDCW</t>
  </si>
  <si>
    <t>INF194K01EB1</t>
  </si>
  <si>
    <t>INF194K01EA3</t>
  </si>
  <si>
    <t>Bandhan Gilt Fund - Regular - Plan B - Half Yearly IDCW</t>
  </si>
  <si>
    <t>INF955L01AD7</t>
  </si>
  <si>
    <t>Baroda BNP Paribas GILT FUND - Direct Plan - Growth Option</t>
  </si>
  <si>
    <t>INF955L01AB1</t>
  </si>
  <si>
    <t>INF955L01AC9</t>
  </si>
  <si>
    <t>Baroda BNP Paribas GILT FUND - Direct Plan - IDCW Option</t>
  </si>
  <si>
    <t>INF955L01450</t>
  </si>
  <si>
    <t>Baroda BNP Paribas GILT FUND - Regular Plan - Growth Option</t>
  </si>
  <si>
    <t>INF955L01435</t>
  </si>
  <si>
    <t>INF955L01443</t>
  </si>
  <si>
    <t>Baroda BNP Paribas GILT FUND - Regular Plan - IDCW Option</t>
  </si>
  <si>
    <t>INF760K01FC4</t>
  </si>
  <si>
    <t>CANARA ROBECO GILT FUND - DIRECT PLAN - GROWTH OPTION</t>
  </si>
  <si>
    <t>INF760K01FA8</t>
  </si>
  <si>
    <t>INF760K01FB6</t>
  </si>
  <si>
    <t>CANARA ROBECO GILT FUND - DIRECT PLAN - IDCW (Payout/Reinvestment)</t>
  </si>
  <si>
    <t>INF760K01AE1</t>
  </si>
  <si>
    <t>CANARA ROBECO GILT FUND - REGULAR PLAN - GROWTH OPTION</t>
  </si>
  <si>
    <t>INF760K01AB7</t>
  </si>
  <si>
    <t>INF760K01AC5</t>
  </si>
  <si>
    <t>CANARA ROBECO GILT FUND - REGULAR PLAN - IDCW (Payout/Reinvestment)</t>
  </si>
  <si>
    <t>INF740K01NF3</t>
  </si>
  <si>
    <t>DSP Gilt Fund - Direct Plan - Growth</t>
  </si>
  <si>
    <t>INF740K01NG1</t>
  </si>
  <si>
    <t>INF740K01NI7</t>
  </si>
  <si>
    <t>DSP Gilt Fund - Direct Plan - IDCW</t>
  </si>
  <si>
    <t>INF740K01NE6</t>
  </si>
  <si>
    <t>INF740K01NH9</t>
  </si>
  <si>
    <t>DSP Gilt Fund - Direct Plan - IDCW - Monthly</t>
  </si>
  <si>
    <t>INF740K01615</t>
  </si>
  <si>
    <t>DSP Gilt Fund - Regular Plan - Growth</t>
  </si>
  <si>
    <t>INF740K01607</t>
  </si>
  <si>
    <t>INF740K01AD5</t>
  </si>
  <si>
    <t>DSP Gilt Fund - Regular Plan - IDCW</t>
  </si>
  <si>
    <t>INF740K01623</t>
  </si>
  <si>
    <t>INF740K01AE3</t>
  </si>
  <si>
    <t>DSP Gilt Fund - Regular Plan - IDCW - Monthly</t>
  </si>
  <si>
    <t>INF843K01HB6</t>
  </si>
  <si>
    <t>INF843K01HA8</t>
  </si>
  <si>
    <t>Edelweiss Government Securities Fund - Direct Plan - Annual Dividend Option</t>
  </si>
  <si>
    <t>INF843K01GS2</t>
  </si>
  <si>
    <t>Edelweiss Government Securities Fund - Direct Plan - Growth Option</t>
  </si>
  <si>
    <t>INF843K01GU8</t>
  </si>
  <si>
    <t>INF843K01GV6</t>
  </si>
  <si>
    <t>Edelweiss Government Securities Fund - Direct Plan - IDCW Option</t>
  </si>
  <si>
    <t>INF843K01GX2</t>
  </si>
  <si>
    <t>Edelweiss Government Securities Fund - Direct Plan Fortnightly - IDCW Option</t>
  </si>
  <si>
    <t>INF843K01GZ7</t>
  </si>
  <si>
    <t>INF843K01GY0</t>
  </si>
  <si>
    <t>Edelweiss Government Securities Fund - Direct Plan Monthly - IDCW Option</t>
  </si>
  <si>
    <t>INF843K01GW4</t>
  </si>
  <si>
    <t>Edelweiss Government Securities Fund - Direct Plan weekly - IDCW Option</t>
  </si>
  <si>
    <t>INF843K01HL5</t>
  </si>
  <si>
    <t>INF843K01HK7</t>
  </si>
  <si>
    <t>Edelweiss Government Securities Fund - Regular Plan - Annual - IDCW Option</t>
  </si>
  <si>
    <t>INF843K01HC4</t>
  </si>
  <si>
    <t>Edelweiss Government Securities Fund - Regular Plan - Growth Option</t>
  </si>
  <si>
    <t>INF843K01HE0</t>
  </si>
  <si>
    <t>INF843K01HF7</t>
  </si>
  <si>
    <t>Edelweiss Government Securities Fund - Regular Plan - IDCW Option</t>
  </si>
  <si>
    <t>INF843K01HH3</t>
  </si>
  <si>
    <t>Edelweiss Government Securities Fund - Regular Plan Fortnightly - IDCW Option</t>
  </si>
  <si>
    <t>INF843K01HJ9</t>
  </si>
  <si>
    <t>INF843K01HI1</t>
  </si>
  <si>
    <t>Edelweiss Government Securities Fund - Regular Plan Monthly - IDCW Option</t>
  </si>
  <si>
    <t>INF843K01HG5</t>
  </si>
  <si>
    <t>Edelweiss Government Securities Fund - Regular Plan Weekly - IDCW Option</t>
  </si>
  <si>
    <t>INF090I01HS2</t>
  </si>
  <si>
    <t>Franklin India Government Securities Fund - Direct - Growth</t>
  </si>
  <si>
    <t>INF090I01HQ6</t>
  </si>
  <si>
    <t>INF090I01HR4</t>
  </si>
  <si>
    <t xml:space="preserve">Franklin India Government Securities Fund - Direct - IDCW </t>
  </si>
  <si>
    <t>INF090I01CU9</t>
  </si>
  <si>
    <t>Franklin India Government Securities Fund - Growth</t>
  </si>
  <si>
    <t>INF090I01CS3</t>
  </si>
  <si>
    <t>INF090I01CT1</t>
  </si>
  <si>
    <t xml:space="preserve">Franklin India Government Securities Fund - IDCW </t>
  </si>
  <si>
    <t>INF666M01KK2</t>
  </si>
  <si>
    <t>Groww Gilt Fund - Direct - Growth</t>
  </si>
  <si>
    <t>INF666M01KL0</t>
  </si>
  <si>
    <t>INF666M01KM8</t>
  </si>
  <si>
    <t>Groww Gilt Fund - Direct - IDCW</t>
  </si>
  <si>
    <t>INF666M01KN6</t>
  </si>
  <si>
    <t>Groww Gilt Fund - Regular - Growth</t>
  </si>
  <si>
    <t>INF666M01KO4</t>
  </si>
  <si>
    <t>INF666M01KP1</t>
  </si>
  <si>
    <t>Groww Gilt Fund - Regular - IDCW</t>
  </si>
  <si>
    <t>INF179K01VS0</t>
  </si>
  <si>
    <t>HDFC Gilt Fund - Growth Option - Direct Plan</t>
  </si>
  <si>
    <t>INF179K01756</t>
  </si>
  <si>
    <t>HDFC Gilt Fund - Growth Plan</t>
  </si>
  <si>
    <t>INF179K01VR2</t>
  </si>
  <si>
    <t>INF179K01VT8</t>
  </si>
  <si>
    <t>HDFC Gilt Fund - IDCW Option - Direct Plan</t>
  </si>
  <si>
    <t>INF179K01772</t>
  </si>
  <si>
    <t>INF179K01764</t>
  </si>
  <si>
    <t>HDFC Gilt Fund - IDCW Plan</t>
  </si>
  <si>
    <t>INF917K01FI7</t>
  </si>
  <si>
    <t>HSBC Gilt Fund - Direct Growth</t>
  </si>
  <si>
    <t>INF917K01FK3</t>
  </si>
  <si>
    <t>INF917K01FJ5</t>
  </si>
  <si>
    <t>HSBC Gilt Fund - Direct Quarterly IDCW</t>
  </si>
  <si>
    <t>INF917K01BP1</t>
  </si>
  <si>
    <t>HSBC Gilt Fund - Regular Growth</t>
  </si>
  <si>
    <t>INF917K01BN6</t>
  </si>
  <si>
    <t>INF917K01BO4</t>
  </si>
  <si>
    <t>HSBC Gilt Fund - Regular Quarterly IDCW</t>
  </si>
  <si>
    <t>INF109KA1H10</t>
  </si>
  <si>
    <t>ICICI Prudential Gilt Fund - Bonus</t>
  </si>
  <si>
    <t>INF109K018C5</t>
  </si>
  <si>
    <t>ICICI Prudential Gilt Fund - Direct Plan - Growth</t>
  </si>
  <si>
    <t>INF109K016C9</t>
  </si>
  <si>
    <t>INF109K017C7</t>
  </si>
  <si>
    <t>ICICI Prudential Gilt Fund - Direct Plan - IDCW</t>
  </si>
  <si>
    <t>INF109KA1H02</t>
  </si>
  <si>
    <t>ICICI Prudential Gilt Fund - Direct Plan Bonus</t>
  </si>
  <si>
    <t>INF109K01JR4</t>
  </si>
  <si>
    <t>ICICI Prudential Gilt Fund - Growth</t>
  </si>
  <si>
    <t>INF109K01JQ6</t>
  </si>
  <si>
    <t>INF109K01JP8</t>
  </si>
  <si>
    <t>ICICI Prudential Gilt Fund - IDCW</t>
  </si>
  <si>
    <t>INF109KA1I68</t>
  </si>
  <si>
    <t>ICICI Prudential Short Term Gilt Fund - Bonus</t>
  </si>
  <si>
    <t>INF109K012D6</t>
  </si>
  <si>
    <t>INF109K013D4</t>
  </si>
  <si>
    <t>ICICI Prudential Short Term Gilt Fund - Direct Plan -  Dividend</t>
  </si>
  <si>
    <t>INF109K014D2</t>
  </si>
  <si>
    <t>ICICI Prudential Short Term Gilt Fund - Direct Plan -  Growth</t>
  </si>
  <si>
    <t>INF109K015D9</t>
  </si>
  <si>
    <t>INF109K016D7</t>
  </si>
  <si>
    <t>ICICI Prudential Short Term Gilt Fund - Direct Plan -  Half Yearly Dividend</t>
  </si>
  <si>
    <t>INF109KA1I50</t>
  </si>
  <si>
    <t>ICICI Prudential Short Term Gilt Fund - Direct Plan Bonus</t>
  </si>
  <si>
    <t>INF109K01JW4</t>
  </si>
  <si>
    <t>INF109K01JV6</t>
  </si>
  <si>
    <t>ICICI Prudential Short Term Gilt Fund - Dividend</t>
  </si>
  <si>
    <t>INF109K01JX2</t>
  </si>
  <si>
    <t>ICICI Prudential Short Term Gilt Fund - Growth</t>
  </si>
  <si>
    <t>INF109K01JZ7</t>
  </si>
  <si>
    <t>INF109K01JY0</t>
  </si>
  <si>
    <t>ICICI Prudential Short Term Gilt Fund - Half Yearly Dividend</t>
  </si>
  <si>
    <t>INF205K01SN0</t>
  </si>
  <si>
    <t>Invesco India Gilt Fund - Direct  Plan - Growth</t>
  </si>
  <si>
    <t>INF205K01SL4</t>
  </si>
  <si>
    <t>INF205K01SM2</t>
  </si>
  <si>
    <t>Invesco India Gilt Fund - Direct Plan - Annual IDCW (Payout / Reinvestment)</t>
  </si>
  <si>
    <t>INF205K01SO8</t>
  </si>
  <si>
    <t>Invesco India Gilt Fund - Direct Plan - Monthly IDCW (Reinvestment)</t>
  </si>
  <si>
    <t>INF205K01SP5</t>
  </si>
  <si>
    <t>INF205K01SQ3</t>
  </si>
  <si>
    <t>Invesco India Gilt Fund - Direct Plan - Quarterly IDCW (Payout / Reinvestment)</t>
  </si>
  <si>
    <t>INF205K01SJ8</t>
  </si>
  <si>
    <t>INF205K01SK6</t>
  </si>
  <si>
    <t>Invesco India Gilt Fund - Regular Plan - Annual IDCW (Payout / Reinvestment)</t>
  </si>
  <si>
    <t>INF205K01SR1</t>
  </si>
  <si>
    <t>Invesco India Gilt Fund - Regular Plan - Growth</t>
  </si>
  <si>
    <t>INF205K01SS9</t>
  </si>
  <si>
    <t>Invesco India Gilt Fund - Regular Plan - Monthly IDCW (Reinvestment)</t>
  </si>
  <si>
    <t>INF205K01ST7</t>
  </si>
  <si>
    <t>INF205K01SU5</t>
  </si>
  <si>
    <t>Invesco India Gilt Fund - Regular Plan - Quarterly IDCW (Payout / Reinvestment)</t>
  </si>
  <si>
    <t>INF174K01FL9</t>
  </si>
  <si>
    <t>Kotak Gilt-Investment  Provident Fund and Trust-Growth</t>
  </si>
  <si>
    <t>INF174K01KM7</t>
  </si>
  <si>
    <t>Kotak Gilt-Investment  Provident Fund and Trust-Growth - Direct</t>
  </si>
  <si>
    <t>INF174K01FM7</t>
  </si>
  <si>
    <t>Kotak Gilt-Investment  Provident Fund and Trust-Payout of Income Distribution cum capital withdrawal option</t>
  </si>
  <si>
    <t>INF174K01FI5</t>
  </si>
  <si>
    <t>Kotak Gilt-Investment Regular-Growth</t>
  </si>
  <si>
    <t>INF174K01KE4</t>
  </si>
  <si>
    <t>Kotak Gilt-Investment Regular-Growth - Direct</t>
  </si>
  <si>
    <t>INF174K01FK1</t>
  </si>
  <si>
    <t>INF174K01FJ3</t>
  </si>
  <si>
    <t>Kotak Gilt-Investment Regular-Payout of Income Distribution cum capital withdrawal option</t>
  </si>
  <si>
    <t>INF174K01KF1</t>
  </si>
  <si>
    <t>Kotak Gilt-Investment Regular-Payout of Income Distribution cum capital withdrawal option - Direct</t>
  </si>
  <si>
    <t>INF767K01EZ3</t>
  </si>
  <si>
    <t>LIC MF Gilt Fund-Direct Plan-Growth</t>
  </si>
  <si>
    <t>INF767K01EY6</t>
  </si>
  <si>
    <t>INF767K01FA3</t>
  </si>
  <si>
    <t>LIC MF Gilt Fund-Direct Plan-IDCW</t>
  </si>
  <si>
    <t>INF767K01733</t>
  </si>
  <si>
    <t>LIC MF Gilt Fund-PF Plan-Growth</t>
  </si>
  <si>
    <t>INF767K01717</t>
  </si>
  <si>
    <t>INF767K01725</t>
  </si>
  <si>
    <t>LIC MF Gilt Fund-PF Plan-IDCW</t>
  </si>
  <si>
    <t>INF767K01709</t>
  </si>
  <si>
    <t>LIC MF Gilt Fund-Regular Plan-Growth</t>
  </si>
  <si>
    <t>INF767K01683</t>
  </si>
  <si>
    <t>INF767K01691</t>
  </si>
  <si>
    <t>LIC MF Gilt Fund-Regular Plan-IDCW</t>
  </si>
  <si>
    <t>INF204K01XQ6</t>
  </si>
  <si>
    <t>INF204K01XR4</t>
  </si>
  <si>
    <t>NIPPON INDIA GILT  FUND - Direct Plan - MONTHLY IDCW Option</t>
  </si>
  <si>
    <t>INF204K01E70</t>
  </si>
  <si>
    <t>Nippon India Gilt  Fund - Direct Plan - P F Option - Automatic Capital Appreciation Payout Option</t>
  </si>
  <si>
    <t>INF204K01E88</t>
  </si>
  <si>
    <t>Nippon India Gilt  Fund - Direct Plan - P F Option - Defined Maturity Date Option</t>
  </si>
  <si>
    <t>INF204K01XP8</t>
  </si>
  <si>
    <t>Nippon India Gilt  Fund - Direct Plan Growth Plan - Growth Option</t>
  </si>
  <si>
    <t>INF204K01BX8</t>
  </si>
  <si>
    <t>Nippon India Gilt  Fund - Institutional Plan-Growth Plan -Growth Option</t>
  </si>
  <si>
    <t>INF204K01BV2</t>
  </si>
  <si>
    <t>INF204K01BW0</t>
  </si>
  <si>
    <t>NIPPON INDIA GILT  FUND - MONTHLY IDCW Option</t>
  </si>
  <si>
    <t>INF204K01BU4</t>
  </si>
  <si>
    <t>Nippon India Gilt  Fund -Growth Plan - Growth Option</t>
  </si>
  <si>
    <t>INF204K01CA4</t>
  </si>
  <si>
    <t>Nippon India Gilt  Fund -P F Option-Automatic Annual Reinvest Option</t>
  </si>
  <si>
    <t>INF204K01CB2</t>
  </si>
  <si>
    <t>Nippon India Gilt  Fund -P F Option-Defined Maturity Date Option</t>
  </si>
  <si>
    <t>INF204KA1YV2</t>
  </si>
  <si>
    <t>Nippon India Gilt  Fund- Direct Plan- Growth Plan- Bonus Option</t>
  </si>
  <si>
    <t>INF204KA1YU4</t>
  </si>
  <si>
    <t>Nippon India Gilt  Fund- Growth Plan- Bonus Option</t>
  </si>
  <si>
    <t>INF204K01CD8</t>
  </si>
  <si>
    <t>Nippon India Gilt  Fund-Institutional Plan-P F Option-Automatic Capital Appreciation Payout Option</t>
  </si>
  <si>
    <t>INF204K01CC0</t>
  </si>
  <si>
    <t>Nippon India Gilt  Fund-P F Option-Automatic Capital Appreciation Payout Option</t>
  </si>
  <si>
    <t>INF204K01E62</t>
  </si>
  <si>
    <t>Nippon India Gilt Fund - Direct Plan - P F Option - Automatic Annual Reinvest Option</t>
  </si>
  <si>
    <t>INF223J01AR4</t>
  </si>
  <si>
    <t>PGIM India Gilt Fund - Bonus</t>
  </si>
  <si>
    <t>INF223J01ND7</t>
  </si>
  <si>
    <t>PGIM India Gilt Fund - Direct Plan - Growth</t>
  </si>
  <si>
    <t>INF223J01VM1</t>
  </si>
  <si>
    <t>PGIM India Gilt Fund - Direct Plan - Half Yearly Bonus</t>
  </si>
  <si>
    <t>INF223J01NB1</t>
  </si>
  <si>
    <t>PGIM India Gilt Fund - Direct Plan - Quarterly Dividend</t>
  </si>
  <si>
    <t>INF223J01AQ6</t>
  </si>
  <si>
    <t>PGIM India Gilt Fund - Growth</t>
  </si>
  <si>
    <t>INF223J01VL3</t>
  </si>
  <si>
    <t>PGIM India Gilt Fund - Half Yearly Bonus</t>
  </si>
  <si>
    <t>INF223J01AO1</t>
  </si>
  <si>
    <t>INF223J01AP8</t>
  </si>
  <si>
    <t>PGIM India Gilt Fund - Quarterly Dividend</t>
  </si>
  <si>
    <t>INF966L01BF7</t>
  </si>
  <si>
    <t>quant Gilt Fund - Growth Option - Direct Plan</t>
  </si>
  <si>
    <t>INF966L01BI1</t>
  </si>
  <si>
    <t>quant Gilt Fund - Growth Option - Regular Plan</t>
  </si>
  <si>
    <t>INF966L01BG5</t>
  </si>
  <si>
    <t>INF966L01BH3</t>
  </si>
  <si>
    <t>quant Gilt Fund - IDCW Option - Direct Plan</t>
  </si>
  <si>
    <t>INF966L01BJ9</t>
  </si>
  <si>
    <t>INF966L01BK7</t>
  </si>
  <si>
    <t>quant Gilt Fund - IDCW Option - Regular Plan</t>
  </si>
  <si>
    <t>INF200K01AH1</t>
  </si>
  <si>
    <t>SBI GILT FUND -  GROWTH - PF (Fixed Period - 3 Yrs) Option</t>
  </si>
  <si>
    <t>INF200K01AK5</t>
  </si>
  <si>
    <t>SBI GILT FUND -  GROWTH - PF (Regular) Option</t>
  </si>
  <si>
    <t>INF200K01SH3</t>
  </si>
  <si>
    <t>SBI GILT FUND - DIRECT PLAN - GROWTH</t>
  </si>
  <si>
    <t>INF200K01SF7</t>
  </si>
  <si>
    <t>INF200K01SG5</t>
  </si>
  <si>
    <t>SBI Gilt Fund - Direct Plan - Income Distribution cum Capital Withdrawal Option (IDCW)</t>
  </si>
  <si>
    <t>INF200K01AC2</t>
  </si>
  <si>
    <t>INF200K01AD0</t>
  </si>
  <si>
    <t>SBI Gilt Fund - Income Distribution cum Capital Withdrawal Option (IDCW) - PF (Fixed Period - 1 Yr)</t>
  </si>
  <si>
    <t>INF200K01AF5</t>
  </si>
  <si>
    <t>INF200K01AG3</t>
  </si>
  <si>
    <t>SBI Gilt Fund - Income Distribution cum Capital Withdrawal Option (IDCW) - PF (Fixed Period - 2 Yrs)</t>
  </si>
  <si>
    <t>INF200K01AI9</t>
  </si>
  <si>
    <t>INF200K01AJ7</t>
  </si>
  <si>
    <t>SBI Gilt Fund - Income Distribution cum Capital Withdrawal Option (IDCW) - PF (Fixed Period - 3 Yrs)</t>
  </si>
  <si>
    <t>INF200K01982</t>
  </si>
  <si>
    <t>SBI GILT FUND - REGULAR PLAN - GROWTH</t>
  </si>
  <si>
    <t>INF200K01990</t>
  </si>
  <si>
    <t>INF200K01AA6</t>
  </si>
  <si>
    <t>SBI Gilt Fund - Regular Plan - Income Distribution cum Capital Withdrawal Option (IDCW)</t>
  </si>
  <si>
    <t>Tata Gilt Retirement Plan (28/2/25) - Payout of IDCW Option</t>
  </si>
  <si>
    <t>Tata Gilt Retirement Plan- 28/2/25 Growth Option</t>
  </si>
  <si>
    <t>INF277K01OV1</t>
  </si>
  <si>
    <t>INF277K01OW9</t>
  </si>
  <si>
    <t>Tata Gilt Securities Fund - Direct Plan - Payout of IDCW Option</t>
  </si>
  <si>
    <t>INF277K01DN1</t>
  </si>
  <si>
    <t>INF277K01535</t>
  </si>
  <si>
    <t>Tata Gilt Securities Fund - Regular Plan - Payout of IDCW Option</t>
  </si>
  <si>
    <t>INF277K01519</t>
  </si>
  <si>
    <t>Tata Gilt Securities Fund -Regular Plan- Growth Option</t>
  </si>
  <si>
    <t>INF277K01OX7</t>
  </si>
  <si>
    <t>Tata Gilt Securities Fund- Direct Plan - Growth Option</t>
  </si>
  <si>
    <t>INF582M01IA6</t>
  </si>
  <si>
    <t>INF582M01IB4</t>
  </si>
  <si>
    <t>Union Gilt Fund - Direct Plan - Annual IDCW Option</t>
  </si>
  <si>
    <t>INF582M01HW2</t>
  </si>
  <si>
    <t>Union Gilt Fund - Direct Plan - Growth Option</t>
  </si>
  <si>
    <t>INF582M01HX0</t>
  </si>
  <si>
    <t>INF582M01HY8</t>
  </si>
  <si>
    <t>Union Gilt Fund - Direct Plan - Half-yearly IDCW Option</t>
  </si>
  <si>
    <t>INF582M01IH1</t>
  </si>
  <si>
    <t>INF582M01II9</t>
  </si>
  <si>
    <t>Union Gilt Fund - Regular Plan - Annual IDCW Option</t>
  </si>
  <si>
    <t>INF582M01ID0</t>
  </si>
  <si>
    <t>Union Gilt Fund - Regular Plan - Growth Option</t>
  </si>
  <si>
    <t>INF582M01IE8</t>
  </si>
  <si>
    <t>INF582M01IF5</t>
  </si>
  <si>
    <t>Union Gilt Fund - Regular Plan - Half-yearly IDCW Option</t>
  </si>
  <si>
    <t>INF789F01TL5</t>
  </si>
  <si>
    <t>UTI - GILT FUND - Direct Plan - Growth Option</t>
  </si>
  <si>
    <t>INF789F01PT6</t>
  </si>
  <si>
    <t>UTI - GILT FUND - Discontinued PF Plan - Growth Option</t>
  </si>
  <si>
    <t>INF789F01PU4</t>
  </si>
  <si>
    <t>UTI - GILT FUND - Discontinued PF Plan Prescribed Date Auto Redemption Option</t>
  </si>
  <si>
    <t>INF789F01661</t>
  </si>
  <si>
    <t>UTI - GILT FUND - Regular Plan - Growth Option</t>
  </si>
  <si>
    <t>INF789F01PR0</t>
  </si>
  <si>
    <t>INF789F01PS8</t>
  </si>
  <si>
    <t>UTI - GILT FUND -Discontinued PF Plan -Dividend Option</t>
  </si>
  <si>
    <t>INF789F01TJ9</t>
  </si>
  <si>
    <t>INF789F01TK7</t>
  </si>
  <si>
    <t>UTI Gilt Fund - Direct Plan - IDCW</t>
  </si>
  <si>
    <t>INF789F01646</t>
  </si>
  <si>
    <t>INF789F01653</t>
  </si>
  <si>
    <t>UTI Gilt Fund - Regular Plan - IDCW</t>
  </si>
  <si>
    <t>INF194K01P38</t>
  </si>
  <si>
    <t>Bandhan Gilt Fund with 10 year constant duration Fund - Direct Plan - Growth</t>
  </si>
  <si>
    <t>INF194K01P53</t>
  </si>
  <si>
    <t>INF194K01P46</t>
  </si>
  <si>
    <t>Bandhan Gilt Fund with 10 year constant duration Fund - Direct Plan - Monthly IDCW</t>
  </si>
  <si>
    <t>INF194KA1SL7</t>
  </si>
  <si>
    <t>INF194KA1SM5</t>
  </si>
  <si>
    <t>Bandhan Gilt Fund with 10 year constant duration Fund - Direct Plan - Periodic IDCW</t>
  </si>
  <si>
    <t>INF194K01P87</t>
  </si>
  <si>
    <t>INF194K01P79</t>
  </si>
  <si>
    <t>Bandhan Gilt Fund with 10 year constant duration Fund - Direct Plan - Quarterly IDCW</t>
  </si>
  <si>
    <t>INF194K01Q03</t>
  </si>
  <si>
    <t>Bandhan Gilt Fund with 10 year constant duration Fund - Direct Plan - Weekly IDCW</t>
  </si>
  <si>
    <t>INF194K01FC6</t>
  </si>
  <si>
    <t>INF194K01FB8</t>
  </si>
  <si>
    <t>Bandhan Gilt Fund with 10 year constant duration Fund - Regular Plan - Monthly IDCW</t>
  </si>
  <si>
    <t>INF194KA1SI3</t>
  </si>
  <si>
    <t>INF194KA1SJ1</t>
  </si>
  <si>
    <t>Bandhan Gilt Fund with 10 year constant duration Fund - Regular Plan - Periodic IDCW</t>
  </si>
  <si>
    <t>INF194K01FA0</t>
  </si>
  <si>
    <t>Bandhan Gilt Fund with 10 year constant duration Fund - Regular Plan - Growth</t>
  </si>
  <si>
    <t>INF194K01FI3</t>
  </si>
  <si>
    <t>INF194K01FH5</t>
  </si>
  <si>
    <t>Bandhan Gilt Fund with 10 year constant duration Fund - Regular Plan - Weekly IDCW</t>
  </si>
  <si>
    <t>INF194K01FF9</t>
  </si>
  <si>
    <t>INF194K01FE2</t>
  </si>
  <si>
    <t>Bandhan Gilt Fund with 10 year constant duration Fund - Regular Plan - Quarterly IDCW</t>
  </si>
  <si>
    <t>INF740K019I5</t>
  </si>
  <si>
    <t>DSP 10Y G-Sec Fund - Direct Plan - Growth</t>
  </si>
  <si>
    <t>INF740K010J2</t>
  </si>
  <si>
    <t>INF740K011J0</t>
  </si>
  <si>
    <t>DSP 10Y G-Sec Fund - Direct Plan - IDCW</t>
  </si>
  <si>
    <t>INF740K012J8</t>
  </si>
  <si>
    <t>INF740K013J6</t>
  </si>
  <si>
    <t>DSP 10Y G-Sec Fund - Direct Plan - IDCW - Monthly</t>
  </si>
  <si>
    <t>INF740K014J4</t>
  </si>
  <si>
    <t>INF740K015J1</t>
  </si>
  <si>
    <t>DSP 10Y G-Sec Fund - Direct Plan - IDCW - Quarterly</t>
  </si>
  <si>
    <t>INF740K012I0</t>
  </si>
  <si>
    <t>DSP 10Y G-Sec Fund - Regular Plan - Growth</t>
  </si>
  <si>
    <t>INF740K013I8</t>
  </si>
  <si>
    <t>INF740K014I6</t>
  </si>
  <si>
    <t>DSP 10Y G-Sec Fund - Regular Plan - IDCW</t>
  </si>
  <si>
    <t>INF740K015I3</t>
  </si>
  <si>
    <t>INF740K016I1</t>
  </si>
  <si>
    <t>DSP 10Y G-Sec Fund - Regular Plan - IDCW - Monthly</t>
  </si>
  <si>
    <t>INF740K017I9</t>
  </si>
  <si>
    <t>INF740K018I7</t>
  </si>
  <si>
    <t xml:space="preserve">DSP 10Y G-Sec Fund - Regular Plan - IDCW - Quarterly </t>
  </si>
  <si>
    <t>INF109KA1N87</t>
  </si>
  <si>
    <t>INF109KA1O29</t>
  </si>
  <si>
    <t>ICICI Prudential Constant Maturity Gilt Fund - Annual IDCW</t>
  </si>
  <si>
    <t>INF109KA1O78</t>
  </si>
  <si>
    <t>INF109KA1P10</t>
  </si>
  <si>
    <t>ICICI Prudential Constant Maturity Gilt Fund - Direct Plan - Annual IDCW</t>
  </si>
  <si>
    <t>INF109KA1O37</t>
  </si>
  <si>
    <t>ICICI Prudential Constant Maturity Gilt Fund - Direct Plan - Growth</t>
  </si>
  <si>
    <t>INF109KA1O60</t>
  </si>
  <si>
    <t>INF109KA1P02</t>
  </si>
  <si>
    <t>ICICI Prudential Constant Maturity Gilt Fund - Direct Plan - Half Yearly IDCW</t>
  </si>
  <si>
    <t>INF109KA1O45</t>
  </si>
  <si>
    <t>INF109KA1O86</t>
  </si>
  <si>
    <t>ICICI Prudential Constant Maturity Gilt Fund - Direct Plan - Monthly IDCW</t>
  </si>
  <si>
    <t>INF109KA1O52</t>
  </si>
  <si>
    <t>INF109KA1O94</t>
  </si>
  <si>
    <t>ICICI Prudential Constant Maturity Gilt Fund - Direct Plan - Quarterly IDCW</t>
  </si>
  <si>
    <t>INF109KA1N46</t>
  </si>
  <si>
    <t>ICICI Prudential Constant Maturity Gilt Fund - Growth</t>
  </si>
  <si>
    <t>INF109KA1N79</t>
  </si>
  <si>
    <t>INF109KA1O11</t>
  </si>
  <si>
    <t>ICICI Prudential Constant Maturity Gilt Fund - Half Yearly IDCW</t>
  </si>
  <si>
    <t>INF109KA1N53</t>
  </si>
  <si>
    <t>INF109KA1N95</t>
  </si>
  <si>
    <t>ICICI Prudential Constant Maturity Gilt Fund - Monthly IDCW</t>
  </si>
  <si>
    <t>INF109KA1N61</t>
  </si>
  <si>
    <t>INF109KA1O03</t>
  </si>
  <si>
    <t>ICICI Prudential Constant Maturity Gilt Fund - quarterly IDCW</t>
  </si>
  <si>
    <t>INF200K01SK7</t>
  </si>
  <si>
    <t>SBI CONSTANT MATURITY 10 YEAR GILT FUND - DIRECT PLAN - GROWTH</t>
  </si>
  <si>
    <t>INF200K01SI1</t>
  </si>
  <si>
    <t>INF200K01SJ9</t>
  </si>
  <si>
    <t>SBI Constant Maturity 10 Year Gilt Fund - Direct Plan - Income Distribution cum Capital Withdrawal Option (IDCW)</t>
  </si>
  <si>
    <t>INF200K01AN9</t>
  </si>
  <si>
    <t>SBI CONSTANT MATURITY 10 Year GILT FUND - REGULAR PLAN - GROWTH</t>
  </si>
  <si>
    <t>INF200K01AO7</t>
  </si>
  <si>
    <t>INF200K01AP4</t>
  </si>
  <si>
    <t>SBI Constant Maturity 10 Year Gilt Fund - Regular Plan - Income Distribution cum Capital Withdrawal Option (IDCW)</t>
  </si>
  <si>
    <t>INF789F1AVW7</t>
  </si>
  <si>
    <t>INF789F1AVX5</t>
  </si>
  <si>
    <t>UTI Gilt Fund with 10 year Constant Duration - Direct Plan - Annual IDCW Option</t>
  </si>
  <si>
    <t>INF789F1AVY3</t>
  </si>
  <si>
    <t>INF789F1AVZ0</t>
  </si>
  <si>
    <t>UTI Gilt Fund with 10 year Constant Duration - Direct Plan - Flexi IDCW Option</t>
  </si>
  <si>
    <t>INF789F1AVR7</t>
  </si>
  <si>
    <t>UTI Gilt Fund with 10 year Constant Duration - Direct Plan - Growth Option</t>
  </si>
  <si>
    <t>INF789F1AVU1</t>
  </si>
  <si>
    <t>INF789F1AVV9</t>
  </si>
  <si>
    <t>UTI Gilt Fund with 10 year Constant Duration - Direct Plan - Half Yearly IDCW Option</t>
  </si>
  <si>
    <t>INF789F1AVS5</t>
  </si>
  <si>
    <t>INF789F1AVT3</t>
  </si>
  <si>
    <t>UTI Gilt Fund with 10 year Constant Duration - Direct Plan - Quarterly IDCW Option</t>
  </si>
  <si>
    <t>INF789F1AVN6</t>
  </si>
  <si>
    <t>INF789F1AVO4</t>
  </si>
  <si>
    <t>UTI Gilt Fund with 10 year Constant Duration - Regular Plan - Annual IDCW Option</t>
  </si>
  <si>
    <t>INF789F1AVP1</t>
  </si>
  <si>
    <t>INF789F1AVQ9</t>
  </si>
  <si>
    <t>UTI Gilt Fund with 10 year Constant Duration - Regular Plan - Flexi IDCW Option</t>
  </si>
  <si>
    <t>INF789F1AVI6</t>
  </si>
  <si>
    <t>UTI Gilt Fund with 10 year Constant Duration - Regular Plan - Growth Option</t>
  </si>
  <si>
    <t>INF789F1AVL0</t>
  </si>
  <si>
    <t>INF789F1AVM8</t>
  </si>
  <si>
    <t>UTI Gilt Fund with 10 year Constant Duration - Regular Plan - Half Yearly IDCW Option</t>
  </si>
  <si>
    <t>INF789F1AVJ4</t>
  </si>
  <si>
    <t>INF789F1AVK2</t>
  </si>
  <si>
    <t>UTI Gilt Fund with 10 year Constant Duration - Regular Plan - Quarterly IDCW Option</t>
  </si>
  <si>
    <t>INF579M01688</t>
  </si>
  <si>
    <t>360 ONE LIQUID FUND DIRECT PLAN  DAILY DIVIDEND REINVESTMENT</t>
  </si>
  <si>
    <t>INF579M01621</t>
  </si>
  <si>
    <t>360 ONE LIQUID FUND DIRECT PLAN  GROWTH</t>
  </si>
  <si>
    <t>INF579M01639</t>
  </si>
  <si>
    <t>INF579M01696</t>
  </si>
  <si>
    <t>360 ONE LIQUID FUND DIRECT PLAN  WEEKLY DIVIDEND</t>
  </si>
  <si>
    <t>INF579M01563</t>
  </si>
  <si>
    <t>360 ONE LIQUID FUND REGULAR PLAN  DAILY DIVIDEND REINVESTMENT</t>
  </si>
  <si>
    <t>INF579M01506</t>
  </si>
  <si>
    <t>360 ONE LIQUID FUND REGULAR PLAN  GROWTH</t>
  </si>
  <si>
    <t>INF579M01514</t>
  </si>
  <si>
    <t>INF579M01571</t>
  </si>
  <si>
    <t>360 ONE LIQUID FUND REGULAR PLAN  WEEKLY DIVIDEND</t>
  </si>
  <si>
    <t>INF2JJD01011</t>
  </si>
  <si>
    <t>Abakkus Liquid Fund - Direct Plan - Daily IDCW Reinvestment</t>
  </si>
  <si>
    <t>INF2JJD01029</t>
  </si>
  <si>
    <t>Abakkus Liquid Fund - Direct Plan - Growth</t>
  </si>
  <si>
    <t>INF2JJD01037</t>
  </si>
  <si>
    <t>Abakkus Liquid Fund - Direct Plan - Monthly IDCW Reinvestment</t>
  </si>
  <si>
    <t>INF2JJD01052</t>
  </si>
  <si>
    <t>Abakkus Liquid Fund - Direct Plan - Quarterly IDCW Reinvestment</t>
  </si>
  <si>
    <t>INF2JJD01045</t>
  </si>
  <si>
    <t>Abakkus Liquid Fund - Direct Plan - Weekly IDCW Reinvestment</t>
  </si>
  <si>
    <t>INF2JJD01060</t>
  </si>
  <si>
    <t>Abakkus Liquid Fund - Regular Plan - Daily IDCW Reinvestment</t>
  </si>
  <si>
    <t>INF2JJD01078</t>
  </si>
  <si>
    <t>Abakkus Liquid Fund - Regular Plan - Growth</t>
  </si>
  <si>
    <t>INF2JJD01086</t>
  </si>
  <si>
    <t>Abakkus Liquid Fund - Regular Plan - Monthly IDCW Reinvestment</t>
  </si>
  <si>
    <t>INF2JJD01102</t>
  </si>
  <si>
    <t>Abakkus Liquid Fund - Regular Plan - Quarterly IDCW Reinvestment</t>
  </si>
  <si>
    <t>INF2JJD01094</t>
  </si>
  <si>
    <t>Abakkus Liquid Fund - Regular Plan - Weekly IDCW Reinvestment</t>
  </si>
  <si>
    <t>INF209K01RU9</t>
  </si>
  <si>
    <t>Aditya Birla Sun Life Liquid Fund - Growth</t>
  </si>
  <si>
    <t>INF209K01VA3</t>
  </si>
  <si>
    <t>Aditya Birla Sun Life Liquid Fund - Growth - Direct Plan</t>
  </si>
  <si>
    <t>INF209K01KQ2</t>
  </si>
  <si>
    <t>INF209K01SQ5</t>
  </si>
  <si>
    <t>Aditya Birla Sun Life Liquid Fund -Daily IDCW</t>
  </si>
  <si>
    <t>INF209K01UZ2</t>
  </si>
  <si>
    <t>Aditya Birla Sun Life Liquid Fund -Direct - daily IDCW</t>
  </si>
  <si>
    <t>INF209K01VD7</t>
  </si>
  <si>
    <t>Aditya Birla Sun Life Liquid Fund -DIRECT - IDCW</t>
  </si>
  <si>
    <t>INF209K01VC9</t>
  </si>
  <si>
    <t>Aditya Birla Sun Life Liquid Fund -Direct - weekly IDCW</t>
  </si>
  <si>
    <t>INF209K01KN9</t>
  </si>
  <si>
    <t>Aditya Birla Sun Life Liquid Fund -Institutional - IDCW</t>
  </si>
  <si>
    <t>INF209KA1LK7</t>
  </si>
  <si>
    <t>INF209K01KY6</t>
  </si>
  <si>
    <t>Aditya Birla Sun Life Liquid Fund -Institutional - weekly  IDCW</t>
  </si>
  <si>
    <t>INF209KA1LI1</t>
  </si>
  <si>
    <t>Aditya Birla Sun Life Liquid Fund -Regular - IDCW</t>
  </si>
  <si>
    <t>INF209K01KP4</t>
  </si>
  <si>
    <t>Aditya Birla Sun Life Liquid Fund -Retail - IDCW</t>
  </si>
  <si>
    <t>INF209K01KU4</t>
  </si>
  <si>
    <t>INF209KA1LJ9</t>
  </si>
  <si>
    <t>Aditya Birla Sun Life Liquid Fund -weekly IDCW</t>
  </si>
  <si>
    <t>INF846K01NH4</t>
  </si>
  <si>
    <t>Axis Liquid Fund - Direct plan - Bonus Option</t>
  </si>
  <si>
    <t>INF846K01DA0</t>
  </si>
  <si>
    <t>Axis Liquid Fund - Direct Plan - Daily IDCW</t>
  </si>
  <si>
    <t>INF846K01CX4</t>
  </si>
  <si>
    <t>Axis Liquid Fund - Direct Plan - Growth Option</t>
  </si>
  <si>
    <t>INF846K01CY2</t>
  </si>
  <si>
    <t>INF846K01CZ9</t>
  </si>
  <si>
    <t>Axis Liquid Fund - Direct Plan - Monthly IDCW</t>
  </si>
  <si>
    <t>INF846K01DB8</t>
  </si>
  <si>
    <t>INF846K01DC6</t>
  </si>
  <si>
    <t>Axis Liquid Fund - Direct Plan - Weekly IDCW</t>
  </si>
  <si>
    <t>INF846K01420</t>
  </si>
  <si>
    <t>Axis Liquid Fund - Regular Plan - Daily IDCW</t>
  </si>
  <si>
    <t>INF846K01412</t>
  </si>
  <si>
    <t>Axis Liquid Fund - Regular Plan - Growth Option</t>
  </si>
  <si>
    <t>INF846K01453</t>
  </si>
  <si>
    <t>INF846K01461</t>
  </si>
  <si>
    <t>Axis Liquid Fund - Regular Plan - Monthly IDCW</t>
  </si>
  <si>
    <t>INF846K01438</t>
  </si>
  <si>
    <t>INF846K01446</t>
  </si>
  <si>
    <t>Axis Liquid Fund - Regular Plan - Weekly IDCW</t>
  </si>
  <si>
    <t>INF846K01362</t>
  </si>
  <si>
    <t>Axis Liquid Fund - Retail Plan - Daily IDCW</t>
  </si>
  <si>
    <t>INF846K01354</t>
  </si>
  <si>
    <t>Axis Liquid Fund - Retail Plan - Growth Option</t>
  </si>
  <si>
    <t>INF846K01396</t>
  </si>
  <si>
    <t>INF846K01404</t>
  </si>
  <si>
    <t>Axis Liquid Fund - Retail Plan - Monthly IDCW</t>
  </si>
  <si>
    <t>INF846K01370</t>
  </si>
  <si>
    <t>INF846K01388</t>
  </si>
  <si>
    <t>Axis Liquid Fund - Retail Plan - Weekly IDCW</t>
  </si>
  <si>
    <t>INF0QA701029</t>
  </si>
  <si>
    <t>Bajaj Finserv Liquid Fund - Direct Plan - Daily - IDCW</t>
  </si>
  <si>
    <t>INF0QA701078</t>
  </si>
  <si>
    <t>INF0QA701045</t>
  </si>
  <si>
    <t>Bajaj Finserv Liquid Fund - Direct Plan - Fortnightly - IDCW</t>
  </si>
  <si>
    <t>INF0QA701011</t>
  </si>
  <si>
    <t>Bajaj Finserv Liquid Fund - Direct Plan - Growth</t>
  </si>
  <si>
    <t>INF0QA701086</t>
  </si>
  <si>
    <t>INF0QA701052</t>
  </si>
  <si>
    <t>Bajaj Finserv Liquid Fund - Direct Plan - Monthly - IDCW</t>
  </si>
  <si>
    <t>INF0QA701060</t>
  </si>
  <si>
    <t>INF0QA701037</t>
  </si>
  <si>
    <t>Bajaj Finserv Liquid Fund - Direct Plan - Weekly - IDCW</t>
  </si>
  <si>
    <t>INF0QA701136</t>
  </si>
  <si>
    <t>Bajaj Finserv Liquid Fund - Regular Plan - Daily - IDCW</t>
  </si>
  <si>
    <t>INF0QA701151</t>
  </si>
  <si>
    <t>INF0QA701110</t>
  </si>
  <si>
    <t>Bajaj Finserv Liquid Fund - Regular Plan - Fortnightly - IDCW</t>
  </si>
  <si>
    <t>INF0QA701094</t>
  </si>
  <si>
    <t>Bajaj Finserv Liquid Fund - Regular Plan - Growth</t>
  </si>
  <si>
    <t>INF0QA701169</t>
  </si>
  <si>
    <t>INF0QA701128</t>
  </si>
  <si>
    <t>Bajaj Finserv Liquid Fund - Regular Plan - Monthly - IDCW</t>
  </si>
  <si>
    <t>INF0QA701144</t>
  </si>
  <si>
    <t>INF0QA701102</t>
  </si>
  <si>
    <t>Bajaj Finserv Liquid Fund - Regular Plan - Weekly - IDCW</t>
  </si>
  <si>
    <t>INF194K01VP5</t>
  </si>
  <si>
    <t>INF194K01VO8</t>
  </si>
  <si>
    <t>BANDHAN LIQUID FUND - Inst Plan B - Periodic Div</t>
  </si>
  <si>
    <t>INF194K01VZ4</t>
  </si>
  <si>
    <t>INF194K01VY7</t>
  </si>
  <si>
    <t>BANDHAN LIQUID Fund - Regular Plan - Daily IDCW</t>
  </si>
  <si>
    <t>INF194K01VX9</t>
  </si>
  <si>
    <t>BANDHAN LIQUID Fund - Regular Plan - Growth</t>
  </si>
  <si>
    <t>INF194K01WF4</t>
  </si>
  <si>
    <t>INF194K01WE7</t>
  </si>
  <si>
    <t>BANDHAN LIQUID Fund - Regular Plan - Monthly IDCW</t>
  </si>
  <si>
    <t>INF194K01WC1</t>
  </si>
  <si>
    <t>INF194K01WB3</t>
  </si>
  <si>
    <t>BANDHAN LIQUID Fund - Regular Plan - Periodic IDCW</t>
  </si>
  <si>
    <t>INF194K01WI8</t>
  </si>
  <si>
    <t>INF194K01WH0</t>
  </si>
  <si>
    <t>BANDHAN LIQUID Fund - Regular Plan - Weekly IDCW</t>
  </si>
  <si>
    <t>INF194KA14C0</t>
  </si>
  <si>
    <t>BANDHAN LIQUID Fund - Unclaimed IDCW Less than 3 years</t>
  </si>
  <si>
    <t>INF194KA15C7</t>
  </si>
  <si>
    <t>BANDHAN LIQUID Fund - Unclaimed IDCW More than 3 years</t>
  </si>
  <si>
    <t>INF194KA12C4</t>
  </si>
  <si>
    <t>BANDHAN LIQUID Fund - Unclaimed Redemption Less than 3 years</t>
  </si>
  <si>
    <t>INF194KA13C2</t>
  </si>
  <si>
    <t>BANDHAN LIQUID Fund - Unclaimed Redemption More than 3 years</t>
  </si>
  <si>
    <t>INF194K01J36</t>
  </si>
  <si>
    <t>INF194K01J28</t>
  </si>
  <si>
    <t>BANDHAN LIQUID Fund -Direct Plan -Monthly IDCW</t>
  </si>
  <si>
    <t>INF194KB1JT8</t>
  </si>
  <si>
    <t>INF194K01J51</t>
  </si>
  <si>
    <t>BANDHAN LIQUID Fund -Direct Plan -Weekly IDCW</t>
  </si>
  <si>
    <t>INF194K01I78</t>
  </si>
  <si>
    <t>BANDHAN LIQUID Fund -Direct Plan-Daily IDCW</t>
  </si>
  <si>
    <t>INF194K01I60</t>
  </si>
  <si>
    <t>BANDHAN LIQUID Fund -Direct Plan-Growth</t>
  </si>
  <si>
    <t>INF194K01J02</t>
  </si>
  <si>
    <t>INF194K01I94</t>
  </si>
  <si>
    <t>BANDHAN LIQUID Fund -Direct Plan-Periodic IDCW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</si>
  <si>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</si>
  <si>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</si>
  <si>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</si>
  <si>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</si>
  <si>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INF761K01CL0</t>
  </si>
  <si>
    <t>BANK OF INDIA Liquid Fund- Direct Plan- Daily IDCW</t>
  </si>
  <si>
    <t>INF761K01785</t>
  </si>
  <si>
    <t>BANK OF INDIA Liquid Fund- Direct Plan- Growth</t>
  </si>
  <si>
    <t>INF761K01CM8</t>
  </si>
  <si>
    <t>BANK OF INDIA Liquid Fund- Direct Plan- Weekly IDCW</t>
  </si>
  <si>
    <t>INF761K01CO4</t>
  </si>
  <si>
    <t>BANK OF INDIA Liquid Fund- Regular Plan- Daily IDCW</t>
  </si>
  <si>
    <t>INF761K01306</t>
  </si>
  <si>
    <t>BANK OF INDIA Liquid Fund- Regular Plan- Growth</t>
  </si>
  <si>
    <t>INF761K01CP1</t>
  </si>
  <si>
    <t>BANK OF INDIA Liquid Fund- Regular Plan- Weekly IDCW</t>
  </si>
  <si>
    <t>INF955L01AK2</t>
  </si>
  <si>
    <t>Baroda BNP Paribas LIQUID FUND - DIRECT PLAN - DAILY IDCW OPTION</t>
  </si>
  <si>
    <t>INF955L01AL0</t>
  </si>
  <si>
    <t>Baroda BNP Paribas LIQUID FUND - DIRECT PLAN - GROWTH OPTION</t>
  </si>
  <si>
    <t>INF251K01SL8</t>
  </si>
  <si>
    <t>Baroda BNP Paribas LIQUID FUND - DIRECT PLAN - WEEKLY IDCW OPTION</t>
  </si>
  <si>
    <t>INF955L01GR4</t>
  </si>
  <si>
    <t>Baroda BNP Paribas Liquid Fund - Plan C</t>
  </si>
  <si>
    <t>INF955L01534</t>
  </si>
  <si>
    <t>INF955L01542</t>
  </si>
  <si>
    <t>Baroda BNP Paribas Liquid Fund - Regular - Weekly IDCW Option</t>
  </si>
  <si>
    <t>INF955L01468</t>
  </si>
  <si>
    <t>INF955L01476</t>
  </si>
  <si>
    <t>Baroda BNP Paribas LIQUID FUND - Regular Plan - DAILY IDCW OPTION</t>
  </si>
  <si>
    <t>INF955L01484</t>
  </si>
  <si>
    <t>Baroda BNP Paribas LIQUID FUND - Regular Plan - GROWTH OPTION</t>
  </si>
  <si>
    <t>INF251K01SK0</t>
  </si>
  <si>
    <t>INF955L01500</t>
  </si>
  <si>
    <t>Baroda BNP Paribas LIQUID FUND - Regular Plan - WEEKLY IDCW OPTION</t>
  </si>
  <si>
    <t>BARODA BNP PARIBAS LIQUID FUND PLAN C IDCW ABOVE 3 YRS</t>
  </si>
  <si>
    <t>BARODA BNP PARIBAS LIQUID FUND PLAN C IDCW UPTO 3YRS</t>
  </si>
  <si>
    <t>BARODA BNP PARIBAS LIQUID FUND PLAN C REDEMPTION ABOVE 3 YRS</t>
  </si>
  <si>
    <t>BARODA BNP PARIBAS LIQUID FUND PLAN C REDEMPTION UPTO 3YRS</t>
  </si>
  <si>
    <t>INF955L01575</t>
  </si>
  <si>
    <t>Baroda BNP Paribas LIQUID FUND- Defunct Plan -Growth Option</t>
  </si>
  <si>
    <t>INF955L01559</t>
  </si>
  <si>
    <t>INF955L01567</t>
  </si>
  <si>
    <t>Baroda BNP Paribas LIQUID FUND-Defunct Plan- IDCW Option</t>
  </si>
  <si>
    <t>INF955L01518</t>
  </si>
  <si>
    <t>INF955L01526</t>
  </si>
  <si>
    <t>Baroda BNP Paribas LIQUID FUND-Defunct Plan-Daily IDCW Option</t>
  </si>
  <si>
    <t>INF760K01FS0</t>
  </si>
  <si>
    <t>CANARA ROBECO LIQUID FUND - DIRECT PLAN - DAILY IDCW (Reinvestment)</t>
  </si>
  <si>
    <t>INF760K01FU6</t>
  </si>
  <si>
    <t>CANARA ROBECO LIQUID FUND - DIRECT PLAN - GROWTH OPTION</t>
  </si>
  <si>
    <t>INF760K01FT8</t>
  </si>
  <si>
    <t>CANARA ROBECO LIQUID FUND - DIRECT PLAN - IDCW (Payout/Reinvestment)</t>
  </si>
  <si>
    <t>INF760K01FV4</t>
  </si>
  <si>
    <t>INF760K01FW2</t>
  </si>
  <si>
    <t>CANARA ROBECO LIQUID FUND - DIRECT PLAN - MONTHLY IDCW (Payout/Reinvestment)</t>
  </si>
  <si>
    <t>INF760K01FY8</t>
  </si>
  <si>
    <t>INF760K01FX0</t>
  </si>
  <si>
    <t>CANARA ROBECO LIQUID FUND - DIRECT PLAN - WEEKLY IDCW (Payout/Reinvestment)</t>
  </si>
  <si>
    <t>INF760K01CU3</t>
  </si>
  <si>
    <t>CANARA ROBECO LIQUID FUND - REGULAR PLAN - DAILY IDCW (Reinvestment)</t>
  </si>
  <si>
    <t>INF760K01CW9</t>
  </si>
  <si>
    <t>CANARA ROBECO LIQUID FUND - REGULAR PLAN - GROWTH OPTION</t>
  </si>
  <si>
    <t>INF760K01CX7</t>
  </si>
  <si>
    <t>INF760K01CY5</t>
  </si>
  <si>
    <t>CANARA ROBECO LIQUID FUND - REGULAR PLAN - MONTHLY IDCW (Payout/Reinvestment)</t>
  </si>
  <si>
    <t>INF760K01BZ4</t>
  </si>
  <si>
    <t>INF760K01CZ2</t>
  </si>
  <si>
    <t>CANARA ROBECO LIQUID FUND - REGULAR PLAN - WEEKLY IDCW (Payout/Reinvestment)</t>
  </si>
  <si>
    <t>INF760K01IC8</t>
  </si>
  <si>
    <t>Canara Robeco Liquid Fund -Unclaimed Redemption and Dividend Plan -Direct Growth Option</t>
  </si>
  <si>
    <t>INF226401034</t>
  </si>
  <si>
    <t>Capitalmind Liquid Fund - Direct-Growth</t>
  </si>
  <si>
    <t>INF226401042</t>
  </si>
  <si>
    <t>Capitalmind Liquid Fund - Regular-Growth</t>
  </si>
  <si>
    <t>INF740K01QL4</t>
  </si>
  <si>
    <t>DSP Liquidity Fund - Direct Plan - Growth</t>
  </si>
  <si>
    <t>INF740KA1OB6</t>
  </si>
  <si>
    <t>DSP Liquidity Fund - Direct Plan - IDCW - Daily</t>
  </si>
  <si>
    <t>INF740KA1OC4</t>
  </si>
  <si>
    <t>INF740KA1OD2</t>
  </si>
  <si>
    <t>DSP Liquidity Fund - Direct Plan - IDCW - Weekly</t>
  </si>
  <si>
    <t>INF740K01FK9</t>
  </si>
  <si>
    <t>DSP Liquidity Fund - Regular Plan - Growth</t>
  </si>
  <si>
    <t>INF740K01FM5</t>
  </si>
  <si>
    <t>INF740K01FL7</t>
  </si>
  <si>
    <t>DSP Liquidity Fund - Regular Plan - IDCW - Weekly</t>
  </si>
  <si>
    <t>INF740KA1OE0</t>
  </si>
  <si>
    <t>DSP Liquidity Fund- Regular Plan - IDCW - Daily</t>
  </si>
  <si>
    <t>INF754K01GY9</t>
  </si>
  <si>
    <t>Edelweiss Liquid Fund - Direct Plan - Bonus Option</t>
  </si>
  <si>
    <t>INF754K01GM4</t>
  </si>
  <si>
    <t>Edelweiss Liquid Fund - Direct Plan - Growth Option</t>
  </si>
  <si>
    <t>INF754K01GO0</t>
  </si>
  <si>
    <t>INF754K01GN2</t>
  </si>
  <si>
    <t>Edelweiss Liquid Fund - Direct Plan - IDCW Option</t>
  </si>
  <si>
    <t>INF754K01GX1</t>
  </si>
  <si>
    <t>INF754K01GT9</t>
  </si>
  <si>
    <t>Edelweiss Liquid Fund - Direct Plan Annual - IDCW Option</t>
  </si>
  <si>
    <t>INF754K01GP7</t>
  </si>
  <si>
    <t>Edelweiss Liquid Fund - Direct Plan daily - IDCW Option</t>
  </si>
  <si>
    <t>INF754K01GV5</t>
  </si>
  <si>
    <t>INF754K01GR3</t>
  </si>
  <si>
    <t>Edelweiss Liquid Fund - Direct Plan Fortnightly - IDCW Option</t>
  </si>
  <si>
    <t>INF754K01GW3</t>
  </si>
  <si>
    <t>INF754K01GS1</t>
  </si>
  <si>
    <t>Edelweiss Liquid Fund - Direct Plan Monthly - IDCW Option</t>
  </si>
  <si>
    <t>INF754K01GU7</t>
  </si>
  <si>
    <t>INF754K01GQ5</t>
  </si>
  <si>
    <t>Edelweiss Liquid Fund - Direct Plan weekly - IDCW Option</t>
  </si>
  <si>
    <t>INF754K01HR1</t>
  </si>
  <si>
    <t>Edelweiss Liquid Fund - Regular Plan - Bonus Option</t>
  </si>
  <si>
    <t>INF754K01GZ6</t>
  </si>
  <si>
    <t>Edelweiss Liquid Fund - Regular Plan - Growth Option</t>
  </si>
  <si>
    <t>INF754K01GK8</t>
  </si>
  <si>
    <t>INF754K01GL6</t>
  </si>
  <si>
    <t>Edelweiss Liquid Fund - Regular Plan - IDCW Option</t>
  </si>
  <si>
    <t>INF754K01HQ3</t>
  </si>
  <si>
    <t>INF754K01HP5</t>
  </si>
  <si>
    <t>Edelweiss Liquid Fund - Regular Plan Annual - IDCW Option</t>
  </si>
  <si>
    <t>INF754K01HA7</t>
  </si>
  <si>
    <t>Edelweiss Liquid Fund - Regular Plan Daily - IDCW Option</t>
  </si>
  <si>
    <t>INF754K01HK6</t>
  </si>
  <si>
    <t>INF754K01HC3</t>
  </si>
  <si>
    <t>Edelweiss Liquid Fund - Regular Plan Fortnightly - IDCW Option</t>
  </si>
  <si>
    <t>INF754K01HL4</t>
  </si>
  <si>
    <t>INF754K01HD1</t>
  </si>
  <si>
    <t>Edelweiss Liquid Fund - Regular Plan Monthly - IDCW Option</t>
  </si>
  <si>
    <t>INF754K01HJ8</t>
  </si>
  <si>
    <t>INF754K01HB5</t>
  </si>
  <si>
    <t>Edelweiss Liquid Fund - Regular Plan Weekly - IDCW Option</t>
  </si>
  <si>
    <t>INF754K01HE9</t>
  </si>
  <si>
    <t>Edelweiss Liquid Fund - Retail Plan - Growth Option</t>
  </si>
  <si>
    <t>INF754K01HG4</t>
  </si>
  <si>
    <t>Edelweiss Liquid Fund - Retail Plan - Weekly Dividend Option</t>
  </si>
  <si>
    <t>INF754K01HF6</t>
  </si>
  <si>
    <t>Edelweiss Liquid Fund - Retail Plan Daily - IDCW Option</t>
  </si>
  <si>
    <t>INF754K01HI0</t>
  </si>
  <si>
    <t>Edelweiss Liquid Fund - Retail Plan Monthly - IDCW Option</t>
  </si>
  <si>
    <t>INF090I01BA3</t>
  </si>
  <si>
    <t>Franklin India Liquid Fund - Regular Plan - Daily - IDCW</t>
  </si>
  <si>
    <t>INF090I01BB1</t>
  </si>
  <si>
    <t>Franklin India Liquid Fund - Regular Plan - Growth</t>
  </si>
  <si>
    <t>INF090I01BL0</t>
  </si>
  <si>
    <t>INF090I01BI6</t>
  </si>
  <si>
    <t>Franklin India Liquid Fund - Regular Plan - Weekly - IDCW</t>
  </si>
  <si>
    <t>INF090I01JV2</t>
  </si>
  <si>
    <t>Franklin India Liquid Fund - Super Institutional - Direct - Growth</t>
  </si>
  <si>
    <t>INF090I01BF2</t>
  </si>
  <si>
    <t>Franklin India Liquid Fund - Super Institutional Plan - Daily - IDCW</t>
  </si>
  <si>
    <t>INF090I01JW0</t>
  </si>
  <si>
    <t>Franklin India Liquid Fund - Super Institutional Plan - Direct - Daily - IDCW</t>
  </si>
  <si>
    <t>INF090I01JX8</t>
  </si>
  <si>
    <t>INF090I01JY6</t>
  </si>
  <si>
    <t>Franklin India Liquid Fund - Super Institutional Plan - Direct - Weekly - IDCW</t>
  </si>
  <si>
    <t>INF090I01BG0</t>
  </si>
  <si>
    <t>Franklin India Liquid Fund - Super Institutional Plan - Growth</t>
  </si>
  <si>
    <t>INF090I01BM8</t>
  </si>
  <si>
    <t>INF090I01BH8</t>
  </si>
  <si>
    <t>Franklin India Liquid Fund - Super Institutional Plan - Weekly - IDCW</t>
  </si>
  <si>
    <t>INF090I01LR6</t>
  </si>
  <si>
    <t>Franklin India Liquid Fund - Unclaimed IDCW Investor Education Plan - Growth</t>
  </si>
  <si>
    <t>INF090I01LP0</t>
  </si>
  <si>
    <t>Franklin India Liquid Fund - Unclaimed IDCW Plan - Growth</t>
  </si>
  <si>
    <t>INF090I01LQ8</t>
  </si>
  <si>
    <t>Franklin India Liquid Fund - Unclaimed Redemption Investor Education Plan - Growth</t>
  </si>
  <si>
    <t>INF090I01LO3</t>
  </si>
  <si>
    <t>Franklin India Liquid Fund - Unclaimed Redemption Plan - Growth</t>
  </si>
  <si>
    <t>INF090I01BD7</t>
  </si>
  <si>
    <t>Franklin India Liquid Fund - Institution-Growth</t>
  </si>
  <si>
    <t>INF090I01BC9</t>
  </si>
  <si>
    <t>Franklin India Liquid Fund - Institutional Plan - Daily - IDCW</t>
  </si>
  <si>
    <t>INF090I01BJ4</t>
  </si>
  <si>
    <t>INF090I01BE5</t>
  </si>
  <si>
    <t>Franklin India Liquid Fund - Institutional Plan - Weekly - IDCW</t>
  </si>
  <si>
    <t>INF666M01451</t>
  </si>
  <si>
    <t>Groww Liquid Fund ( formerly known as Indiabulls Liquid )Fund - Direct Plan - Growth Option</t>
  </si>
  <si>
    <t>INF666M01469</t>
  </si>
  <si>
    <t>Groww Liquid Fund (formerly known as Indiabulls Liquid Fund) - Direct Plan- - Income Distribution cum capital withdrawal Option ( Reinvestment)</t>
  </si>
  <si>
    <t>INF666M01014</t>
  </si>
  <si>
    <t>Groww Liquid Fund (formerly known as Indiabulls Liquid Fund) - Regular Plan - Growth Option</t>
  </si>
  <si>
    <t>INF666M01501</t>
  </si>
  <si>
    <t>INF666M01485</t>
  </si>
  <si>
    <t>Groww Liquid Fund (formerly known as Indiabulls Liquid Fund)- Direct Plan- Fortnightly - Income Distribution cum capital withdrawal Option (Payout &amp; Reinvestment)</t>
  </si>
  <si>
    <t>INF666M01519</t>
  </si>
  <si>
    <t>INF666M01493</t>
  </si>
  <si>
    <t>Groww Liquid Fund (formerly known as Indiabulls Liquid Fund)- Direct Plan- Monthly - Income Distribution cum capital withdrawal Option (Payout &amp; Reinvestment)</t>
  </si>
  <si>
    <t>INF666M01527</t>
  </si>
  <si>
    <t>INF666M01477</t>
  </si>
  <si>
    <t>Groww Liquid Fund (formerly known as Indiabulls Liquid Fund)- Direct Plan- Weekly - Income Distribution cum capital withdrawal Option (Payout &amp; Reinvestment)</t>
  </si>
  <si>
    <t>INF666M01022</t>
  </si>
  <si>
    <t>Groww Liquid Fund (formerly known as Indiabulls Liquid Fund)- Regular Plan- - Income Distribution cum capital withdrawal Option (Reinvestment)</t>
  </si>
  <si>
    <t>INF666M01071</t>
  </si>
  <si>
    <t>INF666M01055</t>
  </si>
  <si>
    <t>Groww Liquid Fund (formerly known as Indiabulls Liquid Fund)- Regular Plan- Monthly - Income Distribution cum capital withdrawal Option (Payout &amp; Reinvestment)</t>
  </si>
  <si>
    <t>INF666M01089</t>
  </si>
  <si>
    <t>INF666M01030</t>
  </si>
  <si>
    <t>Groww Liquid Fund (formerly known as Indiabulls Liquid Fund)- Regular Plan- Weekly - Income Distribution cum capital withdrawal Option (Payout &amp; Reinvestment)</t>
  </si>
  <si>
    <t>INF666M01063</t>
  </si>
  <si>
    <t>INF666M01048</t>
  </si>
  <si>
    <t>Groww Liquid Fund (formerly known as Indiabulls Liquid) Fund- Regular Plan- Fortnightly - Income Distribution cum capital withdrawal Option (Payout &amp; Reinvestment)</t>
  </si>
  <si>
    <t>INF179KB1HP9</t>
  </si>
  <si>
    <t>HDFC Liquid Fund - Growth Option - Direct Plan</t>
  </si>
  <si>
    <t>INF179KB1HK0</t>
  </si>
  <si>
    <t>HDFC Liquid Fund - Growth Plan</t>
  </si>
  <si>
    <t>INF179KB1IC5</t>
  </si>
  <si>
    <t>HDFC Liquid Fund - IDCW Daily</t>
  </si>
  <si>
    <t>INF179KB1HV7</t>
  </si>
  <si>
    <t>HDFC Liquid Fund - IDCW Daily - Direct Plan</t>
  </si>
  <si>
    <t>INF179KB1HM6</t>
  </si>
  <si>
    <t>INF179KB1HL8</t>
  </si>
  <si>
    <t>HDFC Liquid Fund - IDCW Monthly</t>
  </si>
  <si>
    <t>INF179KB1HO2</t>
  </si>
  <si>
    <t>INF179KB1HQ7</t>
  </si>
  <si>
    <t>HDFC Liquid Fund - IDCW Monthly - Direct Plan</t>
  </si>
  <si>
    <t>INF179KB1ID3</t>
  </si>
  <si>
    <t>HDFC Liquid Fund - IDCW Plan Weekly</t>
  </si>
  <si>
    <t>HDFC Liquid Fund - IDCW Weekly - Direct Plan</t>
  </si>
  <si>
    <t>INF179K01KP9</t>
  </si>
  <si>
    <t>HDFC Liquid Fund-Premium Plan - Dividend-Weekly</t>
  </si>
  <si>
    <t>INF179K01KS3</t>
  </si>
  <si>
    <t>HDFC Liquid Fund-Premium Plus Plan - Dividend-Weekly</t>
  </si>
  <si>
    <t>INF179K01KQ7</t>
  </si>
  <si>
    <t>HDFC Liquid Fund-PREMIUM PLUS- Growth</t>
  </si>
  <si>
    <t>INF336L01CC8</t>
  </si>
  <si>
    <t>HSBC Liquid Fund -  Growth Direct</t>
  </si>
  <si>
    <t>INF336L01CB0</t>
  </si>
  <si>
    <t>HSBC Liquid Fund - Direct Daily IDCW</t>
  </si>
  <si>
    <t>INF336L01BZ1</t>
  </si>
  <si>
    <t>INF336L01CA2</t>
  </si>
  <si>
    <t>HSBC Liquid Fund - Direct Monthly IDCW</t>
  </si>
  <si>
    <t>INF336L01LK2</t>
  </si>
  <si>
    <t>INF336L01CD6</t>
  </si>
  <si>
    <t>HSBC Liquid Fund - Direct Weekly IDCW</t>
  </si>
  <si>
    <t>INF336L01BL1</t>
  </si>
  <si>
    <t>HSBC Liquid Fund - Growth</t>
  </si>
  <si>
    <t>INF336L01BK3</t>
  </si>
  <si>
    <t>HSBC Liquid Fund - IDCW</t>
  </si>
  <si>
    <t>INF336L01BS6</t>
  </si>
  <si>
    <t>HSBC Liquid Fund - Institutional Daily IDCW</t>
  </si>
  <si>
    <t>INF336L01BM9</t>
  </si>
  <si>
    <t>HSBC Liquid Fund - Regular Daily IDCW</t>
  </si>
  <si>
    <t>INF336L01BN7</t>
  </si>
  <si>
    <t>HSBC Liquid Fund - Regular Growth</t>
  </si>
  <si>
    <t>INF336L01BP2</t>
  </si>
  <si>
    <t>INF336L01BO5</t>
  </si>
  <si>
    <t>HSBC Liquid Fund - Regular Monthly IDCW</t>
  </si>
  <si>
    <t>INF336L01LJ4</t>
  </si>
  <si>
    <t>INF336L01BQ0</t>
  </si>
  <si>
    <t>HSBC Liquid Fund - Regular Weekly IDCW</t>
  </si>
  <si>
    <t>INF336L01BR8</t>
  </si>
  <si>
    <t>HSBC Liquid Fund - Weekly IDCW</t>
  </si>
  <si>
    <t>INF109K01UU5</t>
  </si>
  <si>
    <t>INF109K01UT7</t>
  </si>
  <si>
    <t>ICICI Prudential Liquid Fund -Quarterly IDCW</t>
  </si>
  <si>
    <t>INF109K01VJ6</t>
  </si>
  <si>
    <t>ICICI Prudential Liquid Institutional Plus Fund - Div - Daily</t>
  </si>
  <si>
    <t>INF109KA1G94</t>
  </si>
  <si>
    <t>ICICI Prudential Liquid Fund - Bonus</t>
  </si>
  <si>
    <t>INF109K01VP3</t>
  </si>
  <si>
    <t>ICICI Prudential Liquid Fund - Daily IDCW</t>
  </si>
  <si>
    <t>INF109K01P99</t>
  </si>
  <si>
    <t>INF109K01Q07</t>
  </si>
  <si>
    <t>ICICI Prudential Liquid Fund - Direct Plan -  Annual IDCW</t>
  </si>
  <si>
    <t>INF109K01Q56</t>
  </si>
  <si>
    <t>INF109K01Q64</t>
  </si>
  <si>
    <t>ICICI Prudential Liquid Fund - Direct Plan -  Half Yearly IDCW</t>
  </si>
  <si>
    <t>INF109K01Q31</t>
  </si>
  <si>
    <t>INF109K01Q23</t>
  </si>
  <si>
    <t>ICICI Prudential Liquid Fund - Direct Plan -  IDCW Others</t>
  </si>
  <si>
    <t>INF109K01Q15</t>
  </si>
  <si>
    <t>ICICI Prudential Liquid Fund - Direct Plan - Daily IDCW</t>
  </si>
  <si>
    <t>INF109K01Q49</t>
  </si>
  <si>
    <t>ICICI Prudential Liquid Fund - Direct Plan - Growth</t>
  </si>
  <si>
    <t>INF109K01R06</t>
  </si>
  <si>
    <t>ICICI Prudential Liquid Fund - Direct Plan - Monthly IDCW</t>
  </si>
  <si>
    <t>INF109K01Q72</t>
  </si>
  <si>
    <t>INF109K01Q80</t>
  </si>
  <si>
    <t>ICICI Prudential Liquid Fund - Direct Plan - Quarterly IDCW</t>
  </si>
  <si>
    <t>INF109K01Q98</t>
  </si>
  <si>
    <t>ICICI Prudential Liquid Fund - Direct Plan - Weekly IDCW</t>
  </si>
  <si>
    <t>INF109KA1G86</t>
  </si>
  <si>
    <t>ICICI Prudential Liquid Fund - Direct Plan Bonus</t>
  </si>
  <si>
    <t>INF109K01VQ1</t>
  </si>
  <si>
    <t>ICICI Prudential Liquid Fund - Growth</t>
  </si>
  <si>
    <t>INF109K01UX9</t>
  </si>
  <si>
    <t>INF109K01UW1</t>
  </si>
  <si>
    <t>ICICI Prudential Liquid Fund - Half Yearly IDCW</t>
  </si>
  <si>
    <t>INF109K01VU3</t>
  </si>
  <si>
    <t>INF109K01VT5</t>
  </si>
  <si>
    <t>ICICI Prudential Liquid Fund - IDCW Others</t>
  </si>
  <si>
    <t>INF109K01VH0</t>
  </si>
  <si>
    <t>ICICI Prudential Liquid Fund - Institutional Option - I</t>
  </si>
  <si>
    <t>INF109KB1WR9</t>
  </si>
  <si>
    <t>ICICI Prudential Liquid Fund - Unclaimed IDCW</t>
  </si>
  <si>
    <t>INF109KB1WS7</t>
  </si>
  <si>
    <t>ICICI Prudential Liquid Fund - Unclaimed IDCW Investor Education</t>
  </si>
  <si>
    <t>INF109KB1WQ1</t>
  </si>
  <si>
    <t>ICICI Prudential Liquid Fund - Unclaimed Redemption</t>
  </si>
  <si>
    <t>INF109KB1WT5</t>
  </si>
  <si>
    <t>ICICI Prudential Liquid Fund - Unclaimed Redemption Investor Education</t>
  </si>
  <si>
    <t>INF109K01VS7</t>
  </si>
  <si>
    <t>ICICI Prudential Liquid Fund - Weekly IDCW</t>
  </si>
  <si>
    <t>INF109K01VR9</t>
  </si>
  <si>
    <t>ICICI Prudential Liquid Fund -Monthly IDCW</t>
  </si>
  <si>
    <t>INF109K01VD9</t>
  </si>
  <si>
    <t>INF109K01VC1</t>
  </si>
  <si>
    <t>ICICI Prudential Liquid Fund-Annual IDCW</t>
  </si>
  <si>
    <t>INF109K01VE7</t>
  </si>
  <si>
    <t>ICICI Prudential Liquid Fund - Institutional - Daily - Div</t>
  </si>
  <si>
    <t>INF109K01VI8</t>
  </si>
  <si>
    <t>ICICI Prudential Liquid Fund - Institutional - Weekly - Div</t>
  </si>
  <si>
    <t>INF109K01UR1</t>
  </si>
  <si>
    <t>ICICI Prudential Liquid Fund Retail Daily Dividend</t>
  </si>
  <si>
    <t>INF109K01UQ3</t>
  </si>
  <si>
    <t>ICICI Prudential Liquid Fund Retail Growth</t>
  </si>
  <si>
    <t>INF109K01US9</t>
  </si>
  <si>
    <t>ICICI Prudential Liquid Fund Retail Monthly Dividend</t>
  </si>
  <si>
    <t>INF109K01UV3</t>
  </si>
  <si>
    <t>ICICI Prudential Liquid Fund Retail Weekly Dividend</t>
  </si>
  <si>
    <t>INF109K01VF4</t>
  </si>
  <si>
    <t>ICICI Prudential Liquid Institutional Fund - Growth</t>
  </si>
  <si>
    <t>INF205K01HN3</t>
  </si>
  <si>
    <t>Invesco India Liquid Fund - Daily IDCW (Reinvestment)</t>
  </si>
  <si>
    <t>INF205K01MF9</t>
  </si>
  <si>
    <t>Invesco India Liquid Fund - Direct Plan - Growth</t>
  </si>
  <si>
    <t>INF205K01MG7</t>
  </si>
  <si>
    <t>INF205K01MH5</t>
  </si>
  <si>
    <t>Invesco India Liquid Fund - Direct Plan - Monthly IDCW (Payout / Reinvestment)</t>
  </si>
  <si>
    <t>INF205KA1BE5</t>
  </si>
  <si>
    <t>INF205K01MI3</t>
  </si>
  <si>
    <t>Invesco India Liquid Fund - Direct Plan - Weekly IDCW (Reinvestment)</t>
  </si>
  <si>
    <t>INF205K01ME2</t>
  </si>
  <si>
    <t>Invesco India Liquid Fund - Direct Plan- Daily IDCW (Reinvestment)</t>
  </si>
  <si>
    <t>INF205K01HM5</t>
  </si>
  <si>
    <t>Invesco India Liquid Fund - Growth</t>
  </si>
  <si>
    <t>INF205K01HQ6</t>
  </si>
  <si>
    <t>INF205K01HP8</t>
  </si>
  <si>
    <t>Invesco India Liquid Fund - Monthly IDCW (Payout / Reinvestment)</t>
  </si>
  <si>
    <t>INF205K01HG7</t>
  </si>
  <si>
    <t>Invesco India Liquid Fund - Regular - Growth</t>
  </si>
  <si>
    <t>INF205K01HH5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</si>
  <si>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</si>
  <si>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</si>
  <si>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</si>
  <si>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</si>
  <si>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</si>
  <si>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INF205KA1BD7</t>
  </si>
  <si>
    <t>INF205K01HO1</t>
  </si>
  <si>
    <t>Invesco India Liquid Fund - Weekly IDCW (Reinvestment)</t>
  </si>
  <si>
    <t>INF00XX01366</t>
  </si>
  <si>
    <t>INF00XX01333</t>
  </si>
  <si>
    <t>ITI Liquid Fund - Direct Plan - Annually IDCW Option</t>
  </si>
  <si>
    <t>INF00XX01291</t>
  </si>
  <si>
    <t>ITI Liquid Fund - Direct Plan - Daily IDCW Option</t>
  </si>
  <si>
    <t>INF00XX01341</t>
  </si>
  <si>
    <t>INF00XX01317</t>
  </si>
  <si>
    <t>ITI Liquid Fund - Direct Plan - Fortnightly IDCW Option</t>
  </si>
  <si>
    <t>INF00XX01283</t>
  </si>
  <si>
    <t>ITI Liquid Fund - Direct Plan - Growth Option</t>
  </si>
  <si>
    <t>INF00XX01358</t>
  </si>
  <si>
    <t>INF00XX01325</t>
  </si>
  <si>
    <t>ITI Liquid Fund - Direct Plan - Monthly IDCW Option</t>
  </si>
  <si>
    <t>INF00XX01309</t>
  </si>
  <si>
    <t>ITI Liquid Fund - Direct Plan - Weekly IDCW Option</t>
  </si>
  <si>
    <t>INF00XX01275</t>
  </si>
  <si>
    <t>INF00XX01242</t>
  </si>
  <si>
    <t>ITI Liquid Fund - Regular Plan - Annually IDCW Option</t>
  </si>
  <si>
    <t>INF00XX01200</t>
  </si>
  <si>
    <t>ITI Liquid Fund - Regular Plan - Daily IDCW Option</t>
  </si>
  <si>
    <t>INF00XX01259</t>
  </si>
  <si>
    <t>INF00XX01226</t>
  </si>
  <si>
    <t>ITI Liquid Fund - Regular Plan - Fortnightly Income Distribution cum capital withdrawal option Option</t>
  </si>
  <si>
    <t>INF00XX01192</t>
  </si>
  <si>
    <t>ITI Liquid Fund - Regular Plan - Growth Option</t>
  </si>
  <si>
    <t>INF00XX01267</t>
  </si>
  <si>
    <t>INF00XX01234</t>
  </si>
  <si>
    <t>ITI Liquid Fund - Regular Plan - Monthly IDCW Option</t>
  </si>
  <si>
    <t>INF00XX01218</t>
  </si>
  <si>
    <t>ITI Liquid Fund - Regular Plan - Weekly IDCW Option</t>
  </si>
  <si>
    <t>INF22M001010</t>
  </si>
  <si>
    <t>JioBlackRock Liquid Fund - Direct Plan - Growth Option</t>
  </si>
  <si>
    <t>INF192K01CN4</t>
  </si>
  <si>
    <t>JM Liquid Fund (Direct) - Bonus Option - Bonus Option - Principal units</t>
  </si>
  <si>
    <t>INF192K01CH6</t>
  </si>
  <si>
    <t>JM Liquid Fund (Direct) - Daily IDCW</t>
  </si>
  <si>
    <t>INF192K01CM6</t>
  </si>
  <si>
    <t>JM Liquid Fund (Direct) - Growth Option</t>
  </si>
  <si>
    <t>INF192K01CK0</t>
  </si>
  <si>
    <t>INF192K01CL8</t>
  </si>
  <si>
    <t>JM Liquid Fund (Direct) - Quarterly IDCW</t>
  </si>
  <si>
    <t>INF192K01CI4</t>
  </si>
  <si>
    <t>INF192K01CJ2</t>
  </si>
  <si>
    <t>JM Liquid Fund (Direct) - Weekly IDCW</t>
  </si>
  <si>
    <t>INF192K01866</t>
  </si>
  <si>
    <t>INF192K01874</t>
  </si>
  <si>
    <t>JM Liquid Fund (Regular) - Quarterly IDCW</t>
  </si>
  <si>
    <t>INF192K01981</t>
  </si>
  <si>
    <t>JM Liquid Fund (Regular) - Super Institutional Plan - Growth Option</t>
  </si>
  <si>
    <t>INF192K01841</t>
  </si>
  <si>
    <t>INF192K01858</t>
  </si>
  <si>
    <t>JM Liquid Fund (Regular) - Weekly IDCW</t>
  </si>
  <si>
    <t>INF192K01882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</si>
  <si>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</si>
  <si>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</si>
  <si>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</si>
  <si>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</si>
  <si>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INF192K01LB0</t>
  </si>
  <si>
    <t>JM Liquid Fund Unclaimed Dividend (Direct) Growth Plan</t>
  </si>
  <si>
    <t>INF192K01LD6</t>
  </si>
  <si>
    <t>JM Liquid Fund Unclaimed Dividend IEF (Direct) Growth Plan</t>
  </si>
  <si>
    <t>INF192K01LA2</t>
  </si>
  <si>
    <t>JM Liquid Fund Unclaimed Redemption (Direct) Growth Plan</t>
  </si>
  <si>
    <t>INF192K01LC8</t>
  </si>
  <si>
    <t>JM Liquid Fund Unclaimed Redemption IEF (Direct) Growth Plan</t>
  </si>
  <si>
    <t>INF192K01890</t>
  </si>
  <si>
    <t>JM Liquid Fund (Regular) - Bonus Option - Principal Units</t>
  </si>
  <si>
    <t>INF192K01833</t>
  </si>
  <si>
    <t>JM Liquid Fund (Regular) - Daily IDCW</t>
  </si>
  <si>
    <t>INF174K01NH1</t>
  </si>
  <si>
    <t>Kotak Liquid Fund - Direct Plan - Daily Reinvestment of Income Distribution cum capital withdrawal option</t>
  </si>
  <si>
    <t>INF174K01NE8</t>
  </si>
  <si>
    <t>Kotak Liquid Fund - Direct Plan - Growth</t>
  </si>
  <si>
    <t>INF174KA1WL3</t>
  </si>
  <si>
    <t>INF174KA1WJ7</t>
  </si>
  <si>
    <t>Kotak Liquid Fund - Direct Plan - Weekly - Reinvestment &amp; Payout of Income Distribution cum capital withdrawal option</t>
  </si>
  <si>
    <t>INF174K01NL3</t>
  </si>
  <si>
    <t>Kotak Liquid Fund - Regular  - Daily Reinvestment of Income Distribution cum capital withdrawal option</t>
  </si>
  <si>
    <t>INF174K01NI9</t>
  </si>
  <si>
    <t>Kotak Liquid Fund - Regular Plan - Growth</t>
  </si>
  <si>
    <t>INF174KA1WK5</t>
  </si>
  <si>
    <t>INF174KA1WM1</t>
  </si>
  <si>
    <t>Kotak Liquid Fund - Regular Plan - Weekly - Reinvestment &amp; Payout of Income Distribution cum capital withdrawal option</t>
  </si>
  <si>
    <t>INF767K01DL5</t>
  </si>
  <si>
    <t>INF767K01DM3</t>
  </si>
  <si>
    <t>LIC MF Liquid Fund-Direct Plan-Daily IDCW</t>
  </si>
  <si>
    <t>INF767K01DN1</t>
  </si>
  <si>
    <t>LIC MF Liquid Fund-Direct Plan-Growth</t>
  </si>
  <si>
    <t>INF397L01AK7</t>
  </si>
  <si>
    <t>INF397L01AJ9</t>
  </si>
  <si>
    <t>LIC MF Liquid Fund-Direct Plan-Monthly IDCW</t>
  </si>
  <si>
    <t>INF397L01AM3</t>
  </si>
  <si>
    <t>INF397L01AL5</t>
  </si>
  <si>
    <t>LIC MF Liquid Fund-Direct Plan-Weekly IDCW</t>
  </si>
  <si>
    <t>INF767K01IQ3</t>
  </si>
  <si>
    <t>INF767K01IR1</t>
  </si>
  <si>
    <t>LIC MF Liquid Fund-Regular Plan-Daily IDCW</t>
  </si>
  <si>
    <t>INF767K01IS9</t>
  </si>
  <si>
    <t>LIC MF Liquid Fund-Regular Plan-Growth</t>
  </si>
  <si>
    <t>INF397L01976</t>
  </si>
  <si>
    <t>INF397L01968</t>
  </si>
  <si>
    <t>LIC MF Liquid Fund-Regular Plan-Monthly IDCW</t>
  </si>
  <si>
    <t>INF397L01950</t>
  </si>
  <si>
    <t>INF397L01943</t>
  </si>
  <si>
    <t>LIC MF Liquid Fund-Regular Plan-Weekly IDCW</t>
  </si>
  <si>
    <t>INF174V01051</t>
  </si>
  <si>
    <t>Mahindra Manulife Liquid Fund - Direct Plan - Daily IDCW</t>
  </si>
  <si>
    <t>INF174V01069</t>
  </si>
  <si>
    <t>Mahindra Manulife Liquid Fund - Direct Plan - Weekly IDCW</t>
  </si>
  <si>
    <t>INF174V01044</t>
  </si>
  <si>
    <t>Mahindra Manulife Liquid Fund - Direct Plan -Growth</t>
  </si>
  <si>
    <t>INF174V01028</t>
  </si>
  <si>
    <t>Mahindra Manulife Liquid Fund - Regular Plan - Daily IDCW</t>
  </si>
  <si>
    <t>INF174V01010</t>
  </si>
  <si>
    <t>Mahindra Manulife Liquid Fund - Regular Plan - Growth</t>
  </si>
  <si>
    <t>INF174V01036</t>
  </si>
  <si>
    <t>Mahindra Manulife Liquid Fund - Regular Plan - Weekly IDCW</t>
  </si>
  <si>
    <t>Mahindra Manulife Liquid Fund - Unclaimed Redemption / IDCW Beyond 3 years</t>
  </si>
  <si>
    <t>Mahindra Manulife Liquid Fund - Unclaimed Redemption / IDCW Upto three years</t>
  </si>
  <si>
    <t>INF769K01CM1</t>
  </si>
  <si>
    <t>Mirae Asset Liquid Fund - Direct Plan - Growth</t>
  </si>
  <si>
    <t>INF769K01PD2</t>
  </si>
  <si>
    <t>INF769K01CP4</t>
  </si>
  <si>
    <t>Mirae Asset Liquid Fund - Direct Plan - Weekly IDCW</t>
  </si>
  <si>
    <t>INF769K01CO7</t>
  </si>
  <si>
    <t>Mirae Asset Liquid Fund - Direct Plan -Daily IDCW</t>
  </si>
  <si>
    <t>INF769K01CN9</t>
  </si>
  <si>
    <t>INF769K01CQ2</t>
  </si>
  <si>
    <t>Mirae Asset Liquid Fund - Direct Plan -Monthly IDCW</t>
  </si>
  <si>
    <t>INF769K01804</t>
  </si>
  <si>
    <t>Mirae Asset Liquid Fund - Regular - Daily IDCW</t>
  </si>
  <si>
    <t>INF769K01788</t>
  </si>
  <si>
    <t>Mirae Asset Liquid Fund - Regular Plan - Growth</t>
  </si>
  <si>
    <t>INF769K01838</t>
  </si>
  <si>
    <t>INF769K01820</t>
  </si>
  <si>
    <t>Mirae Asset Liquid Fund - Regular Plan - Monthly IDCW</t>
  </si>
  <si>
    <t>INF769K01PC4</t>
  </si>
  <si>
    <t>INF769K01812</t>
  </si>
  <si>
    <t>Mirae Asset Liquid Fund - Regular Plan - Weekly IDCW</t>
  </si>
  <si>
    <t>INF247L01734</t>
  </si>
  <si>
    <t>Motilal Oswal Liquid Fund - Direct Growth</t>
  </si>
  <si>
    <t>INF247L01726</t>
  </si>
  <si>
    <t>Motilal Oswal Liquid Fund - Regular Growth</t>
  </si>
  <si>
    <t>Motilal Oswal Liquid Fund - Unclaimed Dividend - Greater than 3 years</t>
  </si>
  <si>
    <t>Motilal Oswal Liquid Fund - Unclaimed Dividend- Upto 3 years</t>
  </si>
  <si>
    <t>Motilal Oswal Liquid Fund - Unclaimed Redemption - Greater than 3 years</t>
  </si>
  <si>
    <t>Motilal Oswal Liquid Fund - Unclaimed Redemption - Upto 3 years</t>
  </si>
  <si>
    <t>INF247L01791</t>
  </si>
  <si>
    <t>INF247L01783</t>
  </si>
  <si>
    <t>Motilal Oswal Liquid Fund Direct - IDCW  Quarterly Payout/Reinvestment</t>
  </si>
  <si>
    <t>INF247L01759</t>
  </si>
  <si>
    <t>Motilal Oswal Liquid Fund Direct - IDCW Fortnightly Reinvestment</t>
  </si>
  <si>
    <t>INF247L01775</t>
  </si>
  <si>
    <t>INF247L01767</t>
  </si>
  <si>
    <t>Motilal Oswal Liquid Fund Direct - IDCW Monthly Payout/Reinvestment</t>
  </si>
  <si>
    <t>INF247L01742</t>
  </si>
  <si>
    <t>Motilal Oswal Liquid Fund Direct - IDCW Reinvestment</t>
  </si>
  <si>
    <t>INF247L01809</t>
  </si>
  <si>
    <t>Motilal Oswal Liquid Fund Direct - IDCW Weekly Reinvestment</t>
  </si>
  <si>
    <t>INF247L01817</t>
  </si>
  <si>
    <t>Motilal Oswal Liquid Fund Regular - IDCW Daily Reinvestment</t>
  </si>
  <si>
    <t>INF247L01825</t>
  </si>
  <si>
    <t>Motilal Oswal Liquid Fund Regular - IDCW Fortnightly Reinvestment</t>
  </si>
  <si>
    <t>INF247L01841</t>
  </si>
  <si>
    <t>INF247L01833</t>
  </si>
  <si>
    <t>Motilal Oswal Liquid Fund Regular - IDCW Monthly Payout/Reinvestment</t>
  </si>
  <si>
    <t>INF247L01866</t>
  </si>
  <si>
    <t>INF247L01858</t>
  </si>
  <si>
    <t>Motilal Oswal Liquid Fund Regular - IDCW Quarterly Payout/Reinvestment</t>
  </si>
  <si>
    <t>INF247L01874</t>
  </si>
  <si>
    <t>Motilal Oswal Liquid Fund Regular - IDCW Weekly Reinvestment</t>
  </si>
  <si>
    <t>INF959L01GK1</t>
  </si>
  <si>
    <t>Navi Liquid Fund - Direct Plan Daily IDCW - ReInvestment</t>
  </si>
  <si>
    <t>INF959L01GG9</t>
  </si>
  <si>
    <t>INF959L01GH7</t>
  </si>
  <si>
    <t>Navi Liquid Fund - Direct Plan Monthly IDCW - Payout</t>
  </si>
  <si>
    <t>INF959L01GI5</t>
  </si>
  <si>
    <t>INF959L01GJ3</t>
  </si>
  <si>
    <t>Navi Liquid Fund - Direct Plan Weekly IDCW - Payout</t>
  </si>
  <si>
    <t>INF959L01GM7</t>
  </si>
  <si>
    <t>Navi Liquid Fund - Regular Plan Daily IDCW</t>
  </si>
  <si>
    <t>INF959L01GN5</t>
  </si>
  <si>
    <t>INF959L01GO3</t>
  </si>
  <si>
    <t>Navi Liquid Fund - Regular Plan Monthly IDCW</t>
  </si>
  <si>
    <t>INF959L01GP0</t>
  </si>
  <si>
    <t>INF959L01GQ8</t>
  </si>
  <si>
    <t>Navi Liquid Fund - Regular Plan Weekly IDCW</t>
  </si>
  <si>
    <t>INF959L01GF1</t>
  </si>
  <si>
    <t>Navi Liquid Fund-Direct Plan-Growth Option</t>
  </si>
  <si>
    <t>INF959L01GL9</t>
  </si>
  <si>
    <t>Navi Liquid Fund-Regular Plan-Growth Option</t>
  </si>
  <si>
    <t>INF959L01CO2</t>
  </si>
  <si>
    <t>Navi Liquid Fund-Unclaimed Redemption and Dividend Plan greater than 3 years</t>
  </si>
  <si>
    <t>INF959L01CN4</t>
  </si>
  <si>
    <t>Navi Liquid Fund-Unclaimed Redemption and Dividend Plan less than 3 years</t>
  </si>
  <si>
    <t>INF204K01UM1</t>
  </si>
  <si>
    <t>NIPPON INDIA LIQUID FUND - DAILY IDCW OPTION</t>
  </si>
  <si>
    <t>INF204K01ZG2</t>
  </si>
  <si>
    <t>NIPPON INDIA LIQUID FUND - DIRECT Plan - DAILY IDCW OPTION</t>
  </si>
  <si>
    <t>INF204K01ZI8</t>
  </si>
  <si>
    <t>INF204K01ZJ6</t>
  </si>
  <si>
    <t>NIPPON INDIA LIQUID FUND - DIRECT Plan - MONTHLY IDCW OPTION</t>
  </si>
  <si>
    <t>INF204K01ZK4</t>
  </si>
  <si>
    <t>INF204K01ZL2</t>
  </si>
  <si>
    <t>NIPPON INDIA LIQUID FUND - DIRECT Plan - QUARTERLY IDCW OPTION</t>
  </si>
  <si>
    <t>INF204KC1FN6</t>
  </si>
  <si>
    <t>INF204K01ZM0</t>
  </si>
  <si>
    <t>NIPPON INDIA LIQUID FUND - DIRECT Plan - WEEKLY IDCW OPTION</t>
  </si>
  <si>
    <t>INF204K01ZH0</t>
  </si>
  <si>
    <t>Nippon India Liquid Fund - Direct Plan Growth Plan - Growth Option</t>
  </si>
  <si>
    <t>INF204K01UO7</t>
  </si>
  <si>
    <t>INF204K01UP4</t>
  </si>
  <si>
    <t>NIPPON INDIA LIQUID FUND - MONTHLY IDCW OPTION</t>
  </si>
  <si>
    <t>INF204K01UQ2</t>
  </si>
  <si>
    <t>INF204K01UR0</t>
  </si>
  <si>
    <t>NIPPON INDIA LIQUID FUND - QUARTERLY IDCW OPTION</t>
  </si>
  <si>
    <t>INF204K01UL3</t>
  </si>
  <si>
    <t>Nippon India Liquid Fund - Retail Option - Growth Plan</t>
  </si>
  <si>
    <t>INF204K01UJ7</t>
  </si>
  <si>
    <t>NIPPON INDIA LIQUID FUND - RETAIL Plan - DAILY IDCW OPTION</t>
  </si>
  <si>
    <t>INF204K01UT6</t>
  </si>
  <si>
    <t>INF204K01UU4</t>
  </si>
  <si>
    <t>NIPPON INDIA LIQUID FUND - RETAIL plan - MONTHLY IDCW OPTION</t>
  </si>
  <si>
    <t>INF204K01UV2</t>
  </si>
  <si>
    <t>INF204K01UW0</t>
  </si>
  <si>
    <t>NIPPON INDIA LIQUID FUND - RETAIL Plan - QUARTERLY IDCW OPTION</t>
  </si>
  <si>
    <t>INF204K01UK5</t>
  </si>
  <si>
    <t>NIPPON INDIA LIQUID FUND - RETAIL Plan - WEEKLY IDCW OPTION</t>
  </si>
  <si>
    <t>INF204KC1FM8</t>
  </si>
  <si>
    <t>INF204K01US8</t>
  </si>
  <si>
    <t>NIPPON INDIA LIQUID FUND - WEEKLY IDCW OPTION</t>
  </si>
  <si>
    <t>INF204K01UN9</t>
  </si>
  <si>
    <t>Nippon India Liquid Fund -Growth Plan</t>
  </si>
  <si>
    <t>Reliance Liquid Fund-Cash Plan-Daily Dividend Reinvestment Option</t>
  </si>
  <si>
    <t>Reliance Liquid Fund-Cash Plan-Growth Plan</t>
  </si>
  <si>
    <t>Reliance Liquid Fund-Cash Plan-Monthly Dividend Plan</t>
  </si>
  <si>
    <t>Reliance Liquid Fund-Cash Plan-Quarterly Dividend Plan</t>
  </si>
  <si>
    <t>Reliance Liquid Fund-Cash Plan-Weekly Dividend Reinvestment Option</t>
  </si>
  <si>
    <t>INF223J01WV0</t>
  </si>
  <si>
    <t>PGIM India INSTA CASH FUND - Annual Bonus Option</t>
  </si>
  <si>
    <t>INF223J01WW8</t>
  </si>
  <si>
    <t>PGIM India Insta Cash Fund - Direct Plan -  Annual Bonus Option</t>
  </si>
  <si>
    <t>INF223J01NQ9</t>
  </si>
  <si>
    <t>PGIM India Insta Cash Fund - Direct Plan -  Regular Bonus</t>
  </si>
  <si>
    <t>INF223J01NO4</t>
  </si>
  <si>
    <t>INF223J01NP1</t>
  </si>
  <si>
    <t>PGIM India Insta Cash Fund - Direct Plan - Annual Dividend</t>
  </si>
  <si>
    <t>INF223J01NX5</t>
  </si>
  <si>
    <t>PGIM India Insta Cash Fund - Direct Plan - Quarterly Dividend</t>
  </si>
  <si>
    <t>INF223J01VE8</t>
  </si>
  <si>
    <t>PGIM India Insta Cash Fund - Direct Plan -Monthly Bonus</t>
  </si>
  <si>
    <t>INF223J01IN6</t>
  </si>
  <si>
    <t>INF223J01IO4</t>
  </si>
  <si>
    <t>PGIM India Insta Cash Fund - Quarterly Dividend Option</t>
  </si>
  <si>
    <t>INF223J01BH3</t>
  </si>
  <si>
    <t>PGIM India INSTA CASH FUND - Regular Plan BONUS OPTION</t>
  </si>
  <si>
    <t>INF223J01IP1</t>
  </si>
  <si>
    <t>INF223J01IQ9</t>
  </si>
  <si>
    <t>PGIM India Insta Cash Fund- Annual Dividend Option</t>
  </si>
  <si>
    <t>INF223J01BN1</t>
  </si>
  <si>
    <t>PGIM India Insta Cash Fund-DIVIDEND-WEEKLY DIVIDEND</t>
  </si>
  <si>
    <t>INF223J01BA8</t>
  </si>
  <si>
    <t>PGIM India Insta Cash Fund-Institutional Plan-Daily Dividend</t>
  </si>
  <si>
    <t>INF223J01BB6</t>
  </si>
  <si>
    <t>PGIM India Insta Cash Fund-Institutional Plan-Growth</t>
  </si>
  <si>
    <t>INF223J01VD0</t>
  </si>
  <si>
    <t>PGIM India INSTA CASH FUND-Monthly Bonus Option</t>
  </si>
  <si>
    <t>INF223J01BQ4</t>
  </si>
  <si>
    <t>PGIM India Liquid Fund - Bonus Option</t>
  </si>
  <si>
    <t>INF223J01BO9</t>
  </si>
  <si>
    <t>PGIM India Liquid Fund - Daily Dividend</t>
  </si>
  <si>
    <t>INF223J01NR7</t>
  </si>
  <si>
    <t>PGIM India Liquid Fund - Direct Plan - Daily Dividend</t>
  </si>
  <si>
    <t>INF223J01NS5</t>
  </si>
  <si>
    <t>PGIM India Liquid Fund - Direct Plan - Growth</t>
  </si>
  <si>
    <t>INF223J01NT3</t>
  </si>
  <si>
    <t>INF223J01NU1</t>
  </si>
  <si>
    <t>PGIM India Liquid Fund - Direct Plan - Monthly Dividend</t>
  </si>
  <si>
    <t>INF223J01NV9</t>
  </si>
  <si>
    <t>INF223J01NW7</t>
  </si>
  <si>
    <t>PGIM India Liquid Fund - Direct Plan - Weekly Dividend</t>
  </si>
  <si>
    <t>INF223J01BP6</t>
  </si>
  <si>
    <t>PGIM India Liquid Fund - Growth</t>
  </si>
  <si>
    <t>INF223J01BL5</t>
  </si>
  <si>
    <t>PGIM India Liquid Fund - Monthly Dividend</t>
  </si>
  <si>
    <t>INF223J01BU6</t>
  </si>
  <si>
    <t>PGIM India Liquid Fund - Weekly Dividend</t>
  </si>
  <si>
    <t>INF223J01BI1</t>
  </si>
  <si>
    <t>PGIM India Liquid Fund-DIVIDEND-Daily Dividend</t>
  </si>
  <si>
    <t>INF223J01BR2</t>
  </si>
  <si>
    <t>INF223J01BS0</t>
  </si>
  <si>
    <t>PGIM India Liquid Fund-DIVIDEND-MONTHLY DIVIDEND</t>
  </si>
  <si>
    <t>INF223J01BJ9</t>
  </si>
  <si>
    <t>PGIM India Liquid Fund-Growth-GROWTH</t>
  </si>
  <si>
    <t>INF879O01118</t>
  </si>
  <si>
    <t>Parag Parikh Liquid Fund- Direct Plan- Daily Reinvestment of IDCW</t>
  </si>
  <si>
    <t>INF879O01068</t>
  </si>
  <si>
    <t>Parag Parikh Liquid Fund- Direct Plan- Growth</t>
  </si>
  <si>
    <t>INF879O01076</t>
  </si>
  <si>
    <t>INF879O01084</t>
  </si>
  <si>
    <t>Parag Parikh Liquid Fund- Direct Plan- Monthly IDCW</t>
  </si>
  <si>
    <t>INF879O01134</t>
  </si>
  <si>
    <t>Parag Parikh Liquid Fund- Direct Plan- Weekly Reinvestment of IDCW</t>
  </si>
  <si>
    <t>INF879O01126</t>
  </si>
  <si>
    <t>Parag Parikh Liquid Fund- Regular Plan- Daily Reinvestment of IDCW</t>
  </si>
  <si>
    <t>INF879O01035</t>
  </si>
  <si>
    <t>Parag Parikh Liquid Fund- Regular Plan- Growth</t>
  </si>
  <si>
    <t>INF879O01043</t>
  </si>
  <si>
    <t>INF879O01050</t>
  </si>
  <si>
    <t>Parag Parikh Liquid Fund- Regular Plan- Monthly IDCW</t>
  </si>
  <si>
    <t>INF879O01142</t>
  </si>
  <si>
    <t>Parag Parikh Liquid Fund- Regular Plan- Weekly Reinvestment of IDCW</t>
  </si>
  <si>
    <t>INF966L01820</t>
  </si>
  <si>
    <t>quant Liquid Fund - Growth Option - Direct Plan</t>
  </si>
  <si>
    <t>INF966L01317</t>
  </si>
  <si>
    <t>quant Liquid Fund - Growth Option - Regular Plan</t>
  </si>
  <si>
    <t>INF966L01796</t>
  </si>
  <si>
    <t>INF966L01812</t>
  </si>
  <si>
    <t>quant Liquid Fund - Monthly IDCW Option - Direct Plan</t>
  </si>
  <si>
    <t>INF966L01291</t>
  </si>
  <si>
    <t>INF966L01309</t>
  </si>
  <si>
    <t>quant Liquid Fund - Monthly IDCW Option - Regular Plan</t>
  </si>
  <si>
    <t>INF966L01788</t>
  </si>
  <si>
    <t>INF966L01804</t>
  </si>
  <si>
    <t>quant Liquid Fund - Weekly IDCW Option - Direct Plan</t>
  </si>
  <si>
    <t>INF966L01499</t>
  </si>
  <si>
    <t>INF966L01283</t>
  </si>
  <si>
    <t>quant Liquid Fund - Weekly IDCW Option - Regular Plan</t>
  </si>
  <si>
    <t>INF966L01770</t>
  </si>
  <si>
    <t>quant Liquid Fund-Daily IDCW Option - Direct Plan</t>
  </si>
  <si>
    <t>INF966L01275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</si>
  <si>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</si>
  <si>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</si>
  <si>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</si>
  <si>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</si>
  <si>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</si>
  <si>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INF082J01135</t>
  </si>
  <si>
    <t>Quantum Liquid Fund - Direct Plan Daily IDCW</t>
  </si>
  <si>
    <t>INF082J01127</t>
  </si>
  <si>
    <t>Quantum Liquid Fund - Direct Plan Growth Option</t>
  </si>
  <si>
    <t>INF082J01143</t>
  </si>
  <si>
    <t>INF082J01200</t>
  </si>
  <si>
    <t>Quantum Liquid Fund - Direct Plan Monthly IDCW</t>
  </si>
  <si>
    <t>INF082J01317</t>
  </si>
  <si>
    <t>Quantum Liquid Fund - Regular Plan Daily IDCW</t>
  </si>
  <si>
    <t>INF082J01309</t>
  </si>
  <si>
    <t>Quantum Liquid Fund - Regular Plan Growth Option</t>
  </si>
  <si>
    <t>INF082J01325</t>
  </si>
  <si>
    <t>INF082J01333</t>
  </si>
  <si>
    <t>Quantum Liquid Fund - Regular Plan Monthly IDCW</t>
  </si>
  <si>
    <t>Quantum Liquid Fund - Unclaimed IDCW Plan Above 3 years</t>
  </si>
  <si>
    <t>Quantum Liquid Fund - Unclaimed IDCW Plan Below 3 years</t>
  </si>
  <si>
    <t>Quantum Liquid Fund - Unclaimed Redemption Plan Above 3 years</t>
  </si>
  <si>
    <t>Quantum Liquid Fund - Unclaimed Redemption Plan Below 3 years</t>
  </si>
  <si>
    <t>INF200K01UR8</t>
  </si>
  <si>
    <t>INF200K01US6</t>
  </si>
  <si>
    <t>SBI Liquid Fund - Direct Paln - Fortnightly Income Distribution cum Capital Withdrawal Option (IDCW)</t>
  </si>
  <si>
    <t>INF200K01UQ0</t>
  </si>
  <si>
    <t>SBI Liquid Fund - Direct Plan - Daily Income Distribution cum Capital Withdrawal Option (IDCW)</t>
  </si>
  <si>
    <t>INF200K01UU2</t>
  </si>
  <si>
    <t>INF200K01UV0</t>
  </si>
  <si>
    <t>SBI Liquid Fund - Direct Plan - Weekly Income Distribution cum Capital Withdrawal Option (IDCW)</t>
  </si>
  <si>
    <t>INF200K01UT4</t>
  </si>
  <si>
    <t>SBI Liquid Fund - DIRECT PLAN -Growth</t>
  </si>
  <si>
    <t>INF200K01LU1</t>
  </si>
  <si>
    <t>SBI Liquid Fund - Institutional - Growth</t>
  </si>
  <si>
    <t>INF200K01LR7</t>
  </si>
  <si>
    <t>SBI Liquid Fund - Institutional Daily Income Distribution cum Capital Withdrawal Option (IDCW)</t>
  </si>
  <si>
    <t>INF200K01LX5</t>
  </si>
  <si>
    <t>SBI Liquid Fund - Regular Plan - Daily Income Distribution cum Capital Withdrawal Option (IDCW)</t>
  </si>
  <si>
    <t>INF200K01LY3</t>
  </si>
  <si>
    <t>INF200K01LZ0</t>
  </si>
  <si>
    <t>SBI Liquid Fund - Regular Plan - Fortnightly Income Distribution cum Capital Withdrawal Option (IDCW)</t>
  </si>
  <si>
    <t>INF200K01MB9</t>
  </si>
  <si>
    <t>INF200K01MC7</t>
  </si>
  <si>
    <t>SBI Liquid Fund - Regular Plan - Weekly Income Distribution cum Capital Withdrawal Option (IDCW)</t>
  </si>
  <si>
    <t>INF200K01MA1</t>
  </si>
  <si>
    <t>SBI Liquid Fund - REGULAR PLAN -Growth</t>
  </si>
  <si>
    <t>INF680P01430</t>
  </si>
  <si>
    <t>Shriram Liquid Fund - Direct Plan Growth Option</t>
  </si>
  <si>
    <t>INF680P01448</t>
  </si>
  <si>
    <t>Shriram Liquid Fund - Regular Plan Growth Option</t>
  </si>
  <si>
    <t>Shriram Unclaimed IDCW Liquid Fund</t>
  </si>
  <si>
    <t>Shriram Unclaimed IDCW Stable Scheme Liquid Fund</t>
  </si>
  <si>
    <t>Shriram Unclaimed Redemption Liquid Fund</t>
  </si>
  <si>
    <t>Shriram Unclaimed Redemption Stable Scheme Liquid Fund</t>
  </si>
  <si>
    <t>INF903JA1JK3</t>
  </si>
  <si>
    <t>Sundaram  Liquid Fund (Formerly Known as Principal Cash Management Fund) Direct IDCW</t>
  </si>
  <si>
    <t>INF903JA1JI7</t>
  </si>
  <si>
    <t>Sundaram Liquid Fund (Formerly Known as  Principal Cash Management Fund) Regular Plan Principal Units</t>
  </si>
  <si>
    <t>INF173K01GT2</t>
  </si>
  <si>
    <t>Sundaram Liquid Fund (Formerly Known as Principal Cash Management Fund )- Direct Plan - Income Distribution CUM Capital Withdrawal Option - Daily</t>
  </si>
  <si>
    <t>INF173K01DB7</t>
  </si>
  <si>
    <t>Sundaram Liquid Fund (Formerly Known as Principal Cash Management Fund) - Daily Income Distribution CUM Capital Withdrawal</t>
  </si>
  <si>
    <t>INF173K01GU0</t>
  </si>
  <si>
    <t>Sundaram Liquid Fund (Formerly Known as Principal Cash Management Fund) - Direct Plan - Growth Option</t>
  </si>
  <si>
    <t>INF173K01DD3</t>
  </si>
  <si>
    <t>INF173K01DE1</t>
  </si>
  <si>
    <t>Sundaram Liquid Fund (Formerly Known as Principal Cash Management Fund) - Regular Plan IDCW</t>
  </si>
  <si>
    <t>INF173K01GV8</t>
  </si>
  <si>
    <t>INF173K01GW6</t>
  </si>
  <si>
    <t>Sundaram Liquid Fund (Formerly Known as Principal Cash Management Fund) -Direct Plan - IDCW</t>
  </si>
  <si>
    <t>INF173K01DA9</t>
  </si>
  <si>
    <t>Sundaram Liquid Fund (Formerly Known as Principal Cash Management Fund) -Growth Option</t>
  </si>
  <si>
    <t>INF903JA1JJ5</t>
  </si>
  <si>
    <t>Sundaram Liquid Fund (Formerly Known as Principal Cash Management Fund) Direct Fortnightly IDCW</t>
  </si>
  <si>
    <t>INF903JA1JH9</t>
  </si>
  <si>
    <t>Sundaram Liquid Fund (Formerly Known as Principal Cash Management Fund) Direct Principal Units</t>
  </si>
  <si>
    <t>INF903JA1JF3</t>
  </si>
  <si>
    <t>Sundaram Liquid Fund (Formerly Known as Principal Cash Management Fund) Regular Fortnightly IDCW</t>
  </si>
  <si>
    <t>INF903JA1JG1</t>
  </si>
  <si>
    <t>Sundaram Liquid Fund (Formerly Known as Principal Cash Management Fund) Regular IDCW</t>
  </si>
  <si>
    <t>Sundaram Liquid Fund (Formerly Known as Principal Cash Management Fund) Unclaimed Redemption More 3 Years</t>
  </si>
  <si>
    <t>INF173K01DC5</t>
  </si>
  <si>
    <t>Sundaram Liquid Fund (Formerly Principal Cash Management Fund) - Weekly Income Distribution CUM Capital Withdrawal Option</t>
  </si>
  <si>
    <t>INF173K01GY2</t>
  </si>
  <si>
    <t>Sundaram Liquid Fund(Formerly Known as Principal Cash Management Fund)- Direct Plan - Income Distribution CUM Capital Withdrawal Option - Weekly</t>
  </si>
  <si>
    <t>INF277KA1EE2</t>
  </si>
  <si>
    <t>Tata Liquid Fund - Direct Plan - Weekly IDCW Reinvestment</t>
  </si>
  <si>
    <t>INF277KA1EF9</t>
  </si>
  <si>
    <t>Tata Liquid Fund - Regular Plan - Weekly IDCW Reinvestment</t>
  </si>
  <si>
    <t>INF277K01YD8</t>
  </si>
  <si>
    <t>Tata Liquid Fund -Regular Plan - Growth Option</t>
  </si>
  <si>
    <t>INF277K012D2</t>
  </si>
  <si>
    <t>Tata Liquid Fund- Direct Plan - Daily Reinvestment of IDCW Option</t>
  </si>
  <si>
    <t>INF277K01YE6</t>
  </si>
  <si>
    <t>Tata Liquid Fund- Direct Plan-Growth Option</t>
  </si>
  <si>
    <t>INF277K011D4</t>
  </si>
  <si>
    <t>Tata Liquid Fund- Regular Plan - Daily Reinvestment of IDCW Option</t>
  </si>
  <si>
    <t>INF044D01542</t>
  </si>
  <si>
    <t>INF044D01559</t>
  </si>
  <si>
    <t>Taurus Liquid Fund-Dividend</t>
  </si>
  <si>
    <t>INF044D01575</t>
  </si>
  <si>
    <t>Taurus Liquid Fund-Growth</t>
  </si>
  <si>
    <t>INF2F0001073</t>
  </si>
  <si>
    <t>THE WEALTH COMPANY LIQUID FUND DIRECT DAILY ICDW</t>
  </si>
  <si>
    <t>INF2F0001081</t>
  </si>
  <si>
    <t>THE WEALTH COMPANY LIQUID FUND DIRECT GROWTH</t>
  </si>
  <si>
    <t>INF2F0001107</t>
  </si>
  <si>
    <t>INF2F0001099</t>
  </si>
  <si>
    <t>THE WEALTH COMPANY LIQUID FUND DIRECT MONTHLY IDCW</t>
  </si>
  <si>
    <t>INF2F0001123</t>
  </si>
  <si>
    <t>INF2F0001115</t>
  </si>
  <si>
    <t>THE WEALTH COMPANY LIQUID FUND DIRECT WEEKLY</t>
  </si>
  <si>
    <t>INF2F0001131</t>
  </si>
  <si>
    <t>THE WEALTH COMPANY LIQUID FUND REGULAR DAILY IDCW</t>
  </si>
  <si>
    <t>INF2F0001149</t>
  </si>
  <si>
    <t>THE WEALTH COMPANY LIQUID FUND REGULAR GROWTH</t>
  </si>
  <si>
    <t>INF2F0001164</t>
  </si>
  <si>
    <t>INF2F0001156</t>
  </si>
  <si>
    <t>THE WEALTH COMPANY LIQUID FUND REGULAR MONTHLY IDCW</t>
  </si>
  <si>
    <t>INF2F0001180</t>
  </si>
  <si>
    <t>INF2F0001172</t>
  </si>
  <si>
    <t>THE WEALTH COMPANY LIQUID FUND REGULAR WEEKLY IDCW</t>
  </si>
  <si>
    <t>INF0GCD01263</t>
  </si>
  <si>
    <t>TRUSTMF Liquid Fund-Direct Plan-Daily Income Distribution cum Capital Withdrawal</t>
  </si>
  <si>
    <t>INF0GCD01255</t>
  </si>
  <si>
    <t>TRUSTMF Liquid Fund-Direct Plan-Growth</t>
  </si>
  <si>
    <t>INF0GCD01305</t>
  </si>
  <si>
    <t>INF0GCD01297</t>
  </si>
  <si>
    <t>TRUSTMF Liquid Fund-Direct Plan-Monthly Income Distribution cum Capital Withdrawal</t>
  </si>
  <si>
    <t>INF0GCD01271</t>
  </si>
  <si>
    <t>INF0GCD01289</t>
  </si>
  <si>
    <t>TRUSTMF Liquid Fund-Direct Plan-Weekly Income Distribution cum Capital Withdrawal</t>
  </si>
  <si>
    <t>INF0GCD01206</t>
  </si>
  <si>
    <t>TRUSTMF Liquid Fund-Regular Plan-Daily Income Distribution cum Capital Withdrawal</t>
  </si>
  <si>
    <t>INF0GCD01198</t>
  </si>
  <si>
    <t>TRUSTMF Liquid Fund-Regular Plan-Growth</t>
  </si>
  <si>
    <t>INF0GCD01248</t>
  </si>
  <si>
    <t>INF0GCD01230</t>
  </si>
  <si>
    <t>TRUSTMF Liquid Fund-Regular Plan-Monthly Income Distribution cum Capital Withdrawal</t>
  </si>
  <si>
    <t>INF0GCD01214</t>
  </si>
  <si>
    <t>INF0GCD01222</t>
  </si>
  <si>
    <t>TRUSTMF Liquid Fund-Regular Plan-Weekly Income Distribution cum Capital Withdrawal</t>
  </si>
  <si>
    <t>INF1MIY01056</t>
  </si>
  <si>
    <t>Unifi Liquid Fund- Direct Growth</t>
  </si>
  <si>
    <t>INF1MIY01064</t>
  </si>
  <si>
    <t>Unifi Liquid Fund- Regular Growth</t>
  </si>
  <si>
    <t>INF582M01021</t>
  </si>
  <si>
    <t>Union Liquid Fund - Daily IDCW Option</t>
  </si>
  <si>
    <t>INF582M01682</t>
  </si>
  <si>
    <t>Union Liquid Fund - Direct Plan - Daily IDCW Option</t>
  </si>
  <si>
    <t>INF582M01724</t>
  </si>
  <si>
    <t>INF582M01708</t>
  </si>
  <si>
    <t>Union Liquid Fund - Direct Plan - Fortnightly IDCW Option</t>
  </si>
  <si>
    <t>INF582M01674</t>
  </si>
  <si>
    <t>Union Liquid Fund - Direct Plan - Growth Option</t>
  </si>
  <si>
    <t>INF582M01732</t>
  </si>
  <si>
    <t>INF582M01716</t>
  </si>
  <si>
    <t>Union Liquid Fund - Direct Plan - Monthly IDCW Option</t>
  </si>
  <si>
    <t>INF582M01690</t>
  </si>
  <si>
    <t>Union Liquid Fund - Direct Plan - Weekly IDCW Option</t>
  </si>
  <si>
    <t>INF582M01062</t>
  </si>
  <si>
    <t>INF582M01047</t>
  </si>
  <si>
    <t>Union Liquid Fund - Fortnightly IDCW Option</t>
  </si>
  <si>
    <t>INF582M01013</t>
  </si>
  <si>
    <t>Union Liquid Fund - Growth Option</t>
  </si>
  <si>
    <t>INF582M01070</t>
  </si>
  <si>
    <t>INF582M01054</t>
  </si>
  <si>
    <t>Union Liquid Fund - Monthly IDCW Option</t>
  </si>
  <si>
    <t>Union Liquid Fund - Unclaimed Amounts Plan - IDCW Beyond 3 years</t>
  </si>
  <si>
    <t>Union Liquid Fund - Unclaimed Amounts Plan - IDCW Upto 3 years</t>
  </si>
  <si>
    <t>Union Liquid Fund - Unclaimed Amounts Plan - Redemption Beyond 3 years</t>
  </si>
  <si>
    <t>Union Liquid Fund - Unclaimed Amounts Plan - Redemption Upto 3 years</t>
  </si>
  <si>
    <t>INF582M01039</t>
  </si>
  <si>
    <t>Union Liquid Fund - Weekly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</si>
  <si>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</si>
  <si>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</si>
  <si>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</si>
  <si>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</si>
  <si>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</si>
  <si>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</si>
  <si>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</si>
  <si>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</si>
  <si>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</si>
  <si>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</si>
  <si>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</si>
  <si>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</si>
  <si>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</si>
  <si>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</si>
  <si>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</si>
  <si>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</si>
  <si>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</si>
  <si>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</si>
  <si>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</si>
  <si>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</si>
  <si>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</si>
  <si>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INF03VN01019</t>
  </si>
  <si>
    <t>WhiteOak Capital Liquid Fund- Direct plan-Daily Reinvestment of Income Distribution cum capital withdrawal option (IDCW)</t>
  </si>
  <si>
    <t>INF03VN01027</t>
  </si>
  <si>
    <t>INF03VN01035</t>
  </si>
  <si>
    <t>WhiteOak Capital Liquid Fund- Direct plan-Fortnightly Payout/ Reinvestment of Income Distribution cum capital withdrawal option (IDCW)</t>
  </si>
  <si>
    <t>INF03VN01043</t>
  </si>
  <si>
    <t>WhiteOak Capital Liquid Fund- Direct plan-Growth Option</t>
  </si>
  <si>
    <t>INF03VN01050</t>
  </si>
  <si>
    <t>INF03VN01068</t>
  </si>
  <si>
    <t>WhiteOak Capital Liquid Fund- Direct plan-Monthly  Payout/ Reinvestment of Income Distribution cum capital withdrawal option (IDCW)</t>
  </si>
  <si>
    <t>INF03VN01076</t>
  </si>
  <si>
    <t>INF03VN01084</t>
  </si>
  <si>
    <t>WhiteOak Capital Liquid Fund- Direct plan-Weekly Payout/ Reinvestment of Income Distribution cum capital withdrawal option (IDCW)</t>
  </si>
  <si>
    <t>INF03VN01092</t>
  </si>
  <si>
    <t>WhiteOak Capital Liquid Fund- Regular plan-Daily Reinvestment of Income Distribution cum capital withdrawal option (IDCW)</t>
  </si>
  <si>
    <t>INF03VN01100</t>
  </si>
  <si>
    <t>INF03VN01118</t>
  </si>
  <si>
    <t>WhiteOak Capital Liquid Fund- Regular plan-Fortnightly Payout/ Reinvestment of Income Distribution cum capital withdrawal option (IDCW)</t>
  </si>
  <si>
    <t>INF03VN01126</t>
  </si>
  <si>
    <t>WhiteOak Capital Liquid Fund- Regular plan-Growth Option</t>
  </si>
  <si>
    <t>INF03VN01134</t>
  </si>
  <si>
    <t>INF03VN01142</t>
  </si>
  <si>
    <t>WhiteOak Capital Liquid Fund- Regular plan-Monthly Payout/ Reinvestment of Income Distribution cum capital withdrawal option (IDCW)</t>
  </si>
  <si>
    <t>INF03VN01159</t>
  </si>
  <si>
    <t>INF03VN01167</t>
  </si>
  <si>
    <t>WhiteOak Capital Liquid Fund- Regular plan-Weekly Payout/ Reinvestment of Income Distribution cum capital withdrawal option (IDCW)</t>
  </si>
  <si>
    <t>INF209KB17J2</t>
  </si>
  <si>
    <t>Aditya Birla Sun Life Long Duration Fund-Direct Growth</t>
  </si>
  <si>
    <t>INF209KB18J0</t>
  </si>
  <si>
    <t>INF209KB19J8</t>
  </si>
  <si>
    <t>Aditya Birla Sun Life Long Duration Fund-Direct IDCW Payout</t>
  </si>
  <si>
    <t>INF209KB14J9</t>
  </si>
  <si>
    <t>Aditya Birla Sun Life Long Duration Fund-Regular Growth</t>
  </si>
  <si>
    <t>INF209KB15J6</t>
  </si>
  <si>
    <t>INF209KB16J4</t>
  </si>
  <si>
    <t>Aditya Birla Sun Life Long Duration Fund-Regular IDCW Payout</t>
  </si>
  <si>
    <t>INF846K017M4</t>
  </si>
  <si>
    <t>INF846K019M0</t>
  </si>
  <si>
    <t>Axis Long Duration Fund - Direct Plan - Annual IDCW</t>
  </si>
  <si>
    <t>INF846K014L3</t>
  </si>
  <si>
    <t>Axis Long Duration Fund - Direct Plan - Growth</t>
  </si>
  <si>
    <t>INF846K019L2</t>
  </si>
  <si>
    <t>INF846K011M7</t>
  </si>
  <si>
    <t>Axis Long Duration Fund - Direct Plan - Monthly IDCW</t>
  </si>
  <si>
    <t>INF846K013M3</t>
  </si>
  <si>
    <t>INF846K015M8</t>
  </si>
  <si>
    <t>Axis Long Duration Fund - Direct Plan - Quarterly IDCW</t>
  </si>
  <si>
    <t>INF846K017L6</t>
  </si>
  <si>
    <t>Axis Long Duration Fund - Direct Plan -Daily IDCW</t>
  </si>
  <si>
    <t>INF846K016M6</t>
  </si>
  <si>
    <t>INF846K018M2</t>
  </si>
  <si>
    <t>Axis Long Duration Fund - Regular Plan - Annual IDCW</t>
  </si>
  <si>
    <t>INF846K016L8</t>
  </si>
  <si>
    <t>Axis Long Duration Fund - Regular Plan - Daily IDCW</t>
  </si>
  <si>
    <t>INF846K015L0</t>
  </si>
  <si>
    <t>Axis Long Duration Fund - Regular Plan - Growth</t>
  </si>
  <si>
    <t>INF846K018L4</t>
  </si>
  <si>
    <t>INF846K010M9</t>
  </si>
  <si>
    <t>Axis Long Duration Fund - Regular Plan - Monthly IDCW</t>
  </si>
  <si>
    <t>INF846K012M5</t>
  </si>
  <si>
    <t>INF846K014M1</t>
  </si>
  <si>
    <t>Axis Long Duration Fund - Regular Plan - Quarterly IDCW</t>
  </si>
  <si>
    <t>INF194KB1HY2</t>
  </si>
  <si>
    <t>Bandhan Long Duration Fund - Direct Plan - Growth</t>
  </si>
  <si>
    <t>INF194KB1HZ9</t>
  </si>
  <si>
    <t>INF194KB1IA0</t>
  </si>
  <si>
    <t>Bandhan Long Duration Fund - Direct Plan - IDCW</t>
  </si>
  <si>
    <t>INF194KB1HV8</t>
  </si>
  <si>
    <t>Bandhan Long Duration Fund - Regular Plan - Growth</t>
  </si>
  <si>
    <t>INF194KB1HW6</t>
  </si>
  <si>
    <t>INF194KB1HX4</t>
  </si>
  <si>
    <t>Bandhan Long Duration Fund - Regular Plan - IDCW</t>
  </si>
  <si>
    <t>INF090I01XY7</t>
  </si>
  <si>
    <t>Franklin India Long Duration Fund - Direct - Growth</t>
  </si>
  <si>
    <t>INF090I01YA5</t>
  </si>
  <si>
    <t>INF090I01XZ4</t>
  </si>
  <si>
    <t>Franklin India Long Duration Fund - Direct - IDCW</t>
  </si>
  <si>
    <t>INF090I01XV3</t>
  </si>
  <si>
    <t>Franklin India Long Duration Fund - Growth</t>
  </si>
  <si>
    <t>INF090I01XX9</t>
  </si>
  <si>
    <t>INF090I01XW1</t>
  </si>
  <si>
    <t>Franklin India Long Duration Fund - IDCW</t>
  </si>
  <si>
    <t>INF179KC1EW1</t>
  </si>
  <si>
    <t>HDFC Long Duration Debt Fund - Growth Option</t>
  </si>
  <si>
    <t>INF179KC1ET7</t>
  </si>
  <si>
    <t>HDFC Long Duration Debt Fund - Growth Option - Direct Plan</t>
  </si>
  <si>
    <t>INF179KC1EX9</t>
  </si>
  <si>
    <t>INF179KC1EY7</t>
  </si>
  <si>
    <t>HDFC Long Duration Debt Fund - IDCW Option</t>
  </si>
  <si>
    <t>INF179KC1EU5</t>
  </si>
  <si>
    <t>INF179KC1EV3</t>
  </si>
  <si>
    <t>HDFC Long Duration Debt Fund - IDCW Option - Direct Plan</t>
  </si>
  <si>
    <t>INF109KA11C4</t>
  </si>
  <si>
    <t>INF109KA10C6</t>
  </si>
  <si>
    <t>ICICI Prudential Long Term Bond Fund - Annual IDCW</t>
  </si>
  <si>
    <t>INF109KA1335</t>
  </si>
  <si>
    <t>ICICI Prudential Long Term Bond Fund - Bonus</t>
  </si>
  <si>
    <t>INF109K017L8</t>
  </si>
  <si>
    <t>ICICI Prudential Long Term Bond Fund - Direct Plan - Growth</t>
  </si>
  <si>
    <t>INF109K018L6</t>
  </si>
  <si>
    <t>INF109K019L4</t>
  </si>
  <si>
    <t>ICICI Prudential Long Term Bond Fund - Direct Plan - Half Yearly IDCW</t>
  </si>
  <si>
    <t>INF109K010M1</t>
  </si>
  <si>
    <t>INF109K011M9</t>
  </si>
  <si>
    <t>ICICI Prudential Long Term Bond Fund - Direct Plan - Quarterly IDCW</t>
  </si>
  <si>
    <t>INF109K01365</t>
  </si>
  <si>
    <t>ICICI Prudential Long Term Bond Fund - Growth</t>
  </si>
  <si>
    <t>INF109K01EX3</t>
  </si>
  <si>
    <t>INF109K01357</t>
  </si>
  <si>
    <t>ICICI Prudential Long Term Bond Fund - Half Yearly IDCW</t>
  </si>
  <si>
    <t>INF109K01EZ8</t>
  </si>
  <si>
    <t>INF109K01399</t>
  </si>
  <si>
    <t>ICICI Prudential Long Term Bond Fund - Quarterly IDCW</t>
  </si>
  <si>
    <t>INF109KA13C0</t>
  </si>
  <si>
    <t>INF109KA12C2</t>
  </si>
  <si>
    <t>ICICI Prudential Long Term Bond Fund Direct Plan - Annual IDCW</t>
  </si>
  <si>
    <t>INF109K01EY1</t>
  </si>
  <si>
    <t>INF109K01381</t>
  </si>
  <si>
    <t>ICICI Prudential Long Term Bond Fund-Institutional Quarterly Dividend</t>
  </si>
  <si>
    <t>INF109K01EW5</t>
  </si>
  <si>
    <t>INF109K01373</t>
  </si>
  <si>
    <t>ICICI Prudential Long Term Bond Fund - Institutional Dividend Halfyearly</t>
  </si>
  <si>
    <t>INF109K01407</t>
  </si>
  <si>
    <t>ICICI Prudential Long Term Bond Fund-Institutional Option-Growth</t>
  </si>
  <si>
    <t>INF174KA1RF5</t>
  </si>
  <si>
    <t>Kotak Long Duration Fund - Direct Plan - Growth</t>
  </si>
  <si>
    <t>INF174KA1RG3</t>
  </si>
  <si>
    <t>INF174KA1RH1</t>
  </si>
  <si>
    <t>Kotak Long Duration Fund - Direct Plan - IDCW</t>
  </si>
  <si>
    <t>INF174KA1RC2</t>
  </si>
  <si>
    <t>Kotak Long Duration Fund - Regular Plan - Growth</t>
  </si>
  <si>
    <t>INF174KA1RD0</t>
  </si>
  <si>
    <t>INF174KA1RE8</t>
  </si>
  <si>
    <t>Kotak Long Duration Fund - Regular Plan - IDCW</t>
  </si>
  <si>
    <t>INF769K01NC9</t>
  </si>
  <si>
    <t>Mirae Asset Long Duration Fund - Direct Plan - Growth</t>
  </si>
  <si>
    <t>INF769K01ND7</t>
  </si>
  <si>
    <t>INF769K01NF2</t>
  </si>
  <si>
    <t>Mirae Asset Long Duration Fund - Direct Plan - IDCW</t>
  </si>
  <si>
    <t>INF769K01MZ2</t>
  </si>
  <si>
    <t>Mirae Asset Long Duration Fund - Regular Plan - Growth</t>
  </si>
  <si>
    <t>INF769K01NA3</t>
  </si>
  <si>
    <t>INF769K01NB1</t>
  </si>
  <si>
    <t>Mirae Asset Long Duration Fund - Regular Plan - IDCW</t>
  </si>
  <si>
    <t>INF204KB1YV1</t>
  </si>
  <si>
    <t>INF204KB1YW9</t>
  </si>
  <si>
    <t>NIPPON INDIA NIVESH LAKSHYA LONG DURATION  FUND - DIRECT Plan - QUARTERLY IDCW Option</t>
  </si>
  <si>
    <t>INF204KB1ZK1</t>
  </si>
  <si>
    <t>INF204KB1ZL9</t>
  </si>
  <si>
    <t>NIPPON INDIA NIVESH LAKSHYA LONG DURATION FUND - ANNUAL IDCW Option</t>
  </si>
  <si>
    <t>INF204KB1YZ2</t>
  </si>
  <si>
    <t>INF204KB1ZA2</t>
  </si>
  <si>
    <t>NIPPON INDIA NIVESH LAKSHYA LONG DURATION FUND - DIRECT Plan - ANNUAL IDCW Option</t>
  </si>
  <si>
    <t>INF204KB1YX7</t>
  </si>
  <si>
    <t>INF204KB1YY5</t>
  </si>
  <si>
    <t>NIPPON INDIA NIVESH LAKSHYA LONG DURATION FUND - DIRECT Plan - HALF YEARLY IDCW Option</t>
  </si>
  <si>
    <t>INF204KB1YR9</t>
  </si>
  <si>
    <t>INF204KB1YS7</t>
  </si>
  <si>
    <t>NIPPON INDIA NIVESH LAKSHYA LONG DURATION FUND - DIRECT Plan - IDCW Option</t>
  </si>
  <si>
    <t>INF204KB1YT5</t>
  </si>
  <si>
    <t>INF204KB1YU3</t>
  </si>
  <si>
    <t>NIPPON INDIA NIVESH LAKSHYA LONG DURATION FUND - DIRECT Plan - MONTHLY IDCW Option</t>
  </si>
  <si>
    <t>INF204KB1ZC8</t>
  </si>
  <si>
    <t>INF204KB1ZD6</t>
  </si>
  <si>
    <t>NIPPON INDIA NIVESH LAKSHYA LONG DURATION FUND - IDCW Option</t>
  </si>
  <si>
    <t>INF204KB1ZE4</t>
  </si>
  <si>
    <t>INF204KB1ZF1</t>
  </si>
  <si>
    <t>NIPPON INDIA NIVESH LAKSHYA LONG DURATION FUND - MONTHLY IDCW Option</t>
  </si>
  <si>
    <t>INF204KB1ZG9</t>
  </si>
  <si>
    <t>INF204KB1ZH7</t>
  </si>
  <si>
    <t>NIPPON INDIA NIVESH LAKSHYA LONG DURATION FUND - QUARTERLY IDCW Option</t>
  </si>
  <si>
    <t>INF204KB1ZI5</t>
  </si>
  <si>
    <t>INF204KB1ZJ3</t>
  </si>
  <si>
    <t>NIPPON INDIA NIVESH LAKSHYA LONG DURATION FUND LONG DURATION - HALF YEARLY IDCW Option</t>
  </si>
  <si>
    <t>INF204KB1YQ1</t>
  </si>
  <si>
    <t>Nippon India Nivesh Lakshya Long Duration Fund- Direct Plan- Growth Option</t>
  </si>
  <si>
    <t>INF204KB1ZB0</t>
  </si>
  <si>
    <t>Nippon India Nivesh Lakshya Long Duration Fund- Growth Option</t>
  </si>
  <si>
    <t>INF200KA16T4</t>
  </si>
  <si>
    <t>SBI Long Duration Fund - Direct Plan - Growth</t>
  </si>
  <si>
    <t>INF200KA17T2</t>
  </si>
  <si>
    <t>INF200KA18T0</t>
  </si>
  <si>
    <t>SBI Long Duration Fund - Direct Plan - Income Distribution cum Capital Withdrawal Option (IDCW)</t>
  </si>
  <si>
    <t>INF200KA13T1</t>
  </si>
  <si>
    <t>SBI Long Duration Fund - Regular Plan - Growth</t>
  </si>
  <si>
    <t>INF200KA14T9</t>
  </si>
  <si>
    <t>INF200KA15T6</t>
  </si>
  <si>
    <t>SBI Long Duration Fund - Regular Plan - Income Distribution cum Capital Withdrawal Option (IDCW)</t>
  </si>
  <si>
    <t>INF789F1AYG4</t>
  </si>
  <si>
    <t>INF789F1AYH2</t>
  </si>
  <si>
    <t>UTI Long Duration Fund - Direct Plan - Annual IDCW Option</t>
  </si>
  <si>
    <t>INF789F1AYI0</t>
  </si>
  <si>
    <t>INF789F1AYJ8</t>
  </si>
  <si>
    <t>UTI Long Duration Fund - Direct Plan - Flexi IDCW Option</t>
  </si>
  <si>
    <t>INF789F1AYB5</t>
  </si>
  <si>
    <t>UTI Long Duration Fund - Direct Plan - Growth Option</t>
  </si>
  <si>
    <t>INF789F1AYE9</t>
  </si>
  <si>
    <t>INF789F1AYF6</t>
  </si>
  <si>
    <t>UTI Long Duration Fund - Direct Plan - Half Yearly IDCW Option</t>
  </si>
  <si>
    <t>INF789F1AYC3</t>
  </si>
  <si>
    <t>INF789F1AYD1</t>
  </si>
  <si>
    <t>UTI Long duration Fund - Direct Plan - Quarterly IDCW Option</t>
  </si>
  <si>
    <t>INF789F1AXX1</t>
  </si>
  <si>
    <t>INF789F1AXY9</t>
  </si>
  <si>
    <t>UTI Long Duration Fund - Regular Plan - Annual IDCW Option</t>
  </si>
  <si>
    <t>INF789F1AXZ6</t>
  </si>
  <si>
    <t>INF789F1AYA7</t>
  </si>
  <si>
    <t>UTI Long Duration Fund - Regular Plan - Flexi IDCW Option</t>
  </si>
  <si>
    <t>INF789F1AXS1</t>
  </si>
  <si>
    <t>UTI Long Duration Fund - Regular Plan - Growth Option</t>
  </si>
  <si>
    <t>INF789F1AXV5</t>
  </si>
  <si>
    <t>INF789F1AXW3</t>
  </si>
  <si>
    <t>UTI Long Duration Fund - Regular Plan - Half Yearly IDCW Option</t>
  </si>
  <si>
    <t>INF789F1AXT9</t>
  </si>
  <si>
    <t>INF789F1AXU7</t>
  </si>
  <si>
    <t>UTI Long Duration Fund - Regular Plan - Quarterly IDCW Option</t>
  </si>
  <si>
    <t>INF209K01XU7</t>
  </si>
  <si>
    <t>Aditya Birla Sun Life Low duration Fund - Growth - Direct Plan</t>
  </si>
  <si>
    <t>INF209K01LQ0</t>
  </si>
  <si>
    <t>INF209K01XW3</t>
  </si>
  <si>
    <t>Aditya Birla Sun Life Low Duration Fund -Direct - daily IDCW</t>
  </si>
  <si>
    <t>INF209K01XV5</t>
  </si>
  <si>
    <t>Aditya Birla Sun Life Low Duration Fund -Direct - weekly IDCW</t>
  </si>
  <si>
    <t>INF209K01KG3</t>
  </si>
  <si>
    <t>Aditya Birla Sun Life Low Duration Fund -Institutional - weekly  IDCW</t>
  </si>
  <si>
    <t>INF209KA1LP6</t>
  </si>
  <si>
    <t>Aditya Birla Sun Life Low Duration Fund -Regular - DAILY IDCW</t>
  </si>
  <si>
    <t>INF209KA1LQ4</t>
  </si>
  <si>
    <t>Aditya Birla Sun Life Low Duration Fund -REGULAR - WEEKLY IDCW</t>
  </si>
  <si>
    <t>INF846K01NQ5</t>
  </si>
  <si>
    <t>Axis Treasury Advantage Fund - Direct Plan - Bonus Option</t>
  </si>
  <si>
    <t>INF846K01EQ4</t>
  </si>
  <si>
    <t>Axis Treasury Advantage Fund - Direct Plan - Daily IDCW</t>
  </si>
  <si>
    <t>INF846K01EN1</t>
  </si>
  <si>
    <t>Axis Treasury Advantage Fund - Direct Plan - Growth Option</t>
  </si>
  <si>
    <t>INF846K01EO9</t>
  </si>
  <si>
    <t>INF846K01EP6</t>
  </si>
  <si>
    <t>Axis Treasury Advantage Fund - Direct Plan - Monthly IDCW</t>
  </si>
  <si>
    <t>INF846K01ER2</t>
  </si>
  <si>
    <t>INF846K01ES0</t>
  </si>
  <si>
    <t>Axis Treasury Advantage Fund - Direct Plan - Weekly IDCW</t>
  </si>
  <si>
    <t>INF846K01545</t>
  </si>
  <si>
    <t>Axis Treasury Advantage Fund - Regular Plan - Daily IDCW</t>
  </si>
  <si>
    <t>INF846K01537</t>
  </si>
  <si>
    <t>Axis Treasury Advantage Fund - Regular Plan - Growth Option</t>
  </si>
  <si>
    <t>INF846K01578</t>
  </si>
  <si>
    <t>INF846K01586</t>
  </si>
  <si>
    <t>Axis Treasury Advantage Fund - Regular Plan - Monthly IDCW</t>
  </si>
  <si>
    <t>INF846K01552</t>
  </si>
  <si>
    <t>INF846K01560</t>
  </si>
  <si>
    <t>Axis Treasury Advantage Fund - Regular Plan - Weekly IDCW</t>
  </si>
  <si>
    <t>INF846K01487</t>
  </si>
  <si>
    <t>Axis Treasury Advantage Fund - Retail Plan - Daily IDCW</t>
  </si>
  <si>
    <t>INF846K01479</t>
  </si>
  <si>
    <t>Axis Treasury Advantage Fund - Retail Plan - Growth Option</t>
  </si>
  <si>
    <t>INF846K01511</t>
  </si>
  <si>
    <t>INF846K01529</t>
  </si>
  <si>
    <t>Axis Treasury Advantage Fund - Retail Plan - Monthly IDCW</t>
  </si>
  <si>
    <t>INF846K01495</t>
  </si>
  <si>
    <t>INF846K01503</t>
  </si>
  <si>
    <t>Axis Treasury Advantage Fund - Retail Plan - Weekly IDCW</t>
  </si>
  <si>
    <t>INF0QA701CF6</t>
  </si>
  <si>
    <t>Bajaj Finserv Low Duration Fund - Direct - Growth</t>
  </si>
  <si>
    <t>INF0QA701CG4</t>
  </si>
  <si>
    <t>INF0QA701CH2</t>
  </si>
  <si>
    <t>Bajaj Finserv Low Duration Fund - Direct - IDCW</t>
  </si>
  <si>
    <t>INF0QA701CC3</t>
  </si>
  <si>
    <t>Bajaj Finserv Low Duration Fund - Regular - Growth</t>
  </si>
  <si>
    <t>INF0QA701CD1</t>
  </si>
  <si>
    <t>INF0QA701CE9</t>
  </si>
  <si>
    <t>Bajaj Finserv Low Duration Fund - Regular - IDCW</t>
  </si>
  <si>
    <t>INF194K01FW4</t>
  </si>
  <si>
    <t>INF194K01FV6</t>
  </si>
  <si>
    <t>BANDHAN Low Duration Fund - Regular Plan - Daily IDCW</t>
  </si>
  <si>
    <t>INF194K01FU8</t>
  </si>
  <si>
    <t>BANDHAN Low Duration Fund - Regular Plan - Growth</t>
  </si>
  <si>
    <t>INF194K01FZ7</t>
  </si>
  <si>
    <t>INF194K01FY0</t>
  </si>
  <si>
    <t>BANDHAN Low Duration Fund - Regular Plan - Monthly IDCW</t>
  </si>
  <si>
    <t>INF194K01I29</t>
  </si>
  <si>
    <t>INF194K01I37</t>
  </si>
  <si>
    <t>BANDHAN Low Duration Fund - Regular Plan - Periodic IDCW</t>
  </si>
  <si>
    <t>INF194K01UR3</t>
  </si>
  <si>
    <t>INF194K01US1</t>
  </si>
  <si>
    <t>BANDHAN Low Duration Fund - Regular Plan - Quarterly IDCW</t>
  </si>
  <si>
    <t>INF194K01GC4</t>
  </si>
  <si>
    <t>INF194K01GB6</t>
  </si>
  <si>
    <t>BANDHAN Low Duration Fund - Regular Plan - Weekly IDCW</t>
  </si>
  <si>
    <t>INF194K01J85</t>
  </si>
  <si>
    <t>BANDHAN Low Duration Fund-Direct Plan-Daily IDCW</t>
  </si>
  <si>
    <t>INF194K01J77</t>
  </si>
  <si>
    <t>BANDHAN Low Duration Fund-Direct Plan-Growth</t>
  </si>
  <si>
    <t>INF194K01K17</t>
  </si>
  <si>
    <t>INF194K01K09</t>
  </si>
  <si>
    <t>BANDHAN Low Duration Fund-Direct Plan-Monthly IDCW</t>
  </si>
  <si>
    <t>INF194K01K82</t>
  </si>
  <si>
    <t>INF194K01K90</t>
  </si>
  <si>
    <t>BANDHAN Low Duration Fund-Direct Plan-Periodic IDCW</t>
  </si>
  <si>
    <t>INF194K01K58</t>
  </si>
  <si>
    <t>INF194K01K66</t>
  </si>
  <si>
    <t>BANDHAN Low Duration Fund-Direct Plan-Quarterly IDCW</t>
  </si>
  <si>
    <t>INF194K01K33</t>
  </si>
  <si>
    <t>BANDHAN Low Duration Fund-Direct Plan-Weekly IDCW</t>
  </si>
  <si>
    <t>INF251K01GK5</t>
  </si>
  <si>
    <t>BARODA BNP PARIBAS LOW DURATION Fund - Direct Plan - Daily IDCW Option</t>
  </si>
  <si>
    <t>INF251K01GJ7</t>
  </si>
  <si>
    <t>BARODA BNP PARIBAS LOW DURATION Fund - Direct Plan - Growth Option</t>
  </si>
  <si>
    <t>INF251K01GN9</t>
  </si>
  <si>
    <t>INF251K01GO7</t>
  </si>
  <si>
    <t>BARODA BNP PARIBAS LOW DURATION Fund - Direct Plan - Monthly IDCW Option</t>
  </si>
  <si>
    <t>INF251K01GL3</t>
  </si>
  <si>
    <t>INF251K01GM1</t>
  </si>
  <si>
    <t>BARODA BNP PARIBAS LOW DURATION Fund - Direct Plan - Weekly IDCW Option</t>
  </si>
  <si>
    <t>INF251K01DR7</t>
  </si>
  <si>
    <t>BARODA BNP PARIBAS LOW DURATION FUND - Regular Plan - DAILY IDCW OPTION</t>
  </si>
  <si>
    <t>INF251K01DQ9</t>
  </si>
  <si>
    <t>BARODA BNP PARIBAS LOW DURATION FUND - Regular Plan - GROWTH OPTION</t>
  </si>
  <si>
    <t>INF251K01DU1</t>
  </si>
  <si>
    <t>INF251K01DV9</t>
  </si>
  <si>
    <t>BARODA BNP PARIBAS LOW DURATION FUND - Regular Plan - MONTHLY IDCW OPTION</t>
  </si>
  <si>
    <t>INF251K01DS5</t>
  </si>
  <si>
    <t>INF251K01DT3</t>
  </si>
  <si>
    <t>BARODA BNP PARIBAS LOW DURATION FUND - Regular Plan - WEEKLY IDCW OPTION</t>
  </si>
  <si>
    <t>INF251K01DM8</t>
  </si>
  <si>
    <t>BARODA BNP PARIBAS LOW DURATION Fund-Defunct Plan- Daily IDCW Option</t>
  </si>
  <si>
    <t>INF251K01DL0</t>
  </si>
  <si>
    <t>BARODA BNP PARIBAS LOW DURATION Fund-Defunct Plan-Growth Option</t>
  </si>
  <si>
    <t>INF251K01DO4</t>
  </si>
  <si>
    <t>INF251K01DP1</t>
  </si>
  <si>
    <t>BARODA BNP PARIBAS LOW DURATION Fund-Defunct Plan-Monthly IDCW Option</t>
  </si>
  <si>
    <t>INF251K01DN6</t>
  </si>
  <si>
    <t>BARODA BNP PARIBAS LOW DURATION Fund-Defunct Plan-Weekly IDCW Option</t>
  </si>
  <si>
    <t>INF760K01EM6</t>
  </si>
  <si>
    <t>CANARA ROBECO SAVINGS FUND - DIRECT PLAN - DAILY IDCW (Reinvestment)</t>
  </si>
  <si>
    <t>INF760K01ET1</t>
  </si>
  <si>
    <t>CANARA ROBECO SAVINGS FUND - DIRECT PLAN - GROWTH OPTION</t>
  </si>
  <si>
    <t>INF760K01EP9</t>
  </si>
  <si>
    <t>INF760K01EQ7</t>
  </si>
  <si>
    <t>CANARA ROBECO SAVINGS FUND - DIRECT PLAN - IDCW (Payout/Reinvestment)</t>
  </si>
  <si>
    <t>INF760K01EN4</t>
  </si>
  <si>
    <t>INF760K01EO2</t>
  </si>
  <si>
    <t>CANARA ROBECO SAVINGS FUND - DIRECT PLAN - MONTHLY IDCW (Payout/Reinvestment)</t>
  </si>
  <si>
    <t>INF760K01ER5</t>
  </si>
  <si>
    <t>INF760K01ES3</t>
  </si>
  <si>
    <t>CANARA ROBECO SAVINGS FUND - DIRECT PLAN - WEEKLY IDCW (Payout/Reinvestment)</t>
  </si>
  <si>
    <t>INF760K01803</t>
  </si>
  <si>
    <t>CANARA ROBECO SAVINGS FUND - REGULAR PLAN - DAILY IDCW (Reinvestment)</t>
  </si>
  <si>
    <t>INF760K01795</t>
  </si>
  <si>
    <t>CANARA ROBECO SAVINGS FUND - REGULAR PLAN - GROWTH OPTION</t>
  </si>
  <si>
    <t>INF760K01779</t>
  </si>
  <si>
    <t>INF760K01787</t>
  </si>
  <si>
    <t>CANARA ROBECO SAVINGS FUND - REGULAR PLAN - IDCW (Payout/Reinvestment)</t>
  </si>
  <si>
    <t>INF760K01AM4</t>
  </si>
  <si>
    <t>INF760K01AN2</t>
  </si>
  <si>
    <t>CANARA ROBECO SAVINGS FUND - REGULAR PLAN - MONTHLY IDCW (Payout/Reinvestment)</t>
  </si>
  <si>
    <t>INF760K01CB3</t>
  </si>
  <si>
    <t>INF760K01811</t>
  </si>
  <si>
    <t>CANARA ROBECO SAVINGS FUND - REGULAR PLAN - WEEKLY IDCW (Payout/Reinvestment)</t>
  </si>
  <si>
    <t>INF740K013Q1</t>
  </si>
  <si>
    <t>DSP Low Duration Fund - Direct Plan - Growth</t>
  </si>
  <si>
    <t>INF740KA1OL5</t>
  </si>
  <si>
    <t>DSP Low Duration Fund - Direct Plan - IDCW - Daily</t>
  </si>
  <si>
    <t>INF740K014Q9</t>
  </si>
  <si>
    <t>INF740K015Q6</t>
  </si>
  <si>
    <t>DSP Low Duration Fund - Direct Plan - IDCW - Monthly</t>
  </si>
  <si>
    <t>INF740K016Q4</t>
  </si>
  <si>
    <t>INF740K017Q2</t>
  </si>
  <si>
    <t>DSP Low Duration Fund - Direct Plan - IDCW - Quarterly</t>
  </si>
  <si>
    <t>INF740KA1OM3</t>
  </si>
  <si>
    <t>INF740KA1ON1</t>
  </si>
  <si>
    <t>DSP Low Duration Fund - Direct Plan - IDCW - Weekly</t>
  </si>
  <si>
    <t>INF740K018P2</t>
  </si>
  <si>
    <t>DSP Low Duration Fund - Regular Plan - Growth</t>
  </si>
  <si>
    <t>INF740KA1OO9</t>
  </si>
  <si>
    <t>DSP Low Duration Fund - Regular Plan - IDCW - Daily</t>
  </si>
  <si>
    <t>INF740K019P0</t>
  </si>
  <si>
    <t>INF740K010Q7</t>
  </si>
  <si>
    <t>DSP Low Duration Fund - Regular Plan - IDCW - Monthly</t>
  </si>
  <si>
    <t>INF740K011Q5</t>
  </si>
  <si>
    <t>INF740K012Q3</t>
  </si>
  <si>
    <t>DSP Low Duration Fund - Regular Plan - IDCW - Quarterly</t>
  </si>
  <si>
    <t>INF740KA1OP6</t>
  </si>
  <si>
    <t>INF740KA1OQ4</t>
  </si>
  <si>
    <t>DSP Low Duration Fund - Regular Plan - IDCW - Weekly</t>
  </si>
  <si>
    <t>INF754K01UP8</t>
  </si>
  <si>
    <t>Edelweiss Low Duration Fund - Direct Plan Growth</t>
  </si>
  <si>
    <t>INF754K01UQ6</t>
  </si>
  <si>
    <t>INF754K01UR4</t>
  </si>
  <si>
    <t>Edelweiss Low Duration Fund - Direct Plan IDCW Payout</t>
  </si>
  <si>
    <t>INF754K01UT0</t>
  </si>
  <si>
    <t>Edelweiss Low Duration Fund - Regular Plan Growth</t>
  </si>
  <si>
    <t>INF754K01UU8</t>
  </si>
  <si>
    <t>INF754K01UV6</t>
  </si>
  <si>
    <t>Edelweiss Low Duration Fund - Regular Plan IDCW Payout</t>
  </si>
  <si>
    <t>INF090I01YE7</t>
  </si>
  <si>
    <t>Franklin India Low Duration Fund-Direct-Growth</t>
  </si>
  <si>
    <t>INF090I01YG2</t>
  </si>
  <si>
    <t>INF090I01YF4</t>
  </si>
  <si>
    <t>Franklin India Low Duration Fund-Direct-IDCW</t>
  </si>
  <si>
    <t>INF090I01YB3</t>
  </si>
  <si>
    <t>Franklin India Low Duration Fund-Growth</t>
  </si>
  <si>
    <t>INF090I01YD9</t>
  </si>
  <si>
    <t>INF090I01YC1</t>
  </si>
  <si>
    <t>Franklin India Low Duration Fund-IDCW</t>
  </si>
  <si>
    <t>INF090I01HG7</t>
  </si>
  <si>
    <t>Franklin India Low Duration Fund - Direct - Growth</t>
  </si>
  <si>
    <t>INF090I01HC6</t>
  </si>
  <si>
    <t>INF090I01HD4</t>
  </si>
  <si>
    <t>Franklin India Low Duration Fund - Direct - Monthly - IDCW</t>
  </si>
  <si>
    <t>INF090I01HE2</t>
  </si>
  <si>
    <t>INF090I01HF9</t>
  </si>
  <si>
    <t>Franklin India Low Duration Fund - Direct - Quarterly - IDCW</t>
  </si>
  <si>
    <t>INF090I01BU1</t>
  </si>
  <si>
    <t>Franklin India Low Duration Fund - Growth Plan</t>
  </si>
  <si>
    <t>INF090I01BQ9</t>
  </si>
  <si>
    <t>INF090I01BR7</t>
  </si>
  <si>
    <t>Franklin India Low Duration Fund - Monthly - IDCW</t>
  </si>
  <si>
    <t>INF090I01BS5</t>
  </si>
  <si>
    <t>INF090I01BT3</t>
  </si>
  <si>
    <t>Franklin India Low Duration Fund - Quarterly - IDCW</t>
  </si>
  <si>
    <t>INF090I01UC9</t>
  </si>
  <si>
    <t>Franklin India Low Duration Fund- Segregated Portfolio 1- 8.25% Vodafone Idea Ltd-10JUL20-Direct- Quarterly Dividend Plan</t>
  </si>
  <si>
    <t>INF090I01UD7</t>
  </si>
  <si>
    <t>Franklin India Low Duration Fund- Segregated Portfolio 1- 8.25% Vodafone Idea Ltd-10JUL20-Direct-Growth Plan</t>
  </si>
  <si>
    <t>INF090I01UB1</t>
  </si>
  <si>
    <t>Franklin India Low Duration Fund- Segregated Portfolio 1- 8.25% Vodafone Idea Ltd-10JUL20-Direct-Monthly Dividend Plan</t>
  </si>
  <si>
    <t>INF090I01UA3</t>
  </si>
  <si>
    <t>Franklin India Low Duration Fund- Segregated Portfolio 1- 8.25% Vodafone Idea Ltd-10JUL20-Growth Plan</t>
  </si>
  <si>
    <t>INF090I01TY5</t>
  </si>
  <si>
    <t>Franklin India Low Duration Fund- Segregated Portfolio 1- 8.25% Vodafone Idea Ltd-10JUL20-Monthly Dividend Plan</t>
  </si>
  <si>
    <t>INF090I01TZ2</t>
  </si>
  <si>
    <t>Franklin India Low Duration Fund- Segregated Portfolio 1- 8.25% Vodafone Idea Ltd-10JUL20-Quarterly Dividend Plan</t>
  </si>
  <si>
    <t>INF090I01UE5</t>
  </si>
  <si>
    <t>Franklin India Low Duration Fund- Segregated Portfolio 2 - 10.90% Vodafone Idea Ltd (02-Sep-2023) - Monthly - IDCW</t>
  </si>
  <si>
    <t>INF090I01UF2</t>
  </si>
  <si>
    <t>Franklin India Low Duration Fund- Segregated Portfolio 2 - 10.90% Vodafone Idea Ltd (02-Sep-2023) - Quarterly - IDCW</t>
  </si>
  <si>
    <t>INF090I01UJ4</t>
  </si>
  <si>
    <t>Franklin India Low Duration Fund- Segregated Portfolio 2- 10.90% Vodafone Idea Ltd 02Sep2023-Direct- Growth Plan</t>
  </si>
  <si>
    <t>INF090I01UG0</t>
  </si>
  <si>
    <t>Franklin India Low Duration Fund- Segregated Portfolio 2- 10.90% Vodafone Idea Ltd 02Sep2023-Growth Plan</t>
  </si>
  <si>
    <t>INF090I01UH8</t>
  </si>
  <si>
    <t>Franklin India Low Duration Fund-Direct- Segregated Portfolio 2 - 10.90% Vodafone Idea Ltd (02-Sep-2023) - Direct Monthly - IDCW</t>
  </si>
  <si>
    <t>INF090I01UI6</t>
  </si>
  <si>
    <t>Franklin India Low Duration Fund-Direct- Segregated Portfolio 2 - 10.90% Vodafone Idea Ltd (02-Sep-2023) - Direct Quarterly - IDCW</t>
  </si>
  <si>
    <t>INF179K01434</t>
  </si>
  <si>
    <t>HDFC Low Duration  Fund - Daily IDCW</t>
  </si>
  <si>
    <t>INF179KC1IR2</t>
  </si>
  <si>
    <t>HDFC Low Duration  Fund - Direct Plan - Daily IDCW</t>
  </si>
  <si>
    <t>INF179K01VF7</t>
  </si>
  <si>
    <t>HDFC Low Duration  Fund - Direct Plan - Growth</t>
  </si>
  <si>
    <t>INF179K01VG5</t>
  </si>
  <si>
    <t>INF179K01VH3</t>
  </si>
  <si>
    <t>HDFC Low Duration  Fund - Direct Plan - Monthly IDCW</t>
  </si>
  <si>
    <t>INF179KC1IS0</t>
  </si>
  <si>
    <t>INF179KC1IT8</t>
  </si>
  <si>
    <t>HDFC Low Duration  Fund - Direct Plan - Weekly IDCW</t>
  </si>
  <si>
    <t>INF179K01442</t>
  </si>
  <si>
    <t>HDFC Low Duration  Fund - Growth</t>
  </si>
  <si>
    <t>INF179K01459</t>
  </si>
  <si>
    <t>INF179K01467</t>
  </si>
  <si>
    <t>HDFC Low Duration  Fund - Monthly IDCW</t>
  </si>
  <si>
    <t>INF179K01475</t>
  </si>
  <si>
    <t>INF179K01483</t>
  </si>
  <si>
    <t>HDFC Low Duration  Fund - Weekly IDCW</t>
  </si>
  <si>
    <t>INF179K01541</t>
  </si>
  <si>
    <t>HDFC Low Duration Fund- Wholesale Daily Dividend</t>
  </si>
  <si>
    <t>INF179K01509</t>
  </si>
  <si>
    <t>INF179K01517</t>
  </si>
  <si>
    <t>HDFC Low Duration Fund- Wholesale Monthly Dividend</t>
  </si>
  <si>
    <t>INF179K01525</t>
  </si>
  <si>
    <t>HDFC Low Duration Fund- Wholesale Weekly Dividend</t>
  </si>
  <si>
    <t>INF179K01491</t>
  </si>
  <si>
    <t>HDFC Low Duration Fund- Wholesale- Growth</t>
  </si>
  <si>
    <t>INF917K01VV7</t>
  </si>
  <si>
    <t>INF917K01VU9</t>
  </si>
  <si>
    <t>HSBC Low Duration Fund - Direct Annual IDCW</t>
  </si>
  <si>
    <t>INF917K01GM7</t>
  </si>
  <si>
    <t>HSBC Low Duration Fund - Direct Growth</t>
  </si>
  <si>
    <t>INF917K01E60</t>
  </si>
  <si>
    <t>INF917K01GK1</t>
  </si>
  <si>
    <t>HSBC Low Duration Fund - Direct Monthly IDCW</t>
  </si>
  <si>
    <t>INF917K01VX3</t>
  </si>
  <si>
    <t>INF917K01VW5</t>
  </si>
  <si>
    <t>HSBC Low Duration Fund - Regular Annual IDCW</t>
  </si>
  <si>
    <t>INF677K01452</t>
  </si>
  <si>
    <t>HSBC Low Duration Fund - Regular Growth</t>
  </si>
  <si>
    <t>INF677K01460</t>
  </si>
  <si>
    <t>INF677K01478</t>
  </si>
  <si>
    <t>HSBC Low Duration Fund - Regular Monthly IDCW</t>
  </si>
  <si>
    <t>INF109KA1I92</t>
  </si>
  <si>
    <t>ICICI Prudential Savings Fund - Bonus</t>
  </si>
  <si>
    <t>INF109K01738</t>
  </si>
  <si>
    <t>ICICI Prudential Savings Fund - Daily IDCW</t>
  </si>
  <si>
    <t>INF109K01O66</t>
  </si>
  <si>
    <t>ICICI Prudential Savings Fund - Direct Plan - Daily IDCW</t>
  </si>
  <si>
    <t>INF109K016Y3</t>
  </si>
  <si>
    <t>INF109K015Y5</t>
  </si>
  <si>
    <t>ICICI Prudential Savings Fund - Direct Plan - Fortnightly IDCW</t>
  </si>
  <si>
    <t>INF109K01O82</t>
  </si>
  <si>
    <t>ICICI Prudential Savings Fund - Direct Plan - Growth</t>
  </si>
  <si>
    <t>INF109K01O90</t>
  </si>
  <si>
    <t>INF109K01O74</t>
  </si>
  <si>
    <t>ICICI Prudential Savings Fund - Direct Plan - IDCW Others</t>
  </si>
  <si>
    <t>INF109K018Y9</t>
  </si>
  <si>
    <t>INF109K017Y1</t>
  </si>
  <si>
    <t>ICICI Prudential Savings Fund - Direct Plan - Monthly IDCW</t>
  </si>
  <si>
    <t>INF109K010Z3</t>
  </si>
  <si>
    <t>INF109K019Y7</t>
  </si>
  <si>
    <t>ICICI Prudential Savings Fund - Direct Plan - Quarterly IDCW</t>
  </si>
  <si>
    <t>INF109K01P08</t>
  </si>
  <si>
    <t>INF109K01P16</t>
  </si>
  <si>
    <t>ICICI Prudential Savings Fund - Direct Plan - Weekly IDCW</t>
  </si>
  <si>
    <t>INF109KA1I01</t>
  </si>
  <si>
    <t>ICICI Prudential Savings Fund - Direct Plan Bonus</t>
  </si>
  <si>
    <t>INF109K012Z9</t>
  </si>
  <si>
    <t>INF109K011Z1</t>
  </si>
  <si>
    <t>ICICI Prudential Savings Fund - Fortnightly IDCW</t>
  </si>
  <si>
    <t>INF109K01746</t>
  </si>
  <si>
    <t>ICICI Prudential Savings Fund - Growth</t>
  </si>
  <si>
    <t>INF109K01WO4</t>
  </si>
  <si>
    <t>INF109K01WN6</t>
  </si>
  <si>
    <t>ICICI Prudential Savings Fund - IDCW Others</t>
  </si>
  <si>
    <t>INF109K014Z5</t>
  </si>
  <si>
    <t>INF109K013Z7</t>
  </si>
  <si>
    <t>ICICI Prudential Savings Fund - Monthly IDCW</t>
  </si>
  <si>
    <t>INF109K016Z0</t>
  </si>
  <si>
    <t>INF109K015Z2</t>
  </si>
  <si>
    <t>ICICI Prudential Savings Fund - Quarterly IDCW</t>
  </si>
  <si>
    <t>INF109K01JO1</t>
  </si>
  <si>
    <t>INF109K01753</t>
  </si>
  <si>
    <t>ICICI Prudential Savings Fund - Weekly IDCW</t>
  </si>
  <si>
    <t>INF109K01EI4</t>
  </si>
  <si>
    <t>INF109K01BW1</t>
  </si>
  <si>
    <t>ICICI Prudential Savings Fund Retail Daily Dividend</t>
  </si>
  <si>
    <t>INF109K01BX9</t>
  </si>
  <si>
    <t>ICICI Prudential Savings Fund Retail Growth</t>
  </si>
  <si>
    <t>INF109K01EJ2</t>
  </si>
  <si>
    <t>INF109K01BY7</t>
  </si>
  <si>
    <t>ICICI Prudential Savings Fund Retail Weekly Dividend</t>
  </si>
  <si>
    <t>INF205K01HZ7</t>
  </si>
  <si>
    <t>Invesco India Low Duration Fund - Daily IDCW (Reinvestment)</t>
  </si>
  <si>
    <t>INF205K01NW2</t>
  </si>
  <si>
    <t>INF205K01NX0</t>
  </si>
  <si>
    <t>Invesco India Low Duration Fund - Direct Plan - Discretionary IDCW (Payout / Reinvestment)</t>
  </si>
  <si>
    <t>INF205K01NY8</t>
  </si>
  <si>
    <t>Invesco India Low Duration Fund - Direct Plan - Growth</t>
  </si>
  <si>
    <t>INF205K01NZ5</t>
  </si>
  <si>
    <t>INF205K01OA6</t>
  </si>
  <si>
    <t>Invesco India Low Duration Fund - Direct Plan - Monthly IDCW (Payout / Reinvestment)</t>
  </si>
  <si>
    <t>INF205K01OB4</t>
  </si>
  <si>
    <t>INF205K01OC2</t>
  </si>
  <si>
    <t>Invesco India Low Duration Fund - Direct Plan - Weekly IDCW (Payout / Reinvestment)</t>
  </si>
  <si>
    <t>INF205K01NV4</t>
  </si>
  <si>
    <t>Invesco India Low Duration Fund - Direct Plan -Daily IDCW (Reinvestment)</t>
  </si>
  <si>
    <t>INF205K01IG5</t>
  </si>
  <si>
    <t>INF205K01IF7</t>
  </si>
  <si>
    <t>Invesco India Low Duration Fund - Discretionary IDCW (Payout / Reinvestment)</t>
  </si>
  <si>
    <t>INF205K01HY0</t>
  </si>
  <si>
    <t>Invesco India Low Duration Fund - Growth</t>
  </si>
  <si>
    <t>INF205K01ID2</t>
  </si>
  <si>
    <t>INF205K01IC4</t>
  </si>
  <si>
    <t>Invesco India Low Duration Fund - Monthly IDCW (Payout / Reinvestment)</t>
  </si>
  <si>
    <t>INF205K01HT0</t>
  </si>
  <si>
    <t>Invesco India Low Duration Fund - Regular - Growth</t>
  </si>
  <si>
    <t>INF205K01HW4</t>
  </si>
  <si>
    <t>Invesco India Low Duration Fund - Regular - Monthly IDCW (Reinvestment)</t>
  </si>
  <si>
    <t>INF205K01HV6</t>
  </si>
  <si>
    <t>Invesco India Low Duration Fund - Regular - Weekly IDCW (Reinvestment)</t>
  </si>
  <si>
    <t>INF205K01HU8</t>
  </si>
  <si>
    <t>Invesco India Low Duration Fund - Regular Daily IDCW (Reinvestment)</t>
  </si>
  <si>
    <t>INF205K01IB6</t>
  </si>
  <si>
    <t>INF205K01IA8</t>
  </si>
  <si>
    <t>Invesco India Low Duration Fund - Weekly IDCW (Payout / Reinvestment)</t>
  </si>
  <si>
    <t>INF22M001150</t>
  </si>
  <si>
    <t>JioBlackRock Low Duration Fund - Direct Plan - Growth Option</t>
  </si>
  <si>
    <t>INF192K01FL1</t>
  </si>
  <si>
    <t>JM Low Duration Fund (Direct) - Bonus Option - Principal Units</t>
  </si>
  <si>
    <t>INF192K01DT9</t>
  </si>
  <si>
    <t>JM Low Duration Fund (Direct) - Daily IDCW</t>
  </si>
  <si>
    <t>INF192K01DV5</t>
  </si>
  <si>
    <t>JM Low Duration Fund (Direct) - Fortnightly IDCW</t>
  </si>
  <si>
    <t>INF192K01DW3</t>
  </si>
  <si>
    <t>JM Low Duration Fund (Direct) - Growth</t>
  </si>
  <si>
    <t>INF192K01DU7</t>
  </si>
  <si>
    <t>JM Low Duration Fund (Direct) - Weekly IDCW</t>
  </si>
  <si>
    <t>INF192K01AV1</t>
  </si>
  <si>
    <t>JM Low Duration Fund (Regular) - Daily IDCW</t>
  </si>
  <si>
    <t>INF192K01AX7</t>
  </si>
  <si>
    <t xml:space="preserve">JM Low Duration Fund (Regular) - Fortnightly IDCW </t>
  </si>
  <si>
    <t>INF192K01AY5</t>
  </si>
  <si>
    <t>JM Low Duration Fund (Regular) - Growth Option</t>
  </si>
  <si>
    <t>INF192K01AW9</t>
  </si>
  <si>
    <t>JM Low Duration Fund (Regular) - Weekly IDCW</t>
  </si>
  <si>
    <t>INF192K01FJ5</t>
  </si>
  <si>
    <t>JM Low Duration Fund - Bonus Option - Principal Units</t>
  </si>
  <si>
    <t>INF178L01AZ9</t>
  </si>
  <si>
    <t>INF178L01AY2</t>
  </si>
  <si>
    <t>Kotak Low Duration Fund - Direct Plan- Standard Income Distribution cum capital withdrawal option</t>
  </si>
  <si>
    <t>INF178L01AX4</t>
  </si>
  <si>
    <t>Kotak Low Duration Fund- Direct Plan- Growth Option</t>
  </si>
  <si>
    <t>INF178L01202</t>
  </si>
  <si>
    <t>Kotak Low Duration Fund- Regular Plan-Growth Option</t>
  </si>
  <si>
    <t>INF178L01210</t>
  </si>
  <si>
    <t>INF178L01228</t>
  </si>
  <si>
    <t>Kotak Low Duration Fund- Regular Plan-Standard Income Distribution cum capital withdrawal option</t>
  </si>
  <si>
    <t>INF767K01FL0</t>
  </si>
  <si>
    <t>INF767K01FN6</t>
  </si>
  <si>
    <t>LIC MF Low Duration Fund-Direct Plan-Daily IDCW</t>
  </si>
  <si>
    <t>INF767K01FM8</t>
  </si>
  <si>
    <t>LIC MF Low Duration Fund-Direct Plan-Growth</t>
  </si>
  <si>
    <t>INF767K01FP1</t>
  </si>
  <si>
    <t>INF767K01FO4</t>
  </si>
  <si>
    <t>LIC MF Low Duration Fund-Direct Plan-Monthly IDCW</t>
  </si>
  <si>
    <t>INF767K01JJ6</t>
  </si>
  <si>
    <t>INF767K01JK4</t>
  </si>
  <si>
    <t>LIC MF Low Duration Fund-Direct Plan-Weekly IDCW</t>
  </si>
  <si>
    <t>INF767K01AK3</t>
  </si>
  <si>
    <t>INF767K01AL1</t>
  </si>
  <si>
    <t>LIC MF Low Duration Fund-Regular Plan-Daily IDCW</t>
  </si>
  <si>
    <t>INF767K01AO5</t>
  </si>
  <si>
    <t>LIC MF Low Duration Fund-Regular Plan-Growth</t>
  </si>
  <si>
    <t>INF767K01AM9</t>
  </si>
  <si>
    <t>INF767K01AN7</t>
  </si>
  <si>
    <t>LIC MF Low Duration Fund-Regular Plan-Monthly IDCW</t>
  </si>
  <si>
    <t>INF767K01AP2</t>
  </si>
  <si>
    <t>INF767K01AQ0</t>
  </si>
  <si>
    <t>LIC MF Low Duration Fund-Regular Plan-Weekly IDCW</t>
  </si>
  <si>
    <t>INF174V01275</t>
  </si>
  <si>
    <t>Mahindra Manulife Low Duration Fund - Direct Plan - Daily IDCW</t>
  </si>
  <si>
    <t>INF174V01309</t>
  </si>
  <si>
    <t>INF174V01291</t>
  </si>
  <si>
    <t>Mahindra Manulife Low Duration Fund - Direct Plan - Monthly IDCW</t>
  </si>
  <si>
    <t>INF174V01283</t>
  </si>
  <si>
    <t>Mahindra Manulife Low Duration Fund - Direct Plan - Weekly IDCW</t>
  </si>
  <si>
    <t>INF174V01267</t>
  </si>
  <si>
    <t>Mahindra Manulife Low Duration Fund - Direct Plan -Growth</t>
  </si>
  <si>
    <t>INF174V01226</t>
  </si>
  <si>
    <t>Mahindra Manulife Low Duration Fund - Regular Plan - Daily IDCW</t>
  </si>
  <si>
    <t>INF174V01218</t>
  </si>
  <si>
    <t>Mahindra Manulife Low Duration Fund - Regular Plan - Growth</t>
  </si>
  <si>
    <t>INF174V01259</t>
  </si>
  <si>
    <t>INF174V01242</t>
  </si>
  <si>
    <t>Mahindra Manulife Low Duration Fund - Regular Plan - Monthly IDCW</t>
  </si>
  <si>
    <t>INF174V01234</t>
  </si>
  <si>
    <t>Mahindra Manulife Low Duration Fund - Regular Plan - Weekly IDCW</t>
  </si>
  <si>
    <t>INF769K01BR2</t>
  </si>
  <si>
    <t>Mirae Asset Low Duration Fund - Direct Plan - Daily IDCW</t>
  </si>
  <si>
    <t>INF769K01BO9</t>
  </si>
  <si>
    <t>Mirae Asset Low Duration Fund - Direct Plan - Growth</t>
  </si>
  <si>
    <t>INF769K01BP6</t>
  </si>
  <si>
    <t>INF769K01BT8</t>
  </si>
  <si>
    <t>Mirae Asset Low Duration Fund - Direct Plan - Monthly IDCW</t>
  </si>
  <si>
    <t>INF769K01BQ4</t>
  </si>
  <si>
    <t>INF769K01BU6</t>
  </si>
  <si>
    <t>Mirae Asset Low Duration Fund - Direct Plan - Quarterly IDCW</t>
  </si>
  <si>
    <t>INF769K01BS0</t>
  </si>
  <si>
    <t>Mirae Asset Low Duration Fund - Direct Plan - Weekly IDCW</t>
  </si>
  <si>
    <t>INF769K01986</t>
  </si>
  <si>
    <t>Mirae Asset Low Duration Fund - Regular Plan - Daily IDCW</t>
  </si>
  <si>
    <t>INF769K01937</t>
  </si>
  <si>
    <t>Mirae Asset Low Duration Fund - Regular Plan - Growth</t>
  </si>
  <si>
    <t>INF769K01960</t>
  </si>
  <si>
    <t>INF769K01AA0</t>
  </si>
  <si>
    <t>Mirae Asset Low Duration Fund - Regular Plan - Monthly IDCW</t>
  </si>
  <si>
    <t>INF769K01978</t>
  </si>
  <si>
    <t>INF769K01AB8</t>
  </si>
  <si>
    <t>Mirae Asset Low Duration Fund - Regular Plan - Quarterly IDCW</t>
  </si>
  <si>
    <t>INF769K01994</t>
  </si>
  <si>
    <t>Mirae Asset Low Duration Fund - Regular Plan - Weekly IDCW</t>
  </si>
  <si>
    <t>INF204K01EX2</t>
  </si>
  <si>
    <t>NIPPON INDIA LOW DURATION FUND - DAILY IDCW Option</t>
  </si>
  <si>
    <t>INF204K01ZV1</t>
  </si>
  <si>
    <t>NIPPON INDIA LOW DURATION FUND - DIRECT Plan - DAILY IDCW Option</t>
  </si>
  <si>
    <t>INF204KA1EK7</t>
  </si>
  <si>
    <t>INF204KA1EL5</t>
  </si>
  <si>
    <t>NIPPON INDIA LOW DURATION FUND - DIRECT Plan - IDCW Option</t>
  </si>
  <si>
    <t>INF204K01ZX7</t>
  </si>
  <si>
    <t>INF204K01ZY5</t>
  </si>
  <si>
    <t>NIPPON INDIA LOW DURATION FUND - DIRECT Plan - MONTHLY IDCW Option</t>
  </si>
  <si>
    <t>INF204K01ZZ2</t>
  </si>
  <si>
    <t>INF204K01A09</t>
  </si>
  <si>
    <t>NIPPON INDIA LOW DURATION FUND - DIRECT Plan - QUARTERLY IDCW Option</t>
  </si>
  <si>
    <t>INF204K01A17</t>
  </si>
  <si>
    <t>NIPPON INDIA LOW DURATION FUND - DIRECT Plan - WEEKLY IDCW Option</t>
  </si>
  <si>
    <t>INF204K01G03</t>
  </si>
  <si>
    <t>Nippon India Low Duration Fund - Direct Plan Growth Plan - Bonus Option</t>
  </si>
  <si>
    <t>INF204K01ZU3</t>
  </si>
  <si>
    <t>Nippon India Low Duration Fund - Direct Plan Growth Plan - Growth Option</t>
  </si>
  <si>
    <t>INF204KA1EI1</t>
  </si>
  <si>
    <t>INF204KA1EJ9</t>
  </si>
  <si>
    <t>NIPPON INDIA LOW DURATION FUND - IDCW Option</t>
  </si>
  <si>
    <t>INF204K01EZ7</t>
  </si>
  <si>
    <t>INF204K01FA7</t>
  </si>
  <si>
    <t>NIPPON INDIA LOW DURATION FUND - MONTHLY IDCW Option</t>
  </si>
  <si>
    <t>INF204K01FB5</t>
  </si>
  <si>
    <t>INF204K01FC3</t>
  </si>
  <si>
    <t>NIPPON INDIA LOW DURATION FUND - QUARTERLY IDCW Option</t>
  </si>
  <si>
    <t>INF204K01EP8</t>
  </si>
  <si>
    <t>NIPPON INDIA LOW DURATION FUND - RETAIL Plan - DAILY IDCW Option</t>
  </si>
  <si>
    <t>INF204K01EN3</t>
  </si>
  <si>
    <t>Nippon India Low Duration Fund - Retail Plan - Growth Plan - Growth Option</t>
  </si>
  <si>
    <t>INF204K01EO1</t>
  </si>
  <si>
    <t>Nippon India Low Duration Fund - Retail Plan - Growth Plan -Bonus Option</t>
  </si>
  <si>
    <t>INF204K01ER4</t>
  </si>
  <si>
    <t>INF204K01ES2</t>
  </si>
  <si>
    <t>NIPPON INDIA LOW DURATION FUND - RETAIL Plan - MONTHLY IDCW Option</t>
  </si>
  <si>
    <t>INF204K01ET0</t>
  </si>
  <si>
    <t>INF204K01EU8</t>
  </si>
  <si>
    <t>NIPPON INDIA LOW DURATION FUND - RETAIL Plan - QUARTERLY IDCW Option</t>
  </si>
  <si>
    <t>INF204K01OP7</t>
  </si>
  <si>
    <t>INF204K01EQ6</t>
  </si>
  <si>
    <t>NIPPON INDIA LOW DURATION FUND - RETAIL Plan - WEEKLY IDCW Option</t>
  </si>
  <si>
    <t>INF204K01OO0</t>
  </si>
  <si>
    <t>INF204K01EY0</t>
  </si>
  <si>
    <t>NIPPON INDIA LOW DURATION FUND - WEEKLY IDCW Option</t>
  </si>
  <si>
    <t>INF204K01EW4</t>
  </si>
  <si>
    <t>Nippon India Low Duration Fund -Growth Plan -Bonus Option</t>
  </si>
  <si>
    <t>INF204K01EV6</t>
  </si>
  <si>
    <t>Nippon India Low Duration Fund- Growth Plan - Growth Option</t>
  </si>
  <si>
    <t>INF200K01VJ3</t>
  </si>
  <si>
    <t>SBI Low Duration Fund - Direct Plan - Daily Income Distribution cum Capital Withdrawal Option (IDCW)</t>
  </si>
  <si>
    <t>INF200K01VK1</t>
  </si>
  <si>
    <t>INF200K01VL9</t>
  </si>
  <si>
    <t>SBI Low Duration Fund - Direct Plan - Fortnightly Income Distribution cum Capital Withdrawal Option (IDCW)</t>
  </si>
  <si>
    <t>INF200K01VM7</t>
  </si>
  <si>
    <t>SBI LOW DURATION FUND - DIRECT PLAN - GROWTH</t>
  </si>
  <si>
    <t>INF200K01VN5</t>
  </si>
  <si>
    <t>INF200K01VO3</t>
  </si>
  <si>
    <t>SBI Low Duration Fund - Direct Plan - Monthly Income Distribution cum Capital Withdrawal Option (IDCW)</t>
  </si>
  <si>
    <t>INF200K01VP0</t>
  </si>
  <si>
    <t>INF200K01VQ8</t>
  </si>
  <si>
    <t>SBI Low Duration Fund - Direct Plan - Weekly Income Distribution cum Capital Withdrawal Option (IDCW)</t>
  </si>
  <si>
    <t>INF200K01ML8</t>
  </si>
  <si>
    <t>SBI Low Duration Fund - Regular Plan - Daily Income Distribution cum Capital Withdrawal Option (IDCW)</t>
  </si>
  <si>
    <t>INF200K01MM6</t>
  </si>
  <si>
    <t>INF200K01MN4</t>
  </si>
  <si>
    <t>SBI Low Duration Fund - Regular Plan - Fornightly Income Distribution cum Capital Withdrawal Option (IDCW)</t>
  </si>
  <si>
    <t>INF200K01MO2</t>
  </si>
  <si>
    <t>SBI LOW DURATION FUND - REGULAR PLAN - GROWTH</t>
  </si>
  <si>
    <t>INF200K01MP9</t>
  </si>
  <si>
    <t>INF200K01MQ7</t>
  </si>
  <si>
    <t>SBI Low Duration Fund - Regular Plan - Monthly Income Distribution cum Capital Withdrawal Option (IDCW)</t>
  </si>
  <si>
    <t>INF200K01MR5</t>
  </si>
  <si>
    <t>INF200K01MS3</t>
  </si>
  <si>
    <t>SBI Low Duration Fund - Regular Plan - Weekly Income Distribution cum Capital Withdrawal Option (IDCW)</t>
  </si>
  <si>
    <t>INF200K01MD5</t>
  </si>
  <si>
    <t>SBI Short Horizon Debt Fund - Ultra Short Term Fund - Institutional Plan - Daily Income Distribution cum Capital Withdrawal Option (IDCW)</t>
  </si>
  <si>
    <t>INF200K01MG8</t>
  </si>
  <si>
    <t>SBI Short Horizon Debt Fund - Ultra Short Term Fund - Institutional Plan - Growth</t>
  </si>
  <si>
    <t>INF200K01MJ2</t>
  </si>
  <si>
    <t>INF200K01MK0</t>
  </si>
  <si>
    <t>SBI Short Horizon Debt Fund - Ultra Short Term Fund- Institutional Plan - Weekly Income Distribution cum Capital Withdrawal Option (IDCW)</t>
  </si>
  <si>
    <t>INF903JA1JW8</t>
  </si>
  <si>
    <t>Sundaram Low Duration Fund (Formerly Know as Principal Low Duation Fund) Regular Principal Units</t>
  </si>
  <si>
    <t>INF173K01FR8</t>
  </si>
  <si>
    <t>Sundaram Low Duration Fund (Formerly Known as Principal Low Duration Fund) - Direct Plan - Daily Income Distribution CUM Capital Withdrawal Option</t>
  </si>
  <si>
    <t>INF173K01FS6</t>
  </si>
  <si>
    <t>Sundaram Low Duration Fund (Formerly Known as Principal Low Duration Fund) - Direct Plan - Growth Option</t>
  </si>
  <si>
    <t>INF173K01FT4</t>
  </si>
  <si>
    <t>INF173K01FU2</t>
  </si>
  <si>
    <t>Sundaram Low Duration Fund (Formerly Known as Principal Low Duration Fund) - Direct Plan - Income Distribution CUM Capital Withdrawal Option (IDCW)</t>
  </si>
  <si>
    <t>INF903JA1KA2</t>
  </si>
  <si>
    <t>INF173K01FW8</t>
  </si>
  <si>
    <t>Sundaram Low Duration Fund (Formerly Known as Principal Low Duration Fund) - Direct Plan - Weekly Income Distribution CUM Capital Withdrawal Option</t>
  </si>
  <si>
    <t>INF903JA1JU2</t>
  </si>
  <si>
    <t>INF173K01DI2</t>
  </si>
  <si>
    <t>Sundaram Low Duration Fund (Formerly Known as Principal Low Duration Fund) - Weekly Income Distribution CUM Capital Withdrawal Option</t>
  </si>
  <si>
    <t>INF173K01DH4</t>
  </si>
  <si>
    <t>Sundaram Low Duration Fund (Formerly Known as Principal Low Duration Fund) -Daily Income Distribution CUM Capital Withdrawal Option</t>
  </si>
  <si>
    <t>INF903JA1KB0</t>
  </si>
  <si>
    <t>INF903JA1JX6</t>
  </si>
  <si>
    <t>Sundaram Low Duration Fund (Formerly Known as Principal Low Duration Fund) Direct Fortnightly IDCW</t>
  </si>
  <si>
    <t>INF903JA1JV0</t>
  </si>
  <si>
    <t>INF903JA1JR8</t>
  </si>
  <si>
    <t>Sundaram Low Duration Fund (Formerly Known as Principal Low Duration Fund) Regular Fortnightly IDCW</t>
  </si>
  <si>
    <t>INF903JA1JT4</t>
  </si>
  <si>
    <t>INF903JA1JS6</t>
  </si>
  <si>
    <t>Sundaram Low Duration Fund (Formerly Known as Principal Low Duration Fund) Regular Plan IDCW</t>
  </si>
  <si>
    <t>INF173K01DG6</t>
  </si>
  <si>
    <t>Sundaram Low Duration Fund (Formerly Known as Principal Low Duration Fund)- Growth Option</t>
  </si>
  <si>
    <t>INF173K01DJ0</t>
  </si>
  <si>
    <t>INF173K01DK8</t>
  </si>
  <si>
    <t>Sundaram Low Duration Fund (Formerly Known as Principal Low Duration Fund)- Income Distribution CUM Capital Withdrawal Option (IDCW)</t>
  </si>
  <si>
    <t>INF903JA1JZ1</t>
  </si>
  <si>
    <t>INF903JA1JY4</t>
  </si>
  <si>
    <t>Sundaram Low Duration Fund(Formerly Known as Principal Low Duration Fund) Direct Plan - IDCW</t>
  </si>
  <si>
    <t>INF277K01OK4</t>
  </si>
  <si>
    <t>Tata Treasury Advantage Fund - Direct Plan - Growth Option</t>
  </si>
  <si>
    <t>INF277K01MA9</t>
  </si>
  <si>
    <t>Tata Treasury Advantage Fund - Regular Plan - Growth Option</t>
  </si>
  <si>
    <t>INF277K018B3</t>
  </si>
  <si>
    <t>Tata Treasury Advantage Fund Direct Plan - Daily Reinvestment of IDCW Option</t>
  </si>
  <si>
    <t>INF277K01OL2</t>
  </si>
  <si>
    <t>INF277K01OM0</t>
  </si>
  <si>
    <t>Tata Treasury Advantage Fund Direct Plan - Periodic Payout of IDCW Option</t>
  </si>
  <si>
    <t>INF277K019B1</t>
  </si>
  <si>
    <t>INF277K010C8</t>
  </si>
  <si>
    <t>Tata Treasury Advantage Fund Direct Plan - Weekly Payout of IDCW Option</t>
  </si>
  <si>
    <t>INF277K01LZ8</t>
  </si>
  <si>
    <t>Tata Treasury Advantage Fund Regular Plan - Daily Reinvestment of IDCW Option</t>
  </si>
  <si>
    <t>INF277K01MC5</t>
  </si>
  <si>
    <t>INF277K01ME1</t>
  </si>
  <si>
    <t>Tata Treasury Advantage Fund Regular Plan - Periodic Payout of IDCW Option</t>
  </si>
  <si>
    <t>INF277K01MD3</t>
  </si>
  <si>
    <t>INF277K01MB7</t>
  </si>
  <si>
    <t>Tata Treasury Advantage Fund Regular Plan - Weekly Payout of IDCW Option</t>
  </si>
  <si>
    <t>INF582M01LQ6</t>
  </si>
  <si>
    <t>Union Low Duration Fund - Direct Plan - Growth Option</t>
  </si>
  <si>
    <t>INF582M01LR4</t>
  </si>
  <si>
    <t>INF582M01LS2</t>
  </si>
  <si>
    <t>Union Low Duration Fund - Direct Plan - IDCW Option</t>
  </si>
  <si>
    <t>INF582M01LU8</t>
  </si>
  <si>
    <t>Union Low Duration Fund - Regular Plan - Growth Option</t>
  </si>
  <si>
    <t>INF582M01LN3</t>
  </si>
  <si>
    <t>INF582M01LO1</t>
  </si>
  <si>
    <t>Union Low Duration Fund - Regular Plan - IDCW Option</t>
  </si>
  <si>
    <t>INF789F01XF9</t>
  </si>
  <si>
    <t>INF789F01XG7</t>
  </si>
  <si>
    <t>UTI Low Duration Fund - Direct Plan - Annual IDCW</t>
  </si>
  <si>
    <t>INF789F01XH5</t>
  </si>
  <si>
    <t>UTI Low Duration Fund - Direct Plan - Bonus Option</t>
  </si>
  <si>
    <t>INF789F01XE2</t>
  </si>
  <si>
    <t>UTI Low Duration Fund - Direct Plan - Daily IDCW (Reinvestment)</t>
  </si>
  <si>
    <t>INF789FA1O44</t>
  </si>
  <si>
    <t>INF789FA1O51</t>
  </si>
  <si>
    <t>UTI Low Duration Fund - Direct Plan - Flexi IDCW</t>
  </si>
  <si>
    <t>INF789FA1O02</t>
  </si>
  <si>
    <t>INF789FA1O10</t>
  </si>
  <si>
    <t>UTI Low Duration Fund - Direct Plan - Fortnightly IDCW</t>
  </si>
  <si>
    <t>INF789F01XI3</t>
  </si>
  <si>
    <t>UTI Low Duration Fund - Direct Plan - Growth Option</t>
  </si>
  <si>
    <t>INF789FA1O28</t>
  </si>
  <si>
    <t>INF789FA1O36</t>
  </si>
  <si>
    <t>UTI Low Duration Fund - Direct Plan - Half-Yearly IDCW</t>
  </si>
  <si>
    <t>INF789F01XJ1</t>
  </si>
  <si>
    <t>INF789F01XK9</t>
  </si>
  <si>
    <t>UTI Low Duration Fund - Direct Plan - Monthly IDCW</t>
  </si>
  <si>
    <t>INF789F01XL7</t>
  </si>
  <si>
    <t>INF789F01XM5</t>
  </si>
  <si>
    <t>UTI Low Duration Fund - Direct Plan - Quarterly IDCW</t>
  </si>
  <si>
    <t>INF789F01XN3</t>
  </si>
  <si>
    <t>INF789F01XO1</t>
  </si>
  <si>
    <t>UTI Low Duration Fund - Direct Plan - Weekly IDCW</t>
  </si>
  <si>
    <t>INF789F01OK8</t>
  </si>
  <si>
    <t>INF789F01OL6</t>
  </si>
  <si>
    <t>UTI Low Duration Fund - Discontinued - Annaul Dividend Option</t>
  </si>
  <si>
    <t>INF789F01349</t>
  </si>
  <si>
    <t>UTI Low Duration Fund - Discontinued - Periodic Dividend Plan</t>
  </si>
  <si>
    <t>INF789F01OO0</t>
  </si>
  <si>
    <t>INF789F01OP7</t>
  </si>
  <si>
    <t>UTI Low Duration Fund - Discontinued - Quarterly Dividend Option</t>
  </si>
  <si>
    <t>INF789F01OM4</t>
  </si>
  <si>
    <t>UTI Low Duration Fund - Discontinued Bonus Option</t>
  </si>
  <si>
    <t>INF789F01PA6</t>
  </si>
  <si>
    <t>UTI Low Duration Fund - Discontinued Flexi Dividend Plan</t>
  </si>
  <si>
    <t>INF789F01331</t>
  </si>
  <si>
    <t>UTI Low Duration Fund - Discontinued Growth Option</t>
  </si>
  <si>
    <t>INF789F01OY9</t>
  </si>
  <si>
    <t>INF789F01OZ6</t>
  </si>
  <si>
    <t>UTI Low Duration Fund - Discontinued Monthly Dividend Option</t>
  </si>
  <si>
    <t>INF789F01OS1</t>
  </si>
  <si>
    <t>UTI Low Duration Fund - Regular Plan - Bonus Option</t>
  </si>
  <si>
    <t>INF789F01ON2</t>
  </si>
  <si>
    <t>UTI Low Duration Fund - Regular Plan - Daily IDCW (Reinvestment)</t>
  </si>
  <si>
    <t>INF789FA1N86</t>
  </si>
  <si>
    <t>INF789FA1N94</t>
  </si>
  <si>
    <t>UTI Low Duration Fund - Regular Plan - Flexi IDCW</t>
  </si>
  <si>
    <t>INF789FA1N45</t>
  </si>
  <si>
    <t>INF789FA1N52</t>
  </si>
  <si>
    <t>UTI Low Duration Fund - Regular Plan - Fortnightly IDCW</t>
  </si>
  <si>
    <t>INF789F01OT9</t>
  </si>
  <si>
    <t>UTI Low Duration Fund - Regular Plan - Growth Option</t>
  </si>
  <si>
    <t>INF789FA1N60</t>
  </si>
  <si>
    <t>INF789FA1N78</t>
  </si>
  <si>
    <t>UTI Low Duration Fund - Regular Plan - Half-Yearly IDCW</t>
  </si>
  <si>
    <t>INF789F01OU7</t>
  </si>
  <si>
    <t>INF789F01OV5</t>
  </si>
  <si>
    <t>UTI Low Duration Fund - Regular Plan - Monthly IDCW</t>
  </si>
  <si>
    <t>INF789F01OW3</t>
  </si>
  <si>
    <t>INF789F01OX1</t>
  </si>
  <si>
    <t>UTI Low Duration Fund - Regular Plan - Quarterly IDCW</t>
  </si>
  <si>
    <t>INF789F01PB4</t>
  </si>
  <si>
    <t>INF789F01PC2</t>
  </si>
  <si>
    <t>UTI Low Duration Fund - Regular Plan - Weekly IDCW</t>
  </si>
  <si>
    <t>INF209KA1KN3</t>
  </si>
  <si>
    <t>Aditya Birla Sun Life Medium Term Plan - DIRECT - HALF YEARLY IDCW</t>
  </si>
  <si>
    <t>INF209KA1KO1</t>
  </si>
  <si>
    <t>Aditya Birla Sun Life Medium Term Plan - Direct - IDCW</t>
  </si>
  <si>
    <t>INF209KA1KP8</t>
  </si>
  <si>
    <t>Aditya Birla Sun Life Medium Term Plan - DIRECT - Quarterly IDCW</t>
  </si>
  <si>
    <t>INF209K01XA9</t>
  </si>
  <si>
    <t>Aditya Birla Sun Life Medium Term Plan - Growth - Direct Plan</t>
  </si>
  <si>
    <t>INF209K01603</t>
  </si>
  <si>
    <t>Aditya Birla Sun Life Medium Term Plan - Growth - Regular Plan</t>
  </si>
  <si>
    <t>INF209K01660</t>
  </si>
  <si>
    <t>Aditya Birla Sun Life Medium Term Plan - Institutional - Growth Plan</t>
  </si>
  <si>
    <t>INF209K01595</t>
  </si>
  <si>
    <t>INF209K01CZ0</t>
  </si>
  <si>
    <t>Aditya Birla Sun Life Medium Term Plan - REGULAR - HALFYEARLY IDCW</t>
  </si>
  <si>
    <t>INF209K01611</t>
  </si>
  <si>
    <t>INF209K01DA1</t>
  </si>
  <si>
    <t>Aditya Birla Sun Life Medium Term Plan - Regular - IDCW</t>
  </si>
  <si>
    <t>INF209K01637</t>
  </si>
  <si>
    <t>INF209KB1OJ2</t>
  </si>
  <si>
    <t>Aditya Birla Sun Life Medium Term Plan - REGULAR - Quarterly IDCW</t>
  </si>
  <si>
    <t>INF846K01DT0</t>
  </si>
  <si>
    <t>Axis Strategic Bond Fund - Direct Plan - Growth Option</t>
  </si>
  <si>
    <t>INF846K01DU8</t>
  </si>
  <si>
    <t>INF846K01DV6</t>
  </si>
  <si>
    <t>Axis Strategic Bond Fund - Direct Plan - Half Yearly IDCW</t>
  </si>
  <si>
    <t>INF846K01DW4</t>
  </si>
  <si>
    <t>INF846K01DX2</t>
  </si>
  <si>
    <t>Axis Strategic Bond Fund - Direct Plan - Quarterly IDCW</t>
  </si>
  <si>
    <t>INF846K01NO0</t>
  </si>
  <si>
    <t>Axis Strategic Bond Fund - Regular Plan - Bonus Option</t>
  </si>
  <si>
    <t>INF846K01BP2</t>
  </si>
  <si>
    <t>Axis Strategic Bond Fund - Regular Plan - Growth Option</t>
  </si>
  <si>
    <t>INF846K01BR8</t>
  </si>
  <si>
    <t>INF846K01BT4</t>
  </si>
  <si>
    <t>Axis Strategic Bond Fund - Regular Plan - Half Yearly IDCW</t>
  </si>
  <si>
    <t>INF846K01BQ0</t>
  </si>
  <si>
    <t>INF846K01BS6</t>
  </si>
  <si>
    <t>Axis Strategic Bond Fund - Regular Plan - Quarterly IDCW</t>
  </si>
  <si>
    <t>INF194K01T59</t>
  </si>
  <si>
    <t>INF194K01T42</t>
  </si>
  <si>
    <t>Bandhan Medium Duration Fund - Direct Plan - Bi Monthly IDCW</t>
  </si>
  <si>
    <t>INF194K01S68</t>
  </si>
  <si>
    <t>Bandhan Medium Duration Fund - Direct Plan - Daily IDCW</t>
  </si>
  <si>
    <t>INF194K01T83</t>
  </si>
  <si>
    <t>INF194K01T75</t>
  </si>
  <si>
    <t>Bandhan Medium Duration Fund - Direct Plan - Fortnightly IDCW</t>
  </si>
  <si>
    <t>INF194K01S50</t>
  </si>
  <si>
    <t>Bandhan Medium Duration Fund - Direct Plan - Growth</t>
  </si>
  <si>
    <t>INF194K01T26</t>
  </si>
  <si>
    <t>INF194K01T18</t>
  </si>
  <si>
    <t>Bandhan Medium Duration Fund - Direct Plan - Monthly IDCW</t>
  </si>
  <si>
    <t>INF194KA1TD2</t>
  </si>
  <si>
    <t>INF194KA1TE0</t>
  </si>
  <si>
    <t>Bandhan Medium Duration Fund - Direct Plan - Periodic IDCW</t>
  </si>
  <si>
    <t>INF194K01S92</t>
  </si>
  <si>
    <t>INF194K01S84</t>
  </si>
  <si>
    <t>Bandhan Medium Duration Fund - Direct Plan - Quarterly IDCW</t>
  </si>
  <si>
    <t>INF194K01KF9</t>
  </si>
  <si>
    <t>INF194K01KE2</t>
  </si>
  <si>
    <t>Bandhan Medium Duration Fund - Regular Plan - Bi-Monthly IDCW</t>
  </si>
  <si>
    <t>INF194K01JW6</t>
  </si>
  <si>
    <t>INF194K01JV8</t>
  </si>
  <si>
    <t>Bandhan Medium Duration Fund - Regular Plan - Daily IDCW</t>
  </si>
  <si>
    <t>INF194K01KI3</t>
  </si>
  <si>
    <t>INF194K01KH5</t>
  </si>
  <si>
    <t>Bandhan Medium Duration Fund - Regular Plan - Fortnightly IDCW</t>
  </si>
  <si>
    <t>INF194K01JU0</t>
  </si>
  <si>
    <t>Bandhan Medium Duration Fund - Regular Plan - Growth</t>
  </si>
  <si>
    <t>INF194K01KC6</t>
  </si>
  <si>
    <t>INF194K01KB8</t>
  </si>
  <si>
    <t>Bandhan Medium Duration Fund - Regular Plan - Monthly IDCW</t>
  </si>
  <si>
    <t>INF194KA1TA8</t>
  </si>
  <si>
    <t>INF194KA1TB6</t>
  </si>
  <si>
    <t>Bandhan Medium Duration Fund - Regular Plan - Periodic IDCW</t>
  </si>
  <si>
    <t>INF194K01JZ9</t>
  </si>
  <si>
    <t>INF194K01JY2</t>
  </si>
  <si>
    <t>Bandhan Medium Duration Fund - Regular Plan - Quarterly IDCW</t>
  </si>
  <si>
    <t>INF740K01MZ3</t>
  </si>
  <si>
    <t>DSP Bond Fund - Direct Plan - Growth</t>
  </si>
  <si>
    <t>INF740K01NB2</t>
  </si>
  <si>
    <t>INF740K01ND8</t>
  </si>
  <si>
    <t>DSP Bond Fund - Direct Plan - IDCW</t>
  </si>
  <si>
    <t>INF740K01NA4</t>
  </si>
  <si>
    <t>INF740K01NC0</t>
  </si>
  <si>
    <t>DSP Bond Fund - Direct Plan - IDCW - Monthly</t>
  </si>
  <si>
    <t>INF740K01557</t>
  </si>
  <si>
    <t>DSP Bond Fund - Growth</t>
  </si>
  <si>
    <t>INF740K01565</t>
  </si>
  <si>
    <t>INF740K01995</t>
  </si>
  <si>
    <t>DSP Bond Fund - IDCW</t>
  </si>
  <si>
    <t>INF740K01573</t>
  </si>
  <si>
    <t>INF740K01AA1</t>
  </si>
  <si>
    <t>DSP Bond Fund - IDCW - Monthly</t>
  </si>
  <si>
    <t>INF090I01JI9</t>
  </si>
  <si>
    <t>Franklin India Income Opportunities Fund - Direct - Growth</t>
  </si>
  <si>
    <t>INF090I01JG3</t>
  </si>
  <si>
    <t>INF090I01JH1</t>
  </si>
  <si>
    <t xml:space="preserve">Franklin India Income Opportunities Fund - Direct - IDCW </t>
  </si>
  <si>
    <t>INF090I01445</t>
  </si>
  <si>
    <t>Franklin India Income Opportunities Fund - Growth</t>
  </si>
  <si>
    <t>INF090I01452</t>
  </si>
  <si>
    <t>INF090I01460</t>
  </si>
  <si>
    <t xml:space="preserve">Franklin India Income Opportunities Fund - IDCW </t>
  </si>
  <si>
    <t>INF090I01TC1</t>
  </si>
  <si>
    <t>Franklin India Income Opportunities Fund- Segregated Portfolio 1- 8.25% Vodafone Idea Ltd-10JUL20-Direct Dividend Plan</t>
  </si>
  <si>
    <t>INF090I01TD9</t>
  </si>
  <si>
    <t>Franklin India Income Opportunities Fund- Segregated Portfolio 1- 8.25% Vodafone Idea Ltd-10JUL20-Direct Growth Plan</t>
  </si>
  <si>
    <t>INF090I01TA5</t>
  </si>
  <si>
    <t>Franklin India Income Opportunities Fund- Segregated Portfolio 1- 8.25% Vodafone Idea Ltd-10JUL20-Dividend Plan</t>
  </si>
  <si>
    <t>INF090I01TB3</t>
  </si>
  <si>
    <t>Franklin India Income Opportunities Fund- Segregated Portfolio 1- 8.25% Vodafone Idea Ltd-10JUL20-Growth Plan</t>
  </si>
  <si>
    <t>INF090I01TG2</t>
  </si>
  <si>
    <t>Franklin India Income Opportunities Fund- Segregated Portfolio 2 - 10.90% Vodafone Idea Ltd (02-Sep-2023) - Direct IDCW</t>
  </si>
  <si>
    <t>INF090I01TE7</t>
  </si>
  <si>
    <t>Franklin India Income Opportunities Fund- Segregated Portfolio 2 - 10.90% Vodafone Idea Ltd (02-Sep-2023) - IDCW</t>
  </si>
  <si>
    <t>INF090I01TH0</t>
  </si>
  <si>
    <t>Franklin India Income Opportunities Fund- Segregated Portfolio 2- 10.90% Vodafone Idea Ltd 02Sep2023-Direct Growth Plan</t>
  </si>
  <si>
    <t>INF090I01TF4</t>
  </si>
  <si>
    <t>Franklin India Income Opportunities Fund- Segregated Portfolio 2- 10.90% Vodafone Idea Ltd 02Sep2023-Growth Plan</t>
  </si>
  <si>
    <t>INF179K01897</t>
  </si>
  <si>
    <t>INF179K01905</t>
  </si>
  <si>
    <t>HDFC Medium Term Debt Fund - Fornightly IDCW Option</t>
  </si>
  <si>
    <t>INF179KA1NP8</t>
  </si>
  <si>
    <t>INF179KA1NO1</t>
  </si>
  <si>
    <t>HDFC Medium Term Debt Fund - Fortnightly IDCW Opt - Direct Plan</t>
  </si>
  <si>
    <t>INF179K01913</t>
  </si>
  <si>
    <t>HDFC Medium Term Debt Fund - Growth Option</t>
  </si>
  <si>
    <t>INF179K01WI9</t>
  </si>
  <si>
    <t>HDFC Medium Term Debt Fund - Growth Option - Direct Plan</t>
  </si>
  <si>
    <t>INF179KA1E16</t>
  </si>
  <si>
    <t>INF179KA1E08</t>
  </si>
  <si>
    <t>HDFC Medium Term Debt Fund - IDCW Option</t>
  </si>
  <si>
    <t>INF179KA1D90</t>
  </si>
  <si>
    <t>INF179KA1D82</t>
  </si>
  <si>
    <t>HDFC Medium Term Debt Fund - IDCW Option - Direct Plan</t>
  </si>
  <si>
    <t>INF917K01WF8</t>
  </si>
  <si>
    <t>INF917K01WC5</t>
  </si>
  <si>
    <t>HSBC Medium Duration Fund - Direct Annual IDCW</t>
  </si>
  <si>
    <t>INF917K01TK4</t>
  </si>
  <si>
    <t>HSBC Medium Duration Fund - Direct Growth</t>
  </si>
  <si>
    <t>INF917K01TM0</t>
  </si>
  <si>
    <t>INF917K01TL2</t>
  </si>
  <si>
    <t>HSBC Medium Duration Fund - Direct IDCW</t>
  </si>
  <si>
    <t>INF917K01WE1</t>
  </si>
  <si>
    <t>INF917K01WD3</t>
  </si>
  <si>
    <t>HSBC Medium Duration Fund - Regular Annual IDCW</t>
  </si>
  <si>
    <t>INF917K01TH0</t>
  </si>
  <si>
    <t>HSBC Medium Duration Fund - Regular Growth</t>
  </si>
  <si>
    <t>INF917K01TJ6</t>
  </si>
  <si>
    <t>INF917K01TI8</t>
  </si>
  <si>
    <t>HSBC Medium Duration Fund - Regular IDCW</t>
  </si>
  <si>
    <t>INF109KA12G3</t>
  </si>
  <si>
    <t>INF109KA13G1</t>
  </si>
  <si>
    <t>ICICI Prudential Medium Term Bond Fund - Annual IDCW</t>
  </si>
  <si>
    <t>INF109KA1B99</t>
  </si>
  <si>
    <t>ICICI Prudential Medium Term Bond Fund - Bonus</t>
  </si>
  <si>
    <t>INF109K015A5</t>
  </si>
  <si>
    <t>ICICI Prudential Medium Term Bond Fund - Direct Plan - Growth</t>
  </si>
  <si>
    <t>INF109K016A3</t>
  </si>
  <si>
    <t>INF109K017A1</t>
  </si>
  <si>
    <t>ICICI Prudential Medium Term Bond Fund - Direct Plan - Half Yearly IDCW</t>
  </si>
  <si>
    <t>INF109K018A9</t>
  </si>
  <si>
    <t>INF109K019A7</t>
  </si>
  <si>
    <t>ICICI Prudential Medium Term Bond Fund - Direct Plan - Quarterly IDCW</t>
  </si>
  <si>
    <t>INF109KA1B81</t>
  </si>
  <si>
    <t>ICICI Prudential Medium Term Bond Fund - Direct Plan Bonus</t>
  </si>
  <si>
    <t>INF109K01AH4</t>
  </si>
  <si>
    <t>ICICI Prudential Medium Term Bond Fund - Growth</t>
  </si>
  <si>
    <t>INF109K01B53</t>
  </si>
  <si>
    <t>INF109K01B61</t>
  </si>
  <si>
    <t>ICICI Prudential Medium Term Bond Fund - Half Yearly IDCW</t>
  </si>
  <si>
    <t>INF109K01UF6</t>
  </si>
  <si>
    <t>INF109K01IO3</t>
  </si>
  <si>
    <t>ICICI Prudential Medium Term Bond Fund - Quarterly IDCW</t>
  </si>
  <si>
    <t>INF109KA10G7</t>
  </si>
  <si>
    <t>INF109KA11G5</t>
  </si>
  <si>
    <t>ICICI Prudential Medium Term Bond Fund -Direct Plan - Annual IDCW</t>
  </si>
  <si>
    <t>INF109K01UD1</t>
  </si>
  <si>
    <t>INF109K01IP0</t>
  </si>
  <si>
    <t>ICICI Prudential Medium Term Bond Fund Plan A - Weekly Dividend</t>
  </si>
  <si>
    <t>INF109K01B87</t>
  </si>
  <si>
    <t>ICICI Prudential Medium Term Bond Fund Plan B - Half Yearly Dividend</t>
  </si>
  <si>
    <t>INF109K01UI0</t>
  </si>
  <si>
    <t>INF109K01IQ8</t>
  </si>
  <si>
    <t>ICICI Prudential Medium Term Bond Fund Plan B - Quarterly Dividend</t>
  </si>
  <si>
    <t>INF109K01UO8</t>
  </si>
  <si>
    <t>INF109K01UN0</t>
  </si>
  <si>
    <t>ICICI Prudential Medium Term Bond Fund Plan C - Quarterly Dividend</t>
  </si>
  <si>
    <t>INF109K01AJ0</t>
  </si>
  <si>
    <t>ICICI Prudential Medium Term Bond Fund-Plan B-Growth</t>
  </si>
  <si>
    <t>INF205KA1411</t>
  </si>
  <si>
    <t>INF205KA1445</t>
  </si>
  <si>
    <t>Invesco India Medium Duration Fund - Direct Plan - Discretionary IDCW (Payout/Reinvestment)</t>
  </si>
  <si>
    <t>INF205KA1429</t>
  </si>
  <si>
    <t>Invesco India Medium Duration Fund - Direct Plan - Growth</t>
  </si>
  <si>
    <t>INF205KA1403</t>
  </si>
  <si>
    <t>INF205KA1437</t>
  </si>
  <si>
    <t>Invesco India Medium Duration Fund - Direct Plan - Quarterly IDCW (Payout / Reinvestment))</t>
  </si>
  <si>
    <t>INF205KA1361</t>
  </si>
  <si>
    <t>INF205KA1395</t>
  </si>
  <si>
    <t>Invesco India Medium Duration Fund - Regular Plan - Discretionary IDCW(Payout / Reinvestment))</t>
  </si>
  <si>
    <t>INF205KA1379</t>
  </si>
  <si>
    <t>Invesco India Medium Duration Fund - Regular Plan - Growth</t>
  </si>
  <si>
    <t>INF205KA1353</t>
  </si>
  <si>
    <t>INF205KA1387</t>
  </si>
  <si>
    <t>Invesco India Medium Duration Fund - Regular Plan - Quarterly IDCW (Payout / Reinvestment)</t>
  </si>
  <si>
    <t>INF174K01VS1</t>
  </si>
  <si>
    <t>INF174K01VU7</t>
  </si>
  <si>
    <t>Kotak Medium Term Fund - Direct - Standard Income Distribution cum capital withdrawal option</t>
  </si>
  <si>
    <t>INF174K01VQ5</t>
  </si>
  <si>
    <t>Kotak Medium Term Fund - Direct Growth</t>
  </si>
  <si>
    <t>INF174K01VL6</t>
  </si>
  <si>
    <t>Kotak Medium Term Fund - Growth</t>
  </si>
  <si>
    <t>INF174K01VN2</t>
  </si>
  <si>
    <t>INF174K01VP7</t>
  </si>
  <si>
    <t>Kotak Medium Term Fund - Standard Income Distribution cum capital withdrawal option</t>
  </si>
  <si>
    <t>INF204KA1QA2</t>
  </si>
  <si>
    <t>Nippon India Medium Duration  Fund - Bonus Option</t>
  </si>
  <si>
    <t>INF204KB16M9</t>
  </si>
  <si>
    <t>INF204KB17M7</t>
  </si>
  <si>
    <t>NIPPON INDIA MEDIUM DURATION  FUND - SEGREGATED PORTFOLIO 1 - Direct Plan - QUARTERLY IDCW Option</t>
  </si>
  <si>
    <t>INF204KB12N6</t>
  </si>
  <si>
    <t>INF204KB13N4</t>
  </si>
  <si>
    <t>NIPPON INDIA MEDIUM DURATION  FUND - SEGREGATED PORTFOLIO 1 - QUARTERLY IDCW Option</t>
  </si>
  <si>
    <t>INF204KB11R9</t>
  </si>
  <si>
    <t>Nippon India Medium Duration  Fund - Segregated Portfolio 2 - Bonus Option</t>
  </si>
  <si>
    <t>INF204KB16Q0</t>
  </si>
  <si>
    <t>INF204KB17Q8</t>
  </si>
  <si>
    <t>NIPPON INDIA MEDIUM DURATION FUND -  SEGREGATED PORTFOLIO 2 - DIRECT Plan - IDCW Option</t>
  </si>
  <si>
    <t>INF204KB18Q6</t>
  </si>
  <si>
    <t>INF204KB19Q4</t>
  </si>
  <si>
    <t>NIPPON INDIA MEDIUM DURATION FUND -  SEGREGATED PORTFOLIO 2 - DIRECT Plan - QUARTERLY IDCW Option</t>
  </si>
  <si>
    <t>INF204KB12R7</t>
  </si>
  <si>
    <t>INF204KB13R5</t>
  </si>
  <si>
    <t>NIPPON INDIA MEDIUM DURATION FUND -  SEGREGATED PORTFOLIO 2 - IDCW Option</t>
  </si>
  <si>
    <t>INF204KB14R3</t>
  </si>
  <si>
    <t>INF204KB15R0</t>
  </si>
  <si>
    <t>NIPPON INDIA MEDIUM DURATION FUND -  SEGREGATED PORTFOLIO 2 - QUARTERLY IDCW Option</t>
  </si>
  <si>
    <t>INF204KA1QG9</t>
  </si>
  <si>
    <t>Nippon India Medium Duration Fund - Direct Plan - Bonus Option</t>
  </si>
  <si>
    <t>INF204KA1QF1</t>
  </si>
  <si>
    <t>Nippon India Medium Duration Fund - Direct Plan - Growth Option</t>
  </si>
  <si>
    <t>INF204KA1QH7</t>
  </si>
  <si>
    <t>INF204KA1QJ3</t>
  </si>
  <si>
    <t>NIPPON INDIA MEDIUM DURATION FUND - DIRECT Plan - IDCW Option</t>
  </si>
  <si>
    <t>INF204KA1QI5</t>
  </si>
  <si>
    <t>INF204KA1QK1</t>
  </si>
  <si>
    <t>NIPPON INDIA MEDIUM DURATION FUND - DIRECT Plan - QUARTERLY IDCW Option</t>
  </si>
  <si>
    <t>INF204KA1PZ1</t>
  </si>
  <si>
    <t>Nippon India Medium Duration Fund - Growth Option</t>
  </si>
  <si>
    <t>INF204KA1QB0</t>
  </si>
  <si>
    <t>INF204KA1QD6</t>
  </si>
  <si>
    <t>NIPPON INDIA MEDIUM DURATION FUND - IDCW Option</t>
  </si>
  <si>
    <t>INF204KA1QC8</t>
  </si>
  <si>
    <t>INF204KA1QE4</t>
  </si>
  <si>
    <t>NIPPON INDIA MEDIUM DURATION FUND - QUARTERLY IDCW Option</t>
  </si>
  <si>
    <t>INF204KB19M3</t>
  </si>
  <si>
    <t>Nippon India Medium Duration Fund - Segregated Portfolio 1 - Bonus Option</t>
  </si>
  <si>
    <t>INF204KB13M6</t>
  </si>
  <si>
    <t>Nippon India Medium Duration Fund - Segregated Portfolio 1 - Direct Plan - Bonus Option</t>
  </si>
  <si>
    <t>INF204KB18M5</t>
  </si>
  <si>
    <t>Nippon India Medium Duration Fund - Segregated Portfolio 1 - Direct Plan - Growth Option</t>
  </si>
  <si>
    <t>INF204KB14M4</t>
  </si>
  <si>
    <t>INF204KB15M1</t>
  </si>
  <si>
    <t>NIPPON INDIA MEDIUM DURATION FUND - SEGREGATED PORTFOLIO 1 - Direct Plan - IDCW Option</t>
  </si>
  <si>
    <t>INF204KB14N2</t>
  </si>
  <si>
    <t>Nippon India Medium Duration Fund - Segregated Portfolio 1 - Growth Option</t>
  </si>
  <si>
    <t>INF204KB10N0</t>
  </si>
  <si>
    <t>INF204KB11N8</t>
  </si>
  <si>
    <t>NIPPON INDIA MEDIUM DURATION FUND - SEGREGATED PORTFOLIO 1 - IDCW Option</t>
  </si>
  <si>
    <t>INF204KB15Q2</t>
  </si>
  <si>
    <t>Nippon India Medium Duration Fund - Segregated Portfolio 2 - Direct Plan - Bonus Option</t>
  </si>
  <si>
    <t>INF204KB10R1</t>
  </si>
  <si>
    <t>Nippon India Medium Duration Fund - Segregated Portfolio 2 - Direct Plan - Growth Option</t>
  </si>
  <si>
    <t>INF204KB16R8</t>
  </si>
  <si>
    <t>Nippon India Medium Duration Fund - Segregated Portfolio 2 - Growth Option</t>
  </si>
  <si>
    <t>INF200K01VB0</t>
  </si>
  <si>
    <t>SBI MEDIUM DURATION FUND - DIRECT PLAN - GROWTH</t>
  </si>
  <si>
    <t>INF200K01UZ1</t>
  </si>
  <si>
    <t>INF200K01VA2</t>
  </si>
  <si>
    <t>SBI Medium Duration Fund - Direct Plan - Income Distribution cum Capital Withdrawal Option (IDCW)</t>
  </si>
  <si>
    <t>INF200K01719</t>
  </si>
  <si>
    <t>SBI MEDIUM DURATION FUND - REGULAR PLAN - GROWTH</t>
  </si>
  <si>
    <t>INF200K01727</t>
  </si>
  <si>
    <t>INF200K01735</t>
  </si>
  <si>
    <t>SBI Medium Duration Fund - Regular Plan - Income Distribution cum Capital Withdrawal Option (IDCW)</t>
  </si>
  <si>
    <t>INF903J01PO6</t>
  </si>
  <si>
    <t>Sundaram Medium Duration Fund (Formerly Known as Sundaram Medium Term Bond Fund) Direct Plan - Growth</t>
  </si>
  <si>
    <t>INF903J01PH0</t>
  </si>
  <si>
    <t>INF903J01PM0</t>
  </si>
  <si>
    <t>Sundaram Medium Duration Fund (Formerly Known as Sundaram Medium Term Bond Fund) Direct Plan -Income Distribution cum Capital Withdrawal (IDCW)</t>
  </si>
  <si>
    <t>INF903J01PK4</t>
  </si>
  <si>
    <t>INF903J01PL2</t>
  </si>
  <si>
    <t>Sundaram Medium Duration Fund (Formerly Known as Sundaram Medium Term Bond Fund) Direct Plan-Income Distribution cum Capital Withdrawal (IDCW)</t>
  </si>
  <si>
    <t>INF903J01FY6</t>
  </si>
  <si>
    <t>Sundaram Medium Duration Fund (Formerly Known as Sundaram Medium Term Bond Fund) Institutional Plan - Growth</t>
  </si>
  <si>
    <t>INF903J01FQ2</t>
  </si>
  <si>
    <t>Sundaram Medium Duration Fund (Formerly Known as Sundaram Medium Term Bond Fund) Regular Plan - Growth</t>
  </si>
  <si>
    <t>INF903J01FX8</t>
  </si>
  <si>
    <t>Sundaram Medium Duration Fund (Formerly Known as Sundaram Medium Term Bond Fund) Regular Plan -Growth</t>
  </si>
  <si>
    <t>INF903J01FT6</t>
  </si>
  <si>
    <t>INF903J01FW0</t>
  </si>
  <si>
    <t>Sundaram Medium Duration Fund (Formerly Known as Sundaram Medium Term Bond Fund) Regular Plan -Income Distribution cum Capital Withdrawal (IDCW)</t>
  </si>
  <si>
    <t>INF903J01FS8</t>
  </si>
  <si>
    <t>INF903J01FV2</t>
  </si>
  <si>
    <t>Sundaram Medium Duration Fund (Formerly Known as Sundaram Medium Term Bond Fund) Regular Plan- Income Distribution cum Capital Withdrawal(IDCW)</t>
  </si>
  <si>
    <t>INF903J01FR0</t>
  </si>
  <si>
    <t>INF903J01FU4</t>
  </si>
  <si>
    <t>Sundaram Medium Duration Fund (Formerly Known as Sundaram Medium Term Bond Fund) Regular Plan-Income Distribution cum Capital Withdrawal(IDCW)</t>
  </si>
  <si>
    <t>INF277K01717</t>
  </si>
  <si>
    <t>Tata Medium Term Fund -Regular Plan - Growth Option</t>
  </si>
  <si>
    <t>INF277K01PG9</t>
  </si>
  <si>
    <t>INF277K01PH7</t>
  </si>
  <si>
    <t>Tata Medium Term Fund- Direct Plan - Payout of IDCW Option</t>
  </si>
  <si>
    <t>INF277K01PI5</t>
  </si>
  <si>
    <t>Tata Medium Term Fund- Direct Plan- Growth Option</t>
  </si>
  <si>
    <t>INF277K01DW2</t>
  </si>
  <si>
    <t>INF277K01709</t>
  </si>
  <si>
    <t>Tata Medium Term Fund- Regular Plan - Payout of IDCW option</t>
  </si>
  <si>
    <t>INF789F1ASC5</t>
  </si>
  <si>
    <t>INF789F1ASD3</t>
  </si>
  <si>
    <t>UTI - Medium Term Fund (Segregated - 06032020) - Direct Plan - Annual Dividend Option</t>
  </si>
  <si>
    <t>INF789F1ASG6</t>
  </si>
  <si>
    <t>INF789F1ASH4</t>
  </si>
  <si>
    <t>UTI - Medium Term Fund (Segregated - 06032020) - Direct Plan - Flexi Dividend Option</t>
  </si>
  <si>
    <t>INF789F1ASB7</t>
  </si>
  <si>
    <t>UTI - Medium Term Fund (Segregated - 06032020) - Direct Plan - Growth Option</t>
  </si>
  <si>
    <t>INF789F1ASE1</t>
  </si>
  <si>
    <t>INF789F1ASF8</t>
  </si>
  <si>
    <t>UTI - Medium Term Fund (Segregated - 06032020) - Direct Plan - Half Yearly Dividend Option</t>
  </si>
  <si>
    <t>INF789F1ASI2</t>
  </si>
  <si>
    <t>INF789F1ASJ0</t>
  </si>
  <si>
    <t>UTI - Medium Term Fund (Segregated - 06032020) - Direct Plan - Monthly Dividend Option</t>
  </si>
  <si>
    <t>INF789F1ARZ8</t>
  </si>
  <si>
    <t>INF789F1ASA9</t>
  </si>
  <si>
    <t>UTI - Medium Term Fund (Segregated - 06032020) - Direct Plan - Quarterly Dividend Option</t>
  </si>
  <si>
    <t>INF789F1ASN2</t>
  </si>
  <si>
    <t>INF789F1ASO0</t>
  </si>
  <si>
    <t>UTI - Medium Term Fund (Segregated - 06032020) - Regular Plan - Annual Dividend Option</t>
  </si>
  <si>
    <t>INF789F1ASR3</t>
  </si>
  <si>
    <t>INF789F1ASS1</t>
  </si>
  <si>
    <t>UTI - Medium Term Fund (Segregated - 06032020) - Regular Plan - Flexi Dividend Option</t>
  </si>
  <si>
    <t>INF789F1ASM4</t>
  </si>
  <si>
    <t>UTI - Medium Term Fund (Segregated - 06032020) - Regular Plan - Growth Option</t>
  </si>
  <si>
    <t>INF789F1ASP7</t>
  </si>
  <si>
    <t>INF789F1ASQ5</t>
  </si>
  <si>
    <t>UTI - Medium Term Fund (Segregated - 06032020) - Regular Plan - Half Yearly Dividend Option</t>
  </si>
  <si>
    <t>INF789F1AST9</t>
  </si>
  <si>
    <t>INF789F1ASU7</t>
  </si>
  <si>
    <t>UTI - Medium Term Fund (Segregated - 06032020) - Regular Plan - Monthly Dividend Option</t>
  </si>
  <si>
    <t>INF789F1ASK8</t>
  </si>
  <si>
    <t>INF789F1ASL6</t>
  </si>
  <si>
    <t>UTI - Medium Term Fund (Segregated - 06032020) - Regular Plan - Quarterly Dividend Option</t>
  </si>
  <si>
    <t>UTI - Medium Term Fund (Segregated - 07072020) - Direct  Plan - Monthly Dividend Option</t>
  </si>
  <si>
    <t>UTI - Medium Term Fund (Segregated - 07072020) - Direct Plan - Annual Dividend Option</t>
  </si>
  <si>
    <t>UTI - Medium Term Fund (Segregated - 07072020) - Direct Plan - Flexi Dividend Option</t>
  </si>
  <si>
    <t>UTI - Medium Term Fund (Segregated - 07072020) - Direct Plan - Growth Option</t>
  </si>
  <si>
    <t>UTI - Medium Term Fund (Segregated - 07072020) - Direct Plan - Half Yearly Dividend Option</t>
  </si>
  <si>
    <t>UTI - Medium Term Fund (Segregated - 07072020) - Direct Plan - Quarterly Dividend Option</t>
  </si>
  <si>
    <t>UTI - Medium Term Fund (Segregated - 07072020) - Regular Plan - Annual Dividend Option</t>
  </si>
  <si>
    <t>UTI - Medium Term Fund (Segregated - 07072020) - Regular Plan - Flexi Dividend Option</t>
  </si>
  <si>
    <t>UTI - Medium Term Fund (Segregated - 07072020) - Regular Plan - Growth Option</t>
  </si>
  <si>
    <t>UTI - Medium Term Fund (Segregated - 07072020) - Regular Plan - Half Yearly Dividend Option</t>
  </si>
  <si>
    <t>UTI - Medium Term Fund (Segregated - 07072020) - Regular Plan - Monthly Dividend Option</t>
  </si>
  <si>
    <t>UTI - Medium Term Fund (Segregated - 07072020) - Regular Plan - Quarterly Dividend Option</t>
  </si>
  <si>
    <t>INF789F1AOC4</t>
  </si>
  <si>
    <t>UTI - Medium Term Fund (Segregated - 17022020) - Direct Plan - Growth Option</t>
  </si>
  <si>
    <t>INF789F1AON1</t>
  </si>
  <si>
    <t>UTI - Medium Term Fund (Segregated - 17022020) - Regular Plan - Growth Option</t>
  </si>
  <si>
    <t>INF789F1AOD2</t>
  </si>
  <si>
    <t>INF789F1AOE0</t>
  </si>
  <si>
    <t>UTI Medium Term Fund ( Segregated - 17022020 ) - Direct Plan - Annual IDCW</t>
  </si>
  <si>
    <t>INF789F1AOH3</t>
  </si>
  <si>
    <t>INF789F1AOI1</t>
  </si>
  <si>
    <t>UTI Medium Term Fund ( Segregated - 17022020 ) - Direct Plan - Flexi IDCW</t>
  </si>
  <si>
    <t>INF789F1AOF7</t>
  </si>
  <si>
    <t>INF789F1AOG5</t>
  </si>
  <si>
    <t>UTI Medium Term Fund ( Segregated - 17022020 ) - Direct Plan - Half-Yearly IDCW</t>
  </si>
  <si>
    <t>INF789F1AOJ9</t>
  </si>
  <si>
    <t>INF789F1AOK7</t>
  </si>
  <si>
    <t>UTI Medium Term Fund ( Segregated - 17022020 ) - Direct Plan - Monthly IDCW</t>
  </si>
  <si>
    <t>INF789F1AOA8</t>
  </si>
  <si>
    <t>INF789F1AOB6</t>
  </si>
  <si>
    <t>UTI Medium Term Fund ( Segregated - 17022020 ) - Direct Plan - Quarterly IDCW</t>
  </si>
  <si>
    <t>INF789F1AOO9</t>
  </si>
  <si>
    <t>INF789F1AOP6</t>
  </si>
  <si>
    <t>UTI Medium Term Fund ( Segregated - 17022020 ) - Regular Plan - Annual IDCW</t>
  </si>
  <si>
    <t>INF789F1AOS0</t>
  </si>
  <si>
    <t>INF789F1AOT8</t>
  </si>
  <si>
    <t>UTI Medium Term Fund ( Segregated - 17022020 ) - Regular Plan - Flexi IDCW</t>
  </si>
  <si>
    <t>INF789F1AOQ4</t>
  </si>
  <si>
    <t>INF789F1AOR2</t>
  </si>
  <si>
    <t>UTI Medium Term Fund ( Segregated - 17022020 ) - Regular Plan - Half-Yearly IDCW</t>
  </si>
  <si>
    <t>INF789F1AOU6</t>
  </si>
  <si>
    <t>INF789F1AOV4</t>
  </si>
  <si>
    <t>UTI Medium Term Fund ( Segregated - 17022020 ) - Regular Plan - Monthly IDCW</t>
  </si>
  <si>
    <t>INF789F1AOL5</t>
  </si>
  <si>
    <t>INF789F1AOM3</t>
  </si>
  <si>
    <t>UTI Medium Term Fund ( Segregated - 17022020 ) - Regular Plan - Quarterly IDCW</t>
  </si>
  <si>
    <t>INF789FB1KL1</t>
  </si>
  <si>
    <t>INF789FB1KM9</t>
  </si>
  <si>
    <t>UTI Medium Duration Fund - Direct Plan - Annual IDCW</t>
  </si>
  <si>
    <t>INF789FB1KO5</t>
  </si>
  <si>
    <t>INF789FB1KN7</t>
  </si>
  <si>
    <t>UTI Medium Duration Fund - Direct Plan - Flexi IDCW</t>
  </si>
  <si>
    <t>INF789FB1KE6</t>
  </si>
  <si>
    <t>UTI Medium Duration Fund - Direct Plan - Growth Option</t>
  </si>
  <si>
    <t>INF789FB1KJ5</t>
  </si>
  <si>
    <t>INF789FB1KK3</t>
  </si>
  <si>
    <t>UTI Medium Duration Fund - Direct Plan - Half-Yearly IDCW</t>
  </si>
  <si>
    <t>INF789FB1KF3</t>
  </si>
  <si>
    <t>INF789FB1KG1</t>
  </si>
  <si>
    <t>UTI Medium Duration Fund - Direct Plan - Monthly IDCW</t>
  </si>
  <si>
    <t>INF789FB1KH9</t>
  </si>
  <si>
    <t>INF789FB1KI7</t>
  </si>
  <si>
    <t>UTI Medium Duration Fund - Direct Plan - Quarterly IDCW</t>
  </si>
  <si>
    <t>INF789FB1KA4</t>
  </si>
  <si>
    <t>INF789FB1KB2</t>
  </si>
  <si>
    <t>UTI Medium Duration Fund - Regular Plan - Annual IDCW</t>
  </si>
  <si>
    <t>INF789FB1KC0</t>
  </si>
  <si>
    <t>INF789FB1KD8</t>
  </si>
  <si>
    <t>UTI Medium Duration Fund - Regular Plan - Flexi IDCW</t>
  </si>
  <si>
    <t>INF789FB1JU4</t>
  </si>
  <si>
    <t>UTI Medium Duration Fund - Regular Plan - Growth Option</t>
  </si>
  <si>
    <t>INF789FB1JY6</t>
  </si>
  <si>
    <t>INF789FB1JZ3</t>
  </si>
  <si>
    <t>UTI Medium Duration Fund - Regular Plan - Half-Yearly IDCW</t>
  </si>
  <si>
    <t>INF789FB1JV2</t>
  </si>
  <si>
    <t>INF789FB1KP2</t>
  </si>
  <si>
    <t>UTI Medium Duration Fund - Regular Plan - Monthly IDCW</t>
  </si>
  <si>
    <t>INF789FB1JW0</t>
  </si>
  <si>
    <t>INF789FB1JX8</t>
  </si>
  <si>
    <t>UTI Medium Duration Fund - Regular Plan - Quarterly IDCW</t>
  </si>
  <si>
    <t>INF209K01LD8</t>
  </si>
  <si>
    <t>Aditya Birla Sun Life Income Fund (Discipline Advantage Plan)</t>
  </si>
  <si>
    <t>INF209KA1WL2</t>
  </si>
  <si>
    <t>INF209KA1WM0</t>
  </si>
  <si>
    <t>Aditya Birla Sun Life Income Fund - Direct - IDCW</t>
  </si>
  <si>
    <t>INF209K01R13</t>
  </si>
  <si>
    <t>INF209K01WZ8</t>
  </si>
  <si>
    <t>Aditya Birla Sun Life Income Fund - Direct - Quarterly IDCW</t>
  </si>
  <si>
    <t>INF209K01WY1</t>
  </si>
  <si>
    <t>Aditya Birla Sun Life Income Fund - Growth - Direct Plan</t>
  </si>
  <si>
    <t>INF209K01579</t>
  </si>
  <si>
    <t>Aditya Birla Sun Life Income Fund - Growth - Regular Plan</t>
  </si>
  <si>
    <t>INF209KA1WJ6</t>
  </si>
  <si>
    <t>INF209KA1WK4</t>
  </si>
  <si>
    <t>Aditya Birla Sun Life Income Fund - Regular - IDCW</t>
  </si>
  <si>
    <t>INF209K01587</t>
  </si>
  <si>
    <t>INF209K01CY3</t>
  </si>
  <si>
    <t>Aditya Birla Sun Life Income Fund - Regular - Quarterly IDCW</t>
  </si>
  <si>
    <t>INF194K01R77</t>
  </si>
  <si>
    <t>INF194K01R69</t>
  </si>
  <si>
    <t>Bandhan Medium to Long Duration Fund - Direct Plan - Annual IDCW</t>
  </si>
  <si>
    <t>INF194K01R51</t>
  </si>
  <si>
    <t>Bandhan Medium to Long Duration Fund - Direct Plan - Growth</t>
  </si>
  <si>
    <t>INF194K01S01</t>
  </si>
  <si>
    <t>INF194K01R93</t>
  </si>
  <si>
    <t>Bandhan Medium to Long Duration Fund - Direct Plan - Half Yearly IDCW</t>
  </si>
  <si>
    <t>INF194KA1SX2</t>
  </si>
  <si>
    <t>INF194KA1SY0</t>
  </si>
  <si>
    <t>Bandhan Medium to Long Duration Fund - Direct Plan - Periodic IDCW</t>
  </si>
  <si>
    <t>INF194K01S35</t>
  </si>
  <si>
    <t>INF194K01S27</t>
  </si>
  <si>
    <t>Bandhan Medium to Long Duration Fund - Direct Plan - Quarterly IDCW</t>
  </si>
  <si>
    <t>INF194K01IN7</t>
  </si>
  <si>
    <t>INF194K01IM9</t>
  </si>
  <si>
    <t>Bandhan Medium to Long Duration Fund - Regular Plan - Annual IDCW</t>
  </si>
  <si>
    <t>INF194K01IL1</t>
  </si>
  <si>
    <t>Bandhan Medium to Long Duration Fund - Regular Plan - Growth</t>
  </si>
  <si>
    <t>INF194K01IQ0</t>
  </si>
  <si>
    <t>INF194K01IP2</t>
  </si>
  <si>
    <t>Bandhan Medium to Long Duration Fund - Regular Plan - Half-yearly IDCW</t>
  </si>
  <si>
    <t>INF194KA1SU8</t>
  </si>
  <si>
    <t>INF194KA1SV6</t>
  </si>
  <si>
    <t>Bandhan Medium to Long Duration Fund - Regular Plan - Periodic IDCW</t>
  </si>
  <si>
    <t>INF194K01IT4</t>
  </si>
  <si>
    <t>INF194K01IS6</t>
  </si>
  <si>
    <t>Bandhan Medium to Long Duration Fund - Regular Plan - Quarterly IDCW</t>
  </si>
  <si>
    <t>INF194K01HF5</t>
  </si>
  <si>
    <t>Bandhan Short Duration Fund - Regular Plan - Growth</t>
  </si>
  <si>
    <t>INF194K01HH1</t>
  </si>
  <si>
    <t>INF194K01HG3</t>
  </si>
  <si>
    <t>Bandhan Short Duration Fund - Regular Plan - Monthly IDCW</t>
  </si>
  <si>
    <t>INF761K01850</t>
  </si>
  <si>
    <t>INF761K01843</t>
  </si>
  <si>
    <t>BANK OF INDIA Conservative Hybrid  Fund-Direct Plan-Quarterly IDCW</t>
  </si>
  <si>
    <t>INF761K01439</t>
  </si>
  <si>
    <t>INF761K01421</t>
  </si>
  <si>
    <t>BANK OF INDIA Conservative Hybrid  Fund-ECO Plan-Quarterly IDCW</t>
  </si>
  <si>
    <t>INF761K01819</t>
  </si>
  <si>
    <t>BANK OF INDIA Conservative Hybrid Fund Fund-Direct Plan-Growth</t>
  </si>
  <si>
    <t>INF761K01793</t>
  </si>
  <si>
    <t>INF761K01801</t>
  </si>
  <si>
    <t>BANK OF INDIA Conservative Hybrid Fund-Direct Plan-Annual IDCW</t>
  </si>
  <si>
    <t>INF761K01835</t>
  </si>
  <si>
    <t>INF761K01827</t>
  </si>
  <si>
    <t>BANK OF INDIA Conservative Hybrid Fund-Direct Plan-Monthly IDCW</t>
  </si>
  <si>
    <t>INF761K01397</t>
  </si>
  <si>
    <t>BANK OF INDIA Conservative Hybrid Fund-ECO Plan-Growth</t>
  </si>
  <si>
    <t>INF761K01413</t>
  </si>
  <si>
    <t>INF761K01405</t>
  </si>
  <si>
    <t>BANK OF INDIA Conservative Hybrid Fund-ECO Plan-Monthly IDCW</t>
  </si>
  <si>
    <t>INF761K01454</t>
  </si>
  <si>
    <t>INF761K01447</t>
  </si>
  <si>
    <t>BANK OF INDIA Conservative Hybrid Fund-Regular Plan-Annual IDCW</t>
  </si>
  <si>
    <t>INF761K01462</t>
  </si>
  <si>
    <t>BANK OF INDIA Conservative Hybrid Fund-Regular Plan-Growth</t>
  </si>
  <si>
    <t>INF761K01488</t>
  </si>
  <si>
    <t>INF761K01470</t>
  </si>
  <si>
    <t>BANK OF INDIA Conservative Hybrid Fund-Regular Plan-Monthly IDCW</t>
  </si>
  <si>
    <t>INF761K01504</t>
  </si>
  <si>
    <t>INF761K01496</t>
  </si>
  <si>
    <t>BANK OF INDIA Conservative Hybrid Fund-Regular Plan-Quarterly IDCW</t>
  </si>
  <si>
    <t>INF760K01FI1</t>
  </si>
  <si>
    <t>CANARA ROBECO INCOME FUND - DIRECT PLAN - GROWTH OPTION</t>
  </si>
  <si>
    <t>INF760K01FG5</t>
  </si>
  <si>
    <t>INF760K01FH3</t>
  </si>
  <si>
    <t>CANARA ROBECO INCOME FUND - DIRECT PLAN - QUARTERLY IDCW (Payout/Reinvestment)</t>
  </si>
  <si>
    <t>INF760K01324</t>
  </si>
  <si>
    <t>CANARA ROBECO INCOME FUND - REGULAR PLAN - GROWTH OPTION</t>
  </si>
  <si>
    <t>INF760K01340</t>
  </si>
  <si>
    <t>INF760K01357</t>
  </si>
  <si>
    <t>CANARA ROBECO INCOME FUND - REGULAR PLAN - QUARTERLY IDCW (Payout/Reinvestment)</t>
  </si>
  <si>
    <t>INF090I01XH2</t>
  </si>
  <si>
    <t>INF090I01XI0</t>
  </si>
  <si>
    <t>Franklin India Medium to Long Duration Fund - Direct - IDCW</t>
  </si>
  <si>
    <t>INF090I01XG4</t>
  </si>
  <si>
    <t>Franklin India Medium to Long Duration Fund - Direct Growth</t>
  </si>
  <si>
    <t>INF090I01XD1</t>
  </si>
  <si>
    <t>Franklin India Medium to Long Duration Fund - Growth</t>
  </si>
  <si>
    <t>INF090I01XE9</t>
  </si>
  <si>
    <t>INF090I01XF6</t>
  </si>
  <si>
    <t>Franklin India Medium to Long Duration Fund - IDCW</t>
  </si>
  <si>
    <t>INF179K01962</t>
  </si>
  <si>
    <t>HDFC Income Fund - Growth Option</t>
  </si>
  <si>
    <t>INF179K01WL3</t>
  </si>
  <si>
    <t>HDFC Income Fund - Growth Option - Direct Plan</t>
  </si>
  <si>
    <t>INF179KA1Q12</t>
  </si>
  <si>
    <t>HDFC Income Fund - Normal IDCW - Direct Plan</t>
  </si>
  <si>
    <t>INF179KA1Q38</t>
  </si>
  <si>
    <t>HDFC Income Fund - Normal IDCW Option</t>
  </si>
  <si>
    <t>INF179K01947</t>
  </si>
  <si>
    <t>INF179K01954</t>
  </si>
  <si>
    <t>HDFC Income Fund - Quarterly IDCW Option</t>
  </si>
  <si>
    <t>INF179K01WJ7</t>
  </si>
  <si>
    <t>INF179K01WK5</t>
  </si>
  <si>
    <t>HDFC Income Fund - Quarterly IDCW- Direct Plan</t>
  </si>
  <si>
    <t>INF336L01DE2</t>
  </si>
  <si>
    <t>HSBC Medium to Long Duration Fund - Direct Growth</t>
  </si>
  <si>
    <t>INF336L01EO9</t>
  </si>
  <si>
    <t>INF336L01EP6</t>
  </si>
  <si>
    <t>HSBC Medium to Long Duration Fund - Direct Quarterly IDCW</t>
  </si>
  <si>
    <t>INF336L01776</t>
  </si>
  <si>
    <t>HSBC Medium to Long Duration Fund - Regular Growth</t>
  </si>
  <si>
    <t>INF336L01784</t>
  </si>
  <si>
    <t>INF336L01792</t>
  </si>
  <si>
    <t>HSBC Medium to Long Duration Fund - Regular Quarterly IDCW</t>
  </si>
  <si>
    <t>INF109KA1C72</t>
  </si>
  <si>
    <t>ICICI Prudential Bond Fund - Bonus</t>
  </si>
  <si>
    <t>INF109K01V83</t>
  </si>
  <si>
    <t>ICICI Prudential Bond Fund - Direct Plan - Growth</t>
  </si>
  <si>
    <t>INF109KA1X77</t>
  </si>
  <si>
    <t>INF109KA1X69</t>
  </si>
  <si>
    <t>ICICI Prudential Bond Fund - Direct Plan - Half Yearly IDCW</t>
  </si>
  <si>
    <t>INF109K01V59</t>
  </si>
  <si>
    <t>INF109K01V67</t>
  </si>
  <si>
    <t>ICICI Prudential Bond Fund - Direct Plan - IDCW Monthly</t>
  </si>
  <si>
    <t>INF109K01V75</t>
  </si>
  <si>
    <t>INF109K01V91</t>
  </si>
  <si>
    <t>ICICI Prudential Bond Fund - Direct Plan - IDCW Quarterly</t>
  </si>
  <si>
    <t>INF109K01BO8</t>
  </si>
  <si>
    <t>ICICI Prudential Bond Fund - Growth</t>
  </si>
  <si>
    <t>INF109KA1X51</t>
  </si>
  <si>
    <t>INF109KA1X44</t>
  </si>
  <si>
    <t>ICICI Prudential Bond Fund - Half Yearly IDCW</t>
  </si>
  <si>
    <t>INF109K01EU9</t>
  </si>
  <si>
    <t>INF109K01BP5</t>
  </si>
  <si>
    <t>ICICI Prudential Bond Fund - IDCW Monthly</t>
  </si>
  <si>
    <t>INF109K01EV7</t>
  </si>
  <si>
    <t>INF109K01BS9</t>
  </si>
  <si>
    <t>ICICI Prudential Bond Fund - IDCW Quarterly</t>
  </si>
  <si>
    <t>INF109K01BQ3</t>
  </si>
  <si>
    <t>ICICI Prudential Bond Fund- Institutional Growth</t>
  </si>
  <si>
    <t>INF109K01ES3</t>
  </si>
  <si>
    <t>INF109K01BR1</t>
  </si>
  <si>
    <t>ICICI Prudential Bond Fund- Institutional Monthly Dividend</t>
  </si>
  <si>
    <t>INF109K01ET1</t>
  </si>
  <si>
    <t>INF109K01BT7</t>
  </si>
  <si>
    <t>ICICI Prudential Bond Fund- Institutional Quarterly Dividend</t>
  </si>
  <si>
    <t>INF192K01CX3</t>
  </si>
  <si>
    <t>JM Medium to Long Duration Fund (Direct) - Bonus Option - Principal Units</t>
  </si>
  <si>
    <t>INF192K01CW5</t>
  </si>
  <si>
    <t>JM Medium to Long Duration Fund (Direct) - Growth Option</t>
  </si>
  <si>
    <t>INF192K01CU9</t>
  </si>
  <si>
    <t>INF192K01CV7</t>
  </si>
  <si>
    <t>JM Medium to Long Duration Fund (Direct) - Quarterly IDCW</t>
  </si>
  <si>
    <t>INF192K01AB3</t>
  </si>
  <si>
    <t>JM Medium to Long Duration Fund (Regular) - Growth Option</t>
  </si>
  <si>
    <t>INF192K01999</t>
  </si>
  <si>
    <t>INF192K01AA5</t>
  </si>
  <si>
    <t>JM Medium to Long Duration Fund (Regular) - Quarterly IDCW</t>
  </si>
  <si>
    <t>INF192K01AC1</t>
  </si>
  <si>
    <t>JM Medium to Long Duration Fund (Regular) - Bonus Option- Principal Units</t>
  </si>
  <si>
    <t>INF174K01JD8</t>
  </si>
  <si>
    <t>Kotak Bond Fund - Direct Plan - Standard IDCW option</t>
  </si>
  <si>
    <t>INF174K01JC0</t>
  </si>
  <si>
    <t>Kotak Bond Fund - Growth - Direct</t>
  </si>
  <si>
    <t>INF174K01EQ1</t>
  </si>
  <si>
    <t>INF174K01EP3</t>
  </si>
  <si>
    <t>Kotak Bond Fund - Regular Plan - Standard IDCW Option</t>
  </si>
  <si>
    <t>INF174K01EM0</t>
  </si>
  <si>
    <t>Kotak Bond Fund - Regular Plan Growth</t>
  </si>
  <si>
    <t>INF174K01EK4</t>
  </si>
  <si>
    <t>INF174K01EL2</t>
  </si>
  <si>
    <t>Kotak Bond-Deposit-Dividend</t>
  </si>
  <si>
    <t>INF174K01EJ6</t>
  </si>
  <si>
    <t>Kotak Bond-Deposit-Growth</t>
  </si>
  <si>
    <t>INF397L01GD9</t>
  </si>
  <si>
    <t>LIC MF Medium to Long Duration Fund-Direct Plan-Annual IDCW</t>
  </si>
  <si>
    <t>INF767K01EW0</t>
  </si>
  <si>
    <t>LIC MF Medium to Long Duration Fund-Direct Plan-Growth</t>
  </si>
  <si>
    <t>INF767K01EV2</t>
  </si>
  <si>
    <t>INF767K01EX8</t>
  </si>
  <si>
    <t>LIC MF Medium to Long Duration Fund-Direct Plan-IDCW</t>
  </si>
  <si>
    <t>INF397L01GA5</t>
  </si>
  <si>
    <t>LIC MF Medium to Long Duration Fund-Direct Plan-Quarterly IDCW</t>
  </si>
  <si>
    <t>INF397L01FX9</t>
  </si>
  <si>
    <t>LIC MF Medium to Long Duration Fund-Regular Plan-Annual IDCW</t>
  </si>
  <si>
    <t>INF767K01923</t>
  </si>
  <si>
    <t>LIC MF Medium to Long Duration Fund-Regular Plan-Growth</t>
  </si>
  <si>
    <t>INF767K01907</t>
  </si>
  <si>
    <t>INF767K01915</t>
  </si>
  <si>
    <t>LIC MF Medium to Long Duration Fund-Regular Plan-IDCW</t>
  </si>
  <si>
    <t>INF397L01FU5</t>
  </si>
  <si>
    <t>LIC MF Medium to Long Duration Fund-Regular Plan-Quarterly IDCW</t>
  </si>
  <si>
    <t>INF204K01CT4</t>
  </si>
  <si>
    <t>INF204K01CU2</t>
  </si>
  <si>
    <t>NIPPON INDIA MEDIUM TO LONG DURATION  FUND - ANNUAL IDCW Option</t>
  </si>
  <si>
    <t>INF204K01YT8</t>
  </si>
  <si>
    <t>INF204K01YU6</t>
  </si>
  <si>
    <t>NIPPON INDIA MEDIUM TO LONG DURATION  FUND - Direct Plan - ANNUAL IDCW Option</t>
  </si>
  <si>
    <t>INF204K01YR2</t>
  </si>
  <si>
    <t>INF204K01YS0</t>
  </si>
  <si>
    <t>NIPPON INDIA MEDIUM TO LONG DURATION  FUND - Direct Plan - HALF YEARLY IDCW Option</t>
  </si>
  <si>
    <t>INF204K01YN1</t>
  </si>
  <si>
    <t>NIPPON INDIA MEDIUM TO LONG DURATION  FUND - Direct Plan - MONTHLY IDCW Option</t>
  </si>
  <si>
    <t>INF204K01F38</t>
  </si>
  <si>
    <t>Nippon India Medium to Long Duration  Fund - Direct Plan Growth Plan-Bonus Option</t>
  </si>
  <si>
    <t>INF204K01CM9</t>
  </si>
  <si>
    <t>Nippon India Medium to Long Duration  Fund - Growth Plan Bonus Option</t>
  </si>
  <si>
    <t>INF204K01CL1</t>
  </si>
  <si>
    <t>Nippon India Medium to Long Duration  Fund - Growth Plan Growth Option</t>
  </si>
  <si>
    <t>INF204K01CR8</t>
  </si>
  <si>
    <t>INF204K01CS6</t>
  </si>
  <si>
    <t>NIPPON INDIA MEDIUM TO LONG DURATION  FUND - HALF YEARLY IDCW Option</t>
  </si>
  <si>
    <t>INF204K01CP2</t>
  </si>
  <si>
    <t>INF204K01CQ0</t>
  </si>
  <si>
    <t>NIPPON INDIA MEDIUM TO LONG DURATION  FUND - QUARTERLY IDCW Option</t>
  </si>
  <si>
    <t>INF204K01YP6</t>
  </si>
  <si>
    <t>INF204K01YQ4</t>
  </si>
  <si>
    <t>NIPPON INDIA MEDIUM TO LONG DURATION FUND - Direct Plan - QUARTERLY IDCW Option</t>
  </si>
  <si>
    <t>INF204K01XS2</t>
  </si>
  <si>
    <t>Nippon India Medium to Long Duration Fund - Direct Plan Growth Plan - Growth Option</t>
  </si>
  <si>
    <t>INF204K01CN7</t>
  </si>
  <si>
    <t>INF204K01CO5</t>
  </si>
  <si>
    <t>NIPPON INDIA MEDIUM TO LONG DURATION FUND - MONTHLY IDCW Option</t>
  </si>
  <si>
    <t>INF200K01SP6</t>
  </si>
  <si>
    <t>INF200K01SQ4</t>
  </si>
  <si>
    <t>SBI Medium to Long Duration Fund - Direct Plan - Half Yearly - Income Distribution cum Capital Withdrawal Option (IDCW)</t>
  </si>
  <si>
    <t>INF200K01YS8</t>
  </si>
  <si>
    <t>INF200K01YT6</t>
  </si>
  <si>
    <t>SBI Medium to Long Duration Fund - Direct Plan - Quarterly Income Distribution cum Capital Withdrawal Option (IDCW)</t>
  </si>
  <si>
    <t>INF200K01610</t>
  </si>
  <si>
    <t>INF200K01628</t>
  </si>
  <si>
    <t>SBI Medium to Long Duration Fund - Regular Plan - Half Yearly - Income Distribution cum Capital Withdrawal Option (IDCW)</t>
  </si>
  <si>
    <t>INF200K01YQ2</t>
  </si>
  <si>
    <t>INF200K01YR0</t>
  </si>
  <si>
    <t>SBI Medium to Long Duration Fund - Regular Plan - Quarterly Income Distribution cum Capital Withdrawal Option (IDCW)</t>
  </si>
  <si>
    <t>INF200K01SO9</t>
  </si>
  <si>
    <t>SBI Medium to Long Duration Fund-DIRECT PLAN - Bonus</t>
  </si>
  <si>
    <t>INF200K01SR2</t>
  </si>
  <si>
    <t>SBI Medium to Long Duration Fund-DIRECT PLAN -Growth</t>
  </si>
  <si>
    <t>INF200K01602</t>
  </si>
  <si>
    <t>SBI Medium to Long Duration Fund-REGULAR PLAN-Bonus</t>
  </si>
  <si>
    <t>INF200K01594</t>
  </si>
  <si>
    <t>SBI Medium to Long Duration Fund-REGULAR PLAN-Growth</t>
  </si>
  <si>
    <t>INF277K01OY5</t>
  </si>
  <si>
    <t>Tata Income Fund - Direct Plan - Growth Option</t>
  </si>
  <si>
    <t>INF277K01659</t>
  </si>
  <si>
    <t>Tata Income Fund -Regular Plan - Growth Option</t>
  </si>
  <si>
    <t>INF277K01PC8</t>
  </si>
  <si>
    <t>INF277K01PD6</t>
  </si>
  <si>
    <t xml:space="preserve">TATA Income Fund Direct Plan - Periodic Payout of Income Distribution cum capital withdrawal option </t>
  </si>
  <si>
    <t>INF277K01DT8</t>
  </si>
  <si>
    <t>INF277K01667</t>
  </si>
  <si>
    <t>Tata Income Fund- Regular Plan - Periodic Payout of IDCW Option</t>
  </si>
  <si>
    <t>INF277K01PA2</t>
  </si>
  <si>
    <t>INF277K01PB0</t>
  </si>
  <si>
    <t>TATA Income Fund-Direct Plan - Half Yearly Payout of IDCW Option</t>
  </si>
  <si>
    <t>INF277K01DU6</t>
  </si>
  <si>
    <t>INF277K01675</t>
  </si>
  <si>
    <t>Tata Income Fund-Regular Plan - Half Yearly Payout of IDCW Option</t>
  </si>
  <si>
    <t>INF789FA1T80</t>
  </si>
  <si>
    <t>UTI Medium to Long Duration Fund - Direct Plan - Annual IDCW</t>
  </si>
  <si>
    <t>INF789FA1U04</t>
  </si>
  <si>
    <t>INF789FA1U12</t>
  </si>
  <si>
    <t>UTI Medium to Long Duration Fund - Direct Plan - Flexi IDCW</t>
  </si>
  <si>
    <t>INF789FA1T64</t>
  </si>
  <si>
    <t>INF789FA1T72</t>
  </si>
  <si>
    <t>UTI Medium to Long Duration Fund - Direct Plan - Half-Yearly IDCW</t>
  </si>
  <si>
    <t>INF789F01SO1</t>
  </si>
  <si>
    <t>INF789F01SP8</t>
  </si>
  <si>
    <t>UTI Medium to Long Duration Fund - Direct Plan - Quarterly IDCW</t>
  </si>
  <si>
    <t>INF789FA1T23</t>
  </si>
  <si>
    <t>INF789FA1T31</t>
  </si>
  <si>
    <t>UTI Medium to Long Duration Fund - Regular Plan - Annual IDCW</t>
  </si>
  <si>
    <t>INF789FA1T49</t>
  </si>
  <si>
    <t>INF789FA1T56</t>
  </si>
  <si>
    <t>UTI Medium to Long Duration Fund - Regular Plan - Flexi IDCW</t>
  </si>
  <si>
    <t>INF789FA1T07</t>
  </si>
  <si>
    <t>INF789FA1T15</t>
  </si>
  <si>
    <t>UTI Medium to Long Duration Fund - Regular Plan - Half-Yearly IDCW</t>
  </si>
  <si>
    <t>INF789F01380</t>
  </si>
  <si>
    <t>INF789F01398</t>
  </si>
  <si>
    <t>UTI Medium to Long Duration Fund - Regular Plan - Quarterly IDCW</t>
  </si>
  <si>
    <t>INF789F01406</t>
  </si>
  <si>
    <t>UTI Medium to Long Duration Fund- Regular Plan - Growth</t>
  </si>
  <si>
    <t>INF789F01SQ6</t>
  </si>
  <si>
    <t>UTI Medium to Long Duration Fund-Growth - Direct</t>
  </si>
  <si>
    <t>INF209K01SZ6</t>
  </si>
  <si>
    <t>Aditya Birla Sun Life Money Manager Fund - Daily IDCW</t>
  </si>
  <si>
    <t>INF209K01UT5</t>
  </si>
  <si>
    <t>Aditya Birla Sun Life Money Manager Fund - Direct - daily IDCW</t>
  </si>
  <si>
    <t>INF209K01UV1</t>
  </si>
  <si>
    <t>INF209KA1LM3</t>
  </si>
  <si>
    <t>Aditya Birla Sun Life Money Manager Fund - Direct - weekly IDCW</t>
  </si>
  <si>
    <t>INF209K01RV7</t>
  </si>
  <si>
    <t>Aditya Birla Sun Life Money Manager Fund - Growth</t>
  </si>
  <si>
    <t>INF209K01UU3</t>
  </si>
  <si>
    <t>Aditya Birla Sun Life Money Manager Fund - Growth - Direct Plan</t>
  </si>
  <si>
    <t>INF209K01JZ5</t>
  </si>
  <si>
    <t>Aditya Birla Sun Life Money Manager Fund - Retail - Daily IDCW</t>
  </si>
  <si>
    <t>INF209K01SY9</t>
  </si>
  <si>
    <t>Aditya Birla Sun Life Money Manager Fund - WEEKLY IDCW</t>
  </si>
  <si>
    <t>INF846K01Q96</t>
  </si>
  <si>
    <t>INF846K01Q88</t>
  </si>
  <si>
    <t>Axis Money Market Fund - Direct Plan - Annual IDCW</t>
  </si>
  <si>
    <t>INF846K01Q70</t>
  </si>
  <si>
    <t>Axis Money Market Fund - Direct Plan - Daily IDCW</t>
  </si>
  <si>
    <t>INF846K01Q62</t>
  </si>
  <si>
    <t>Axis Money Market Fund - Direct Plan - Growth Option</t>
  </si>
  <si>
    <t>INF846K01R12</t>
  </si>
  <si>
    <t>INF846K01R04</t>
  </si>
  <si>
    <t>Axis Money Market Fund - Direct Plan - Monthly IDCW</t>
  </si>
  <si>
    <t>INF846K01R38</t>
  </si>
  <si>
    <t>INF846K01R20</t>
  </si>
  <si>
    <t>Axis Money Market Fund - Direct Plan - Quarterly IDCW</t>
  </si>
  <si>
    <t>INF846K01R79</t>
  </si>
  <si>
    <t>INF846K01R61</t>
  </si>
  <si>
    <t>Axis Money Market Fund - Regular Plan - Annual IDCW</t>
  </si>
  <si>
    <t>INF846K01R53</t>
  </si>
  <si>
    <t>Axis Money Market Fund - Regular Plan - Daily IDCW</t>
  </si>
  <si>
    <t>INF846K01R46</t>
  </si>
  <si>
    <t>Axis Money Market Fund - Regular Plan - Growth Option</t>
  </si>
  <si>
    <t>INF846K01R95</t>
  </si>
  <si>
    <t>INF846K01R87</t>
  </si>
  <si>
    <t>Axis Money Market Fund - Regular Plan - Monthly IDCW</t>
  </si>
  <si>
    <t>INF846K01S11</t>
  </si>
  <si>
    <t>INF846K01S03</t>
  </si>
  <si>
    <t>Axis Money Market Fund - Regular Plan - Quarterly IDCW</t>
  </si>
  <si>
    <t>INF0QA701334</t>
  </si>
  <si>
    <t>Bajaj Finserv Money Market Fund-Direct Plan-Growth</t>
  </si>
  <si>
    <t>INF0QA701391</t>
  </si>
  <si>
    <t>INF0QA701375</t>
  </si>
  <si>
    <t>Bajaj Finserv Money Market Fund-Direct Plan-IDCW</t>
  </si>
  <si>
    <t>INF0QA701433</t>
  </si>
  <si>
    <t>INF0QA701425</t>
  </si>
  <si>
    <t>Bajaj Finserv Money Market Fund-Direct Plan-Monthly-IDCW</t>
  </si>
  <si>
    <t>INF0QA701441</t>
  </si>
  <si>
    <t>Bajaj Finserv Money Market Fund-Regular Plan-Growth</t>
  </si>
  <si>
    <t>INF0QA701466</t>
  </si>
  <si>
    <t>INF0QA701458</t>
  </si>
  <si>
    <t>Bajaj Finserv Money Market Fund-Regular Plan-IDCW</t>
  </si>
  <si>
    <t>INF0QA701482</t>
  </si>
  <si>
    <t>INF0QA701474</t>
  </si>
  <si>
    <t>Bajaj Finserv Money Market Fund-Regular Plan-Monthly-IDCW</t>
  </si>
  <si>
    <t>INF194KA1TG5</t>
  </si>
  <si>
    <t>INF194KA1TH3</t>
  </si>
  <si>
    <t>Bandhan Money Market Fund - Regular Plan - Periodic IDCW</t>
  </si>
  <si>
    <t>INF194K01LR2</t>
  </si>
  <si>
    <t>INF194K01LQ4</t>
  </si>
  <si>
    <t>Bandhan Money Market Fund - Regular Plan - Weekly IDCW</t>
  </si>
  <si>
    <t>INF194K01M98</t>
  </si>
  <si>
    <t>Bandhan Money Market Fund -Direct Plan-Daily IDCW</t>
  </si>
  <si>
    <t>INF194K01M80</t>
  </si>
  <si>
    <t>Bandhan Money Market Fund -Direct Plan-Growth</t>
  </si>
  <si>
    <t>INF194K01N22</t>
  </si>
  <si>
    <t>INF194K01N14</t>
  </si>
  <si>
    <t>Bandhan Money Market Fund -Direct Plan-Monthly IDCW</t>
  </si>
  <si>
    <t>INF194KA1TJ9</t>
  </si>
  <si>
    <t>INF194KA1TK7</t>
  </si>
  <si>
    <t>Bandhan Money Market Fund -Direct Plan-Periodic IDCW</t>
  </si>
  <si>
    <t>INF194K01N48</t>
  </si>
  <si>
    <t>Bandhan Money Market Fund -Direct Plan-Weekly IDCW</t>
  </si>
  <si>
    <t>INF194K01LL5</t>
  </si>
  <si>
    <t>INF194K01LK7</t>
  </si>
  <si>
    <t>BANDHAN Money Market Fund - Regular Plan - Daily IDCW</t>
  </si>
  <si>
    <t>INF194K01LJ9</t>
  </si>
  <si>
    <t>BANDHAN Money Market Fund - Regular Plan - Growth</t>
  </si>
  <si>
    <t>INF194K01LO9</t>
  </si>
  <si>
    <t>INF194K01LN1</t>
  </si>
  <si>
    <t>BANDHAN Money Market Fund - Regular Plan - Monthly IDCW</t>
  </si>
  <si>
    <t>INF761K01GP2</t>
  </si>
  <si>
    <t>Bank of India Money Market Fund - Direct - Daily IDCW</t>
  </si>
  <si>
    <t>INF761K01GO5</t>
  </si>
  <si>
    <t>Bank of India Money Market Fund - Direct - Growth</t>
  </si>
  <si>
    <t>INF761K01GR8</t>
  </si>
  <si>
    <t>INF761K01GX6</t>
  </si>
  <si>
    <t>Bank of India Money Market Fund - Direct - Monthly IDCW</t>
  </si>
  <si>
    <t>INF761K01GT4</t>
  </si>
  <si>
    <t>Bank of India Money Market Fund - Regular - Daily IDCW</t>
  </si>
  <si>
    <t>INF761K01GS6</t>
  </si>
  <si>
    <t>Bank of India Money Market Fund - Regular - Growth</t>
  </si>
  <si>
    <t>INF761K01GW8</t>
  </si>
  <si>
    <t>INF761K01GV0</t>
  </si>
  <si>
    <t>Bank of India Money Market Fund - Regular - Monthly IDCW</t>
  </si>
  <si>
    <t>INF761K01GU2</t>
  </si>
  <si>
    <t>Bank of India Money Market Fund - Regular - Weekly IDCW</t>
  </si>
  <si>
    <t>INF955L01IG3</t>
  </si>
  <si>
    <t>Baroda BNP Paribas Money Market Fund - Direct Plan - Monthly IDCW</t>
  </si>
  <si>
    <t>INF955L01IE8</t>
  </si>
  <si>
    <t>Baroda BNP Paribas Money Market Fund - Direct Plan-Daily IDCW</t>
  </si>
  <si>
    <t>INF955L01IB4</t>
  </si>
  <si>
    <t>Baroda BNP Paribas Money Market Fund - Regular Plan - Monthly IDCW</t>
  </si>
  <si>
    <t>INF955L01IF5</t>
  </si>
  <si>
    <t>Baroda BNP Paribas Money Market Fund -Direct Plan - Weekly IDCW</t>
  </si>
  <si>
    <t>INF955L01ID0</t>
  </si>
  <si>
    <t>Baroda BNP Paribas Money Market Fund- Direct Plan - Growth</t>
  </si>
  <si>
    <t>INF955L01HY8</t>
  </si>
  <si>
    <t>Baroda BNP Paribas Money Market Fund-Regular Plan - Growth</t>
  </si>
  <si>
    <t>INF955L01HZ5</t>
  </si>
  <si>
    <t>Baroda BNP Paribas Money Market Fund-Regular Plan- Daily IDCW</t>
  </si>
  <si>
    <t>INF955L01IA6</t>
  </si>
  <si>
    <t>Baroda BNP Paribas Money Market Fund-Regular Plan-Weekly IDCW</t>
  </si>
  <si>
    <t>INF740KA1PB3</t>
  </si>
  <si>
    <t>DSP Savings Fund - Direct Plan -  IDCW - Daily</t>
  </si>
  <si>
    <t>INF740K01NU2</t>
  </si>
  <si>
    <t>DSP Savings Fund - Direct Plan - Growth</t>
  </si>
  <si>
    <t>INF740K01NV0</t>
  </si>
  <si>
    <t>INF740K01NX6</t>
  </si>
  <si>
    <t>DSP Savings Fund - Direct Plan - IDCW</t>
  </si>
  <si>
    <t>INF740K01NT4</t>
  </si>
  <si>
    <t>INF740K01NW8</t>
  </si>
  <si>
    <t>DSP Savings Fund - Direct Plan - IDCW - Monthly</t>
  </si>
  <si>
    <t>INF740K01714</t>
  </si>
  <si>
    <t>DSP Savings Fund - Regular Plan - Growth</t>
  </si>
  <si>
    <t>INF740K01706</t>
  </si>
  <si>
    <t>INF740K01AJ2</t>
  </si>
  <si>
    <t>DSP Savings Fund - Regular Plan - IDCW</t>
  </si>
  <si>
    <t>INF740KA1PC1</t>
  </si>
  <si>
    <t>DSP Savings Fund - Regular Plan - IDCW - Daily</t>
  </si>
  <si>
    <t>INF740K01722</t>
  </si>
  <si>
    <t>INF740K01AK0</t>
  </si>
  <si>
    <t>DSP Savings Fund - Regular Plan - IDCW - Monthly</t>
  </si>
  <si>
    <t>INF843K01CI2</t>
  </si>
  <si>
    <t>INF843K01CH4</t>
  </si>
  <si>
    <t>Edelweiss Money Market Fund - Direct Plan - Annual - IDCW Option</t>
  </si>
  <si>
    <t>INF843K01CE1</t>
  </si>
  <si>
    <t>Edelweiss Money Market Fund - Direct Plan - Growth Option</t>
  </si>
  <si>
    <t>INF843K01CF8</t>
  </si>
  <si>
    <t>INF843K01CG6</t>
  </si>
  <si>
    <t>Edelweiss Money Market Fund - Direct Plan - IDCW Option</t>
  </si>
  <si>
    <t>INF843K01377</t>
  </si>
  <si>
    <t>Edelweiss Money Market Fund - Institutional Plan - Growth Option</t>
  </si>
  <si>
    <t>INF843K01922</t>
  </si>
  <si>
    <t>INF843K01914</t>
  </si>
  <si>
    <t>Edelweiss Money Market Fund - Regular Plan - Annual - IDCW Option</t>
  </si>
  <si>
    <t>INF843K01344</t>
  </si>
  <si>
    <t>Edelweiss Money Market Fund - Regular Plan - Growth Option</t>
  </si>
  <si>
    <t>INF843K01351</t>
  </si>
  <si>
    <t>INF843K01369</t>
  </si>
  <si>
    <t>Edelweiss Money Market Fund - Regular Plan - IDCW Option</t>
  </si>
  <si>
    <t>INF090I01GV8</t>
  </si>
  <si>
    <t>Franklin India Money Market Fund - Direct - Growth</t>
  </si>
  <si>
    <t>INF090I01WV5</t>
  </si>
  <si>
    <t>INF090I01WW3</t>
  </si>
  <si>
    <t>Franklin India Money Market Fund - DP - Wkly IDCW R</t>
  </si>
  <si>
    <t>INF090I01CA1</t>
  </si>
  <si>
    <t>Franklin India Money Market Fund - Growth Option</t>
  </si>
  <si>
    <t>INF090I01BW7</t>
  </si>
  <si>
    <t>INF090I01BV9</t>
  </si>
  <si>
    <t>Franklin India Money Market Fund - Institutional Option - Dividend</t>
  </si>
  <si>
    <t>INF090I01BX5</t>
  </si>
  <si>
    <t>Franklin India Money Market Fund - Institutional Option - Growth</t>
  </si>
  <si>
    <t>INF090I01KM9</t>
  </si>
  <si>
    <t>Franklin India Money Market Fund Retail Option - Daily - IDCW</t>
  </si>
  <si>
    <t>INF090I01KN7</t>
  </si>
  <si>
    <t>Franklin India Money Market Fund Retail Option - Direct - Daily - IDCW</t>
  </si>
  <si>
    <t>INF090I01LC8</t>
  </si>
  <si>
    <t>INF090I01LD6</t>
  </si>
  <si>
    <t>Franklin India Money Market Fund Retail Option - Direct - Monthly - IDCW</t>
  </si>
  <si>
    <t>INF090I01GT2</t>
  </si>
  <si>
    <t>INF090I01GU0</t>
  </si>
  <si>
    <t>Franklin India Money Market Fund Retail Option - Direct - Quarterly - IDCW</t>
  </si>
  <si>
    <t>INF090I01LA2</t>
  </si>
  <si>
    <t>INF090I01LB0</t>
  </si>
  <si>
    <t>Franklin India Money Market Fund Retail Option - Monthly - IDCW</t>
  </si>
  <si>
    <t>INF090I01BZ0</t>
  </si>
  <si>
    <t>INF090I01BY3</t>
  </si>
  <si>
    <t>Franklin India Money Market Fund Retail Option - Quarterly - IDCW</t>
  </si>
  <si>
    <t>INF090I01WT9</t>
  </si>
  <si>
    <t>INF090I01WU7</t>
  </si>
  <si>
    <t>Franklin India Money Market Fund Wkly IDCW R</t>
  </si>
  <si>
    <t>INF666M01MW3</t>
  </si>
  <si>
    <t>Groww Money Market Fund Direct Growth</t>
  </si>
  <si>
    <t>INF666M01MX1</t>
  </si>
  <si>
    <t>INF666M01MY9</t>
  </si>
  <si>
    <t>Groww Money Market Fund Direct IDCW</t>
  </si>
  <si>
    <t>INF666M01MZ6</t>
  </si>
  <si>
    <t>Groww Money Market Fund Regular Growth</t>
  </si>
  <si>
    <t>INF666M01NA7</t>
  </si>
  <si>
    <t>INF666M01NB5</t>
  </si>
  <si>
    <t>Groww Money Market Fund Regular IDCW</t>
  </si>
  <si>
    <t>INF179KB1IG6</t>
  </si>
  <si>
    <t>HDFC Money Market Fund - Daily IDCW Option</t>
  </si>
  <si>
    <t>INF179KB1HZ8</t>
  </si>
  <si>
    <t>HDFC Money Market Fund - Daily IDCW Option - Direct Plan</t>
  </si>
  <si>
    <t>INF179KB1HR5</t>
  </si>
  <si>
    <t>HDFC Money Market Fund - Growth Option</t>
  </si>
  <si>
    <t>INF179KB1HU9</t>
  </si>
  <si>
    <t>HDFC Money Market Fund - Growth Option - Direct Plan</t>
  </si>
  <si>
    <t>INF179KB1IH4</t>
  </si>
  <si>
    <t>INF179KB1II2</t>
  </si>
  <si>
    <t>HDFC Money Market Fund - Weekly IDCW Option</t>
  </si>
  <si>
    <t>INF179KB1IA9</t>
  </si>
  <si>
    <t>INF179KB1IB7</t>
  </si>
  <si>
    <t>HDFC Money Market Fund - Weekly IDCW Option -Direct Plan</t>
  </si>
  <si>
    <t>INF917K01FD8</t>
  </si>
  <si>
    <t>HSBC Money Market Fund - Direct Daily IDCW</t>
  </si>
  <si>
    <t>INF917K01FE6</t>
  </si>
  <si>
    <t>HSBC Money Market Fund - Direct Growth</t>
  </si>
  <si>
    <t>INF917K01E86</t>
  </si>
  <si>
    <t>INF917K01FF3</t>
  </si>
  <si>
    <t>HSBC Money Market Fund - Direct Monthly IDCW</t>
  </si>
  <si>
    <t>INF917K01FH9</t>
  </si>
  <si>
    <t>HSBC Money Market Fund - Direct Weekly IDCW</t>
  </si>
  <si>
    <t>INF917K01AY5</t>
  </si>
  <si>
    <t>HSBC Money Market Fund - Regular Daily IDCW</t>
  </si>
  <si>
    <t>INF917K01BC9</t>
  </si>
  <si>
    <t>HSBC Money Market Fund - Regular Growth</t>
  </si>
  <si>
    <t>INF917K01BB1</t>
  </si>
  <si>
    <t>INF917K01BA3</t>
  </si>
  <si>
    <t>HSBC Money Market Fund - Regular Monthly IDCW</t>
  </si>
  <si>
    <t>INF917K01AZ2</t>
  </si>
  <si>
    <t>HSBC Money Market Fund - Regular Weekly IDCW</t>
  </si>
  <si>
    <t>INF109KA1H85</t>
  </si>
  <si>
    <t>ICICI Prudential Money Market Fund - Direct Plan Bonus</t>
  </si>
  <si>
    <t>INF109KA1H93</t>
  </si>
  <si>
    <t>ICICI Prudential Money Market Fund -Bonus</t>
  </si>
  <si>
    <t>INF109K01I72</t>
  </si>
  <si>
    <t>ICICI Prudential Money Market Fund Dividend</t>
  </si>
  <si>
    <t>INF109K01R22</t>
  </si>
  <si>
    <t>ICICI Prudential Money Market Fund Option - Direct Plan -  Daily IDCW</t>
  </si>
  <si>
    <t>INF109K01R55</t>
  </si>
  <si>
    <t>ICICI Prudential Money Market Fund Option - Direct Plan -  Fortnightly IDCW</t>
  </si>
  <si>
    <t>INF109K01R14</t>
  </si>
  <si>
    <t>ICICI Prudential Money Market Fund Option - Direct Plan -  Growth</t>
  </si>
  <si>
    <t>INF109K01R30</t>
  </si>
  <si>
    <t>ICICI Prudential Money Market Fund Option - Direct Plan -  IDCW Others</t>
  </si>
  <si>
    <t>INF109K01R63</t>
  </si>
  <si>
    <t>INF109K01R71</t>
  </si>
  <si>
    <t>ICICI Prudential Money Market Fund Option - Direct Plan -  Monthly IDCW</t>
  </si>
  <si>
    <t>INF109K01R89</t>
  </si>
  <si>
    <t>ICICI Prudential Money Market Fund Option - Direct Plan -  Weekly IDCW</t>
  </si>
  <si>
    <t>INF109K01TW3</t>
  </si>
  <si>
    <t>ICICI Prudential Money Market Fund Retail Growth (erstwhile Cash Option)</t>
  </si>
  <si>
    <t>INF109K01TY9</t>
  </si>
  <si>
    <t>ICICI Prudential Money Market Fund Option - Daily IDCW</t>
  </si>
  <si>
    <t>INF109K01TX1</t>
  </si>
  <si>
    <t>ICICI Prudential Money Market Fund Option - Growth</t>
  </si>
  <si>
    <t>INF109K01I64</t>
  </si>
  <si>
    <t>ICICI Prudential Money Market Fund Option - IDCW Others</t>
  </si>
  <si>
    <t>INF109K01UC3</t>
  </si>
  <si>
    <t>INF109K01UB5</t>
  </si>
  <si>
    <t>ICICI Prudential Money Market Fund Option - Monthly IDCW</t>
  </si>
  <si>
    <t>INF109K01TZ6</t>
  </si>
  <si>
    <t>ICICI Prudential Money Market Fund Option - Weekly IDCW</t>
  </si>
  <si>
    <t>INF109K01UA7</t>
  </si>
  <si>
    <t>ICICI Prudential Money Market Fund Option -Fortnightly IDCW</t>
  </si>
  <si>
    <t>INF205K01RU7</t>
  </si>
  <si>
    <t>Invesco India Money Market Fund - Daily IDCW (Reinvestment)</t>
  </si>
  <si>
    <t>INF205K01RV5</t>
  </si>
  <si>
    <t>Invesco India Money Market Fund - Direct Plan - Daily IDCW (Reinvestment)</t>
  </si>
  <si>
    <t>INF205K01RW3</t>
  </si>
  <si>
    <t>INF205K01RX1</t>
  </si>
  <si>
    <t>Invesco India Money Market Fund - Direct Plan - Discretionary IDCW (Payout / Reinvestment)</t>
  </si>
  <si>
    <t>INF205K01RY9</t>
  </si>
  <si>
    <t>Invesco India Money Market Fund - Direct Plan - Growth</t>
  </si>
  <si>
    <t>INF205K01RZ6</t>
  </si>
  <si>
    <t>INF205K01SA7</t>
  </si>
  <si>
    <t>Invesco India Money Market Fund - Direct Plan - Monthly IDCW (Payout / Reinvestment)</t>
  </si>
  <si>
    <t>INF205KA1858</t>
  </si>
  <si>
    <t>INF205KA1866</t>
  </si>
  <si>
    <t>Invesco India Money Market Fund - Direct Plan - Weekly IDCW (Payout / Reinvestment)</t>
  </si>
  <si>
    <t>INF205K01SB5</t>
  </si>
  <si>
    <t>INF205K01SC3</t>
  </si>
  <si>
    <t>Invesco India Money Market Fund - Discretionary IDCW (Payout / Reinvestment)</t>
  </si>
  <si>
    <t>INF205K01SD1</t>
  </si>
  <si>
    <t>Invesco India Money Market Fund - Growth</t>
  </si>
  <si>
    <t>INF205K01SE9</t>
  </si>
  <si>
    <t>INF205K01SF6</t>
  </si>
  <si>
    <t>Invesco India Money Market Fund - Monthly IDCW (Payout / Reinvestment)</t>
  </si>
  <si>
    <t>INF205K01SG4</t>
  </si>
  <si>
    <t>Invesco India Money Market Fund - Regular - Growth</t>
  </si>
  <si>
    <t>INF205K01SH2</t>
  </si>
  <si>
    <t>INF205K01SI0</t>
  </si>
  <si>
    <t>Invesco India Money Market Fund - Regular - Monthly IDCW (Payout / Reinvestment)</t>
  </si>
  <si>
    <t>INF205K01UW7</t>
  </si>
  <si>
    <t>Invesco India Money Market Fund - Regular Plan - Daily IDCW (Reinvestment)</t>
  </si>
  <si>
    <t>INF205KA1833</t>
  </si>
  <si>
    <t>INF205KA1841</t>
  </si>
  <si>
    <t>Invesco India Money Market Fund - Weekly IDCW (Payout / Reinvestment)</t>
  </si>
  <si>
    <t>INF22M001028</t>
  </si>
  <si>
    <t>JioBlackRock Money Market Fund - Direct Plan - Growth Option</t>
  </si>
  <si>
    <t>INF192K01DR3</t>
  </si>
  <si>
    <t>JM Money Market Fund (Direct) - Fortnightly Dividend Option</t>
  </si>
  <si>
    <t>INF192K01DS1</t>
  </si>
  <si>
    <t>JM Money Market Fund (Direct) - Growth</t>
  </si>
  <si>
    <t>INF192K01DQ5</t>
  </si>
  <si>
    <t>JM Money Market Fund (Direct) - Weekly Dividend</t>
  </si>
  <si>
    <t>INF192K01FH9</t>
  </si>
  <si>
    <t>JM Money Market Fund (Direct) Bonus Option - Principal Units</t>
  </si>
  <si>
    <t>INF192K01DP7</t>
  </si>
  <si>
    <t>JM Money Market Fund (Direct)- Daily Dividend Option</t>
  </si>
  <si>
    <t>INF192K01FF3</t>
  </si>
  <si>
    <t>JM Money Market Fund - Bonus Option - Principal Units</t>
  </si>
  <si>
    <t>INF192K01AR9</t>
  </si>
  <si>
    <t>JM Money Market Fund - Daily Dividend</t>
  </si>
  <si>
    <t>INF192K01AT5</t>
  </si>
  <si>
    <t>JM Money Market Fund - Fortnighly Dividend</t>
  </si>
  <si>
    <t>INF192K01AU3</t>
  </si>
  <si>
    <t>JM Money Market Fund - Growth</t>
  </si>
  <si>
    <t>INF192K01AS7</t>
  </si>
  <si>
    <t>JM Money Market Fund - Weekly Dividend</t>
  </si>
  <si>
    <t>INF174K01NA6</t>
  </si>
  <si>
    <t>Kotak Money Market Fund - (Growth)</t>
  </si>
  <si>
    <t>INF174K01MW2</t>
  </si>
  <si>
    <t>Kotak Money Market Fund - (Growth) - Direct</t>
  </si>
  <si>
    <t>INF174K018O0</t>
  </si>
  <si>
    <t>INF174K01NB4</t>
  </si>
  <si>
    <t>Kotak Money market Fund - (Monthly Payout of Income Distribution cum capital withdrawal option)</t>
  </si>
  <si>
    <t>INF174K019O8</t>
  </si>
  <si>
    <t>INF174K01MX0</t>
  </si>
  <si>
    <t>Kotak Money Market Fund - (Monthly Payout of Income Distribution cum capital withdrawal option) - Direct</t>
  </si>
  <si>
    <t>INF767K01RE0</t>
  </si>
  <si>
    <t>LIC MF Money Market Fund-Direct Plan-Growth</t>
  </si>
  <si>
    <t>INF767K01RF7</t>
  </si>
  <si>
    <t>INF767K01RG5</t>
  </si>
  <si>
    <t>LIC MF Money Market Fund-Direct Plan-IDCW</t>
  </si>
  <si>
    <t>INF767K01RB6</t>
  </si>
  <si>
    <t>LIC MF Money Market Fund-Regular Plan-Growth</t>
  </si>
  <si>
    <t>INF767K01RC4</t>
  </si>
  <si>
    <t>INF767K01RD2</t>
  </si>
  <si>
    <t>LIC MF Money Market Fund-Regular Plan-IDCW</t>
  </si>
  <si>
    <t>INF769K01HN8</t>
  </si>
  <si>
    <t>Mirae Asset Money Market Fund Direct Growth</t>
  </si>
  <si>
    <t>INF769K01HM0</t>
  </si>
  <si>
    <t>INF769K01HO6</t>
  </si>
  <si>
    <t>Mirae Asset Money Market Fund Direct IDCW</t>
  </si>
  <si>
    <t>INF769K01HK4</t>
  </si>
  <si>
    <t>Mirae Asset Money Market Fund Regular Growth</t>
  </si>
  <si>
    <t>INF769K01HJ6</t>
  </si>
  <si>
    <t>INF769K01HL2</t>
  </si>
  <si>
    <t>Mirae Asset Money Market Fund Regular IDCW</t>
  </si>
  <si>
    <t>INF204K01UY6</t>
  </si>
  <si>
    <t>NIPPON INDIA MONEY MARKET FUND - DAILY IDCW Option</t>
  </si>
  <si>
    <t>INF204K01ZN8</t>
  </si>
  <si>
    <t>NIPPON INDIA MONEY MARKET FUND - DIRECT Plan - DAILY IDCW Option</t>
  </si>
  <si>
    <t>INF204K01ZQ1</t>
  </si>
  <si>
    <t>INF204K01ZR9</t>
  </si>
  <si>
    <t>NIPPON INDIA MONEY MARKET FUND - DIRECT Plan - MONTHLY IDCW Option</t>
  </si>
  <si>
    <t>INF204K01ZS7</t>
  </si>
  <si>
    <t>INF204K01ZT5</t>
  </si>
  <si>
    <t>NIPPON INDIA MONEY MARKET FUND - DIRECT Plan - QUARTERLY IDCW Option</t>
  </si>
  <si>
    <t>INF204K01ZO6</t>
  </si>
  <si>
    <t>NIPPON INDIA MONEY MARKET FUND - DIRECT Plan - WEEKLY IDCW Option</t>
  </si>
  <si>
    <t>INF204K01G11</t>
  </si>
  <si>
    <t>Nippon India Money Market Fund - Direct Plan Growth Plan - Bonus Option</t>
  </si>
  <si>
    <t>INF204K01ZP3</t>
  </si>
  <si>
    <t>Nippon India Money Market Fund - Direct Plan Growth Plan - Growth Option</t>
  </si>
  <si>
    <t>INF204K01VB2</t>
  </si>
  <si>
    <t>INF204K01VC0</t>
  </si>
  <si>
    <t>NIPPON INDIA MONEY MARKET FUND - MONTHLY IDCW Option</t>
  </si>
  <si>
    <t>INF204K01VD8</t>
  </si>
  <si>
    <t>INF204K01VE6</t>
  </si>
  <si>
    <t>NIPPON INDIA MONEY MARKET FUND - QUARTERLY IDCW Option</t>
  </si>
  <si>
    <t>INF204K01UZ3</t>
  </si>
  <si>
    <t>NIPPON INDIA MONEY MARKET FUND - WEEKLY IDCW Option</t>
  </si>
  <si>
    <t>INF204K01UX8</t>
  </si>
  <si>
    <t>Nippon India Money Market Fund-Growth Plan-Bonus Option</t>
  </si>
  <si>
    <t>INF204K01VA4</t>
  </si>
  <si>
    <t>Nippon India Money Market Fund-Growth Plan-Growth Option</t>
  </si>
  <si>
    <t>INF663L01U16</t>
  </si>
  <si>
    <t>PGIM India Money Market Fund - Direct Plan - Daily Dividend Option</t>
  </si>
  <si>
    <t>INF663L01T84</t>
  </si>
  <si>
    <t>PGIM India Money Market Fund - Direct Plan - Growth Option</t>
  </si>
  <si>
    <t>INF663L01T92</t>
  </si>
  <si>
    <t>PGIM India Money Market Fund - Direct Plan - Monthly Dividend Option</t>
  </si>
  <si>
    <t>INF663L01U08</t>
  </si>
  <si>
    <t>PGIM India Money Market Fund - Direct Plan - Weekly Dividend Option</t>
  </si>
  <si>
    <t>INF663L01U57</t>
  </si>
  <si>
    <t>PGIM India Money Market Fund - Regular Plan - Daily Dividend Option</t>
  </si>
  <si>
    <t>INF663L01U24</t>
  </si>
  <si>
    <t>PGIM India Money Market Fund - Regular Plan - Growth Option</t>
  </si>
  <si>
    <t>INF663L01U32</t>
  </si>
  <si>
    <t>PGIM India Money Market Fund - Regular Plan - Monthly Dividend Option</t>
  </si>
  <si>
    <t>INF663L01U40</t>
  </si>
  <si>
    <t>PGIM India Money Market Fund - Regular Plan - Weekly Dividend Option</t>
  </si>
  <si>
    <t>PGIM India Money Market Fund - Segregated Portfolio 1 - Direct Plan - Annual IDCW option</t>
  </si>
  <si>
    <t>PGIM India Money Market Fund - Segregated Portfolio 1 - Direct Plan - Growth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</si>
  <si>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</si>
  <si>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</si>
  <si>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Money Market Fund - Segregated Portfolio 1 - Regular Plan - Annual IDCW Option</t>
  </si>
  <si>
    <t>PGIM India Money Market Fund - Segregated Portfolio 1 - Regular plan - Growth option</t>
  </si>
  <si>
    <t>PGIM India Money Market Fund - Segregated Portfolio 1 - Regular Plan - Monthly IDCW option</t>
  </si>
  <si>
    <t>PGIM India Money Market Fund - Segregated Portfolio 1 - Regular Plan - Quarterly IDCW Option</t>
  </si>
  <si>
    <t>INF200K01SZ5</t>
  </si>
  <si>
    <t>SBI  SAVINGS FUND - DIRECT PLAN - GROWTH</t>
  </si>
  <si>
    <t>INF200K01636</t>
  </si>
  <si>
    <t>SBI  SAVINGS FUND - REGULAR PLAN - GROWTH</t>
  </si>
  <si>
    <t>INF200K01SX0</t>
  </si>
  <si>
    <t>INF200K01SY8</t>
  </si>
  <si>
    <t>SBI Savings Fund - Direct Plan - Income Distribution cum Capital Withdrawal Option (IDCW)</t>
  </si>
  <si>
    <t>INF200K01SW2</t>
  </si>
  <si>
    <t>SBI Savings Fund - Direct Plan Daily Income Distribution cum Capital Withdrawal Option (IDCW)</t>
  </si>
  <si>
    <t>INF200K01TA6</t>
  </si>
  <si>
    <t>INF200K01TB4</t>
  </si>
  <si>
    <t>SBI Savings Fund - Direct Plan Weekly Income Distribution cum Capital Withdrawal Option (IDCW)</t>
  </si>
  <si>
    <t>INF200K01644</t>
  </si>
  <si>
    <t>INF200K01651</t>
  </si>
  <si>
    <t>SBI Savings Fund - Regular Plan - Income Distribution cum Capital Withdrawal Option (IDCW)</t>
  </si>
  <si>
    <t>INF200KA1K20</t>
  </si>
  <si>
    <t>SBI Savings Fund - Regular Plan Daily Income Distribution cum Capital Withdrawal Option (IDCW)</t>
  </si>
  <si>
    <t>INF200K01669</t>
  </si>
  <si>
    <t>INF200K01677</t>
  </si>
  <si>
    <t>SBI Savings Fund - Regular Plan Weekly Income Distribution cum Capital Withdrawal Option (IDCW)</t>
  </si>
  <si>
    <t>INF680P01471</t>
  </si>
  <si>
    <t>Shriram Money Market Fund - Direct Plan Growth Option</t>
  </si>
  <si>
    <t>INF680P01489</t>
  </si>
  <si>
    <t>Shriram Money Market Fund - Regular Plan Growth Option</t>
  </si>
  <si>
    <t>INF903JA1FU0</t>
  </si>
  <si>
    <t>Sundaram Money Market Fund Direct Plan - Daily Reinvestment of Income Distribution cum Capital Withdrawal (IDCW)</t>
  </si>
  <si>
    <t>INF903JA1FW6</t>
  </si>
  <si>
    <t>Sundaram Money Market Fund Direct Plan - Fortnightly Reinvestment of Income Distribution cum Capital Withdrawal (IDCW)</t>
  </si>
  <si>
    <t>INF903JA1FR6</t>
  </si>
  <si>
    <t>Sundaram Money Market Fund Direct Plan - Growth</t>
  </si>
  <si>
    <t>INF903JA1FS4</t>
  </si>
  <si>
    <t>Sundaram Money Market Fund Direct Plan - Income Distribution cum Capital Withdrawal (IDCW)</t>
  </si>
  <si>
    <t>INF903JA1FX4</t>
  </si>
  <si>
    <t>Sundaram Money Market Fund Direct Plan - Income Distribution cum Capital Withdrawal(IDCW)</t>
  </si>
  <si>
    <t>INF903JA1FV8</t>
  </si>
  <si>
    <t>Sundaram Money Market Fund Direct Plan - Weekly Reinvestment of Income Distribution cum Capital Withdrawal (IDCW)</t>
  </si>
  <si>
    <t>INF903JA1FT2</t>
  </si>
  <si>
    <t>Sundaram Money Market Fund Direct Plan- Income Distribution cum Capital Withdrawal(IDCW)</t>
  </si>
  <si>
    <t>INF903JA1FY2</t>
  </si>
  <si>
    <t>Sundaram Money Market Fund Direct Plan-Income Distribution cum Capital Withdrawal(IDCW)</t>
  </si>
  <si>
    <t>INF903JA1FM7</t>
  </si>
  <si>
    <t>Sundaram Money Market Fund Regular Plan - Daily Reinvestment of Income Distribution cum Capital Withdrawal (IDCW)</t>
  </si>
  <si>
    <t>INF903JA1FO3</t>
  </si>
  <si>
    <t>Sundaram Money Market Fund Regular Plan - Fortnightly Reinvestment of Income Distribution cum Capital Withdrawal (IDCW)</t>
  </si>
  <si>
    <t>INF903JA1FJ3</t>
  </si>
  <si>
    <t>Sundaram Money Market Fund Regular Plan - Growth</t>
  </si>
  <si>
    <t>INF903JA1FL9</t>
  </si>
  <si>
    <t>Sundaram Money Market Fund Regular Plan - Income Distribution cum Capital Withdrawal (IDCW )</t>
  </si>
  <si>
    <t>INF903JA1FN5</t>
  </si>
  <si>
    <t>Sundaram Money Market Fund Regular Plan - Weekly Reinvestment of Income Distribution cum Capital Withdrawal (IDCW)</t>
  </si>
  <si>
    <t>INF903JA1FQ8</t>
  </si>
  <si>
    <t>Sundaram Money Market Fund Regular Plan -Income Distribution cum Capital Withdrawal (IDCW )</t>
  </si>
  <si>
    <t>INF903JA1FP0</t>
  </si>
  <si>
    <t>Sundaram Money Market Fund Regular Plan -Income Distribution cum Capital Withdrawal(IDCW)</t>
  </si>
  <si>
    <t>INF903JA1FK1</t>
  </si>
  <si>
    <t>Sundaram Money Market Fund Regular Plan- Income Distribution cum Capital Withdrawal (IDCW)</t>
  </si>
  <si>
    <t>INF277K011C6</t>
  </si>
  <si>
    <t>Tata Money Market Fund- Direct Plan - Daily Reinvestment of IDCW Option</t>
  </si>
  <si>
    <t>INF277K01PR6</t>
  </si>
  <si>
    <t>Tata Money Market Fund- Direct Plan- Growth Option</t>
  </si>
  <si>
    <t>INF277K014C0</t>
  </si>
  <si>
    <t>Tata Money Market Fund- Regular Plan - Daily Reinvestment of IDCW Option</t>
  </si>
  <si>
    <t>INF277K01LQ7</t>
  </si>
  <si>
    <t>Tata Money Market Fund-Regular Plan - Growth Option</t>
  </si>
  <si>
    <t>INF0GCD01503</t>
  </si>
  <si>
    <t>TRUSTMF MONEY MARKET FUND-DIRECT PLAN-GROWTH</t>
  </si>
  <si>
    <t>INF0GCD01529</t>
  </si>
  <si>
    <t>INF0GCD01511</t>
  </si>
  <si>
    <t>TRUSTMF MONEY MARKET FUND-DIRECT PLAN-MONTHLY IDCW</t>
  </si>
  <si>
    <t>INF0GCD01479</t>
  </si>
  <si>
    <t>TRUSTMF MONEY MARKET FUND-REGULAR PLAN-GROWTH</t>
  </si>
  <si>
    <t>INF0GCD01495</t>
  </si>
  <si>
    <t>INF0GCD01487</t>
  </si>
  <si>
    <t>TRUSTMF MONEY MARKET FUND-REGULAR PLAN-MONTHLY IDCW</t>
  </si>
  <si>
    <t>INF582M01HG5</t>
  </si>
  <si>
    <t>Union Money Market Fund - Direct Plan -  Growth Option</t>
  </si>
  <si>
    <t>INF582M01HK7</t>
  </si>
  <si>
    <t>INF582M01HJ9</t>
  </si>
  <si>
    <t>Union Money Market Fund - Direct Plan -  Monthly IDCW Option</t>
  </si>
  <si>
    <t>INF582M01HI1</t>
  </si>
  <si>
    <t>Union Money Market Fund - Direct Plan -  Weekly IDCW Option</t>
  </si>
  <si>
    <t>INF582M01HH3</t>
  </si>
  <si>
    <t>Union Money Market Fund - Direct Plan - Daily IDCW Option</t>
  </si>
  <si>
    <t>INF582M01HO9</t>
  </si>
  <si>
    <t>Union Money Market Fund - Regular Plan -  Growth Option</t>
  </si>
  <si>
    <t>INF582M01HS0</t>
  </si>
  <si>
    <t>INF582M01HR2</t>
  </si>
  <si>
    <t>Union Money Market Fund - Regular Plan -  Monthly IDCW Option</t>
  </si>
  <si>
    <t>INF582M01HQ4</t>
  </si>
  <si>
    <t>Union Money Market Fund - Regular Plan -  Weekly IDCW Option</t>
  </si>
  <si>
    <t>INF582M01HP6</t>
  </si>
  <si>
    <t>Union Money Market Fund - Regular Plan - Daily IDCW Option</t>
  </si>
  <si>
    <t>INF789F01XV6</t>
  </si>
  <si>
    <t>UTI MMF - Direct Plan - Growth Option</t>
  </si>
  <si>
    <t>INF789FA1M04</t>
  </si>
  <si>
    <t>INF789FA1M12</t>
  </si>
  <si>
    <t>UTI MMF - Regular Plan - Flexi Dividend Option</t>
  </si>
  <si>
    <t>INF789F01PX8</t>
  </si>
  <si>
    <t>UTI MMF - Regular Plan - Growth Option</t>
  </si>
  <si>
    <t>INF789F01BD0</t>
  </si>
  <si>
    <t>UTI MMF- Discontinued - Regular Plan - Flexi Dividend Option</t>
  </si>
  <si>
    <t>INF789F01BE8</t>
  </si>
  <si>
    <t>UTI MMF- Discontinued - Regular Plan - Periodic Dividend Option</t>
  </si>
  <si>
    <t>INF789F01BF5</t>
  </si>
  <si>
    <t>UTI MMF-Discontinued - Regular Plan -Growth</t>
  </si>
  <si>
    <t>INF789FA1N03</t>
  </si>
  <si>
    <t>INF789FA1N11</t>
  </si>
  <si>
    <t>UTI Money Market Fund - Direct Plan - Annual IDCW</t>
  </si>
  <si>
    <t>INF789F01XU8</t>
  </si>
  <si>
    <t>UTI Money Market Fund - Direct Plan - Daily IDCW (Reinvestment)</t>
  </si>
  <si>
    <t>INF789FA1N29</t>
  </si>
  <si>
    <t>INF789FA1N37</t>
  </si>
  <si>
    <t>UTI Money Market Fund - Direct Plan - Flexi IDCW</t>
  </si>
  <si>
    <t>INF789FA1M20</t>
  </si>
  <si>
    <t>INF789FA1M38</t>
  </si>
  <si>
    <t>UTI Money Market Fund - Direct Plan - Fortnightly IDCW</t>
  </si>
  <si>
    <t>INF789FA1M87</t>
  </si>
  <si>
    <t>INF789FA1M95</t>
  </si>
  <si>
    <t>UTI Money Market Fund - Direct Plan - Half-Yearly IDCW</t>
  </si>
  <si>
    <t>INF789FA1M46</t>
  </si>
  <si>
    <t>INF789FA1M53</t>
  </si>
  <si>
    <t>UTI Money Market Fund - Direct Plan - Monthly IDCW</t>
  </si>
  <si>
    <t>INF789FA1M61</t>
  </si>
  <si>
    <t>INF789FA1M79</t>
  </si>
  <si>
    <t>UTI Money Market Fund - Direct Plan - Quarterly IDCW</t>
  </si>
  <si>
    <t>INF789F01XW4</t>
  </si>
  <si>
    <t>INF789F01XX2</t>
  </si>
  <si>
    <t>UTI Money Market Fund - Direct Plan - Weekly IDCW</t>
  </si>
  <si>
    <t>INF789FA1L88</t>
  </si>
  <si>
    <t>INF789FA1L96</t>
  </si>
  <si>
    <t>UTI Money Market Fund - Regular Plan - Annual IDCW</t>
  </si>
  <si>
    <t>INF789F01PW0</t>
  </si>
  <si>
    <t>UTI Money Market Fund - Regular Plan - Daily IDCW (Reinvestment)</t>
  </si>
  <si>
    <t>INF789FA1L05</t>
  </si>
  <si>
    <t>INF789FA1L13</t>
  </si>
  <si>
    <t>UTI Money Market Fund - Regular Plan - Fortnightly IDCW</t>
  </si>
  <si>
    <t>INF789FA1L62</t>
  </si>
  <si>
    <t>INF789FA1L70</t>
  </si>
  <si>
    <t>UTI Money Market Fund - Regular Plan - Half-Yearly IDCW</t>
  </si>
  <si>
    <t>INF789FA1L21</t>
  </si>
  <si>
    <t>INF789FA1L39</t>
  </si>
  <si>
    <t>UTI Money Market Fund - Regular Plan - Monthly IDCW</t>
  </si>
  <si>
    <t>INF789FA1L47</t>
  </si>
  <si>
    <t>INF789FA1L54</t>
  </si>
  <si>
    <t>UTI Money Market Fund - Regular Plan - Quarterly IDCW</t>
  </si>
  <si>
    <t>INF789F01PY6</t>
  </si>
  <si>
    <t>INF789F01PZ3</t>
  </si>
  <si>
    <t>UTI Money Market Fund - Regular Plan - Weekly IDCW</t>
  </si>
  <si>
    <t>INF579M01BG4</t>
  </si>
  <si>
    <t>360 ONE Overnight Fund - Direct Plan - Growth</t>
  </si>
  <si>
    <t>INF579M01BD1</t>
  </si>
  <si>
    <t>360 ONE Overnight Fund - Regular Plan - Growth</t>
  </si>
  <si>
    <t>INF579M01BE9</t>
  </si>
  <si>
    <t>INF579M01BF6</t>
  </si>
  <si>
    <t>360 ONE Overnight Fund - Regular Plan - IDCW</t>
  </si>
  <si>
    <t>INF579M01BH2</t>
  </si>
  <si>
    <t>INF579M01BI0</t>
  </si>
  <si>
    <t>360 ONE Overnight Fund- Direct Plan - IDCW</t>
  </si>
  <si>
    <t>INF209KB1ZL4</t>
  </si>
  <si>
    <t>ADITYA BIRLA SUN LIFE OVERNIGHT FUND-  Direct - Monthly Payout of IDCW</t>
  </si>
  <si>
    <t>INF209KB1ZJ8</t>
  </si>
  <si>
    <t>ADITYA BIRLA SUN LIFE OVERNIGHT FUND-  Direct - Weekly Reinvestment of IDCW</t>
  </si>
  <si>
    <t>INF209KB1ZE9</t>
  </si>
  <si>
    <t>ADITYA BIRLA SUN LIFE OVERNIGHT FUND-  Regular - Weekly Reinvestment of IDCW option</t>
  </si>
  <si>
    <t>INF209KB1ZI0</t>
  </si>
  <si>
    <t>ADITYA BIRLA SUN LIFE OVERNIGHT FUND- Direct - Daily Reinvestment of IDCW</t>
  </si>
  <si>
    <t>INF209KB1ZD1</t>
  </si>
  <si>
    <t>ADITYA BIRLA SUN LIFE OVERNIGHT FUND- Regular - Daily Reinvestment of IDCW</t>
  </si>
  <si>
    <t>INF209KB1ZG4</t>
  </si>
  <si>
    <t>ADITYA BIRLA SUN LIFE OVERNIGHT FUND- Regular- Monthly Payout of IDCW option</t>
  </si>
  <si>
    <t>INF209KB1ZH2</t>
  </si>
  <si>
    <t>ADITYA BIRLA SUN LIFE OVERNIGHT FUND-DIRECT PLAN-GROWTH</t>
  </si>
  <si>
    <t>INF209KB1ZC3</t>
  </si>
  <si>
    <t>ADITYA BIRLA SUNLIFE OVERNIGHT FUND-REGULAR PLAN-GROWTH</t>
  </si>
  <si>
    <t>INF846K01N99</t>
  </si>
  <si>
    <t>Axis Overnight Fund - Direct Plan - Daily IDCW</t>
  </si>
  <si>
    <t>INF846K01N65</t>
  </si>
  <si>
    <t>Axis Overnight Fund - Direct Plan - Growth Option</t>
  </si>
  <si>
    <t>INF846K01N73</t>
  </si>
  <si>
    <t>INF846K01N81</t>
  </si>
  <si>
    <t>Axis Overnight Fund - Direct Plan - Monthly IDCW</t>
  </si>
  <si>
    <t>INF846K01N40</t>
  </si>
  <si>
    <t>INF846K01N57</t>
  </si>
  <si>
    <t>Axis Overnight Fund - Direct Plan - Weekly IDCW</t>
  </si>
  <si>
    <t>INF846K01O56</t>
  </si>
  <si>
    <t>Axis Overnight Fund - Regular Plan - Daily IDCW</t>
  </si>
  <si>
    <t>INF846K01O23</t>
  </si>
  <si>
    <t>Axis Overnight Fund - Regular Plan - Growth Option</t>
  </si>
  <si>
    <t>INF846K01O31</t>
  </si>
  <si>
    <t>INF846K01O49</t>
  </si>
  <si>
    <t>Axis Overnight Fund - Regular Plan - Monthly IDCW</t>
  </si>
  <si>
    <t>INF846K01O07</t>
  </si>
  <si>
    <t>INF846K01O15</t>
  </si>
  <si>
    <t>Axis Overnight Fund - Regular Plan - Weekly IDCW</t>
  </si>
  <si>
    <t>INF0QA701AE3</t>
  </si>
  <si>
    <t>Bajaj Finserv Overnight Fund - Direct - Unclaimed less than 3 years IDCW Plan</t>
  </si>
  <si>
    <t>INF0QA701AF0</t>
  </si>
  <si>
    <t>Bajaj Finserv Overnight Fund - Direct - Unclaimed less than 3 years Redemption Plan</t>
  </si>
  <si>
    <t>INF0QA701185</t>
  </si>
  <si>
    <t>Bajaj Finserv Overnight Fund - Direct Plan - Daily - IDCW</t>
  </si>
  <si>
    <t>INF0QA701235</t>
  </si>
  <si>
    <t>INF0QA701201</t>
  </si>
  <si>
    <t>Bajaj Finserv Overnight Fund - Direct Plan - Fortnightly - IDCW</t>
  </si>
  <si>
    <t>INF0QA701177</t>
  </si>
  <si>
    <t>Bajaj Finserv Overnight Fund - Direct Plan - Growth</t>
  </si>
  <si>
    <t>INF0QA701243</t>
  </si>
  <si>
    <t>INF0QA701219</t>
  </si>
  <si>
    <t>Bajaj Finserv Overnight Fund - Direct Plan - Monthly - IDCW</t>
  </si>
  <si>
    <t>INF0QA701227</t>
  </si>
  <si>
    <t>INF0QA701193</t>
  </si>
  <si>
    <t>Bajaj Finserv Overnight Fund - Direct Plan - Weekly - IDCW</t>
  </si>
  <si>
    <t>INF0QA701292</t>
  </si>
  <si>
    <t>Bajaj Finserv Overnight Fund - Regular Plan - Daily - IDCW</t>
  </si>
  <si>
    <t>INF0QA701318</t>
  </si>
  <si>
    <t>INF0QA701276</t>
  </si>
  <si>
    <t>Bajaj Finserv Overnight Fund - Regular Plan - Fortnightly - IDCW</t>
  </si>
  <si>
    <t>INF0QA701250</t>
  </si>
  <si>
    <t>Bajaj Finserv Overnight Fund - Regular Plan - Growth</t>
  </si>
  <si>
    <t>INF0QA701326</t>
  </si>
  <si>
    <t>INF0QA701284</t>
  </si>
  <si>
    <t>Bajaj Finserv Overnight Fund - Regular Plan - Monthly - IDCW</t>
  </si>
  <si>
    <t>INF0QA701300</t>
  </si>
  <si>
    <t>INF0QA701268</t>
  </si>
  <si>
    <t>Bajaj Finserv Overnight Fund - Regular Plan - Weekly - IDCW</t>
  </si>
  <si>
    <t>INF194KB1462</t>
  </si>
  <si>
    <t>INF194KB1470</t>
  </si>
  <si>
    <t>BANDHAN Overnight Fund - Direct Plan - Daily IDCW</t>
  </si>
  <si>
    <t>INF194KB1447</t>
  </si>
  <si>
    <t>BANDHAN Overnight Fund - Direct Plan - Growth</t>
  </si>
  <si>
    <t>INF194KB1496</t>
  </si>
  <si>
    <t>INF194KB1504</t>
  </si>
  <si>
    <t>BANDHAN Overnight Fund - Direct Plan - Monthly IDCW</t>
  </si>
  <si>
    <t>INF194KB1520</t>
  </si>
  <si>
    <t>INF194KB1538</t>
  </si>
  <si>
    <t>BANDHAN Overnight Fund - Direct Plan - Periodic IDCW</t>
  </si>
  <si>
    <t>INF194KB1553</t>
  </si>
  <si>
    <t>INF194KB1561</t>
  </si>
  <si>
    <t>BANDHAN Overnight Fund - Direct Plan - Weekly IDCW</t>
  </si>
  <si>
    <t>INF194KB1330</t>
  </si>
  <si>
    <t>INF194KB1348</t>
  </si>
  <si>
    <t>BANDHAN Overnight Fund - Regular Plan - Daily IDCW</t>
  </si>
  <si>
    <t>INF194KB1314</t>
  </si>
  <si>
    <t>BANDHAN Overnight Fund - Regular Plan - Growth</t>
  </si>
  <si>
    <t>INF194KB1363</t>
  </si>
  <si>
    <t>INF194KB1371</t>
  </si>
  <si>
    <t>BANDHAN Overnight Fund - Regular Plan - Monthly IDCW</t>
  </si>
  <si>
    <t>INF194KB1421</t>
  </si>
  <si>
    <t>INF194KB1439</t>
  </si>
  <si>
    <t>BANDHAN Overnight Fund - Regular Plan - Weekly IDCW</t>
  </si>
  <si>
    <t>INF194KB1397</t>
  </si>
  <si>
    <t>INF194KB1405</t>
  </si>
  <si>
    <t>BANDHAN Overnight Fund - REGULAR PLAN PERIODIC IDCW</t>
  </si>
  <si>
    <t>INF761K01EU7</t>
  </si>
  <si>
    <t>BANK OF INDIA Overnight Fund Direct Plan Growth</t>
  </si>
  <si>
    <t>INF761K01EV5</t>
  </si>
  <si>
    <t>BANK OF INDIA Overnight Fund Direct Plan- Daily IDCW</t>
  </si>
  <si>
    <t>INF761K01EY9</t>
  </si>
  <si>
    <t>INF761K01EX1</t>
  </si>
  <si>
    <t>BANK OF INDIA Overnight Fund Direct Plan- Monthly IDCW</t>
  </si>
  <si>
    <t>INF761K01EW3</t>
  </si>
  <si>
    <t>BANK OF INDIA Overnight Fund Direct Plan- Weekly IDCW</t>
  </si>
  <si>
    <t>INF761K01EZ6</t>
  </si>
  <si>
    <t>BANK OF INDIA Overnight Fund Regular Plan Growth</t>
  </si>
  <si>
    <t>INF761K01FA6</t>
  </si>
  <si>
    <t>BANK OF INDIA Overnight Fund Regular Plan- Daily IDCW</t>
  </si>
  <si>
    <t>INF761K01FD0</t>
  </si>
  <si>
    <t>INF761K01FC2</t>
  </si>
  <si>
    <t>BANK OF INDIA Overnight Fund Regular Plan- Monthly IDCW</t>
  </si>
  <si>
    <t>INF761K01FB4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</si>
  <si>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</si>
  <si>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</si>
  <si>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</si>
  <si>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</si>
  <si>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</si>
  <si>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INF955L01HW2</t>
  </si>
  <si>
    <t>Baroda BNP Paribas Overnight Fund - Direct Plan - Daily IDCW</t>
  </si>
  <si>
    <t>INF955L01HV4</t>
  </si>
  <si>
    <t>Baroda BNP Paribas Overnight Fund - Direct Plan - Growth</t>
  </si>
  <si>
    <t>INF955L01HX0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</si>
  <si>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</si>
  <si>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</si>
  <si>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</si>
  <si>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</si>
  <si>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</si>
  <si>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INF955L01HT8</t>
  </si>
  <si>
    <t>Baroda BNP Paribas Overnight Fund - Regular Plan - Daily IDCW</t>
  </si>
  <si>
    <t>INF955L01HS0</t>
  </si>
  <si>
    <t>Baroda BNP Paribas Overnight Fund - Regular Plan - Growth</t>
  </si>
  <si>
    <t>INF955L01HU6</t>
  </si>
  <si>
    <t>Baroda BNP Paribas Overnight Fund - Regular Plan - Weekly IDCW</t>
  </si>
  <si>
    <t>INF760K01JN3</t>
  </si>
  <si>
    <t>CANARA ROBECO OVERNIGHT FUND - DIRECT PLAN - DAILY IDCW (Reinvestment)</t>
  </si>
  <si>
    <t>INF760K01JM5</t>
  </si>
  <si>
    <t>CANARA ROBECO OVERNIGHT FUND - DIRECT PLAN - GROWTH OPTION</t>
  </si>
  <si>
    <t>INF760K01JP8</t>
  </si>
  <si>
    <t>CANARA ROBECO OVERNIGHT FUND - REGULAR PLAN - DAILY IDCW (Reinvestment)</t>
  </si>
  <si>
    <t>INF760K01JO1</t>
  </si>
  <si>
    <t>CANARA ROBECO OVERNIGHT FUND - REGULAR PLAN - GROWTH OPTION</t>
  </si>
  <si>
    <t>INF740KA1MC8</t>
  </si>
  <si>
    <t>DSP Overnight Fund - Direct Plan - Growth</t>
  </si>
  <si>
    <t>INF740KA1OR2</t>
  </si>
  <si>
    <t>DSP Overnight Fund - Direct Plan - IDCW - Daily</t>
  </si>
  <si>
    <t>INF740KA1OS0</t>
  </si>
  <si>
    <t>INF740KA1OT8</t>
  </si>
  <si>
    <t>DSP Overnight Fund - Direct Plan - IDCW - Weekly</t>
  </si>
  <si>
    <t>INF740KA1MB0</t>
  </si>
  <si>
    <t>DSP Overnight Fund - Regular Plan - Growth</t>
  </si>
  <si>
    <t>INF740KA1OU6</t>
  </si>
  <si>
    <t>DSP Overnight Fund - Regular Plan - IDCW - Daily</t>
  </si>
  <si>
    <t>INF740KA1OV4</t>
  </si>
  <si>
    <t>INF740KA1OW2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</si>
  <si>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</si>
  <si>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</si>
  <si>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</si>
  <si>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</si>
  <si>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</si>
  <si>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INF754K01KD5</t>
  </si>
  <si>
    <t>INF754K01KC7</t>
  </si>
  <si>
    <t>Edelweiss Overnight Fund - Direct Plan - Annual - IDCW Option</t>
  </si>
  <si>
    <t>INF754K01JW7</t>
  </si>
  <si>
    <t>Edelweiss Overnight Fund - Direct Plan - Daily - IDCW Option</t>
  </si>
  <si>
    <t>INF754K01JZ0</t>
  </si>
  <si>
    <t>INF754K01JY3</t>
  </si>
  <si>
    <t>Edelweiss Overnight Fund - Direct Plan - Fortnightly - IDCW Option</t>
  </si>
  <si>
    <t>INF754K01JV9</t>
  </si>
  <si>
    <t>Edelweiss Overnight Fund - Direct Plan - Growth</t>
  </si>
  <si>
    <t>INF754K01KB9</t>
  </si>
  <si>
    <t>INF754K01KA1</t>
  </si>
  <si>
    <t>Edelweiss Overnight Fund - Direct Plan - Monthly - IDCW Option</t>
  </si>
  <si>
    <t>INF754K01JX5</t>
  </si>
  <si>
    <t>Edelweiss Overnight Fund - Direct Plan - Weekly - IDCW Option</t>
  </si>
  <si>
    <t>INF754K01KM6</t>
  </si>
  <si>
    <t>INF754K01KL8</t>
  </si>
  <si>
    <t>Edelweiss Overnight Fund - Regular Plan - Annual - IDCW Option</t>
  </si>
  <si>
    <t>INF754K01KF0</t>
  </si>
  <si>
    <t>Edelweiss Overnight Fund - Regular Plan - Daily - IDCW Option</t>
  </si>
  <si>
    <t>INF754K01KI4</t>
  </si>
  <si>
    <t>INF754K01KH6</t>
  </si>
  <si>
    <t>Edelweiss Overnight Fund - Regular Plan - Fortnightly - IDCW Option</t>
  </si>
  <si>
    <t>INF754K01KE3</t>
  </si>
  <si>
    <t>Edelweiss Overnight Fund - Regular Plan - Growth</t>
  </si>
  <si>
    <t>INF754K01KK0</t>
  </si>
  <si>
    <t>INF754K01KJ2</t>
  </si>
  <si>
    <t>Edelweiss Overnight Fund - Regular Plan - Monthly - IDCW Option</t>
  </si>
  <si>
    <t>INF754K01KG8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</si>
  <si>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</si>
  <si>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</si>
  <si>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</si>
  <si>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</si>
  <si>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</si>
  <si>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INF090I01SM2</t>
  </si>
  <si>
    <t>Franklin India Overnight Fund - Daily Dividend Plan - Daily - IDCW</t>
  </si>
  <si>
    <t>INF090I01ST7</t>
  </si>
  <si>
    <t>Franklin India Overnight Fund - Direct Daily Dividend Plan - Daily - IDCW</t>
  </si>
  <si>
    <t>INF090I01SR1</t>
  </si>
  <si>
    <t>INF090I01SQ3</t>
  </si>
  <si>
    <t>Franklin India Overnight Fund - Direct Weekly Dividend Plan - Weekly - IDCW</t>
  </si>
  <si>
    <t>INF090I01SN0</t>
  </si>
  <si>
    <t>INF090I01SP5</t>
  </si>
  <si>
    <t>Franklin India Overnight Fund - Weekly Dividend Plan - Weekly - IDCW</t>
  </si>
  <si>
    <t>INF090I01SO8</t>
  </si>
  <si>
    <t>Franklin India Overnight fund- Growth</t>
  </si>
  <si>
    <t>INF090I01SS9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</si>
  <si>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</si>
  <si>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</si>
  <si>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</si>
  <si>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</si>
  <si>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</si>
  <si>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INF666M01GM6</t>
  </si>
  <si>
    <t>Groww Overnight Fund (formerly known as Indiabulls Overnight Fund)- Direct Plan- - Income Distribution cum capital withdrawal Option ( Reinvestment)</t>
  </si>
  <si>
    <t>INF666M01GP9</t>
  </si>
  <si>
    <t>INF666M01GQ7</t>
  </si>
  <si>
    <t>Groww Overnight Fund (formerly known as Indiabulls Overnight Fund)- Direct Plan- Fortnightly - Income Distribution cum capital withdrawal Option (Payout &amp; Reinvestment)</t>
  </si>
  <si>
    <t>INF666M01GL8</t>
  </si>
  <si>
    <t>Groww Overnight Fund (formerly known as Indiabulls Overnight Fund)- Direct Plan- Growth Option</t>
  </si>
  <si>
    <t>INF666M01GR5</t>
  </si>
  <si>
    <t>INF666M01GS3</t>
  </si>
  <si>
    <t>Groww Overnight Fund (formerly known as Indiabulls Overnight Fund)- Direct Plan- Monthly - Income Distribution cum capital withdrawal Option (Payout &amp; Reinvestment)</t>
  </si>
  <si>
    <t>INF666M01GN4</t>
  </si>
  <si>
    <t>INF666M01GO2</t>
  </si>
  <si>
    <t>Groww Overnight Fund (formerly known as Indiabulls Overnight Fund)- Direct Plan- Weekly - Income Distribution cum capital withdrawal Option (Payout &amp; Reinvestment)</t>
  </si>
  <si>
    <t>INF666M01GU9</t>
  </si>
  <si>
    <t>Groww Overnight Fund (formerly known as Indiabulls Overnight Fund)- Regular Plan- - Income Distribution cum capital withdrawal Option ( Reinvestment)</t>
  </si>
  <si>
    <t>INF666M01GX3</t>
  </si>
  <si>
    <t>INF666M01GY1</t>
  </si>
  <si>
    <t>Groww Overnight Fund (formerly known as Indiabulls Overnight Fund)- Regular Plan- Fortnightly - Income Distribution cum capital withdrawal Option (Payout &amp; Reinvestment)</t>
  </si>
  <si>
    <t>INF666M01GT1</t>
  </si>
  <si>
    <t>Groww Overnight Fund (formerly known as Indiabulls Overnight Fund)- Regular Plan- Growth Option</t>
  </si>
  <si>
    <t>INF666M01GZ8</t>
  </si>
  <si>
    <t>INF666M01HA9</t>
  </si>
  <si>
    <t>Groww Overnight Fund (formerly known as Indiabulls Overnight Fund)- Regular Plan- Monthly - Income Distribution cum capital withdrawal Option (Payout &amp; Reinvestment)</t>
  </si>
  <si>
    <t>INF666M01GV7</t>
  </si>
  <si>
    <t>INF666M01GW5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</si>
  <si>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</si>
  <si>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</si>
  <si>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Dividend &gt;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</si>
  <si>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</si>
  <si>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</si>
  <si>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INF179KB1HY1</t>
  </si>
  <si>
    <t>HDFC Overnight Fund - Daily IDCW Option - Direct Plan</t>
  </si>
  <si>
    <t>INF179KB1HS3</t>
  </si>
  <si>
    <t>HDFC Overnight Fund - Growth Option</t>
  </si>
  <si>
    <t>INF179KB1HT1</t>
  </si>
  <si>
    <t>HDFC Overnight Fund - Growth Option - Direct Plan</t>
  </si>
  <si>
    <t>INF179KB1IF8</t>
  </si>
  <si>
    <t>HDFC Overnight Fund - IDCW Option (Daily)</t>
  </si>
  <si>
    <t>INF0R8701087</t>
  </si>
  <si>
    <t>Helios Overnight Fund - Direct Plan - Daily IDCW Option</t>
  </si>
  <si>
    <t>INF0R8701079</t>
  </si>
  <si>
    <t>Helios Overnight Fund - Direct Plan - Growth Option</t>
  </si>
  <si>
    <t>INF0R8701103</t>
  </si>
  <si>
    <t>Helios Overnight Fund - Regular Plan - Daily IDCW Option</t>
  </si>
  <si>
    <t>INF0R8701095</t>
  </si>
  <si>
    <t>Helios Overnight Fund - Regular Plan - Growth Option</t>
  </si>
  <si>
    <t>INF336L01OG4</t>
  </si>
  <si>
    <t>HSBC Overnight Fund - Direct Daily IDCW</t>
  </si>
  <si>
    <t>INF336L01OF6</t>
  </si>
  <si>
    <t>HSBC Overnight Fund - Direct Growth</t>
  </si>
  <si>
    <t>INF336L01OK6</t>
  </si>
  <si>
    <t>INF336L01OI0</t>
  </si>
  <si>
    <t>HSBC Overnight Fund - Direct Monthly IDCW</t>
  </si>
  <si>
    <t>INF336L01OJ8</t>
  </si>
  <si>
    <t>INF336L01OH2</t>
  </si>
  <si>
    <t>HSBC Overnight Fund - Direct Weekly IDCW</t>
  </si>
  <si>
    <t>INF336L01OM2</t>
  </si>
  <si>
    <t>HSBC Overnight Fund - Regular Daily IDCW</t>
  </si>
  <si>
    <t>INF336L01OL4</t>
  </si>
  <si>
    <t>HSBC Overnight Fund - Regular Growth</t>
  </si>
  <si>
    <t>INF336L01OQ3</t>
  </si>
  <si>
    <t>INF336L01OO8</t>
  </si>
  <si>
    <t>HSBC Overnight Fund - Regular Monthly IDCW</t>
  </si>
  <si>
    <t>INF336L01OP5</t>
  </si>
  <si>
    <t>INF336L01ON0</t>
  </si>
  <si>
    <t>HSBC Overnight Fund - Regular Weekly IDCW</t>
  </si>
  <si>
    <t>HSBC Overnight Fund - Unclaimed IDCW Above three years</t>
  </si>
  <si>
    <t>HSBC Overnight Fund - Unclaimed IDCW Below three years</t>
  </si>
  <si>
    <t>HSBC Overnight Fund - Unclaimed Redemption above three years</t>
  </si>
  <si>
    <t>HSBC Overnight Fund - Unclaimed Redemption Below three years</t>
  </si>
  <si>
    <t>INF109KC19F6</t>
  </si>
  <si>
    <t>INF109KC10G3</t>
  </si>
  <si>
    <t>ICICI Prudential Overnight Fund - Annual IDCW</t>
  </si>
  <si>
    <t>INF109KC18E1</t>
  </si>
  <si>
    <t>ICICI Prudential Overnight Fund - Daily IDCW</t>
  </si>
  <si>
    <t>INF109KC13H5</t>
  </si>
  <si>
    <t>INF109KC14H3</t>
  </si>
  <si>
    <t>ICICI Prudential Overnight Fund - Direct Plan - Annual IDCW</t>
  </si>
  <si>
    <t>INF109KC12G9</t>
  </si>
  <si>
    <t>ICICI Prudential Overnight Fund - Direct Plan - Daily IDCW</t>
  </si>
  <si>
    <t>INF109KC18G6</t>
  </si>
  <si>
    <t>INF109KC17G8</t>
  </si>
  <si>
    <t>ICICI Prudential Overnight Fund - Direct Plan - Fortnightly IDCW</t>
  </si>
  <si>
    <t>INF109KC11G1</t>
  </si>
  <si>
    <t>ICICI Prudential Overnight Fund - Direct Plan - Growth</t>
  </si>
  <si>
    <t>INF109KC11H9</t>
  </si>
  <si>
    <t>INF109KC12H7</t>
  </si>
  <si>
    <t>ICICI Prudential Overnight Fund - Direct Plan - Half Yearly IDCW</t>
  </si>
  <si>
    <t>INF109KC13G7</t>
  </si>
  <si>
    <t>INF109KC14G5</t>
  </si>
  <si>
    <t>ICICI Prudential Overnight Fund - Direct Plan - Monthly IDCW</t>
  </si>
  <si>
    <t>INF109KC19G4</t>
  </si>
  <si>
    <t>INF109KC10H1</t>
  </si>
  <si>
    <t>ICICI Prudential Overnight Fund - Direct Plan - Quarterly IDCW</t>
  </si>
  <si>
    <t>INF109KC18H4</t>
  </si>
  <si>
    <t>ICICI Prudential Overnight fund - Direct Plan - Unclaimed IDCW Stable Scheme</t>
  </si>
  <si>
    <t>INF109KC16H8</t>
  </si>
  <si>
    <t>ICICI Prudential Overnight fund - Direct Plan - Unclaimed IDCW Transitory Scheme</t>
  </si>
  <si>
    <t>INF109KC17H6</t>
  </si>
  <si>
    <t>ICICI Prudential Overnight fund - Direct Plan - Unclaimed Redemption Stable Scheme</t>
  </si>
  <si>
    <t>INF109KC15H0</t>
  </si>
  <si>
    <t>ICICI Prudential Overnight fund - Direct Plan - Unclaimed Redemption Transitory Scheme</t>
  </si>
  <si>
    <t>INF109KC16G0</t>
  </si>
  <si>
    <t>INF109KC15G2</t>
  </si>
  <si>
    <t>ICICI Prudential Overnight Fund - Direct Plan - Weekly IDCW</t>
  </si>
  <si>
    <t>INF109KC14F7</t>
  </si>
  <si>
    <t>INF109KC13F9</t>
  </si>
  <si>
    <t>ICICI Prudential Overnight Fund - Fortnightly IDCW</t>
  </si>
  <si>
    <t>INF109KC17E3</t>
  </si>
  <si>
    <t>ICICI Prudential Overnight Fund - Growth</t>
  </si>
  <si>
    <t>INF109KC17F0</t>
  </si>
  <si>
    <t>INF109KC18F8</t>
  </si>
  <si>
    <t>ICICI Prudential Overnight Fund - Half Yearly IDCW</t>
  </si>
  <si>
    <t>INF109KC19E9</t>
  </si>
  <si>
    <t>INF109KC10F5</t>
  </si>
  <si>
    <t>ICICI Prudential Overnight Fund - Monthly IDCW</t>
  </si>
  <si>
    <t>INF109KC15F4</t>
  </si>
  <si>
    <t>INF109KC16F2</t>
  </si>
  <si>
    <t>ICICI Prudential Overnight Fund - Quarterly IDCW</t>
  </si>
  <si>
    <t>INF109KC12F1</t>
  </si>
  <si>
    <t>INF109KC11F3</t>
  </si>
  <si>
    <t>ICICI Prudential Overnight Fund - Weekly IDCW</t>
  </si>
  <si>
    <t>INF205KA1122</t>
  </si>
  <si>
    <t>Invesco India Overnight Fund - Direct Plan - Daily IDCW (Reinvestment)</t>
  </si>
  <si>
    <t>INF205KA1163</t>
  </si>
  <si>
    <t>Invesco India Overnight Fund - Direct Plan - Growth</t>
  </si>
  <si>
    <t>INF205KA1155</t>
  </si>
  <si>
    <t>INF205KA1148</t>
  </si>
  <si>
    <t>Invesco India Overnight Fund - Direct Plan - Monthly IDCW (Payout / Reinvestment)</t>
  </si>
  <si>
    <t>INF205KA1130</t>
  </si>
  <si>
    <t>Invesco India Overnight Fund - Direct Plan - Weekly IDCW (Reinvestment)</t>
  </si>
  <si>
    <t>INF205KA1072</t>
  </si>
  <si>
    <t>Invesco India Overnight Fund - Regular Plan - Daily IDCW (Reinvestment)</t>
  </si>
  <si>
    <t>INF205KA1114</t>
  </si>
  <si>
    <t>Invesco India Overnight Fund - Regular Plan - Growth</t>
  </si>
  <si>
    <t>INF205KA1106</t>
  </si>
  <si>
    <t>INF205KA1098</t>
  </si>
  <si>
    <t>Invesco India Overnight Fund - Regular Plan - Monthly IDCW (Payout / Reinvestment)</t>
  </si>
  <si>
    <t>INF205KA1080</t>
  </si>
  <si>
    <t>Invesco India Overnight Fund - Regular Plan - Weekly IDCW (Reinvestment)</t>
  </si>
  <si>
    <t>INF00XX01648</t>
  </si>
  <si>
    <t>INF00XX01614</t>
  </si>
  <si>
    <t>ITI Overnight Fund - Direct Plan - Annual IDCW Option</t>
  </si>
  <si>
    <t>INF00XX01572</t>
  </si>
  <si>
    <t>ITI Overnight Fund - Direct Plan - Daily IDCW Option</t>
  </si>
  <si>
    <t>INF00XX01622</t>
  </si>
  <si>
    <t>INF00XX01598</t>
  </si>
  <si>
    <t>ITI Overnight Fund - Direct Plan - Fortnightly IDCW Option</t>
  </si>
  <si>
    <t>INF00XX01564</t>
  </si>
  <si>
    <t>ITI Overnight Fund - Direct Plan - Growth Option</t>
  </si>
  <si>
    <t>INF00XX01630</t>
  </si>
  <si>
    <t>INF00XX01606</t>
  </si>
  <si>
    <t>ITI Overnight Fund - Direct Plan - Monthly IDCW Option</t>
  </si>
  <si>
    <t>INF00XX01580</t>
  </si>
  <si>
    <t>ITI Overnight Fund - Direct Plan - Weekly IDCW option</t>
  </si>
  <si>
    <t>INF00XX01556</t>
  </si>
  <si>
    <t>INF00XX01523</t>
  </si>
  <si>
    <t>ITI Overnight Fund - Regular Plan - Annual IDCW Option</t>
  </si>
  <si>
    <t>INF00XX01481</t>
  </si>
  <si>
    <t>ITI Overnight Fund - Regular Plan - Daily IDCW Option</t>
  </si>
  <si>
    <t>INF00XX01531</t>
  </si>
  <si>
    <t>INF00XX01507</t>
  </si>
  <si>
    <t>ITI Overnight Fund - Regular Plan - Fortnightly IDCW Option</t>
  </si>
  <si>
    <t>INF00XX01473</t>
  </si>
  <si>
    <t>ITI Overnight Fund - Regular Plan - Growth Option</t>
  </si>
  <si>
    <t>INF00XX01549</t>
  </si>
  <si>
    <t>INF00XX01515</t>
  </si>
  <si>
    <t>ITI Overnight Fund - Regular Plan - Monthly IDCW Option</t>
  </si>
  <si>
    <t>INF00XX01499</t>
  </si>
  <si>
    <t>ITI Overnight Fund - Regular Plan - Weekly IDCW Option</t>
  </si>
  <si>
    <t>INF22M001036</t>
  </si>
  <si>
    <t>JioBlackRock Overnight Fund - Direct Plan - Growth Option</t>
  </si>
  <si>
    <t>JioBlackRock Overnight Fund - Unclaimed Redemption - Upto 3 years - Growth Option</t>
  </si>
  <si>
    <t>INF192K01LY2</t>
  </si>
  <si>
    <t>JM Overnight Fund (Direct) - Daily IDCW</t>
  </si>
  <si>
    <t>INF192K01LZ9</t>
  </si>
  <si>
    <t>INF192K01MA0</t>
  </si>
  <si>
    <t>JM Overnight Fund (Direct) - Weekly IDCW</t>
  </si>
  <si>
    <t>INF192K01LU0</t>
  </si>
  <si>
    <t>JM Overnight Fund (Regular) - Daily IDCW</t>
  </si>
  <si>
    <t>INF192K01LX4</t>
  </si>
  <si>
    <t>JM Overnight Fund (Regular) - Growth</t>
  </si>
  <si>
    <t>INF192K01LV8</t>
  </si>
  <si>
    <t>INF192K01LW6</t>
  </si>
  <si>
    <t>JM Overnight Fund (Regular) - Weekly IDCW</t>
  </si>
  <si>
    <t>INF192K01MB8</t>
  </si>
  <si>
    <t>JM Overnight Fund - (Direct) - Growth</t>
  </si>
  <si>
    <t>INF192K01MJ1</t>
  </si>
  <si>
    <t>JM Overnight Fund - (Direct) - Unclaimed IDCW - Growth Plan</t>
  </si>
  <si>
    <t>INF192K01ML7</t>
  </si>
  <si>
    <t>JM Overnight Fund - (Direct) - Unclaimed IDCW I.E.F. - Growth Plan</t>
  </si>
  <si>
    <t>INF192K01MI3</t>
  </si>
  <si>
    <t>JM Overnight Fund - (Direct) - Unclaimed Redemption - Growth Plan</t>
  </si>
  <si>
    <t>INF192K01MK9</t>
  </si>
  <si>
    <t>JM Overnight Fund - (Direct) - Unclaimed Redemption I.E.F. - Growth Plan</t>
  </si>
  <si>
    <t>INF174KA1BF9</t>
  </si>
  <si>
    <t>Kotak Overnight Fund -Direct Plan-Growth Option</t>
  </si>
  <si>
    <t>INF174KA1BC6</t>
  </si>
  <si>
    <t>Kotak Overnight Fund -Regular plan-Growth Option</t>
  </si>
  <si>
    <t>INF174KA1BE2</t>
  </si>
  <si>
    <t>Kotak Overnight Fund-Direct Plan- Daily Reinvestment of Income Distribution cum capital withdrawal option</t>
  </si>
  <si>
    <t>INF174KA1BB8</t>
  </si>
  <si>
    <t>Kotak Overnight Fund-Regular Plan- Daily Reinvestment of Income Distribution cum capital withdrawal option</t>
  </si>
  <si>
    <t>INF767K01QG7</t>
  </si>
  <si>
    <t>LIC MF Overnight Fund-Direct Plan-Daily IDCW</t>
  </si>
  <si>
    <t>INF767K01QI3</t>
  </si>
  <si>
    <t>LIC MF Overnight Fund-Direct Plan-Growth</t>
  </si>
  <si>
    <t>INF767K01QE2</t>
  </si>
  <si>
    <t>INF767K01QF9</t>
  </si>
  <si>
    <t>LIC MF Overnight Fund-Direct Plan-IDCW</t>
  </si>
  <si>
    <t>INF767K01QH5</t>
  </si>
  <si>
    <t>LIC MF Overnight Fund-Direct Plan-Weekly IDCW</t>
  </si>
  <si>
    <t>INF767K01QB8</t>
  </si>
  <si>
    <t>LIC MF Overnight Fund-Regular Plan-Daily IDCW</t>
  </si>
  <si>
    <t>INF767K01QD4</t>
  </si>
  <si>
    <t>LIC MF Overnight Fund-Regular Plan-Growth</t>
  </si>
  <si>
    <t>INF767K01PZ9</t>
  </si>
  <si>
    <t>INF767K01QA0</t>
  </si>
  <si>
    <t>LIC MF Overnight Fund-Regular Plan-IDCW</t>
  </si>
  <si>
    <t>INF767K01QC6</t>
  </si>
  <si>
    <t>LIC MF Overnight Fund-Regular Plan-Weekly IDCW</t>
  </si>
  <si>
    <t>INF174V01846</t>
  </si>
  <si>
    <t>Mahindra Manulife Overnight Fund - Direct Plan - Daily IDCW</t>
  </si>
  <si>
    <t>INF174V01838</t>
  </si>
  <si>
    <t>Mahindra Manulife Overnight Fund - Direct Plan -Growth</t>
  </si>
  <si>
    <t>INF174V01820</t>
  </si>
  <si>
    <t>Mahindra Manulife Overnight Fund - Regular Plan - Daily IDCW</t>
  </si>
  <si>
    <t>INF174V01812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</si>
  <si>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</si>
  <si>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</si>
  <si>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</si>
  <si>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INF769K01FJ0</t>
  </si>
  <si>
    <t>Mirae Asset Overnight Fund Direct Daily IDCW</t>
  </si>
  <si>
    <t>INF769K01FF8</t>
  </si>
  <si>
    <t>INF769K01FI2</t>
  </si>
  <si>
    <t>Mirae Asset Overnight Fund Direct Monthly IDCW</t>
  </si>
  <si>
    <t>INF769K01FG6</t>
  </si>
  <si>
    <t>Mirae Asset Overnight Fund Direct Plan Growth</t>
  </si>
  <si>
    <t>INF769K01FK8</t>
  </si>
  <si>
    <t>Mirae Asset Overnight Fund Direct Weekly IDCW</t>
  </si>
  <si>
    <t>INF769K01FL6</t>
  </si>
  <si>
    <t xml:space="preserve">Mirae Asset Overnight Fund Regular Daily  IDCW </t>
  </si>
  <si>
    <t>INF769K01FD3</t>
  </si>
  <si>
    <t>INF769K01FH4</t>
  </si>
  <si>
    <t>Mirae Asset Overnight Fund Regular Monthly IDCW</t>
  </si>
  <si>
    <t>INF769K01FE1</t>
  </si>
  <si>
    <t>Mirae Asset Overnight Fund Regular Plan Growth</t>
  </si>
  <si>
    <t>INF769K01FM4</t>
  </si>
  <si>
    <t>Mirae Asset Overnight Fund Regular Weekly IDCW</t>
  </si>
  <si>
    <t>INF204KB1Q73</t>
  </si>
  <si>
    <t>NIPPON INDIA OVERNIGHT FUND - DAILY IDCW Option</t>
  </si>
  <si>
    <t>INF204KB1R49</t>
  </si>
  <si>
    <t>NIPPON INDIA OVERNIGHT FUND - DIRECT Plan - DAILY IDCW Option</t>
  </si>
  <si>
    <t>INF204KB1R31</t>
  </si>
  <si>
    <t>Nippon India Overnight Fund - Direct Plan - Growth Option</t>
  </si>
  <si>
    <t>INF204KB1R64</t>
  </si>
  <si>
    <t>INF204KB1R72</t>
  </si>
  <si>
    <t>NIPPON INDIA OVERNIGHT FUND - DIRECT Plan - MONTHLY IDCW Option</t>
  </si>
  <si>
    <t>INF204KB1R80</t>
  </si>
  <si>
    <t>INF204KB1R98</t>
  </si>
  <si>
    <t>NIPPON INDIA OVERNIGHT FUND - DIRECT Plan - QUARTERLY IDCW Option</t>
  </si>
  <si>
    <t>INF204KB1R56</t>
  </si>
  <si>
    <t>NIPPON INDIA OVERNIGHT FUND - DIRECT Plan - WEEKLY IDCW Option</t>
  </si>
  <si>
    <t>INF204KB1Q99</t>
  </si>
  <si>
    <t>INF204KB1R07</t>
  </si>
  <si>
    <t>NIPPON INDIA OVERNIGHT FUND - MONTHLY IDCW Option</t>
  </si>
  <si>
    <t>INF204KB1R15</t>
  </si>
  <si>
    <t>INF204KB1R23</t>
  </si>
  <si>
    <t>NIPPON INDIA OVERNIGHT FUND - QUARTERLY IDCW Option</t>
  </si>
  <si>
    <t>INF204KB1Q65</t>
  </si>
  <si>
    <t>Nippon India Overnight Fund - Regular Plan - Growth Option</t>
  </si>
  <si>
    <t>INF204KB1Q81</t>
  </si>
  <si>
    <t>NIPPON INDIA OVERNIGHT FUND - WEEKLY IDCW Option</t>
  </si>
  <si>
    <t>INF0J8L01081</t>
  </si>
  <si>
    <t>NJ Overnight Fund - Direct Plan - Growth Option</t>
  </si>
  <si>
    <t>INF0J8L01073</t>
  </si>
  <si>
    <t>NJ Overnight Fund - Regular Plan - Growth Option</t>
  </si>
  <si>
    <t>NJ Overnight Fund - Unclaimed Redemption Plan - Upto 3 Years</t>
  </si>
  <si>
    <t>INF663L01T35</t>
  </si>
  <si>
    <t>PGIM India Overnight Fund - Direct Plan - Daily Dividend Option</t>
  </si>
  <si>
    <t>INF663L01T01</t>
  </si>
  <si>
    <t>PGIM India Overnight Fund - Direct Plan - Growth Option</t>
  </si>
  <si>
    <t>INF663L01T19</t>
  </si>
  <si>
    <t>INF663L01T27</t>
  </si>
  <si>
    <t>PGIM India Overnight Fund - Direct Plan - Weekly Dividend Option</t>
  </si>
  <si>
    <t>INF663L01T76</t>
  </si>
  <si>
    <t>PGIM India Overnight Fund - Regular Plan - Daily Dividend Option</t>
  </si>
  <si>
    <t>INF663L01T50</t>
  </si>
  <si>
    <t>INF663L01T68</t>
  </si>
  <si>
    <t>PGIM India Overnight Fund - Regular Plan - Weekly Dividend Option</t>
  </si>
  <si>
    <t>INF663L01T43</t>
  </si>
  <si>
    <t>PGIM India Overnight Fund - Regular Plan- Growth Option</t>
  </si>
  <si>
    <t>INF966L01AZ7</t>
  </si>
  <si>
    <t>quant Overnight Fund - Growth Option - Direct Plan</t>
  </si>
  <si>
    <t>INF966L01BC4</t>
  </si>
  <si>
    <t>quant Overnight Fund - Growth Option - Regular Plan</t>
  </si>
  <si>
    <t>INF966L01BA8</t>
  </si>
  <si>
    <t>INF966L01BB6</t>
  </si>
  <si>
    <t>quant Overnight Fund - IDCW Option - Direct Plan</t>
  </si>
  <si>
    <t>INF966L01BD2</t>
  </si>
  <si>
    <t>INF966L01BE0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</si>
  <si>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</si>
  <si>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</si>
  <si>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</si>
  <si>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</si>
  <si>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</si>
  <si>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INF0K1H01040</t>
  </si>
  <si>
    <t>Samco Overnight Fund - Direct Plan - Growth Option</t>
  </si>
  <si>
    <t>INF0K1H01032</t>
  </si>
  <si>
    <t>Samco Overnight Fund - Regular Plan - Growth Option</t>
  </si>
  <si>
    <t>Samco Overnight Fund - Unclaimed Redemption Upto 3 years</t>
  </si>
  <si>
    <t>INF200K01TJ7</t>
  </si>
  <si>
    <t>SBI Overnight Fund - Direct Plan - Daily Income Distribution cum Capital Withdrawal Option (IDCW)</t>
  </si>
  <si>
    <t>INF200K01TK5</t>
  </si>
  <si>
    <t>SBI OVERNIGHT FUND - DIRECT PLAN - GROWTH</t>
  </si>
  <si>
    <t>INF200K01TL3</t>
  </si>
  <si>
    <t>INF200K01TM1</t>
  </si>
  <si>
    <t>SBI Overnight Fund - Direct Plan - Weekly Income Distribution cum Capital Withdrawal Option (IDCW)</t>
  </si>
  <si>
    <t>INF200K01LN6</t>
  </si>
  <si>
    <t>SBI Overnight Fund - Regular Plan - Daily Income Distribution cum Capital Withdrawal Option (IDCW)</t>
  </si>
  <si>
    <t>INF200K01LQ9</t>
  </si>
  <si>
    <t>SBI OVERNIGHT FUND - REGULAR PLAN - GROWTH</t>
  </si>
  <si>
    <t>INF200K01LO4</t>
  </si>
  <si>
    <t>INF200K01LP1</t>
  </si>
  <si>
    <t>SBI Overnight Fund - Regular Plan - Weekly Income Distribution cum Capital Withdrawal Option (IDCW)</t>
  </si>
  <si>
    <t>INF903JA1HJ9</t>
  </si>
  <si>
    <t>Sundaram Overnight Fund Direct Plan - Daily Reinvestment of Income Distribution cum Capital Withdrawal (IDCW)</t>
  </si>
  <si>
    <t>INF903JA1HL5</t>
  </si>
  <si>
    <t>Sundaram Overnight Fund Direct Plan - Fortnightly Reinvestment of Income Distribution cum Capital Withdrawal (IDCW)</t>
  </si>
  <si>
    <t>INF903JA1HG5</t>
  </si>
  <si>
    <t>Sundaram Overnight Fund Direct Plan - Growth</t>
  </si>
  <si>
    <t>INF903JA1HH3</t>
  </si>
  <si>
    <t>Sundaram Overnight Fund Direct Plan - Monthly Payout of Income Distribution cum Capital Withdrawal (IDCW)</t>
  </si>
  <si>
    <t>INF903JA1HM3</t>
  </si>
  <si>
    <t>Sundaram Overnight Fund Direct Plan - Monthly Reinvestment of Income Distribution cum Capital Withdrawal (IDCW)</t>
  </si>
  <si>
    <t>INF903JA1HK7</t>
  </si>
  <si>
    <t>Sundaram Overnight Fund Direct Plan - Weekly Reinvestment of Income Distribution cum Capital Withdrawal (IDCW)</t>
  </si>
  <si>
    <t>INF903JA1HC4</t>
  </si>
  <si>
    <t>Sundaram Overnight Fund Regular Plan - Daily Reinvestment of Income Distribution cum Capital Withdrawal (IDCW)</t>
  </si>
  <si>
    <t>INF903JA1HE0</t>
  </si>
  <si>
    <t>Sundaram Overnight Fund Regular Plan - Fortnightly Reinvestment of Income Distribution cum Capital Withdrawal (IDCW)</t>
  </si>
  <si>
    <t>INF903JA1GZ7</t>
  </si>
  <si>
    <t>Sundaram Overnight Fund Regular Plan - Growth</t>
  </si>
  <si>
    <t>INF903JA1HA8</t>
  </si>
  <si>
    <t>Sundaram Overnight Fund Regular Plan - Monthly Payout of Income Distribution cum Capital Withdrawal (IDCW)</t>
  </si>
  <si>
    <t>INF903JA1HF7</t>
  </si>
  <si>
    <t>Sundaram Overnight Fund Regular Plan - Monthly Reinvestment of Income Distribution cum Capital Withdrawal (IDCW)</t>
  </si>
  <si>
    <t>INF903JA1HD2</t>
  </si>
  <si>
    <t>Sundaram Overnight Fund Regular Plan - Weekly Payout of Income Distribution cum Capital Withdrawal (IDCW)</t>
  </si>
  <si>
    <t>INF277K019T3</t>
  </si>
  <si>
    <t xml:space="preserve">TATA Overnight Fund Direct Plan - Daily Reinvestment of Income Distribution cum capital withdrawal option   </t>
  </si>
  <si>
    <t>INF277K017T7</t>
  </si>
  <si>
    <t xml:space="preserve">TATA Overnight Fund Regular Plan - Daily Reinvestment of Income Distribution cum capital withdrawal option   </t>
  </si>
  <si>
    <t>INF277K018T5</t>
  </si>
  <si>
    <t>Tata Overnight Fund-Direct Plan-Growth</t>
  </si>
  <si>
    <t>INF277K016T9</t>
  </si>
  <si>
    <t>Tata Overnight Fund-Regular Plan-Growth</t>
  </si>
  <si>
    <t>INF0GCD01461</t>
  </si>
  <si>
    <t>TRUST MF OVERNIGHT FUND-DIRECT PLAN-DAILY IDCW REINVESTMENT</t>
  </si>
  <si>
    <t>INF0GCD01453</t>
  </si>
  <si>
    <t>TRUST MF OVERNIGHT FUND-DIRECT PLAN-GROWTH</t>
  </si>
  <si>
    <t>INF0GCD01446</t>
  </si>
  <si>
    <t>TRUST MF OVERNIGHT FUND-REGULAR PLAN-DAILY IDCW REINVESTMENT</t>
  </si>
  <si>
    <t>INF0GCD01438</t>
  </si>
  <si>
    <t>TRUST MF OVERNIGHT FUND-REGULAR-GROWTH</t>
  </si>
  <si>
    <t>INF582M01FB0</t>
  </si>
  <si>
    <t>Union Overnight Fund - Direct Plan - Daily IDCW Option</t>
  </si>
  <si>
    <t>INF582M01FA2</t>
  </si>
  <si>
    <t>Union Overnight Fund - Direct Plan - Growth Option</t>
  </si>
  <si>
    <t>INF582M01FG9</t>
  </si>
  <si>
    <t>INF582M01FE4</t>
  </si>
  <si>
    <t>Union Overnight Fund - Direct Plan - Monthly IDCW Option</t>
  </si>
  <si>
    <t>INF582M01FK1</t>
  </si>
  <si>
    <t>Union Overnight Fund - Regular Plan - Daily IDCW Option</t>
  </si>
  <si>
    <t>INF582M01FJ3</t>
  </si>
  <si>
    <t>Union Overnight Fund - Regular Plan - Growth Option</t>
  </si>
  <si>
    <t>INF582M01FP0</t>
  </si>
  <si>
    <t>INF582M01FN5</t>
  </si>
  <si>
    <t>Union Overnight Fund - Regular Plan - Monthly IDCW Option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</si>
  <si>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</si>
  <si>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</si>
  <si>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</si>
  <si>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</si>
  <si>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INF789F01604</t>
  </si>
  <si>
    <t>UTI - Overnight  Fund - Regular Plan - Growth Option</t>
  </si>
  <si>
    <t>INF789FB1S71</t>
  </si>
  <si>
    <t>UTI - Overnight Fund - Direct Plan - Growth Option</t>
  </si>
  <si>
    <t>INF789FB1S89</t>
  </si>
  <si>
    <t>UTI Overnight Fund - Direct Plan - Daily IDCW</t>
  </si>
  <si>
    <t>INF789FB1T05</t>
  </si>
  <si>
    <t>INF789FB1S97</t>
  </si>
  <si>
    <t>UTI Overnight Fund - Direct Plan - Periodic IDCW</t>
  </si>
  <si>
    <t>INF789FB1T13</t>
  </si>
  <si>
    <t>UTI Overnight Fund - Regular Plan - Daily IDCW</t>
  </si>
  <si>
    <t>INF789F01588</t>
  </si>
  <si>
    <t>INF789F01596</t>
  </si>
  <si>
    <t>UTI Overnight Fund - Regular Plan - Periodic IDCW</t>
  </si>
  <si>
    <t>INF0R8F01075</t>
  </si>
  <si>
    <t>Zerodha Overnight Fund - Direct Plan - Growth Option</t>
  </si>
  <si>
    <t>INF209KA1KQ6</t>
  </si>
  <si>
    <t>INF209K01XL6</t>
  </si>
  <si>
    <t>Aditya Birla Sun Life Short Term Fund - DIRECT - IDCW</t>
  </si>
  <si>
    <t>INF209K01XK8</t>
  </si>
  <si>
    <t>Aditya Birla Sun Life Short Term Fund - Growth - Direct Plan</t>
  </si>
  <si>
    <t>INF209K01942</t>
  </si>
  <si>
    <t>Aditya Birla Sun Life Short Term Fund - Growth - Regular Plan</t>
  </si>
  <si>
    <t>INF209K01975</t>
  </si>
  <si>
    <t>INF209K01DK0</t>
  </si>
  <si>
    <t>Aditya Birla Sun Life Short Term Fund - REGULAR - IDCW</t>
  </si>
  <si>
    <t>INF209K01BU3</t>
  </si>
  <si>
    <t>Aditya Birla Sun Life Short Term Fund - REGULAR - Quarterly IDCW</t>
  </si>
  <si>
    <t>INF209K01R96</t>
  </si>
  <si>
    <t>INF209KA1KR4</t>
  </si>
  <si>
    <t>Aditya Birla Sun Life Short Term Fund-Quarterly-IDCW-Direct</t>
  </si>
  <si>
    <t>INF846K01EI1</t>
  </si>
  <si>
    <t>Axis Short Duration Fund - Direct Plan - Growth Option</t>
  </si>
  <si>
    <t>INF846K01EJ9</t>
  </si>
  <si>
    <t>INF846K01EK7</t>
  </si>
  <si>
    <t>Axis Short Duration Fund - Direct Plan - Monthly IDCW</t>
  </si>
  <si>
    <t>INF846K01RH5</t>
  </si>
  <si>
    <t>INF846K01RI3</t>
  </si>
  <si>
    <t>Axis Short Duration Fund - Direct Plan - Regular IDCW</t>
  </si>
  <si>
    <t>INF846K01EL5</t>
  </si>
  <si>
    <t>INF846K01EM3</t>
  </si>
  <si>
    <t>Axis Short Duration Fund - Direct Plan - Weekly IDCW</t>
  </si>
  <si>
    <t>INF846K01NS1</t>
  </si>
  <si>
    <t>Axis Short Duration Fund - Regular Plan - Bonus Option</t>
  </si>
  <si>
    <t>INF846K01644</t>
  </si>
  <si>
    <t>Axis Short Duration Fund - Regular Plan - Growth Option</t>
  </si>
  <si>
    <t>INF846K01651</t>
  </si>
  <si>
    <t>INF846K01669</t>
  </si>
  <si>
    <t>Axis Short Duration Fund - Regular Plan - Monthly IDCW</t>
  </si>
  <si>
    <t>INF846K01RJ1</t>
  </si>
  <si>
    <t>INF846K01RK9</t>
  </si>
  <si>
    <t>Axis Short Duration Fund - Regular Plan - Regular IDCW</t>
  </si>
  <si>
    <t>INF846K01677</t>
  </si>
  <si>
    <t>INF846K01685</t>
  </si>
  <si>
    <t>Axis Short Duration Fund - Regular Plan - Weekly IDCW</t>
  </si>
  <si>
    <t>INF846K01594</t>
  </si>
  <si>
    <t>Axis Short Duration Fund - Retail Plan - Growth Option</t>
  </si>
  <si>
    <t>INF846K01602</t>
  </si>
  <si>
    <t>INF846K01610</t>
  </si>
  <si>
    <t>Axis Short Duration Fund - Retail Plan - Monthly IDCW</t>
  </si>
  <si>
    <t>INF846K01628</t>
  </si>
  <si>
    <t>INF846K01636</t>
  </si>
  <si>
    <t>Axis Short Duration Fund - Retail Plan - Weekly IDCW</t>
  </si>
  <si>
    <t>INF194KA11L7</t>
  </si>
  <si>
    <t>INF194KA12L5</t>
  </si>
  <si>
    <t>Bandhan Short Duration Fund - Direct Plan - Annual IDCW</t>
  </si>
  <si>
    <t>INF194K01U56</t>
  </si>
  <si>
    <t>INF194K01U49</t>
  </si>
  <si>
    <t>Bandhan Short Duration Fund - Direct Plan - Fortnightly IDCW</t>
  </si>
  <si>
    <t>INF194K01U07</t>
  </si>
  <si>
    <t>Bandhan Short Duration Fund - Direct Plan - Growth</t>
  </si>
  <si>
    <t>INF194K01U23</t>
  </si>
  <si>
    <t>INF194K01U15</t>
  </si>
  <si>
    <t>Bandhan Short Duration Fund - Direct Plan - Monthly IDCW</t>
  </si>
  <si>
    <t>INF194KA1SR4</t>
  </si>
  <si>
    <t>INF194KA1SS2</t>
  </si>
  <si>
    <t>Bandhan Short Duration Fund - Direct Plan - Periodic IDCW</t>
  </si>
  <si>
    <t>INF194KA18K4</t>
  </si>
  <si>
    <t>INF194KA19K2</t>
  </si>
  <si>
    <t>Bandhan Short Duration Fund - Direct Plan - Quarterly IDCW</t>
  </si>
  <si>
    <t>INF194K01HR0</t>
  </si>
  <si>
    <t>INF194K01HQ2</t>
  </si>
  <si>
    <t>Bandhan Short Duration Fund - Plan B - Fortnightly Dividend</t>
  </si>
  <si>
    <t>INF194K01HV2</t>
  </si>
  <si>
    <t>INF194K01HU4</t>
  </si>
  <si>
    <t>Bandhan Short Duration Fund - Plan C  - Fortnightly Dividend</t>
  </si>
  <si>
    <t>INF194K01HT6</t>
  </si>
  <si>
    <t>Bandhan Short Duration Fund - Plan C  - Growth</t>
  </si>
  <si>
    <t>INF194K01HY6</t>
  </si>
  <si>
    <t>INF194K01HX8</t>
  </si>
  <si>
    <t>Bandhan Short Duration Fund - Plan C  - Monthly Dividend</t>
  </si>
  <si>
    <t>INF194K01IA4</t>
  </si>
  <si>
    <t>Bandhan Short Duration Fund - Plan D - Growth</t>
  </si>
  <si>
    <t>INF194K01IF3</t>
  </si>
  <si>
    <t>INF194K01IE6</t>
  </si>
  <si>
    <t>Bandhan Short Duration Fund - Plan D - Monthly Dividend</t>
  </si>
  <si>
    <t>INF194K01IC0</t>
  </si>
  <si>
    <t>INF194K01IB2</t>
  </si>
  <si>
    <t>Bandhan Short Duration Fund - Plan D- Fortnightly Dividend</t>
  </si>
  <si>
    <t>INF194KA15K0</t>
  </si>
  <si>
    <t>INF194KA16K8</t>
  </si>
  <si>
    <t>Bandhan Short Duration Fund - Regular Plan - Annual IDCW</t>
  </si>
  <si>
    <t>INF194K01HK5</t>
  </si>
  <si>
    <t>INF194K01HJ7</t>
  </si>
  <si>
    <t>Bandhan Short Duration Fund - Regular Plan - Fortnightly IDCW</t>
  </si>
  <si>
    <t>INF194KA1SO1</t>
  </si>
  <si>
    <t>INF194KA1SP8</t>
  </si>
  <si>
    <t>Bandhan Short Duration Fund - Regular Plan - Periodic IDCW</t>
  </si>
  <si>
    <t>INF194KA12K7</t>
  </si>
  <si>
    <t>INF194KA13K5</t>
  </si>
  <si>
    <t>Bandhan Short Duration Fund - Regular Plan - Quarterly IDCW</t>
  </si>
  <si>
    <t>INF761K01736</t>
  </si>
  <si>
    <t>BANK OF INDIA Short Term Income Fund-Direct Plan- Growth</t>
  </si>
  <si>
    <t>INF761K01751</t>
  </si>
  <si>
    <t>INF761K01744</t>
  </si>
  <si>
    <t>BANK OF INDIA Short Term Income Fund-Direct Plan- Monthly IDCW</t>
  </si>
  <si>
    <t>INF761K01777</t>
  </si>
  <si>
    <t>INF761K01769</t>
  </si>
  <si>
    <t>BANK OF INDIA Short Term Income Fund-Direct Plan- Quarterly IDCW</t>
  </si>
  <si>
    <t>INF761K01579</t>
  </si>
  <si>
    <t>BANK OF INDIA Short Term Income Fund-Regular Plan- Growth</t>
  </si>
  <si>
    <t>INF761K01595</t>
  </si>
  <si>
    <t>INF761K01587</t>
  </si>
  <si>
    <t>BANK OF INDIA Short Term Income Fund-Regular Plan- Monthly IDCW</t>
  </si>
  <si>
    <t>INF761K01611</t>
  </si>
  <si>
    <t>INF761K01603</t>
  </si>
  <si>
    <t>BANK OF INDIA Short Term Income Fund-Regular Plan- Quarterly IDCW</t>
  </si>
  <si>
    <t>INF955L01BD5</t>
  </si>
  <si>
    <t>Baroda BNP Paribas Short Duration Fund - Direct Plan - Growth Option</t>
  </si>
  <si>
    <t>INF955L01BB9</t>
  </si>
  <si>
    <t>Baroda BNP Paribas Short Duration Fund - Direct Plan - Monthly IDCW Option</t>
  </si>
  <si>
    <t>INF955L01GU8</t>
  </si>
  <si>
    <t>Baroda BNP Paribas Short Duration Fund - Direct Plan - Quarterly IDCW</t>
  </si>
  <si>
    <t>INF955L01153</t>
  </si>
  <si>
    <t>Baroda BNP Paribas Short Duration Fund - Regular Plan - Growth Option</t>
  </si>
  <si>
    <t>INF955L01138</t>
  </si>
  <si>
    <t>INF955L01146</t>
  </si>
  <si>
    <t>Baroda BNP Paribas Short Duration Fund - Regular Plan - Monthly IDCW Option</t>
  </si>
  <si>
    <t>INF955L01GS2</t>
  </si>
  <si>
    <t>Baroda BNP Paribas Short Duration Fund - Regular Plan - Quarterly IDCW</t>
  </si>
  <si>
    <t>INF760K01DX5</t>
  </si>
  <si>
    <t>CANARA ROBECO SHORT DURATION FUND - DIRECT PLAN - GROWTH OPTION</t>
  </si>
  <si>
    <t>INF760K01DV9</t>
  </si>
  <si>
    <t>INF760K01DW7</t>
  </si>
  <si>
    <t>CANARA ROBECO SHORT DURATION FUND - DIRECT PLAN - MONTHLY IDCW (Payout/Reinvestment)</t>
  </si>
  <si>
    <t>INF760K01DY3</t>
  </si>
  <si>
    <t>INF760K01DZ0</t>
  </si>
  <si>
    <t>CANARA ROBECO SHORT DURATION FUND - DIRECT PLAN - QUARTERLY IDCW (Payout/Reinvestment)</t>
  </si>
  <si>
    <t>INF760K01BM2</t>
  </si>
  <si>
    <t>CANARA ROBECO SHORT DURATION FUND - REGULAR PLAN - GROWTH OPTION</t>
  </si>
  <si>
    <t>INF760K01BO8</t>
  </si>
  <si>
    <t>INF760K01BN0</t>
  </si>
  <si>
    <t>CANARA ROBECO SHORT DURATION FUND - REGULAR PLAN - MONTHLY IDCW (Payout/Reinvestment)</t>
  </si>
  <si>
    <t>INF760K01BQ3</t>
  </si>
  <si>
    <t>INF760K01BP5</t>
  </si>
  <si>
    <t>CANARA ROBECO SHORT DURATION FUND - REGULAR PLAN - QUARTERLY IDCW (Payout/Reinvestment)</t>
  </si>
  <si>
    <t>INF740K01NJ5</t>
  </si>
  <si>
    <t>DSP Short Term Fund - Direct Plan - Growth</t>
  </si>
  <si>
    <t>INF740K01NK3</t>
  </si>
  <si>
    <t>INF740K01NN7</t>
  </si>
  <si>
    <t>DSP Short Term Fund - Direct Plan - IDCW</t>
  </si>
  <si>
    <t>INF740K01NL1</t>
  </si>
  <si>
    <t>INF740K01NM9</t>
  </si>
  <si>
    <t>DSP Short Term Fund - Direct Plan - IDCW - Monthly</t>
  </si>
  <si>
    <t>INF740KA1PD9</t>
  </si>
  <si>
    <t>INF740KA1PE7</t>
  </si>
  <si>
    <t>DSP Short Term Fund - Direct Plan - IDCW - Weekly</t>
  </si>
  <si>
    <t>INF740K01664</t>
  </si>
  <si>
    <t>INF740K01AG8</t>
  </si>
  <si>
    <t>DSP Short Term Fund - IDCW - Monthly</t>
  </si>
  <si>
    <t>INF740K01656</t>
  </si>
  <si>
    <t>DSP Short Term Fund - Regular Plan - Growth</t>
  </si>
  <si>
    <t>INF740K01649</t>
  </si>
  <si>
    <t>INF740K01AF0</t>
  </si>
  <si>
    <t>DSP Short Term Fund - Regular Plan - IDCW</t>
  </si>
  <si>
    <t>INF740KA1PF4</t>
  </si>
  <si>
    <t>DSP Short Term Fund - Regular Plan - Regular Plan - IDCW - Weekly</t>
  </si>
  <si>
    <t>INF090I01VS3</t>
  </si>
  <si>
    <t>Franklin India Short Tem Income Plan - Segregated Portfolio 3 (9.50% Yes Bank Ltd CO 23Dec21) - Direct Retail Plan Growth Option</t>
  </si>
  <si>
    <t>INF090I01GN5</t>
  </si>
  <si>
    <t>INF090I01GO3</t>
  </si>
  <si>
    <t>Franklin India Short Term Income Plan -  Retail Plan - Direct - Monthly - IDCW</t>
  </si>
  <si>
    <t>INF090I01GL9</t>
  </si>
  <si>
    <t>INF090I01GM7</t>
  </si>
  <si>
    <t>Franklin India Short Term Income Plan -  Retail Plan - Direct - Quarterly - IDCW</t>
  </si>
  <si>
    <t>INF090I01GP0</t>
  </si>
  <si>
    <t>Franklin India Short Term Income Plan -  Retail Plan - Direct - Weekly - IDCW</t>
  </si>
  <si>
    <t>INF090I01338</t>
  </si>
  <si>
    <t>INF090I01346</t>
  </si>
  <si>
    <t>Franklin India Short Term Income Plan -  Retail Plan - Monthly - IDCW</t>
  </si>
  <si>
    <t>INF090I01312</t>
  </si>
  <si>
    <t>INF090I01320</t>
  </si>
  <si>
    <t>Franklin India Short Term Income Plan -  Retail Plan - Quarterly - IDCW</t>
  </si>
  <si>
    <t>INF090I01353</t>
  </si>
  <si>
    <t>Franklin India Short Term Income Plan -  Retail Plan - Weekly - IDCW</t>
  </si>
  <si>
    <t>INF090I01GK1</t>
  </si>
  <si>
    <t>Franklin India SHORT TERM INCOME PLAN - Direct - GROWTH</t>
  </si>
  <si>
    <t>INF090I01VR5</t>
  </si>
  <si>
    <t>Franklin India Short Term Income Plan - Segregated Portfolio 3 (9.50% Yes Bank Ltd CO 23Dec21) - Institutional Plan Growth Option</t>
  </si>
  <si>
    <t>INF090I01VN4</t>
  </si>
  <si>
    <t>Franklin India Short Term Income Plan - Segregated Portfolio 3 (9.50% Yes Bank Ltd CO 23Dec21) - Retail Plan Growth Option</t>
  </si>
  <si>
    <t>INF090I01UX5</t>
  </si>
  <si>
    <t>Franklin India Short term Income Plan- Institutional Plan- Segregated Portfolio 2- 10.90% Vodafone Idea Ltd 02Sep2023-Growth Option</t>
  </si>
  <si>
    <t>INF090I01UY3</t>
  </si>
  <si>
    <t>Franklin India Short term Income Plan- Retail Plan- Segregated Portfolio 2- 10.90% Vodafone Idea Ltd 02Sep2023-Direct-Growth Option</t>
  </si>
  <si>
    <t>INF090I01UT3</t>
  </si>
  <si>
    <t>Franklin India Short term Income Plan- Retail Plan- Segregated Portfolio 2- 10.90% Vodafone Idea Ltd 02Sep2023-Growth Option</t>
  </si>
  <si>
    <t>INF090I01UR7</t>
  </si>
  <si>
    <t>Franklin India Short term Income Plan- Retail Plan-Segregated Portfolio 1- 8.25% Vodafone Idea Ltd-10JUL20-Direct- Monthly Dividend Option</t>
  </si>
  <si>
    <t>INF090I01UQ9</t>
  </si>
  <si>
    <t>Franklin India Short term Income Plan- Retail Plan-Segregated Portfolio 1- 8.25% Vodafone Idea Ltd-10JUL20-Direct- Quarterly Dividend Option</t>
  </si>
  <si>
    <t>INF090I01UM8</t>
  </si>
  <si>
    <t>Franklin India Short Term Income Plan- Retail Plan-Segregated Portfolio 1- 8.25% Vodafone Idea Ltd-10JUL20-Monthly Dividend Option</t>
  </si>
  <si>
    <t>INF090I01UL0</t>
  </si>
  <si>
    <t>Franklin India Short term Income Plan- Retail Plan-Segregated Portfolio 1- 8.25% Vodafone Idea Ltd-10JUL20-Quarterly Dividend Option</t>
  </si>
  <si>
    <t>INF090I01VA1</t>
  </si>
  <si>
    <t>Franklin India Short term Income Plan- Retail Plan-Segregated Portfolio 2 - 10.90% Vodafone Idea Ltd (02-Sep-2023) - Direct Monthly - IDCW</t>
  </si>
  <si>
    <t>INF090I01UZ0</t>
  </si>
  <si>
    <t>Franklin India Short term Income Plan- Retail Plan-Segregated Portfolio 2 - 10.90% Vodafone Idea Ltd (02-Sep-2023) - Direct Quarterly - IDCW</t>
  </si>
  <si>
    <t>INF090I01VB9</t>
  </si>
  <si>
    <t>Franklin India Short term Income Plan- Retail Plan-Segregated Portfolio 2 - 10.90% Vodafone Idea Ltd (02-Sep-2023) - Direct Weekly - IDCW</t>
  </si>
  <si>
    <t>INF090I01UV9</t>
  </si>
  <si>
    <t>Franklin India Short term Income Plan- Retail Plan-Segregated Portfolio 2 - 10.90% Vodafone Idea Ltd (02-Sep-2023) - Monthly - IDCW</t>
  </si>
  <si>
    <t>INF090I01UU1</t>
  </si>
  <si>
    <t>Franklin India Short term Income Plan- Retail Plan-Segregated Portfolio 2 - 10.90% Vodafone Idea Ltd (02-Sep-2023) - Quarterly - IDCW</t>
  </si>
  <si>
    <t>INF090I01UW7</t>
  </si>
  <si>
    <t>Franklin India Short term Income Plan- Retail Plan-Segregated Portfolio 2 - 10.90% Vodafone Idea Ltd (02-Sep-2023) - Weekly - IDCW</t>
  </si>
  <si>
    <t>INF090I01VU9</t>
  </si>
  <si>
    <t>Franklin India Short term Income Plan- Retail Plan-Segregated Portfolio 3 (9.50% Yes Bank Ltd CO 23Dec21) - Direct Monthly - IDCW</t>
  </si>
  <si>
    <t>INF090I01VT1</t>
  </si>
  <si>
    <t>Franklin India Short term Income Plan- Retail Plan-Segregated Portfolio 3 (9.50% Yes Bank Ltd CO 23Dec21) - Direct Quarterly - IDCW</t>
  </si>
  <si>
    <t>INF090I01VP9</t>
  </si>
  <si>
    <t>Franklin India Short Term Income Plan- Retail Plan-Segregated Portfolio 3 (9.50% Yes Bank Ltd CO 23Dec21) - Monthly - IDCW</t>
  </si>
  <si>
    <t>INF090I01VO2</t>
  </si>
  <si>
    <t>Franklin India Short term Income Plan- Retail Plan-Segregated Portfolio 3 (9.50% Yes Bank Ltd CO 23Dec21) - Quarterly - IDCW</t>
  </si>
  <si>
    <t>INF090I01UO4</t>
  </si>
  <si>
    <t>Franklin India Short term Income Plan-Institutional Plan- Segregated Portfolio 1- 8.25% Vodafone Idea Ltd-10JUL20-Growth Option</t>
  </si>
  <si>
    <t>INF090I01UP1</t>
  </si>
  <si>
    <t>Franklin India Short-term Income Plan- Retail Plan - Segregated Portfolio 1- 8.25% Vodafone Idea Ltd-10JUL20-Direct- Growth Option</t>
  </si>
  <si>
    <t>INF090I01UK2</t>
  </si>
  <si>
    <t>Franklin India Short-Term Income Plan- Retail Plan-Segregated Portfolio 1- 8.25% Vodafone Idea Ltd-10JUL20-Growth Option</t>
  </si>
  <si>
    <t>INF090I01UN6</t>
  </si>
  <si>
    <t>Franklin India Short-term Income Plan- Retail Plan-Segregated Portfolio 1- 8.25% Vodafone Idea Ltd-10JUL20-Weekly Dividend Option</t>
  </si>
  <si>
    <t>INF090I01VQ7</t>
  </si>
  <si>
    <t>Franklin India Short-term Income Plan- Retail Plan-Segregated Portfolio 3 (9.50% Yes Bank Ltd CO 23Dec21) - Weekly - IDCW</t>
  </si>
  <si>
    <t>INF090I01304</t>
  </si>
  <si>
    <t>Franklin India Short-Term Income Plan-Growth</t>
  </si>
  <si>
    <t>INF090I01361</t>
  </si>
  <si>
    <t>Franklin India Short-Term Income Plan-Institutional Plan - Growth</t>
  </si>
  <si>
    <t>INF090I01387</t>
  </si>
  <si>
    <t>INF090I01395</t>
  </si>
  <si>
    <t>Franklin India Short-Term Income Plan-Institutional Plan - Monthly Dividend</t>
  </si>
  <si>
    <t>INF090I01US5</t>
  </si>
  <si>
    <t>Franklin India Short-term Income Plan-Retail Plan- Segregated Portfolio 1- 8.25% Vodafone Idea Ltd-10JUL20-Direct-Weekly Dividend Option</t>
  </si>
  <si>
    <t>INF090I01VV7</t>
  </si>
  <si>
    <t>Franklin India Short-term Income Plan-Retail Plan-Segregated Portfolio 3 (9.50% Yes Bank Ltd CO 23Dec21) - Direct Weekly - IDCW</t>
  </si>
  <si>
    <t>INF090I01DY9</t>
  </si>
  <si>
    <t>Franklin India Short-Term Income Plan-Weekly Bonus</t>
  </si>
  <si>
    <t>INF666M01AJ5</t>
  </si>
  <si>
    <t>Groww Short Term Fund (formerly known as Indiabulls Short Term Fund )- Regular Plan - Growth Option</t>
  </si>
  <si>
    <t>INF666M01AC0</t>
  </si>
  <si>
    <t>Groww Short Term Fund (formerly known as Indiabulls Short Term Fund) - Direct Plan - Growth Option</t>
  </si>
  <si>
    <t>INF666M01AH9</t>
  </si>
  <si>
    <t>INF666M01AE6</t>
  </si>
  <si>
    <t>Groww Short Term Fund (formerly known as Indiabulls Short Term Fund)- Direct Plan- Fortnightly - Income Distribution cum capital withdrawal Option (Payout &amp; Reinvestment)</t>
  </si>
  <si>
    <t>INF666M01AI7</t>
  </si>
  <si>
    <t>INF666M01AF3</t>
  </si>
  <si>
    <t>Groww Short Term Fund (formerly known as Indiabulls Short Term Fund)- Direct Plan- Monthly - Income Distribution cum capital withdrawal Option (Payout &amp; Reinvestment)</t>
  </si>
  <si>
    <t>INF666M01AG1</t>
  </si>
  <si>
    <t>INF666M01AD8</t>
  </si>
  <si>
    <t>Groww Short Term Fund (formerly known as Indiabulls Short Term Fund)- Direct Plan- Weekly - Income Distribution cum capital withdrawal Option (Payout &amp; Reinvestment)</t>
  </si>
  <si>
    <t>INF666M01AO5</t>
  </si>
  <si>
    <t>INF666M01AL1</t>
  </si>
  <si>
    <t>Groww Short Term Fund (formerly known as Indiabulls Short Term Fund)- Regular Plan- Fortnightly - Income Distribution cum capital withdrawal Option (Payout &amp; Reinvestment)</t>
  </si>
  <si>
    <t>INF666M01AP2</t>
  </si>
  <si>
    <t>INF666M01AM9</t>
  </si>
  <si>
    <t>Groww Short Term Fund (formerly known as Indiabulls Short Term Fund)- Regular Plan- Monthly - Income Distribution cum capital withdrawal Option (Payout &amp; Reinvestment)</t>
  </si>
  <si>
    <t>INF666M01AN7</t>
  </si>
  <si>
    <t>INF666M01AK3</t>
  </si>
  <si>
    <t>Groww Short Term Fund (formerly known as Indiabulls Short Term Fund)- Regular Plan- Weekly - Income Distribution cum capital withdrawal Option (Payout &amp; Reinvestment)</t>
  </si>
  <si>
    <t>HDFC Short Term  Debt Fund - Fortnightly IDCW - Direct Plan</t>
  </si>
  <si>
    <t>INF179K01CV4</t>
  </si>
  <si>
    <t>INF179K01CW2</t>
  </si>
  <si>
    <t>HDFC Short Term  Debt Fund - Fortnightly IDCW Option</t>
  </si>
  <si>
    <t>INF179K01CU6</t>
  </si>
  <si>
    <t>HDFC Short Term  Debt Fund - Growth Option</t>
  </si>
  <si>
    <t>INF179K01YM7</t>
  </si>
  <si>
    <t>HDFC Short Term  Debt Fund - Growth Option - Direct Plan</t>
  </si>
  <si>
    <t>INF179KA1Q53</t>
  </si>
  <si>
    <t>HDFC Short Term  Debt Fund - Normal IDCW - Direct Plan</t>
  </si>
  <si>
    <t>INF179KA1Q79</t>
  </si>
  <si>
    <t>HDFC Short Term  Debt Fund - Normal IDCW Option</t>
  </si>
  <si>
    <t>INF917K01CH6</t>
  </si>
  <si>
    <t>INF917K01CI4</t>
  </si>
  <si>
    <t>HSBC Short Duration Fund -  Regular Plan - Monthly IDCW</t>
  </si>
  <si>
    <t>INF917K01CM6</t>
  </si>
  <si>
    <t>HSBC Short Duration Fund - Bonus</t>
  </si>
  <si>
    <t>INF917K01VR5</t>
  </si>
  <si>
    <t>INF917K01VQ7</t>
  </si>
  <si>
    <t>HSBC Short Duration Fund - Direct Annual IDCW</t>
  </si>
  <si>
    <t>INF917K01IQ4</t>
  </si>
  <si>
    <t>HSBC Short Duration Fund - Direct Growth</t>
  </si>
  <si>
    <t>INF917K01IP6</t>
  </si>
  <si>
    <t>INF917K01IO9</t>
  </si>
  <si>
    <t>HSBC Short Duration Fund - Direct Plan -  Monthly IDCW</t>
  </si>
  <si>
    <t>INF917K01IS0</t>
  </si>
  <si>
    <t>INF917K01IR2</t>
  </si>
  <si>
    <t>HSBC Short Duration Fund - Direct Quarterly IDCW</t>
  </si>
  <si>
    <t>INF917K01VT1</t>
  </si>
  <si>
    <t>INF917K01VS3</t>
  </si>
  <si>
    <t>HSBC Short Duration Fund - Regular Annual IDCW</t>
  </si>
  <si>
    <t>INF917K01CL8</t>
  </si>
  <si>
    <t>HSBC Short Duration Fund - Regular Growth</t>
  </si>
  <si>
    <t>INF917K01CJ2</t>
  </si>
  <si>
    <t>INF917K01CK0</t>
  </si>
  <si>
    <t>HSBC Short Duration Fund - Regular Quarterly IDCW</t>
  </si>
  <si>
    <t>INF109KA1376</t>
  </si>
  <si>
    <t>ICICI Prudential Short Term Fund - Bonus</t>
  </si>
  <si>
    <t>INF109KA1368</t>
  </si>
  <si>
    <t>ICICI Prudential Short Term Fund - Direct Plan - Bonus</t>
  </si>
  <si>
    <t>INF109K013N3</t>
  </si>
  <si>
    <t>ICICI Prudential Short Term Fund - Direct Plan - Growth Option</t>
  </si>
  <si>
    <t>INF109KA1X36</t>
  </si>
  <si>
    <t>INF109KA1X28</t>
  </si>
  <si>
    <t>ICICI Prudential Short Term Fund - Direct Plan - Half Yearly IDCW</t>
  </si>
  <si>
    <t>INF109K014N1</t>
  </si>
  <si>
    <t>INF109K015N8</t>
  </si>
  <si>
    <t>ICICI Prudential Short Term Fund - Direct Plan - Monthly IDCW</t>
  </si>
  <si>
    <t>INF109K012N5</t>
  </si>
  <si>
    <t>ICICI Prudential Short Term Fund - Direct Plan - Reinvestment of IDCW Fortnightly</t>
  </si>
  <si>
    <t>INF109K01654</t>
  </si>
  <si>
    <t>ICICI Prudential Short Term Fund - Growth Option</t>
  </si>
  <si>
    <t>INF109KA1X10</t>
  </si>
  <si>
    <t>INF109KA1X02</t>
  </si>
  <si>
    <t>ICICI Prudential Short Term Fund - Half Yearly IDCW</t>
  </si>
  <si>
    <t>INF109KB12M9</t>
  </si>
  <si>
    <t>INF109K01662</t>
  </si>
  <si>
    <t>ICICI Prudential Short Term Fund - Reinvestment of IDCW Fortnightly</t>
  </si>
  <si>
    <t>INF109K01WL0</t>
  </si>
  <si>
    <t>INF109K01647</t>
  </si>
  <si>
    <t>ICICI Prudential Short Term Fund - Monthly IDCW</t>
  </si>
  <si>
    <t>INF109K01WK2</t>
  </si>
  <si>
    <t>INF109K01670</t>
  </si>
  <si>
    <t>ICICI Prudential Short Term Fund - Institutional Plan - Dividend Monthly</t>
  </si>
  <si>
    <t>INF109K01696</t>
  </si>
  <si>
    <t>ICICI Prudential Short Term Fund-Institutional Growth</t>
  </si>
  <si>
    <t>INF109K01688</t>
  </si>
  <si>
    <t>ICICI Prudential Short Term Fund-Institutional Plan-Dividend Fortnightly</t>
  </si>
  <si>
    <t>INF205K01UE5</t>
  </si>
  <si>
    <t>Invesco India Short Duration Fund - Direct Plan - Daily IDCW (Reinvestment)</t>
  </si>
  <si>
    <t>INF205K01UH8</t>
  </si>
  <si>
    <t>Invesco India Short Duration Fund - Direct Plan - Growth</t>
  </si>
  <si>
    <t>INF205K01UI6</t>
  </si>
  <si>
    <t>INF205K01UJ4</t>
  </si>
  <si>
    <t>Invesco India Short Duration Fund - Direct Plan - Monthly IDCW (Payout / Reinvestment)</t>
  </si>
  <si>
    <t>INF205K01UF2</t>
  </si>
  <si>
    <t>INF205K01UG0</t>
  </si>
  <si>
    <t>Invesco India Short Duration Fund - Direct Plan -Discretionary IDCW (Payout / Reinvestment)</t>
  </si>
  <si>
    <t>INF205K01UK2</t>
  </si>
  <si>
    <t>Invesco India Short Duration Fund - Direct Plan -Weekly IDCW (Reinvestment)</t>
  </si>
  <si>
    <t>INF205K01UR7</t>
  </si>
  <si>
    <t>Invesco India Short Duration Fund - Plan B - Growth</t>
  </si>
  <si>
    <t>INF205K01US5</t>
  </si>
  <si>
    <t>INF205K01UT3</t>
  </si>
  <si>
    <t>Invesco India Short Duration Fund - Plan B - Monthly IDCW (Payout / Reinvestment)</t>
  </si>
  <si>
    <t>INF205K01UU1</t>
  </si>
  <si>
    <t>Invesco India Short Duration Fund - Plan B - Weekly IDCW (Reinvestment)</t>
  </si>
  <si>
    <t>INF205K01UD7</t>
  </si>
  <si>
    <t>Invesco India Short Duration Fund - Regular Plan - Daily IDCW (Reinvestment)</t>
  </si>
  <si>
    <t>INF205K01UN6</t>
  </si>
  <si>
    <t>Invesco India Short Duration Fund - Regular Plan - Growth</t>
  </si>
  <si>
    <t>INF205K01UO4</t>
  </si>
  <si>
    <t>INF205K01UP1</t>
  </si>
  <si>
    <t>Invesco India Short Duration Fund - Regular Plan - Monthly IDCW (Payout / Reinvestment)</t>
  </si>
  <si>
    <t>INF205K01UV9</t>
  </si>
  <si>
    <t>Invesco India Short Duration Fund - Regular Plan - Weekly IDCW (Reinvestment)</t>
  </si>
  <si>
    <t>INF205K01UL0</t>
  </si>
  <si>
    <t>INF205K01UM8</t>
  </si>
  <si>
    <t>Invesco India Short Duration Fund- Regular Plan - Discretionary IDCW (Payout / Reinvestment)</t>
  </si>
  <si>
    <t>INF22M001143</t>
  </si>
  <si>
    <t>JioBlackRock Short Duration Fund - Direct Plan - Growth Option</t>
  </si>
  <si>
    <t>INF192K01MP8</t>
  </si>
  <si>
    <t>JM Short Duration Fund (Direct) - Growth</t>
  </si>
  <si>
    <t>INF192K01MQ6</t>
  </si>
  <si>
    <t>INF192K01MR4</t>
  </si>
  <si>
    <t>JM Short Duration Fund (Direct) - IDCW</t>
  </si>
  <si>
    <t>INF192K01MM5</t>
  </si>
  <si>
    <t>JM Short Duration Fund (Regular) - Growth</t>
  </si>
  <si>
    <t>INF192K01MN3</t>
  </si>
  <si>
    <t>INF192K01MO1</t>
  </si>
  <si>
    <t>JM Short Duration Fund (Regular) - IDCW</t>
  </si>
  <si>
    <t>INF192K01DZ6</t>
  </si>
  <si>
    <t>JM Short Term Fund (Direct) - Daily Dividend Option</t>
  </si>
  <si>
    <t>INF192K01DX1</t>
  </si>
  <si>
    <t>INF192K01DY9</t>
  </si>
  <si>
    <t>JM Short Term Fund (Direct) - Dividend Option</t>
  </si>
  <si>
    <t>INF192K01EA7</t>
  </si>
  <si>
    <t>JM Short Term Fund (Direct) - Growth Option</t>
  </si>
  <si>
    <t>INF192K01BD7</t>
  </si>
  <si>
    <t>JM Short Term Fund - Daily Dividend Option</t>
  </si>
  <si>
    <t>INF192K01BE5</t>
  </si>
  <si>
    <t>INF192K01BF2</t>
  </si>
  <si>
    <t>JM Short Term Fund - Dividend Option</t>
  </si>
  <si>
    <t>INF192K01BG0</t>
  </si>
  <si>
    <t>JM Short Term Fund - Growth Option</t>
  </si>
  <si>
    <t>INF192K01AZ2</t>
  </si>
  <si>
    <t>JM Short Term Fund - Regular Plan - Daily Dividend Option</t>
  </si>
  <si>
    <t>INF192K01BA3</t>
  </si>
  <si>
    <t>INF192K01BB1</t>
  </si>
  <si>
    <t>JM Short Term Fund - Regular Plan - Dividend Option</t>
  </si>
  <si>
    <t>INF192K01BC9</t>
  </si>
  <si>
    <t>JM Short Term Fund - Regular Plan - Growth Option</t>
  </si>
  <si>
    <t>INF174K01Z14</t>
  </si>
  <si>
    <t>INF174K01Z22</t>
  </si>
  <si>
    <t>Kotak Bond Short Term Plan - Direct - Standard Income Distribution cum capital withdrawal option</t>
  </si>
  <si>
    <t>INF174K01Y98</t>
  </si>
  <si>
    <t>INF174K01Z06</t>
  </si>
  <si>
    <t>Kotak Bond Short Term Plan - Regular Plan - Normal Dividend</t>
  </si>
  <si>
    <t>INF174K01ES7</t>
  </si>
  <si>
    <t>Kotak Bond Short Term Plan-(Growth)</t>
  </si>
  <si>
    <t>INF174K01JI7</t>
  </si>
  <si>
    <t>Kotak Bond Short Term Plan-(Growth) - Direct</t>
  </si>
  <si>
    <t>INF174K01EU3</t>
  </si>
  <si>
    <t>INF174K01ET5</t>
  </si>
  <si>
    <t>Kotak Bond Short Term Plan-(Payout of Income Distribution cum capital withdrawal option)</t>
  </si>
  <si>
    <t>INF767K01PW6</t>
  </si>
  <si>
    <t>LIC MF Short Duration Fund-Direct Plan-Growth</t>
  </si>
  <si>
    <t>INF767K01PX4</t>
  </si>
  <si>
    <t>INF767K01PY2</t>
  </si>
  <si>
    <t>LIC MF Short Duration Fund-Direct Plan-IDCW</t>
  </si>
  <si>
    <t>INF397L01BH1</t>
  </si>
  <si>
    <t>INF397L01BI9</t>
  </si>
  <si>
    <t>LIC MF Short Duration Fund-Direct Plan-Monthly IDCW</t>
  </si>
  <si>
    <t>INF397L01BK5</t>
  </si>
  <si>
    <t>INF397L01BL3</t>
  </si>
  <si>
    <t>LIC MF Short Duration Fund-Direct Plan-Weekly IDCW</t>
  </si>
  <si>
    <t>INF767K01PT2</t>
  </si>
  <si>
    <t>LIC MF Short Duration Fund-Regular Plan-Growth</t>
  </si>
  <si>
    <t>INF767K01PU0</t>
  </si>
  <si>
    <t>INF767K01PV8</t>
  </si>
  <si>
    <t>LIC MF Short Duration Fund-Regular Plan-IDCW</t>
  </si>
  <si>
    <t>INF397L01406</t>
  </si>
  <si>
    <t>INF397L01414</t>
  </si>
  <si>
    <t>LIC MF Short Duration Fund-Regular Plan-Monthly IDCW</t>
  </si>
  <si>
    <t>INF397L01430</t>
  </si>
  <si>
    <t>INF397L01448</t>
  </si>
  <si>
    <t>LIC MF Short Duration Fund-Regular Plan-Weekly IDCW</t>
  </si>
  <si>
    <t>INF174V01AO1</t>
  </si>
  <si>
    <t>INF174V01AN3</t>
  </si>
  <si>
    <t>Mahindra Manulife Short Duration Fund - Direct Plan - IDCW</t>
  </si>
  <si>
    <t>INF174V01AM5</t>
  </si>
  <si>
    <t>Mahindra Manulife Short Duration Fund - Direct Plan -Growth</t>
  </si>
  <si>
    <t>INF174V01AJ1</t>
  </si>
  <si>
    <t>Mahindra Manulife Short Duration Fund - Regular Plan - Growth</t>
  </si>
  <si>
    <t>INF174V01AL7</t>
  </si>
  <si>
    <t>INF174V01AK9</t>
  </si>
  <si>
    <t>Mahindra Manulife Short Duration Fund - Regular Plan - IDCW</t>
  </si>
  <si>
    <t>INF769K01DX6</t>
  </si>
  <si>
    <t>Mirae Asset Short Duration Fund - Direct Plan - Growth</t>
  </si>
  <si>
    <t>INF769K01DY4</t>
  </si>
  <si>
    <t>INF769K01DZ1</t>
  </si>
  <si>
    <t>Mirae Asset Short Duration Fund - Direct Plan - IDCW</t>
  </si>
  <si>
    <t>INF769K01DU2</t>
  </si>
  <si>
    <t>Mirae Asset Short Duration Fund - Regular Plan - Growth</t>
  </si>
  <si>
    <t>INF769K01DV0</t>
  </si>
  <si>
    <t>INF769K01DW8</t>
  </si>
  <si>
    <t>Mirae Asset Short Duration Fund - Regular Plan - IDCW</t>
  </si>
  <si>
    <t>INF204K01FL4</t>
  </si>
  <si>
    <t>Nippon India Short Duration  Fund-Growth Plan</t>
  </si>
  <si>
    <t>INF204KA1ES0</t>
  </si>
  <si>
    <t>INF204KA1ET8</t>
  </si>
  <si>
    <t>NIPPON INDIA SHORT DURATION FUND - Direct Plan - IDCW Option</t>
  </si>
  <si>
    <t>INF204K01B40</t>
  </si>
  <si>
    <t>NIPPON INDIA SHORT DURATION FUND - Direct Plan - MONTHLY IDCW Option</t>
  </si>
  <si>
    <t>INF204K01B65</t>
  </si>
  <si>
    <t>INF204K01B73</t>
  </si>
  <si>
    <t>NIPPON INDIA SHORT DURATION FUND - Direct Plan - QUARTERLY IDCW OPTION</t>
  </si>
  <si>
    <t>INF204K01B32</t>
  </si>
  <si>
    <t>Nippon India Short Duration Fund - Direct Plan Growth Plan - Growth Option</t>
  </si>
  <si>
    <t>INF204KA1EQ4</t>
  </si>
  <si>
    <t>INF204KA1ER2</t>
  </si>
  <si>
    <t>NIPPON INDIA SHORT DURATION FUND - IDCW Option</t>
  </si>
  <si>
    <t>INF204K01FM2</t>
  </si>
  <si>
    <t>INF204K01FN0</t>
  </si>
  <si>
    <t>NIPPON INDIA SHORT DURATION FUND - MONTHLY IDCW Option</t>
  </si>
  <si>
    <t>INF204K01FO8</t>
  </si>
  <si>
    <t>INF204K01FP5</t>
  </si>
  <si>
    <t>NIPPON INDIA SHORT DURATION FUND - QUARTERLY IDCW OPTION</t>
  </si>
  <si>
    <t>INF200K01IA9</t>
  </si>
  <si>
    <t>INF200K01IB7</t>
  </si>
  <si>
    <t>SBI Short Horizon Debt Fund - Short Term Fund - Retail Dividend - Fortnightly Income Distribution cum Capital Withdrawal Option (IDCW)</t>
  </si>
  <si>
    <t>INF200K01IC5</t>
  </si>
  <si>
    <t>INF200K01ID3</t>
  </si>
  <si>
    <t>SBI Short Horizon Debt Fund - Short Term Fund - Retail Dividend - Monthly Income Distribution cum Capital Withdrawal Option (IDCW)</t>
  </si>
  <si>
    <t>INF200K01IE1</t>
  </si>
  <si>
    <t>INF200K01IF8</t>
  </si>
  <si>
    <t>SBI Short Horizon Debt Fund - Short Term Fund - Retail Dividend - Weekly Income Distribution cum Capital Withdrawal Option (IDCW)</t>
  </si>
  <si>
    <t>INF200K01IG6</t>
  </si>
  <si>
    <t>SBI SHORT HORIZON DEBT FUND-SHORT TERM FUND - RETAIL - GROWTH</t>
  </si>
  <si>
    <t>INF200K01VF1</t>
  </si>
  <si>
    <t>INF200K01VG9</t>
  </si>
  <si>
    <t>SBI Short Term Debt Fund - Direct Plan - Monthly Income Distribution cum Capital Withdrawal Option (IDCW)</t>
  </si>
  <si>
    <t>INF200K01VE4</t>
  </si>
  <si>
    <t>SBI SHORT TERM DEBT FUND - DIRECT PLAN -GROWTH</t>
  </si>
  <si>
    <t>INF200K01VC8</t>
  </si>
  <si>
    <t>INF200K01VD6</t>
  </si>
  <si>
    <t>SBI Short Term Debt Fund - Direct Plan Fortnightly Income Distribution cum Capital Withdrawal Option (IDCW)</t>
  </si>
  <si>
    <t>INF200K01VH7</t>
  </si>
  <si>
    <t>INF200K01VI5</t>
  </si>
  <si>
    <t>SBI Short Term Debt Fund - Direct Plan Weekly Income Distribution cum Capital Withdrawal Option (IDCW)</t>
  </si>
  <si>
    <t>INF200K01HV7</t>
  </si>
  <si>
    <t>INF200K01HW5</t>
  </si>
  <si>
    <t>SBI Short Term Debt Fund - Regular Plan - Monthly Income Distribution cum Capital Withdrawal Option (IDCW)</t>
  </si>
  <si>
    <t>INF200K01HZ8</t>
  </si>
  <si>
    <t>SBI SHORT TERM DEBT FUND - REGULAR PLAN -GROWTH</t>
  </si>
  <si>
    <t>INF200K01HT1</t>
  </si>
  <si>
    <t>INF200K01HU9</t>
  </si>
  <si>
    <t>SBI Short Term Debt Fund - Regular Plan Fortnightly Income Distribution cum Capital Withdrawal Option (IDCW)</t>
  </si>
  <si>
    <t>INF200K01HX3</t>
  </si>
  <si>
    <t>INF200K01HY1</t>
  </si>
  <si>
    <t>SBI Short Term Debt Fund - Regular Plan Weekly Income Distribution cum Capital Withdrawal Option (IDCW)</t>
  </si>
  <si>
    <t>INF903JA1KM7</t>
  </si>
  <si>
    <t>Sundaram Short Duration Fund (Formerly Known as Principal Short Term Debt Fund) - Direct Plan - IDCW</t>
  </si>
  <si>
    <t>INF173K01GQ8</t>
  </si>
  <si>
    <t>INF173K01GR6</t>
  </si>
  <si>
    <t>Sundaram Short Duration Fund (Formerly Known as Principal Short Term Debt Fund) - Direct Plan - Income Distribution CUM Capital Withdrawal Plan (IDCW)</t>
  </si>
  <si>
    <t>INF903JA1KE4</t>
  </si>
  <si>
    <t>Sundaram Short Duration Fund (Formerly Known as Principal Short Term Debt Fund) - Regular - IDCW</t>
  </si>
  <si>
    <t>INF903JA1KN5</t>
  </si>
  <si>
    <t>Sundaram Short Duration Fund (Formerly Known as Principal Short Term Debt Fund) Direct Plan - IDCW</t>
  </si>
  <si>
    <t>INF903JA1KP0</t>
  </si>
  <si>
    <t>INF903JA1KL9</t>
  </si>
  <si>
    <t>Sundaram Short Duration Fund (Formerly Known as Principal Short Term Debt Fund) Direct Plan Fortnightly IDCW</t>
  </si>
  <si>
    <t>INF903JA1KR6</t>
  </si>
  <si>
    <t>Sundaram Short Duration Fund (Formerly Known as Principal Short Term Debt Fund) Direct Plan IDCW</t>
  </si>
  <si>
    <t>INF903JA1KO3</t>
  </si>
  <si>
    <t>INF903JA1KS4</t>
  </si>
  <si>
    <t>Sundaram Short Duration Fund (Formerly Known as Principal Short Term Debt Fund) Direct Weekly IDCW</t>
  </si>
  <si>
    <t>INF903JA1KF1</t>
  </si>
  <si>
    <t>Sundaram Short Duration Fund (Formerly Known as Principal Short Term Debt Fund) Regular - IDCW</t>
  </si>
  <si>
    <t>INF903JA1KH7</t>
  </si>
  <si>
    <t>INF903JA1KD6</t>
  </si>
  <si>
    <t>Sundaram Short Duration Fund (Formerly Known as Principal Short Term Debt Fund) Regular Fortnightly IDCW</t>
  </si>
  <si>
    <t>INF903JA1KJ3</t>
  </si>
  <si>
    <t>Sundaram Short Duration Fund (Formerly Known as Principal Short Term Debt Fund) Regular Plan IDCW</t>
  </si>
  <si>
    <t>INF903JA1KI5</t>
  </si>
  <si>
    <t>Sundaram Short Duration Fund (Formerly Known as Principal Short Term Debt Fund) Regular Principal Units</t>
  </si>
  <si>
    <t>INF903JA1KG9</t>
  </si>
  <si>
    <t>INF903JA1KK1</t>
  </si>
  <si>
    <t>Sundaram Short Duration Fund (Formerly Known as Principal Short Term Debt Fund) Regular Weekly IDCW</t>
  </si>
  <si>
    <t>INF173K01GP0</t>
  </si>
  <si>
    <t>Sundaram Short Duration Fund (Formerly Known as Principal Short Term Debt Fund)- Direct Plan - Growth Option</t>
  </si>
  <si>
    <t>INF173K01BA3</t>
  </si>
  <si>
    <t>Sundaram Short Duration Fund (Formerly Known as Principal Short Term Debt Fund)- Growth Plan</t>
  </si>
  <si>
    <t>INF173K01BB1</t>
  </si>
  <si>
    <t>INF173K01BC9</t>
  </si>
  <si>
    <t>Sundaram Short Duration Fund (Formerly Known as Principal Short Term Debt Fund)- Income Distribution CUM Capital Withdrawal Option (IDCW)</t>
  </si>
  <si>
    <t>INF277K01QR4</t>
  </si>
  <si>
    <t>Tata Short Term Bond Fund - Direct Plan - Growth Option</t>
  </si>
  <si>
    <t>INF277K01972</t>
  </si>
  <si>
    <t>Tata Short Term Bond Fund -Regular Plan- Growth Option</t>
  </si>
  <si>
    <t>INF277K01QP8</t>
  </si>
  <si>
    <t>INF277K01QQ6</t>
  </si>
  <si>
    <t>Tata Short Term Bond Fund Direct Plan - Monthly Payout of IDCW Option</t>
  </si>
  <si>
    <t>INF277K01P38</t>
  </si>
  <si>
    <t>INF277K01P46</t>
  </si>
  <si>
    <t>Tata Short Term Bond Fund- Direct Plan - Periodic Payout of IDCW Option</t>
  </si>
  <si>
    <t>INF277K01EI9</t>
  </si>
  <si>
    <t>INF277K01964</t>
  </si>
  <si>
    <t>Tata Short Term Bond Fund- Regular Plan - Monthly Payout of IDCW Option</t>
  </si>
  <si>
    <t>INF277K01P12</t>
  </si>
  <si>
    <t>INF277K01P20</t>
  </si>
  <si>
    <t>Tata Short Term Bond Fund- Regular Plan - Periodic Payout of IDCW Option</t>
  </si>
  <si>
    <t>INF0GCD01370</t>
  </si>
  <si>
    <t>TRUSTMF Short Duration Fund-Direct Plan-Growth</t>
  </si>
  <si>
    <t>INF0GCD01396</t>
  </si>
  <si>
    <t>INF0GCD01404</t>
  </si>
  <si>
    <t>TRUSTMF Short Duration Fund-Direct Plan-Monthly Income Distribution Cum Capital Withdrawal</t>
  </si>
  <si>
    <t>INF0GCD01412</t>
  </si>
  <si>
    <t>INF0GCD01420</t>
  </si>
  <si>
    <t>TRUSTMF Short Duration Fund-Direct Plan-Quarterly Income Distribution Cum Capital Withdrawal</t>
  </si>
  <si>
    <t>INF0GCD01388</t>
  </si>
  <si>
    <t>TRUSTMF Short Duration Fund-Direct Plan-Weekly Income Distribution Cum Capital Withdrawal</t>
  </si>
  <si>
    <t>INF0GCD01313</t>
  </si>
  <si>
    <t>TRUSTMF Short Duration Fund-Regular Plan-Growth</t>
  </si>
  <si>
    <t>INF0GCD01339</t>
  </si>
  <si>
    <t>INF0GCD01347</t>
  </si>
  <si>
    <t>TRUSTMF Short Duration Fund-Regular Plan-Monthly Income Distribution Cum Capital Withdrawal</t>
  </si>
  <si>
    <t>INF0GCD01354</t>
  </si>
  <si>
    <t>INF0GCD01362</t>
  </si>
  <si>
    <t>TRUSTMF Short Duration Fund-Regular Plan-Quarterly Income Distribution Cum Capital Withdrawal</t>
  </si>
  <si>
    <t>INF0GCD01321</t>
  </si>
  <si>
    <t>TRUSTMF Short Duration Fund-Regular Plan-Weekly Income Distribution Cum Capital Withdrawal</t>
  </si>
  <si>
    <t>INF582M01KO3</t>
  </si>
  <si>
    <t>Union Short Duration Fund - Direct Plan - Growth Option</t>
  </si>
  <si>
    <t>INF582M01KP0</t>
  </si>
  <si>
    <t>INF582M01KQ8</t>
  </si>
  <si>
    <t>Union Short Duration Fund - Direct Plan - IDCW Option</t>
  </si>
  <si>
    <t>INF582M01KK1</t>
  </si>
  <si>
    <t>Union Short Duration Fund - Regular Plan - Growth Option</t>
  </si>
  <si>
    <t>INF582M01KL9</t>
  </si>
  <si>
    <t>INF582M01KM7</t>
  </si>
  <si>
    <t>Union Short Duration Fund - Regular Plan - IDCW Option</t>
  </si>
  <si>
    <t>INF789FA1R33</t>
  </si>
  <si>
    <t>INF789FA1R41</t>
  </si>
  <si>
    <t>UTI Short Duration Fund - Direct Plan - Annual IDCW</t>
  </si>
  <si>
    <t>INF789FB1T70</t>
  </si>
  <si>
    <t>INF789FB1T62</t>
  </si>
  <si>
    <t>UTI Short Duration Fund - Direct Plan - Flexi IDCW</t>
  </si>
  <si>
    <t>INF789F01XY0</t>
  </si>
  <si>
    <t>UTI Short Duration Fund - Direct Plan - Growth Option</t>
  </si>
  <si>
    <t>INF789FA1R17</t>
  </si>
  <si>
    <t>INF789FA1R25</t>
  </si>
  <si>
    <t>UTI Short Duration Fund - Direct Plan - Half Yearly Dividend Option</t>
  </si>
  <si>
    <t>INF789F01XZ7</t>
  </si>
  <si>
    <t>INF789F01YA8</t>
  </si>
  <si>
    <t>UTI Short Duration Fund - Direct Plan - Monthly IDCW</t>
  </si>
  <si>
    <t>INF789FA1R66</t>
  </si>
  <si>
    <t>INF789FA1R74</t>
  </si>
  <si>
    <t>UTI Short Duration Fund - Direct Plan - Quarterly IDCW</t>
  </si>
  <si>
    <t>INF789F01AH3</t>
  </si>
  <si>
    <t>INF789F01AI1</t>
  </si>
  <si>
    <t>UTI Short Duration Fund - Discontinued Regular Option - Dividend Sub Option</t>
  </si>
  <si>
    <t>INF789F01AJ9</t>
  </si>
  <si>
    <t>UTI Short Duration Fund - Discontinued Regular Option -Growth Sub Option</t>
  </si>
  <si>
    <t>INF789FA1Q91</t>
  </si>
  <si>
    <t>INF789FA1R09</t>
  </si>
  <si>
    <t>UTI Short Duration Fund - Regular Plan - Annual IDCW</t>
  </si>
  <si>
    <t>INF789FB1T54</t>
  </si>
  <si>
    <t>INF789FB1T47</t>
  </si>
  <si>
    <t>UTI Short Duration Fund - Regular Plan - Flexi IDCW</t>
  </si>
  <si>
    <t>INF789F01QA4</t>
  </si>
  <si>
    <t>UTI Short Duration Fund - Regular Plan - Growth Option</t>
  </si>
  <si>
    <t>INF789FA1Q75</t>
  </si>
  <si>
    <t>INF789FA1Q83</t>
  </si>
  <si>
    <t>UTI Short Duration Fund - Regular Plan - Half-Yearly IDCW</t>
  </si>
  <si>
    <t>INF789F01QB2</t>
  </si>
  <si>
    <t>INF789F01QC0</t>
  </si>
  <si>
    <t>UTI Short Duration Fund - Regular Plan - Monthly IDCW</t>
  </si>
  <si>
    <t>INF789FC1GD5</t>
  </si>
  <si>
    <t>INF789FA1R58</t>
  </si>
  <si>
    <t>UTI Short Duration Fund - Regular Plan - Quarterly IDCW</t>
  </si>
  <si>
    <t>INF209K01JT8</t>
  </si>
  <si>
    <t>Aditya Birla Sun Life Savings Fund - Discipline Advantage Plan</t>
  </si>
  <si>
    <t>INF209K01UR9</t>
  </si>
  <si>
    <t>Aditya Birla Sun Life Savings Fund - Growth - Direct Plan</t>
  </si>
  <si>
    <t>INF209K01LZ1</t>
  </si>
  <si>
    <t>Aditya Birla Sun Life Savings Fund - Growth - Regular Plan</t>
  </si>
  <si>
    <t>INF209K01UQ1</t>
  </si>
  <si>
    <t>Aditya Birla Sun Life Savings Fund-DIRECT - DAILY IDCW</t>
  </si>
  <si>
    <t>INF209K01US7</t>
  </si>
  <si>
    <t>Aditya Birla Sun Life Savings Fund-DIRECT - WEEKLY IDCW</t>
  </si>
  <si>
    <t>INF209K01LY4</t>
  </si>
  <si>
    <t>Aditya Birla Sun Life Savings Fund-Regular - DAILY IDCW</t>
  </si>
  <si>
    <t>INF209K01MA2</t>
  </si>
  <si>
    <t>Aditya Birla Sun Life Savings Fund-Regular - weekly IDCW</t>
  </si>
  <si>
    <t>INF846K01F57</t>
  </si>
  <si>
    <t>Axis Ultra Short Duration Fund - Direct Plan - Daily IDCW</t>
  </si>
  <si>
    <t>INF846K01F99</t>
  </si>
  <si>
    <t>INF846K01F81</t>
  </si>
  <si>
    <t>Axis Ultra Short Duration Fund - Direct Plan - Monthly IDCW</t>
  </si>
  <si>
    <t>INF846K01G15</t>
  </si>
  <si>
    <t>INF846K01G07</t>
  </si>
  <si>
    <t>Axis Ultra Short Duration Fund - Direct Plan - Regular IDCW</t>
  </si>
  <si>
    <t>INF846K01F73</t>
  </si>
  <si>
    <t>INF846K01F65</t>
  </si>
  <si>
    <t>Axis Ultra Short Duration Fund - Direct Plan - Weekly IDCW</t>
  </si>
  <si>
    <t>INF846K01F40</t>
  </si>
  <si>
    <t>Axis Ultra Short Duration Fund - Direct Plan Growth</t>
  </si>
  <si>
    <t>INF846K01G31</t>
  </si>
  <si>
    <t>Axis Ultra Short Duration Fund - Regular Plan - Daily IDCW</t>
  </si>
  <si>
    <t>INF846K01G72</t>
  </si>
  <si>
    <t>INF846K01G64</t>
  </si>
  <si>
    <t>Axis Ultra Short Duration Fund - Regular Plan - Monthly IDCW</t>
  </si>
  <si>
    <t>INF846K01G98</t>
  </si>
  <si>
    <t>INF846K01G80</t>
  </si>
  <si>
    <t>Axis Ultra Short Duration Fund - Regular Plan - Regular IDCW</t>
  </si>
  <si>
    <t>INF846K01G56</t>
  </si>
  <si>
    <t>INF846K01G49</t>
  </si>
  <si>
    <t>Axis Ultra Short Duration Fund - Regular Plan - Weekly IDCW</t>
  </si>
  <si>
    <t>INF846K01G23</t>
  </si>
  <si>
    <t>Axis Ultra Short Duration Fund - Regular Plan Growth</t>
  </si>
  <si>
    <t>INF194KA11S2</t>
  </si>
  <si>
    <t>INF194KA12S0</t>
  </si>
  <si>
    <t>BANDHAN ULTRA SHORT DURATION FUND - DIRECT PLAN -MONTHLY IDCW</t>
  </si>
  <si>
    <t>INF194KA16R3</t>
  </si>
  <si>
    <t>BANDHAN ULTRA SHORT DURATION FUND - DIRECT PLAN GROWTH</t>
  </si>
  <si>
    <t>INF194KA17S9</t>
  </si>
  <si>
    <t>INF194KA18S7</t>
  </si>
  <si>
    <t>BANDHAN ULTRA SHORT DURATION FUND - DIRECT PLAN PERIODIC IDCW</t>
  </si>
  <si>
    <t>INF194KA14S6</t>
  </si>
  <si>
    <t>INF194KA15S3</t>
  </si>
  <si>
    <t>BANDHAN ULTRA SHORT DURATION FUND - DIRECT PLAN QUARTERLY IDCW</t>
  </si>
  <si>
    <t>INF194KA10T2</t>
  </si>
  <si>
    <t>INF194KA11T0</t>
  </si>
  <si>
    <t>BANDHAN ULTRA SHORT DURATION FUND - DIRECT PLAN- WEEKLY IDCW</t>
  </si>
  <si>
    <t>INF194KA18R9</t>
  </si>
  <si>
    <t>INF194KA19R7</t>
  </si>
  <si>
    <t>BANDHAN ULTRA SHORT DURATION FUND - DIRECT PLAN-DAILY IDCW</t>
  </si>
  <si>
    <t>INF194KA12Q4</t>
  </si>
  <si>
    <t>INF194KA13Q2</t>
  </si>
  <si>
    <t>BANDHAN ULTRA SHORT DURATION FUND - REGULAR PLAN DAILY IDCW</t>
  </si>
  <si>
    <t>INF194KA10Q8</t>
  </si>
  <si>
    <t>BANDHAN ULTRA SHORT DURATION FUND - REGULAR PLAN GROWTH</t>
  </si>
  <si>
    <t>INF194KA15Q7</t>
  </si>
  <si>
    <t>INF194KA16Q5</t>
  </si>
  <si>
    <t>BANDHAN ULTRA SHORT DURATION FUND - REGULAR PLAN MONTHLY IDCW</t>
  </si>
  <si>
    <t>INF194KA11R4</t>
  </si>
  <si>
    <t>INF194KA12R2</t>
  </si>
  <si>
    <t>BANDHAN ULTRA SHORT DURATION FUND - REGULAR PLAN PERIODIC IDCW</t>
  </si>
  <si>
    <t>INF194KA18Q1</t>
  </si>
  <si>
    <t>INF194KA19Q9</t>
  </si>
  <si>
    <t>BANDHAN ULTRA SHORT DURATION FUND - REGULAR PLAN QUARTERLY IDCW</t>
  </si>
  <si>
    <t>INF194KA14R8</t>
  </si>
  <si>
    <t>INF194KA15R5</t>
  </si>
  <si>
    <t>BANDHAN ULTRA SHORT DURATION FUND - REGULAR PLAN WEEKLY IDCW</t>
  </si>
  <si>
    <t>INF761K01CT3</t>
  </si>
  <si>
    <t>BANK OF INDIA Ultra Short Duration Fund- Direct Plan- Daily IDCW</t>
  </si>
  <si>
    <t>INF761K01892</t>
  </si>
  <si>
    <t>BANK OF INDIA Ultra Short Duration Fund- Direct Plan- Growth</t>
  </si>
  <si>
    <t>INF761K01CU1</t>
  </si>
  <si>
    <t>BANK OF INDIA Ultra Short Duration Fund- Direct Plan- Weekly IDCW</t>
  </si>
  <si>
    <t>INF761K01CS5</t>
  </si>
  <si>
    <t>BANK OF INDIA Ultra Short Duration Fund- Direct Plan-Bonus</t>
  </si>
  <si>
    <t>INF761K01CW7</t>
  </si>
  <si>
    <t>BANK OF INDIA Ultra Short Duration Fund- Regular Plan- Daily IDCW</t>
  </si>
  <si>
    <t>INF761K01298</t>
  </si>
  <si>
    <t>BANK OF INDIA Ultra Short Duration Fund- Regular Plan- Growth</t>
  </si>
  <si>
    <t>INF761K01CX5</t>
  </si>
  <si>
    <t>BANK OF INDIA Ultra Short Duration Fund- Regular Plan- Weekly IDCW</t>
  </si>
  <si>
    <t>INF251K01SN4</t>
  </si>
  <si>
    <t>INF955L01GY0</t>
  </si>
  <si>
    <t>Baroda BNP Paribas Ultra Short Duratio Fund- Regular Plan- Weekly IDCW</t>
  </si>
  <si>
    <t>INF955L01GW4</t>
  </si>
  <si>
    <t>Baroda BNP Paribas Ultra Short Duration Fund - Regular Plan - Daily IDCW</t>
  </si>
  <si>
    <t>INF955L01GX2</t>
  </si>
  <si>
    <t>Baroda BNP Paribas Ultra Short Duration Fund - Regular Plan - Growth</t>
  </si>
  <si>
    <t>INF955L01GZ7</t>
  </si>
  <si>
    <t>Baroda BNP Paribas Ultra Short Duration Fund- Direct Plan- Daily IDCW</t>
  </si>
  <si>
    <t>INF955L01HA8</t>
  </si>
  <si>
    <t>Baroda BNP Paribas Ultra Short Duration Fund- Direct Plan- Growth</t>
  </si>
  <si>
    <t>INF251K01SM6</t>
  </si>
  <si>
    <t>INF955L01HB6</t>
  </si>
  <si>
    <t>Baroda BNP Paribas Ultra Short Duration Fund- Direct Plan- Weekly IDCW</t>
  </si>
  <si>
    <t>INF760K01GL3</t>
  </si>
  <si>
    <t>CANARA ROBECO ULTRA SHORT TERM FUND - DIRECT PLAN - DAILY IDCW (Reinvestment)</t>
  </si>
  <si>
    <t>INF760K01GM1</t>
  </si>
  <si>
    <t>CANARA ROBECO ULTRA SHORT TERM FUND - DIRECT PLAN - GROWTH OPTION</t>
  </si>
  <si>
    <t>INF760K01GN9</t>
  </si>
  <si>
    <t>CANARA ROBECO ULTRA SHORT TERM FUND - DIRECT PLAN - IDCW (Payout/Reinvestment)</t>
  </si>
  <si>
    <t>INF760K01GP4</t>
  </si>
  <si>
    <t>INF760K01GO7</t>
  </si>
  <si>
    <t>CANARA ROBECO ULTRA SHORT TERM FUND - DIRECT PLAN - MONTHLY IDCW (Payout/Reinvestment)</t>
  </si>
  <si>
    <t>INF760K01GQ2</t>
  </si>
  <si>
    <t>INF760K01GR0</t>
  </si>
  <si>
    <t>CANARA ROBECO ULTRA SHORT TERM FUND - DIRECT PLAN - WEEKLY IDCW (Payout/Reinvestment)</t>
  </si>
  <si>
    <t>INF760K01DA3</t>
  </si>
  <si>
    <t>CANARA ROBECO ULTRA SHORT TERM FUND - REGULAR PLAN - DAILY IDCW (Reinvestment)</t>
  </si>
  <si>
    <t>INF760K01DC9</t>
  </si>
  <si>
    <t>CANARA ROBECO ULTRA SHORT TERM FUND - REGULAR PLAN - GROWTH OPTION</t>
  </si>
  <si>
    <t>INF760K01CA5</t>
  </si>
  <si>
    <t>INF760K01DD7</t>
  </si>
  <si>
    <t>CANARA ROBECO ULTRA SHORT TERM FUND - REGULAR PLAN - MONTHLY IDCW (Payout/Reinvestment)</t>
  </si>
  <si>
    <t>INF760K01DE5</t>
  </si>
  <si>
    <t>INF760K01DF2</t>
  </si>
  <si>
    <t>CANARA ROBECO ULTRA SHORT TERM FUND - REGULAR PLAN - WEEKLY IDCW (Payout/Reinvestment)</t>
  </si>
  <si>
    <t>INF760K01IL9</t>
  </si>
  <si>
    <t>CANARA ROBECO ULTRA SHORT TERM FUND- REGULAR PLAN - IDCW (Payout)</t>
  </si>
  <si>
    <t>INF740K01ON5</t>
  </si>
  <si>
    <t>DSP Ultra Short Fund - Direct Plan - Growth</t>
  </si>
  <si>
    <t>INF740K01OQ8</t>
  </si>
  <si>
    <t>INF740K01OR6</t>
  </si>
  <si>
    <t>DSP Ultra Short Fund - Direct Plan - IDCW</t>
  </si>
  <si>
    <t>INF740KA1NT0</t>
  </si>
  <si>
    <t>DSP Ultra Short Fund - Direct Plan - IDCW - Daily</t>
  </si>
  <si>
    <t>INF740K01OO3</t>
  </si>
  <si>
    <t>INF740K01OP0</t>
  </si>
  <si>
    <t>DSP Ultra Short Fund - Direct Plan - IDCW - Monthly</t>
  </si>
  <si>
    <t>INF740KA1NU8</t>
  </si>
  <si>
    <t>INF740KA1NV6</t>
  </si>
  <si>
    <t>DSP Ultra Short Fund - Direct Plan - IDCW - Weekly</t>
  </si>
  <si>
    <t>INF740K01QQ3</t>
  </si>
  <si>
    <t>DSP Ultra Short Fund - Regular Plan - Growth</t>
  </si>
  <si>
    <t>INF740KA1NW4</t>
  </si>
  <si>
    <t>DSP Ultra Short Fund - Regular Plan - IDCW - Daily Reinvest</t>
  </si>
  <si>
    <t>INF740K01QS9</t>
  </si>
  <si>
    <t>INF740K01QR1</t>
  </si>
  <si>
    <t>DSP Ultra Short Fund - Regular Plan - IDCW - Monthly</t>
  </si>
  <si>
    <t>INF740K01MK5</t>
  </si>
  <si>
    <t>DSP Ultra Short Fund - Regular Plan - IDCW - Payout</t>
  </si>
  <si>
    <t>DSP Ultra Short Fund - Regular Plan - IDCW - Weekly Reinvest</t>
  </si>
  <si>
    <t>INF090I01CG8</t>
  </si>
  <si>
    <t>Franklin India Ultra Short Bond Fund - Institutional - Growth</t>
  </si>
  <si>
    <t>INF090I01CE3</t>
  </si>
  <si>
    <t>INF090I01CF0</t>
  </si>
  <si>
    <t>Franklin India Ultra Short Bond Fund - Institutional - Weekly Dividend</t>
  </si>
  <si>
    <t>INF090I01CD5</t>
  </si>
  <si>
    <t>Franklin India Ultra Short Bond Fund - Institutional Plan - Daily - IDCW</t>
  </si>
  <si>
    <t>INF090I01CK0</t>
  </si>
  <si>
    <t>Franklin India Ultra Short Bond Fund - Retail - Growth</t>
  </si>
  <si>
    <t>INF090I01CH6</t>
  </si>
  <si>
    <t>Franklin India Ultra Short Bond Fund - Retail Plan - Daily - IDCW</t>
  </si>
  <si>
    <t>INF090I01CI4</t>
  </si>
  <si>
    <t>INF090I01CJ2</t>
  </si>
  <si>
    <t>Franklin India Ultra Short Bond Fund - Retail Plan - Weekly - IDCW</t>
  </si>
  <si>
    <t>INF090I01CN4</t>
  </si>
  <si>
    <t>Franklin India Ultra Short Bond Fund - Super Institutional - Growth</t>
  </si>
  <si>
    <t>INF090I01CL8</t>
  </si>
  <si>
    <t>Franklin India Ultra Short Bond Fund - Super Institutional Plan - Daily - IDCW</t>
  </si>
  <si>
    <t>INF090I01JA6</t>
  </si>
  <si>
    <t>Franklin India Ultra Short Bond Fund - Super Institutional Plan - Direct - Growth</t>
  </si>
  <si>
    <t>INF090I01CM6</t>
  </si>
  <si>
    <t>Franklin India Ultra Short Bond Fund - Super Institutional Plan - Weekly - IDCW</t>
  </si>
  <si>
    <t>INF090I01JB4</t>
  </si>
  <si>
    <t>Franklin India Ultra Short Bond Fund Super Institutional Plan - Direct - Daily - IDCW</t>
  </si>
  <si>
    <t>INF090I01JC2</t>
  </si>
  <si>
    <t>Franklin India Ultra Short Bond Fund Super Institutional Plan - Direct - Weekly - IDCW</t>
  </si>
  <si>
    <t>INF090I01VF0</t>
  </si>
  <si>
    <t>Franklin India Ultra Short Bond Fund- Institutional Plan-Segregated Portfolio 1- 8.25% Vodafone Idea Ltd-10JUL20-Daily Dividend Option</t>
  </si>
  <si>
    <t>INF090I01VE3</t>
  </si>
  <si>
    <t>Franklin India Ultra Short Bond Fund- Institutional Plan-Segregated Portfolio 1- 8.25% Vodafone Idea Ltd-10JUL20-Growth Option</t>
  </si>
  <si>
    <t>INF090I01VD5</t>
  </si>
  <si>
    <t>Franklin India Ultra Short Bond Fund- Retail Plan-Segregated Portfolio 1- 8.25% Vodafone Idea Ltd-10JUL20-Daily Dividend Option</t>
  </si>
  <si>
    <t>INF090I01VC7</t>
  </si>
  <si>
    <t>Franklin India Ultra Short Bond Fund- Retail Plan-Segregated Portfolio 1- 8.25% Vodafone Idea Ltd-10JUL20-Growth Option</t>
  </si>
  <si>
    <t>INF090I01VI4</t>
  </si>
  <si>
    <t>Franklin India Ultra Short Bond Fund- Retail Plan-Segregated Portfolio 1- 8.25% Vodafone Idea Ltd-10JUL20-Weekly Dividend Option</t>
  </si>
  <si>
    <t>INF090I01VH6</t>
  </si>
  <si>
    <t>Franklin India Ultra Short Bond Fund- Super Institutional Plan-Segregated Portfolio 1- 8.25% Vodafone Idea Ltd-10JUL20-Daily Dividend Option</t>
  </si>
  <si>
    <t>INF090I01VL8</t>
  </si>
  <si>
    <t>Franklin India Ultra Short Bond Fund- Super Institutional Plan-Segregated Portfolio 1- 8.25% Vodafone Idea Ltd-10JUL20-Direct Daily Dividend Option</t>
  </si>
  <si>
    <t>INF090I01VK0</t>
  </si>
  <si>
    <t>Franklin India Ultra Short Bond Fund- Super Institutional Plan-Segregated Portfolio 1- 8.25% Vodafone Idea Ltd-10JUL20-Direct-Growth Option</t>
  </si>
  <si>
    <t>INF090I01VM6</t>
  </si>
  <si>
    <t>Franklin India Ultra Short Bond Fund- Super Institutional Plan-Segregated Portfolio 1- 8.25% Vodafone Idea Ltd-10JUL20-Direct-Weekly Dividend Option</t>
  </si>
  <si>
    <t>INF090I01VG8</t>
  </si>
  <si>
    <t>Franklin India Ultra Short Bond Fund- Super Institutional Plan-Segregated Portfolio 1- 8.25% Vodafone Idea Ltd-10JUL20-Growth Option</t>
  </si>
  <si>
    <t>INF090I01VJ2</t>
  </si>
  <si>
    <t>Franklin India Ultra Short Bond Fund- Super Institutional Plan-Segregated Portfolio 1- 8.25% Vodafone Idea Ltd-10JUL20-Weekly Dividend Option</t>
  </si>
  <si>
    <t>INF090I01XL4</t>
  </si>
  <si>
    <t>Franklin India Ultra Short Duration Fund - Direct - Growth</t>
  </si>
  <si>
    <t>INF090I01XM2</t>
  </si>
  <si>
    <t>INF090I01XN0</t>
  </si>
  <si>
    <t>Franklin India Ultra Short Duration Fund - Direct - IDCW</t>
  </si>
  <si>
    <t>INF090I01XJ8</t>
  </si>
  <si>
    <t>Franklin India Ultra Short Duration Fund - Growth</t>
  </si>
  <si>
    <t>INF090I01XK6</t>
  </si>
  <si>
    <t>INF090I01XO8</t>
  </si>
  <si>
    <t>Franklin India Ultra Short Duration Fund - IDCW</t>
  </si>
  <si>
    <t>INF179KB12R1</t>
  </si>
  <si>
    <t>HDFC Ultra Short Term Fund - Daily IDCW Option</t>
  </si>
  <si>
    <t>INF179KB16Q4</t>
  </si>
  <si>
    <t>HDFC Ultra Short Term Fund - Direct Plan-Daily IDCW Option</t>
  </si>
  <si>
    <t>INF179KB15Q6</t>
  </si>
  <si>
    <t>HDFC Ultra Short Term Fund - Direct Plan-Growth Option</t>
  </si>
  <si>
    <t>INF179KB10R5</t>
  </si>
  <si>
    <t>INF179KB19Q8</t>
  </si>
  <si>
    <t>HDFC Ultra Short Term Fund - Direct Plan-Monthly IDCW Option</t>
  </si>
  <si>
    <t>INF179KB18Q0</t>
  </si>
  <si>
    <t>INF179KB17Q2</t>
  </si>
  <si>
    <t>HDFC Ultra Short Term Fund - Direct Plan-Weekly IDCW Option</t>
  </si>
  <si>
    <t>INF179KB11R3</t>
  </si>
  <si>
    <t>HDFC Ultra Short Term Fund - Growth Option</t>
  </si>
  <si>
    <t>INF179KB16R2</t>
  </si>
  <si>
    <t>INF179KB15R4</t>
  </si>
  <si>
    <t>HDFC Ultra Short Term Fund - Monthly IDCW Option</t>
  </si>
  <si>
    <t>INF179KB14R7</t>
  </si>
  <si>
    <t>INF179KB13R9</t>
  </si>
  <si>
    <t>HDFC Ultra Short Term Fund - Weekly IDCW Option</t>
  </si>
  <si>
    <t>INF336L01OS9</t>
  </si>
  <si>
    <t>HSBC Ultra Short Duration Fund - Direct Daily IDCW</t>
  </si>
  <si>
    <t>INF336L01OR1</t>
  </si>
  <si>
    <t>HSBC Ultra Short Duration Fund - Direct Growth</t>
  </si>
  <si>
    <t>INF336L01OV3</t>
  </si>
  <si>
    <t>INF336L01OU5</t>
  </si>
  <si>
    <t>HSBC Ultra Short Duration Fund - Direct Monthly IDCW</t>
  </si>
  <si>
    <t>INF336L01OT7</t>
  </si>
  <si>
    <t>HSBC Ultra Short Duration Fund - Direct Weekly IDCW</t>
  </si>
  <si>
    <t>INF336L01OX9</t>
  </si>
  <si>
    <t>HSBC Ultra Short Duration Fund - Regular Daily IDCW</t>
  </si>
  <si>
    <t>INF336L01OW1</t>
  </si>
  <si>
    <t>HSBC Ultra Short Duration Fund - Regular Growth</t>
  </si>
  <si>
    <t>INF336L01PA4</t>
  </si>
  <si>
    <t>INF336L01OZ4</t>
  </si>
  <si>
    <t>HSBC Ultra Short Duration Fund - Regular Monthly IDCW</t>
  </si>
  <si>
    <t>INF336L01OY7</t>
  </si>
  <si>
    <t>HSBC Ultra Short Duration Fund - Regular Weekly IDCW</t>
  </si>
  <si>
    <t>INF109KC1ND7</t>
  </si>
  <si>
    <t>ICICI Prudential Ultra Short Term Fund - Daily IDCW</t>
  </si>
  <si>
    <t>INF109K01T04</t>
  </si>
  <si>
    <t>ICICI Prudential Ultra Short Term Fund - Direct Plan -  Growth</t>
  </si>
  <si>
    <t>INF109K01T12</t>
  </si>
  <si>
    <t>INF109K01T20</t>
  </si>
  <si>
    <t>ICICI Prudential Ultra Short Term Fund - Direct Plan -  Half Yearly IDCW</t>
  </si>
  <si>
    <t>INF109K01T38</t>
  </si>
  <si>
    <t>INF109K01T46</t>
  </si>
  <si>
    <t>ICICI Prudential Ultra Short Term Fund - Direct Plan -  Monthly IDCW</t>
  </si>
  <si>
    <t>INF109K01T53</t>
  </si>
  <si>
    <t>INF109K01T61</t>
  </si>
  <si>
    <t>ICICI Prudential Ultra Short Term Fund - Direct Plan -  Quarterly IDCW</t>
  </si>
  <si>
    <t>INF109KC1MY5</t>
  </si>
  <si>
    <t>ICICI Prudential Ultra Short Term Fund - Direct Plan - Daily IDCW</t>
  </si>
  <si>
    <t>INF109KC1NB1</t>
  </si>
  <si>
    <t>INF109KC1NC9</t>
  </si>
  <si>
    <t>ICICI Prudential Ultra Short Term Fund - Direct Plan - Fortnightly IDCW</t>
  </si>
  <si>
    <t>INF109KC1NA3</t>
  </si>
  <si>
    <t>INF109KC1MZ2</t>
  </si>
  <si>
    <t>ICICI Prudential Ultra Short Term Fund - Direct Plan - Weekly IDCW</t>
  </si>
  <si>
    <t>INF109KA1H69</t>
  </si>
  <si>
    <t>ICICI Prudential Ultra Short Term Fund - Direct Plan Bonus</t>
  </si>
  <si>
    <t>INF109KC1NH8</t>
  </si>
  <si>
    <t>INF109KC1NG0</t>
  </si>
  <si>
    <t>ICICI Prudential Ultra Short Term Fund - Fortnightly IDCW</t>
  </si>
  <si>
    <t>INF109K01TP7</t>
  </si>
  <si>
    <t>ICICI Prudential Ultra Short Term Fund - Growth</t>
  </si>
  <si>
    <t>INF109K01TV5</t>
  </si>
  <si>
    <t>INF109K01TU7</t>
  </si>
  <si>
    <t>ICICI Prudential Ultra Short Term Fund - Half Yearly IDCW</t>
  </si>
  <si>
    <t>INF109K01TR3</t>
  </si>
  <si>
    <t>INF109K01TQ5</t>
  </si>
  <si>
    <t>ICICI Prudential Ultra Short Term Fund - Monthly IDCW</t>
  </si>
  <si>
    <t>INF109K01TT9</t>
  </si>
  <si>
    <t>INF109K01TS1</t>
  </si>
  <si>
    <t>ICICI Prudential Ultra Short Term Fund - Quarterly IDCW</t>
  </si>
  <si>
    <t>INF109KC1NF2</t>
  </si>
  <si>
    <t>INF109KC1NE5</t>
  </si>
  <si>
    <t>ICICI Prudential Ultra Short Term Fund - Weekly IDCW</t>
  </si>
  <si>
    <t>INF205K01TF4</t>
  </si>
  <si>
    <t>INF205K01TG2</t>
  </si>
  <si>
    <t>Invesco India Ultra Short Duration Fund - Direct Plan - Annual IDCW (Payout / Reinvestment)</t>
  </si>
  <si>
    <t>INF205K019H5</t>
  </si>
  <si>
    <t>Invesco India Ultra Short Duration Fund - Direct Plan - Daily IDCW (Reinvestment)</t>
  </si>
  <si>
    <t>INF205K01TH0</t>
  </si>
  <si>
    <t>Invesco India Ultra Short Duration Fund - Direct Plan - Growth</t>
  </si>
  <si>
    <t>INF205K01TI8</t>
  </si>
  <si>
    <t>INF205K01TJ6</t>
  </si>
  <si>
    <t>Invesco India Ultra Short Duration Fund - Direct Plan - Monthly IDCW (Payout / Reinvestment)</t>
  </si>
  <si>
    <t>INF205K01TK4</t>
  </si>
  <si>
    <t>INF205K01TL2</t>
  </si>
  <si>
    <t>Invesco India Ultra Short Duration Fund - Direct Plan - Quarterly IDCW (Payout / Reinvestment)</t>
  </si>
  <si>
    <t>INF205K01TD9</t>
  </si>
  <si>
    <t>INF205K01TE7</t>
  </si>
  <si>
    <t>Invesco India Ultra Short Duration Fund - Regular Plan - Annual IDCW (Payout / Reinvestment)</t>
  </si>
  <si>
    <t>INF205K018H7</t>
  </si>
  <si>
    <t>Invesco India Ultra Short Duration Fund - Regular Plan - Daily IDCW (Reinvestment)</t>
  </si>
  <si>
    <t>INF205K01TM0</t>
  </si>
  <si>
    <t>Invesco India Ultra Short Duration Fund - Regular Plan - Growth</t>
  </si>
  <si>
    <t>INF205K01TN8</t>
  </si>
  <si>
    <t>INF205K01TO6</t>
  </si>
  <si>
    <t>Invesco India Ultra Short Duration Fund - Regular Plan - Monthly IDCW (Payout / Reinvestment)</t>
  </si>
  <si>
    <t>INF205K01TP3</t>
  </si>
  <si>
    <t>INF205K01TQ1</t>
  </si>
  <si>
    <t>Invesco India Ultra Short Duration Fund - Regular Plan - Quarterly IDCW (Payout / Reinvestment)</t>
  </si>
  <si>
    <t>INF00XX01AM5</t>
  </si>
  <si>
    <t>INF00XX01AJ1</t>
  </si>
  <si>
    <t>ITI Ultra Short Duration Fund - Direct Plan - Annually IDCW Option</t>
  </si>
  <si>
    <t>INF00XX01AF9</t>
  </si>
  <si>
    <t>ITI Ultra Short Duration Fund - Direct Plan - Daily IDCW</t>
  </si>
  <si>
    <t>INF00XX01AK9</t>
  </si>
  <si>
    <t>INF00XX01AH5</t>
  </si>
  <si>
    <t>ITI Ultra Short Duration Fund - Direct Plan - Fortnightly IDCW Option</t>
  </si>
  <si>
    <t>INF00XX01AE2</t>
  </si>
  <si>
    <t>ITI Ultra Short Duration Fund - Direct Plan - Growth Option</t>
  </si>
  <si>
    <t>INF00XX01AL7</t>
  </si>
  <si>
    <t>INF00XX01AI3</t>
  </si>
  <si>
    <t>ITI Ultra Short Duration Fund - Direct Plan - Monthly IDCW Option</t>
  </si>
  <si>
    <t>INF00XX01AG7</t>
  </si>
  <si>
    <t>ITI Ultra Short Duration Fund - Direct Plan - Weekly IDCW Option</t>
  </si>
  <si>
    <t>INF00XX01AD4</t>
  </si>
  <si>
    <t>INF00XX01AA0</t>
  </si>
  <si>
    <t>ITI Ultra Short Duration Fund - Regular Plan - Annually IDCW Option</t>
  </si>
  <si>
    <t>INF00XX01960</t>
  </si>
  <si>
    <t>ITI Ultra Short Duration Fund - Regular Plan - Daily IDCW Option</t>
  </si>
  <si>
    <t>INF00XX01AB8</t>
  </si>
  <si>
    <t>INF00XX01986</t>
  </si>
  <si>
    <t>ITI Ultra Short Duration Fund - Regular Plan - Fortnightly IDCW Option</t>
  </si>
  <si>
    <t>INF00XX01952</t>
  </si>
  <si>
    <t>ITI Ultra Short Duration Fund - Regular Plan - Growth Option</t>
  </si>
  <si>
    <t>INF00XX01AC6</t>
  </si>
  <si>
    <t>INF00XX01994</t>
  </si>
  <si>
    <t>ITI Ultra Short Duration Fund - Regular Plan - Monthly IDCW Option</t>
  </si>
  <si>
    <t>INF00XX01978</t>
  </si>
  <si>
    <t>ITI Ultra Short Duration Fund - Regular Plan - Weekly IDCW Option</t>
  </si>
  <si>
    <t>INF192K01FD8</t>
  </si>
  <si>
    <t>JM Ultra Short Duration Fund (Direct) - Bonus Option - Principal Units</t>
  </si>
  <si>
    <t>INF192K01DN2</t>
  </si>
  <si>
    <t>JM Ultra Short Duration Fund (Direct) - Fortnightly Dividend Option</t>
  </si>
  <si>
    <t>INF192K01DO0</t>
  </si>
  <si>
    <t>JM Ultra Short Duration Fund - (Direct) - Growth Option</t>
  </si>
  <si>
    <t>INF192K01DL6</t>
  </si>
  <si>
    <t>JM Ultra Short Duration Fund - (Direct) -Daily Dividend Option</t>
  </si>
  <si>
    <t>INF192K01DM4</t>
  </si>
  <si>
    <t>JM Ultra Short Duration Fund - (Direct) -Weekly Dividend Option</t>
  </si>
  <si>
    <t>INF192K01FB2</t>
  </si>
  <si>
    <t>JM Ultra Short Duration Fund - Bonus Option - Principal Units</t>
  </si>
  <si>
    <t>INF192K01AN8</t>
  </si>
  <si>
    <t>JM Ultra Short Duration Fund - Daily Dividend</t>
  </si>
  <si>
    <t>INF192K01AP3</t>
  </si>
  <si>
    <t>JM Ultra Short Duration Fund - Fortnightly Dividend</t>
  </si>
  <si>
    <t>INF192K01AQ1</t>
  </si>
  <si>
    <t>JM Ultra Short Duration Fund - Growth option</t>
  </si>
  <si>
    <t>INF192K01AO6</t>
  </si>
  <si>
    <t>JM Ultra Short Duration Fund - Weekly Dividend</t>
  </si>
  <si>
    <t>INF174K01FD6</t>
  </si>
  <si>
    <t>Kotak Savings Fund -Growth</t>
  </si>
  <si>
    <t>INF174K01FH7</t>
  </si>
  <si>
    <t>Kotak Savings Fund -Monthly Payout of Income Distribution cum capital withdrawal option</t>
  </si>
  <si>
    <t>INF174K01JP2</t>
  </si>
  <si>
    <t>Kotak Savings Fund-Growth - Direct</t>
  </si>
  <si>
    <t>INF174K01JQ0</t>
  </si>
  <si>
    <t>Kotak Savings Fund-Monthly Payout of Income Distribution cum capital withdrawal option - Direct</t>
  </si>
  <si>
    <t>INF174K01FE4</t>
  </si>
  <si>
    <t>Kotak Treasury Advantage Fund -Daily Reinvestment of Income Distribution cum capital withdrawal option</t>
  </si>
  <si>
    <t>INF174K01JT4</t>
  </si>
  <si>
    <t>Kotak Treasury Advantage Fund -Daily Reinvestment of Income Distribution cum capital withdrawal option - Direct</t>
  </si>
  <si>
    <t>INF767K01QP8</t>
  </si>
  <si>
    <t>LIC MF Ultra Short Duration Fund-Direct Plan-Daily IDCW</t>
  </si>
  <si>
    <t>INF767K01QU8</t>
  </si>
  <si>
    <t>LIC MF Ultra Short Duration Fund-Direct Plan-Growth</t>
  </si>
  <si>
    <t>INF767K01QT0</t>
  </si>
  <si>
    <t>INF767K01QS2</t>
  </si>
  <si>
    <t>LIC MF Ultra Short Duration Fund-Direct Plan-Monthly IDCW</t>
  </si>
  <si>
    <t>INF767K01QR4</t>
  </si>
  <si>
    <t>INF767K01QQ6</t>
  </si>
  <si>
    <t>LIC MF Ultra Short Duration Fund-Direct Plan-Weekly IDCW</t>
  </si>
  <si>
    <t>INF767K01QJ1</t>
  </si>
  <si>
    <t>LIC MF Ultra Short Duration Fund-Regular Plan-Daily IDCW</t>
  </si>
  <si>
    <t>INF767K01QO1</t>
  </si>
  <si>
    <t>LIC MF Ultra Short Duration Fund-Regular Plan-Growth</t>
  </si>
  <si>
    <t>INF767K01QN3</t>
  </si>
  <si>
    <t>INF767K01QM5</t>
  </si>
  <si>
    <t>LIC MF Ultra Short Duration Fund-Regular Plan-Monthly IDCW</t>
  </si>
  <si>
    <t>INF767K01QL7</t>
  </si>
  <si>
    <t>INF767K01QK9</t>
  </si>
  <si>
    <t>LIC MF Ultra Short Duration Fund-Regular Plan-Weekly IDCW</t>
  </si>
  <si>
    <t>INF174V01895</t>
  </si>
  <si>
    <t>Mahindra Manulife Ultra Short Duration Fund - Direct Plan - Daily IDCW</t>
  </si>
  <si>
    <t>INF174V01903</t>
  </si>
  <si>
    <t>Mahindra Manulife Ultra Short Duration Fund - Direct Plan - Weekly IDCW</t>
  </si>
  <si>
    <t>INF174V01887</t>
  </si>
  <si>
    <t>Mahindra Manulife Ultra Short Duration Fund - Direct Plan -Growth</t>
  </si>
  <si>
    <t>INF174V01861</t>
  </si>
  <si>
    <t>Mahindra Manulife Ultra Short Duration Fund - Regular Plan - Daily IDCW</t>
  </si>
  <si>
    <t>INF174V01853</t>
  </si>
  <si>
    <t>Mahindra Manulife Ultra Short Duration Fund - Regular Plan - Growth</t>
  </si>
  <si>
    <t>INF174V01879</t>
  </si>
  <si>
    <t>Mahindra Manulife Ultra Short Duration Fund - Regular Plan - Weekly IDCW</t>
  </si>
  <si>
    <t>INF769K01GK6</t>
  </si>
  <si>
    <t>Mirae Asset Ultra Short Duration Fund Direct Growth</t>
  </si>
  <si>
    <t>INF769K01GJ8</t>
  </si>
  <si>
    <t>INF769K01GL4</t>
  </si>
  <si>
    <t>Mirae Asset Ultra Short Duration Fund Direct IDCW</t>
  </si>
  <si>
    <t>INF769K01GH2</t>
  </si>
  <si>
    <t>Mirae Asset Ultra Short Duration Fund Regular Growth</t>
  </si>
  <si>
    <t>INF769K01GG4</t>
  </si>
  <si>
    <t>INF769K01GI0</t>
  </si>
  <si>
    <t>Mirae Asset Ultra Short Duration Fund Regular IDCW</t>
  </si>
  <si>
    <t>INF247L01247</t>
  </si>
  <si>
    <t>Motilal Oswal Ultra Short Term Fund (MOFUSTF) -Direct Plan- Growth</t>
  </si>
  <si>
    <t>INF247L01213</t>
  </si>
  <si>
    <t>Motilal Oswal Ultra Short Term Fund (MOFUSTF)-Regular Plan- Growth</t>
  </si>
  <si>
    <t>INF247L01346</t>
  </si>
  <si>
    <t>Motilal Oswal Ultra Short Term Fund Direct - IDCW Daily Reinvestment</t>
  </si>
  <si>
    <t>INF247L01361</t>
  </si>
  <si>
    <t>Motilal Oswal Ultra Short Term Fund Direct - IDCW Fortnightly Reinvestment</t>
  </si>
  <si>
    <t>INF247L01403</t>
  </si>
  <si>
    <t>INF247L01387</t>
  </si>
  <si>
    <t>Motilal Oswal Ultra Short Term Fund Direct - IDCW Quarterly Payout/Reinvestment</t>
  </si>
  <si>
    <t>INF247L01353</t>
  </si>
  <si>
    <t>Motilal Oswal Ultra Short Term Fund Direct - IDCW Weekly Reinvestment</t>
  </si>
  <si>
    <t>INF247L01395</t>
  </si>
  <si>
    <t>INF247L01379</t>
  </si>
  <si>
    <t>Motilal Oswal Ultra Short Term Fund Direct Plan - IDCW Monthly Payout/Reinvestment</t>
  </si>
  <si>
    <t>INF247L01270</t>
  </si>
  <si>
    <t>Motilal Oswal Ultra Short Term Fund Regular - IDCW Daily Reinvestment</t>
  </si>
  <si>
    <t>INF247L01296</t>
  </si>
  <si>
    <t>Motilal Oswal Ultra Short Term Fund Regular - IDCW Fortnightly Reinvestment</t>
  </si>
  <si>
    <t>INF247L01320</t>
  </si>
  <si>
    <t>INF247L01304</t>
  </si>
  <si>
    <t>Motilal Oswal Ultra Short Term Fund Regular - IDCW Monthly Payout/Reinvestment</t>
  </si>
  <si>
    <t>INF247L01338</t>
  </si>
  <si>
    <t>INF247L01312</t>
  </si>
  <si>
    <t>Motilal Oswal Ultra Short Term Fund Regular - IDCW Quarterly Payout/Reinvestment</t>
  </si>
  <si>
    <t>INF247L01288</t>
  </si>
  <si>
    <t>Motilal Oswal Ultra Short Term Fund Regular - IDCW Weekly Reinvestment</t>
  </si>
  <si>
    <t>INF204K01UC2</t>
  </si>
  <si>
    <t>NIPPON INDIA ULTRA SHORT DURATION FUND - DAILY IDCW OPTION</t>
  </si>
  <si>
    <t>INF204K01YF7</t>
  </si>
  <si>
    <t>NIPPON INDIA ULTRA SHORT DURATION FUND - DIRECT Plan - DAILY IDCW OPTION</t>
  </si>
  <si>
    <t>INF204K01YI1</t>
  </si>
  <si>
    <t>INF204K01YJ9</t>
  </si>
  <si>
    <t>NIPPON INDIA ULTRA SHORT DURATION FUND - DIRECT Plan - MONTHLY IDCW Option</t>
  </si>
  <si>
    <t>INF204K01YK7</t>
  </si>
  <si>
    <t>INF204K01YL5</t>
  </si>
  <si>
    <t>NIPPON INDIA ULTRA SHORT DURATION FUND - DIRECT Plan - QUARTERLY IDCW Option</t>
  </si>
  <si>
    <t>INF204K01YG5</t>
  </si>
  <si>
    <t>NIPPON INDIA ULTRA SHORT DURATION FUND - DIRECT Plan - WEEKLY IDCW OPTION</t>
  </si>
  <si>
    <t>INF204K01UF5</t>
  </si>
  <si>
    <t>INF204K01UG3</t>
  </si>
  <si>
    <t>NIPPON INDIA ULTRA SHORT DURATION FUND - MONTHLY IDCW Option</t>
  </si>
  <si>
    <t>INF204K01UH1</t>
  </si>
  <si>
    <t>INF204K01UI9</t>
  </si>
  <si>
    <t>NIPPON INDIA ULTRA SHORT DURATION FUND - QUARTERLY IDCW Option</t>
  </si>
  <si>
    <t>INF204KB18H5</t>
  </si>
  <si>
    <t>NIPPON INDIA ULTRA SHORT DURATION FUND - SEGREGATED PORTFOLIO 1 - DAILY IDCW Option</t>
  </si>
  <si>
    <t>INF204KB11H0</t>
  </si>
  <si>
    <t>NIPPON INDIA ULTRA SHORT DURATION FUND - SEGREGATED PORTFOLIO 1 - DIRECT Plan - DAILY IDCW Option</t>
  </si>
  <si>
    <t>INF204KB10H2</t>
  </si>
  <si>
    <t>Nippon India Ultra Short Duration Fund - Segregated Portfolio 1 - Direct Plan - Growth Option</t>
  </si>
  <si>
    <t>INF204KB12H8</t>
  </si>
  <si>
    <t>INF204KB13H6</t>
  </si>
  <si>
    <t>NIPPON INDIA ULTRA SHORT DURATION FUND - SEGREGATED PORTFOLIO 1 - DIRECT Plan - MONTHLY IDCW Option</t>
  </si>
  <si>
    <t>INF204KB14H4</t>
  </si>
  <si>
    <t>INF204KB15H1</t>
  </si>
  <si>
    <t>NIPPON INDIA ULTRA SHORT DURATION FUND - SEGREGATED PORTFOLIO 1 - DIRECT Plan - QUARTERLY IDCW Option</t>
  </si>
  <si>
    <t>INF204KB16H9</t>
  </si>
  <si>
    <t>NIPPON INDIA ULTRA SHORT DURATION FUND - SEGREGATED PORTFOLIO 1 - DIRECT Plan - WEEKLY IDCW Option</t>
  </si>
  <si>
    <t>INF204KB17H7</t>
  </si>
  <si>
    <t>Nippon India Ultra Short Duration Fund - Segregated Portfolio 1 - Growth Option</t>
  </si>
  <si>
    <t>INF204KB19H3</t>
  </si>
  <si>
    <t>INF204KB10I0</t>
  </si>
  <si>
    <t>NIPPON INDIA ULTRA SHORT DURATION FUND - SEGREGATED PORTFOLIO 1 - MONTHLY IDCW Option</t>
  </si>
  <si>
    <t>INF204KB11I8</t>
  </si>
  <si>
    <t>INF204KB12I6</t>
  </si>
  <si>
    <t>NIPPON INDIA ULTRA SHORT DURATION FUND - SEGREGATED PORTFOLIO 1 - QUARTERLY IDCW Option</t>
  </si>
  <si>
    <t>INF204KB13I4</t>
  </si>
  <si>
    <t>NIPPON INDIA ULTRA SHORT DURATION FUND - SEGREGATED PORTFOLIO 1 - WEEKLY IDCW Option</t>
  </si>
  <si>
    <t>INF204K01UD0</t>
  </si>
  <si>
    <t>NIPPON INDIA ULTRA SHORT DURATION FUND - WEEKLY IDCW OPTION</t>
  </si>
  <si>
    <t>INF204K01YH3</t>
  </si>
  <si>
    <t>Nippon India Ultra Short Duration Fund- Direct Plan- Growth Option</t>
  </si>
  <si>
    <t>INF204K01UE8</t>
  </si>
  <si>
    <t>Nippon India Ultra Short Duration Fund- Growth Option</t>
  </si>
  <si>
    <t>INF223J01FH4</t>
  </si>
  <si>
    <t>PGIM India Ultra Short Duration Fund - Daily Dividend</t>
  </si>
  <si>
    <t>INF223J01QL3</t>
  </si>
  <si>
    <t>PGIM India Ultra Short Duration Fund - Direct Plan - Daily Dividend</t>
  </si>
  <si>
    <t>INF223J01QO7</t>
  </si>
  <si>
    <t>PGIM India Ultra Short Duration Fund - Direct Plan - Growth</t>
  </si>
  <si>
    <t>INF223J01QP4</t>
  </si>
  <si>
    <t>PGIM India Ultra Short Duration Fund - Direct Plan - Monthly Dividend</t>
  </si>
  <si>
    <t>INF223J01QR0</t>
  </si>
  <si>
    <t>INF223J01QS8</t>
  </si>
  <si>
    <t>PGIM India Ultra Short Duration Fund - Direct Plan - Weekly Dividend</t>
  </si>
  <si>
    <t>INF223J01FK8</t>
  </si>
  <si>
    <t>PGIM India Ultra Short Duration Fund - Growth</t>
  </si>
  <si>
    <t>INF223J01FL6</t>
  </si>
  <si>
    <t>INF223J01FM4</t>
  </si>
  <si>
    <t>PGIM India Ultra Short Duration Fund - Monthly Dividend</t>
  </si>
  <si>
    <t>INF223J01FW3</t>
  </si>
  <si>
    <t>PGIM India Ultra Short Duration Fund - Regular Plan - Daily Dividend</t>
  </si>
  <si>
    <t>INF223J01FX1</t>
  </si>
  <si>
    <t>PGIM India Ultra Short Duration Fund - Regular Plan - Growth</t>
  </si>
  <si>
    <t>INF223J01FY9</t>
  </si>
  <si>
    <t>INF223J01FZ6</t>
  </si>
  <si>
    <t>PGIM India Ultra Short Duration Fund - Regular Plan - Monthly Dividend</t>
  </si>
  <si>
    <t>INF223J01GC3</t>
  </si>
  <si>
    <t>PGIM India Ultra Short Duration Fund - Regular Plan - Weekly Dividend</t>
  </si>
  <si>
    <t>INF223J01FO0</t>
  </si>
  <si>
    <t>INF223J01FP7</t>
  </si>
  <si>
    <t>PGIM India Ultra Short Duration Fund - Weekly Dividend</t>
  </si>
  <si>
    <t>INF223J01XH7</t>
  </si>
  <si>
    <t>PGIM India Ultra Short Term Fund - Annual Bonus</t>
  </si>
  <si>
    <t>INF223J01JJ2</t>
  </si>
  <si>
    <t>PGIM India Ultra Short Term Fund - Annual Dividend</t>
  </si>
  <si>
    <t>INF223J01FN2</t>
  </si>
  <si>
    <t>PGIM India Ultra Short Term Fund - Bonus</t>
  </si>
  <si>
    <t>INF223J01XI5</t>
  </si>
  <si>
    <t>PGIM India Ultra Short Term Fund - Direct Plan - Annual Bonus</t>
  </si>
  <si>
    <t>INF223J01QI9</t>
  </si>
  <si>
    <t>INF223J01QJ7</t>
  </si>
  <si>
    <t>PGIM India Ultra Short Term Fund - Direct Plan - Annual Dividend</t>
  </si>
  <si>
    <t>INF223J01QK5</t>
  </si>
  <si>
    <t>PGIM India Ultra Short Term Fund - Direct Plan - Bonus</t>
  </si>
  <si>
    <t>INF223J01QM1</t>
  </si>
  <si>
    <t>INF223J01QN9</t>
  </si>
  <si>
    <t>PGIM India Ultra Short Term Fund - Direct Plan - Dividend</t>
  </si>
  <si>
    <t>INF223J01VK5</t>
  </si>
  <si>
    <t>PGIM India Ultra Short Term Fund - Direct Plan - Monthly Bonus</t>
  </si>
  <si>
    <t>INF223J01QT6</t>
  </si>
  <si>
    <t>INF223J01QU4</t>
  </si>
  <si>
    <t>PGIM India Ultra Short Term Fund - Direct Plan - Quarterly Dividend</t>
  </si>
  <si>
    <t>INF223J01FI2</t>
  </si>
  <si>
    <t>INF223J01FJ0</t>
  </si>
  <si>
    <t>PGIM India Ultra Short Term Fund - Dividend</t>
  </si>
  <si>
    <t>INF223J01VJ7</t>
  </si>
  <si>
    <t>PGIM India Ultra Short Term Fund - Monthly Bonus</t>
  </si>
  <si>
    <t>INF223J01JH6</t>
  </si>
  <si>
    <t>PGIM India Ultra Short Term Fund - Quarterly Dividend</t>
  </si>
  <si>
    <t>INF223J01GA7</t>
  </si>
  <si>
    <t>PGIM India Ultra Short Term Fund - Regular Plan - Bonus</t>
  </si>
  <si>
    <t>INF200K01TG3</t>
  </si>
  <si>
    <t>SBI Ultra Short Duration Fund - Direct Plan - Daily Income Distribution cum Capital Withdrawal Option (IDCW)</t>
  </si>
  <si>
    <t>INF200K01TF5</t>
  </si>
  <si>
    <t>SBI ULTRA SHORT DURATION FUND - DIRECT PLAN - GROWTH</t>
  </si>
  <si>
    <t>INF200K01TH1</t>
  </si>
  <si>
    <t>INF200K01TI9</t>
  </si>
  <si>
    <t>SBI Ultra Short Duration Fund - Direct Plan - Weekly Income Distribution cum Capital Withdrawal Option (IDCW)</t>
  </si>
  <si>
    <t>INF200K01LK2</t>
  </si>
  <si>
    <t>SBI Ultra Short Duration Fund - Regular Plan - Daily Income Distribution cum Capital Withdrawal Option (IDCW)</t>
  </si>
  <si>
    <t>INF200K01LJ4</t>
  </si>
  <si>
    <t>SBI ULTRA SHORT DURATION FUND - REGULAR PLAN - GROWTH</t>
  </si>
  <si>
    <t>INF200K01LM8</t>
  </si>
  <si>
    <t>INF200K01LL0</t>
  </si>
  <si>
    <t>SBI Ultra Short Duration Fund - Regular Plan - Weekly Income Distribution cum Capital Withdrawal Option (IDCW)</t>
  </si>
  <si>
    <t>INF173K01CX3</t>
  </si>
  <si>
    <t>INF173K01CY1</t>
  </si>
  <si>
    <t>Sundaram Ultra Short Duration Fund (Formerly Known as Principal Ultra Short Term Fund) - Income Distribution CUM Capital Withdrawal Option (IDCW)</t>
  </si>
  <si>
    <t>INF903JA1JQ0</t>
  </si>
  <si>
    <t>INF903JA1JP2</t>
  </si>
  <si>
    <t>Sundaram Ultra Short Duration Fund (Formerly Known as Principal Ultra Short Term Fund) Direct Plan -IDCW</t>
  </si>
  <si>
    <t>INF903JA1JO5</t>
  </si>
  <si>
    <t>Sundaram Ultra Short Duration Fund (Formerly Known as Principal Ultra Short Term Fund) Direct Plan Fortnightly IDCW</t>
  </si>
  <si>
    <t>INF173K01BZ0</t>
  </si>
  <si>
    <t>Sundaram Ultra Short Duration Fund (Formerly Known as Principal Ultra Short Term Fund) Direct Plan IDCW Daily</t>
  </si>
  <si>
    <t>INF173K01HI3</t>
  </si>
  <si>
    <t>Sundaram Ultra Short Duration Fund (Formerly Known as Principal Ultra Short Term Fund)- Direct Plan -Growth Option</t>
  </si>
  <si>
    <t>INF173K01CA1</t>
  </si>
  <si>
    <t>Sundaram Ultra Short Duration Fund (Formerly Known as Principal Ultra Short Term Fund)- Direct Plan IDCW Weekly</t>
  </si>
  <si>
    <t>INF173K01HK9</t>
  </si>
  <si>
    <t>INF173K01HJ1</t>
  </si>
  <si>
    <t>Sundaram Ultra Short Duration Fund (Formerly Known as Principal Ultra Short Term Fund)- Direct Plan Income Distribution CUM Capital Withdrawal Option (IDCW)</t>
  </si>
  <si>
    <t>INF173K01CV7</t>
  </si>
  <si>
    <t>Sundaram Ultra Short Duration Fund (Formerly Known as Principal Ultra Short Term Fund)-Daily Income Distribution CUM Capital Withdrawal Option</t>
  </si>
  <si>
    <t>INF173K01CU9</t>
  </si>
  <si>
    <t>Sundaram Ultra Short Duration Fund (Formerly Known as Principal Ultra Short Term Fund)-Growth Option</t>
  </si>
  <si>
    <t>INF173K01CW5</t>
  </si>
  <si>
    <t>Sundaram Ultra Short Duration Fund (Formerly Known as Principal Ultra Short Term Fund)-Weekly Income Distribution CUM Capital Withdrawal Option</t>
  </si>
  <si>
    <t>INF903JA1JN7</t>
  </si>
  <si>
    <t>INF903JA1JM9</t>
  </si>
  <si>
    <t>Sundaram Ultra Short Duration Fund (Formerly Known as Prinicpal Ultra Short Term Fund) Regular Plan -IDCW</t>
  </si>
  <si>
    <t>INF903JA1JL1</t>
  </si>
  <si>
    <t>Sundaram Ultra Short Duration Fund (Formerly Known as Prinicpal Ultra Short Term Fund) Regular Plan Fortnightly IDCW</t>
  </si>
  <si>
    <t>INF277K013T6</t>
  </si>
  <si>
    <t xml:space="preserve">TATA Ultra Short Term Fund Direct Plan - Monthly Reinvestment of Income Distribution cum capital withdrawal option  </t>
  </si>
  <si>
    <t>INF277K015T1</t>
  </si>
  <si>
    <t xml:space="preserve">TATA Ultra Short Term Fund Direct Plan - Weekly Reinvestment of Income Distribution cum capital withdrawal option   </t>
  </si>
  <si>
    <t>INF277K018S7</t>
  </si>
  <si>
    <t xml:space="preserve">TATA Ultra Short Term Fund Regular Plan - Monthly Reinvestment of Income Distribution cum capital withdrawal option  </t>
  </si>
  <si>
    <t>INF277K010T2</t>
  </si>
  <si>
    <t xml:space="preserve">TATA Ultra Short Term Fund Regular Plan -Weekly Reinvestment of Income Distribution cum capital withdrawal option  </t>
  </si>
  <si>
    <t>INF277K012T8</t>
  </si>
  <si>
    <t xml:space="preserve">TATA Ultra Short Term Fund-Direct Plan - Monthly Payout of Income Distribution cum capital withdrawal option </t>
  </si>
  <si>
    <t>INF277K014T4</t>
  </si>
  <si>
    <t xml:space="preserve">TATA Ultra Short Term Fund-Direct Plan - Weekly Payout of Income Distribution cum capital withdrawal option </t>
  </si>
  <si>
    <t>INF277K011T0</t>
  </si>
  <si>
    <t>Tata Ultra Short Term Fund-Direct Plan-Growth</t>
  </si>
  <si>
    <t>INF277K017S9</t>
  </si>
  <si>
    <t xml:space="preserve">TATA Ultra Short Term Fund-Regular Plan - Monthly Payout of Income Distribution cum capital withdrawal option </t>
  </si>
  <si>
    <t>INF277K019S5</t>
  </si>
  <si>
    <t xml:space="preserve">TATA Ultra Short Term Fund-Regular Plan - Weekly Payout of Income Distribution cum capital withdrawal option </t>
  </si>
  <si>
    <t>INF277K016S1</t>
  </si>
  <si>
    <t>Tata Ultra Short Term Fund-Regular Plan-Growth</t>
  </si>
  <si>
    <t>INF789FA1Q42</t>
  </si>
  <si>
    <t>INF789FA1Q59</t>
  </si>
  <si>
    <t>UTI Ultra Short Duration Fund - Direct Plan - Annual IDCW</t>
  </si>
  <si>
    <t>INF789F01TG5</t>
  </si>
  <si>
    <t>INF789F01TH3</t>
  </si>
  <si>
    <t>UTI Ultra Short Duration Fund - Direct Plan - Daily IDCW (Reinvestment)</t>
  </si>
  <si>
    <t>INF789FB1KQ0</t>
  </si>
  <si>
    <t>INF789FB1KR8</t>
  </si>
  <si>
    <t>UTI Ultra Short Duration Fund - Direct Plan - Flexi IDCW</t>
  </si>
  <si>
    <t>INF789FA1P68</t>
  </si>
  <si>
    <t>INF789FA1P76</t>
  </si>
  <si>
    <t>UTI Ultra Short Duration Fund - Direct Plan - Fortnightly IDCW</t>
  </si>
  <si>
    <t>INF789F01TI1</t>
  </si>
  <si>
    <t>UTI Ultra Short Duration Fund - Direct Plan - Growth Option</t>
  </si>
  <si>
    <t>INF789FA1Q26</t>
  </si>
  <si>
    <t>INF789FA1Q34</t>
  </si>
  <si>
    <t>UTI Ultra Short Duration Fund - Direct Plan - Half-Yearly IDCW</t>
  </si>
  <si>
    <t>INF789FA1P84</t>
  </si>
  <si>
    <t>INF789FA1P92</t>
  </si>
  <si>
    <t>UTI Ultra Short Duration Fund - Direct Plan - Monthly IDCW</t>
  </si>
  <si>
    <t>INF789FA1Q00</t>
  </si>
  <si>
    <t>INF789FA1Q18</t>
  </si>
  <si>
    <t>UTI Ultra Short Duration Fund - Direct Plan - Quarterly IDCW</t>
  </si>
  <si>
    <t>INF789FB1S63</t>
  </si>
  <si>
    <t>UTI Ultra Short Duration Fund - Direct Plan - Weekly IDCW (Reinvestment)</t>
  </si>
  <si>
    <t>INF789F01PM1</t>
  </si>
  <si>
    <t>UTI Ultra Short Duration Fund - Discontinued - INSTN GROWTH OPTION</t>
  </si>
  <si>
    <t>INF789F01PL3</t>
  </si>
  <si>
    <t>UTI Ultra Short Duration Fund - Discontinued - INSTN PLAN - PERIODIC DIVIDEND OPTION</t>
  </si>
  <si>
    <t>INF789FA1P43</t>
  </si>
  <si>
    <t>INF789FA1P50</t>
  </si>
  <si>
    <t>UTI Ultra Short Duration Fund - Regular Plan - Annual IDCW</t>
  </si>
  <si>
    <t>INF789F01554</t>
  </si>
  <si>
    <t>UTI Ultra Short Duration Fund - Regular Plan - Daily IDCW (Reinvestment)</t>
  </si>
  <si>
    <t>INF789FB1KS6</t>
  </si>
  <si>
    <t>INF789FB1KT4</t>
  </si>
  <si>
    <t>UTI Ultra Short Duration Fund - Regular Plan - Flexi IDCW</t>
  </si>
  <si>
    <t>INF789FA1O69</t>
  </si>
  <si>
    <t>INF789FA1O77</t>
  </si>
  <si>
    <t>UTI Ultra Short Duration Fund - Regular Plan - Fortnightly IDCW</t>
  </si>
  <si>
    <t>INF789F01570</t>
  </si>
  <si>
    <t>UTI Ultra Short Duration Fund - Regular Plan - Growth Option</t>
  </si>
  <si>
    <t>INF789FA1P27</t>
  </si>
  <si>
    <t>INF789FA1P35</t>
  </si>
  <si>
    <t>UTI Ultra Short Duration Fund - Regular Plan - Half-Yearly IDCW</t>
  </si>
  <si>
    <t>INF789FA1O85</t>
  </si>
  <si>
    <t>INF789FA1O93</t>
  </si>
  <si>
    <t>UTI Ultra Short Duration Fund - Regular Plan - Monthly IDCW</t>
  </si>
  <si>
    <t>INF789FA1P01</t>
  </si>
  <si>
    <t>INF789FA1P19</t>
  </si>
  <si>
    <t>UTI Ultra Short Duration Fund - Regular Plan - Quarterly IDCW</t>
  </si>
  <si>
    <t>INF789F01562</t>
  </si>
  <si>
    <t>UTI Ultra Short Duration Fund - Regular Plan - Weekly IDCW (Reinvestment)</t>
  </si>
  <si>
    <t>INF03VN01175</t>
  </si>
  <si>
    <t>WhiteOak Capital Ultra Short Duration Fund- Direct plan-Daily Reinvestment of Income Distribution cum capital withdrawal option (IDCW)</t>
  </si>
  <si>
    <t>INF03VN01183</t>
  </si>
  <si>
    <t>INF03VN01191</t>
  </si>
  <si>
    <t>WhiteOak Capital Ultra Short Duration Fund- Direct plan-Fortnightly Payout/ Reinvestment of Income Distribution cum capital withdrawal option (IDCW)</t>
  </si>
  <si>
    <t>INF03VN01209</t>
  </si>
  <si>
    <t>WhiteOak Capital Ultra Short Duration Fund- Direct plan-Growth Option</t>
  </si>
  <si>
    <t>INF03VN01217</t>
  </si>
  <si>
    <t>INF03VN01225</t>
  </si>
  <si>
    <t>WhiteOak Capital Ultra Short Duration Fund- Direct plan-Monthly Payout/ Reinvestment of Income Distribution cum capital withdrawal option (IDCW)</t>
  </si>
  <si>
    <t>INF03VN01233</t>
  </si>
  <si>
    <t>INF03VN01241</t>
  </si>
  <si>
    <t>WhiteOak Capital Ultra Short Duration Fund- Direct plan-Weekly Payout/ Reinvestment of Income Distribution cum capital withdrawal option (IDCW)</t>
  </si>
  <si>
    <t>INF03VN01258</t>
  </si>
  <si>
    <t>WhiteOak Capital Ultra Short Duration Fund- Regular plan-Daily Reinvestment of Income Distribution cum capital withdrawal option (IDCW)</t>
  </si>
  <si>
    <t>INF03VN01266</t>
  </si>
  <si>
    <t>INF03VN01274</t>
  </si>
  <si>
    <t>WhiteOak Capital Ultra Short Duration Fund- Regular plan-Fortnightly Payout/ Reinvestment of Income Distribution cum capital withdrawal option (IDCW)</t>
  </si>
  <si>
    <t>INF03VN01282</t>
  </si>
  <si>
    <t>WhiteOak Capital Ultra Short Duration Fund- Regular plan-Growth Option</t>
  </si>
  <si>
    <t>INF03VN01290</t>
  </si>
  <si>
    <t>INF03VN01308</t>
  </si>
  <si>
    <t>WhiteOak Capital Ultra Short Duration Fund- Regular plan-Monthly Payout/ Reinvestment of Income Distribution cum capital withdrawal option (IDCW)</t>
  </si>
  <si>
    <t>INF03VN01316</t>
  </si>
  <si>
    <t>INF03VN01324</t>
  </si>
  <si>
    <t>WhiteOak Capital Ultra Short Duration Fund- Regular plan-Weekly Payout/ Reinvestment of Income Distribution cum capital withdrawal option (IDCW)</t>
  </si>
  <si>
    <t>Invesco India Contra Fund - Direct Plan - Growth</t>
  </si>
  <si>
    <t>INF205K01LC8</t>
  </si>
  <si>
    <t>INF205K01LD6</t>
  </si>
  <si>
    <t>Invesco India Contra Fund - Direct Plan - IDCW (Payout / Reinvestment)</t>
  </si>
  <si>
    <t>INF205K01189</t>
  </si>
  <si>
    <t>Invesco India Contra Fund - Regular Plan - Growth</t>
  </si>
  <si>
    <t>INF205K01205</t>
  </si>
  <si>
    <t>INF205K01197</t>
  </si>
  <si>
    <t>Invesco India Contra Fund - Regular Plan - IDCW (Payout / Reinvestment)</t>
  </si>
  <si>
    <t>INF174K01KZ9</t>
  </si>
  <si>
    <t>Kotak Contra Fund - Direct Plan - Growth</t>
  </si>
  <si>
    <t>INF174K01LA0</t>
  </si>
  <si>
    <t>INF174K01LB8</t>
  </si>
  <si>
    <t>Kotak Contra Fund - Direct Plan - IDCW -Payout &amp; Re-investment of Income Distribution cum capital withdrawal option- Direct</t>
  </si>
  <si>
    <t>INF174K01245</t>
  </si>
  <si>
    <t>Kotak Contra Fund - Regular Plan - Growth</t>
  </si>
  <si>
    <t>INF174K01260</t>
  </si>
  <si>
    <t>INF174K01252</t>
  </si>
  <si>
    <t>Kotak Contra Fund - Regular Plan - IDCW - Payout &amp; Re-investment of Income Distribution cum capital withdrawal option</t>
  </si>
  <si>
    <t>INF200K01RA0</t>
  </si>
  <si>
    <t>SBI CONTRA FUND - DIRECT PLAN - GROWTH</t>
  </si>
  <si>
    <t>INF200K01QY2</t>
  </si>
  <si>
    <t>INF200K01QZ9</t>
  </si>
  <si>
    <t>SBI Contra Fund - Direct Plan - Income Distribution cum Capital Withdrawal Option (IDCW)</t>
  </si>
  <si>
    <t>INF200K01347</t>
  </si>
  <si>
    <t>INF200K01354</t>
  </si>
  <si>
    <t>SBI Contra Fund - Regular Plan - Income Distribution cum Capital Withdrawal Option (IDCW)</t>
  </si>
  <si>
    <t>INF200K01362</t>
  </si>
  <si>
    <t>SBI CONTRA FUND - REGULAR PLAN -GROWTH</t>
  </si>
  <si>
    <t>INF209K01WA1</t>
  </si>
  <si>
    <t>Aditya Birla Sun Life Dividend Yield Fund - Growth - Direct Plan</t>
  </si>
  <si>
    <t>INF209K01405</t>
  </si>
  <si>
    <t>Aditya Birla Sun Life Dividend Yield Fund - Growth - Regular Plan</t>
  </si>
  <si>
    <t>INF209K01Q55</t>
  </si>
  <si>
    <t>INF209K01WB9</t>
  </si>
  <si>
    <t>Aditya Birla Sun Life Dividend Yield Fund -DIRECT - IDCW</t>
  </si>
  <si>
    <t>INF209K01397</t>
  </si>
  <si>
    <t>INF209K01CP1</t>
  </si>
  <si>
    <t>Aditya Birla Sun Life Dividend Yield Fund -REGULAR - IDCW</t>
  </si>
  <si>
    <t>INF251K01TV5</t>
  </si>
  <si>
    <t>Baroda BNP Paribas Dividend Yield Fund - Direct Plan - Growth Option</t>
  </si>
  <si>
    <t>INF251K01TW3</t>
  </si>
  <si>
    <t>INF251K01TX1</t>
  </si>
  <si>
    <t>Baroda BNP Paribas Dividend Yield Fund - Direct Plan - IDCW Option</t>
  </si>
  <si>
    <t>INF251K01TS1</t>
  </si>
  <si>
    <t>Baroda BNP Paribas Dividend Yield Fund - Regular Plan - Growth Option</t>
  </si>
  <si>
    <t>INF251K01TT9</t>
  </si>
  <si>
    <t>INF251K01TU7</t>
  </si>
  <si>
    <t>Baroda BNP Paribas Dividend Yield Fund - Regular Plan - IDCW Option</t>
  </si>
  <si>
    <t>INF090I01IT8</t>
  </si>
  <si>
    <t>Franklin India Dividend Yield Fund - Direct - Growth</t>
  </si>
  <si>
    <t>INF090I01IR2</t>
  </si>
  <si>
    <t>INF090I01IS0</t>
  </si>
  <si>
    <t>Franklin India Dividend Yield Fund - Direct - IDCW</t>
  </si>
  <si>
    <t>INF090I01932</t>
  </si>
  <si>
    <t>INF090I01940</t>
  </si>
  <si>
    <t>Franklin India Dividend Yield Fund - IDCW</t>
  </si>
  <si>
    <t>INF090I01957</t>
  </si>
  <si>
    <t>Franklin India Dividend Yield Fund-Growth Plan</t>
  </si>
  <si>
    <t>INF179KC1AO6</t>
  </si>
  <si>
    <t>HDFC Dividend Yield Fund - Growth Option Direct Plan</t>
  </si>
  <si>
    <t>INF179KC1AR9</t>
  </si>
  <si>
    <t>HDFC Dividend Yield Fund - Growth Plan</t>
  </si>
  <si>
    <t>INF179KC1AP3</t>
  </si>
  <si>
    <t>INF179KC1AQ1</t>
  </si>
  <si>
    <t>HDFC Dividend Yield Fund - IDCW Option Direct Plan</t>
  </si>
  <si>
    <t>INF179KC1AS7</t>
  </si>
  <si>
    <t>INF179KC1AT5</t>
  </si>
  <si>
    <t>HDFC Dividend Yield Fund - IDCW Plan</t>
  </si>
  <si>
    <t>INF109KA1UA0</t>
  </si>
  <si>
    <t>ICICI Prudential Dividend Yield Equity Fund Direct Plan Growth Option</t>
  </si>
  <si>
    <t>INF109KA1UB8</t>
  </si>
  <si>
    <t>INF109KA1UC6</t>
  </si>
  <si>
    <t>ICICI Prudential Dividend Yield Equity Fund Direct Plan IDCW Option</t>
  </si>
  <si>
    <t>INF109KA1TX4</t>
  </si>
  <si>
    <t>ICICI Prudential Dividend Yield Equity Fund Growth Option</t>
  </si>
  <si>
    <t>INF109KA1TY2</t>
  </si>
  <si>
    <t>INF109KA1TZ9</t>
  </si>
  <si>
    <t>ICICI Prudential Dividend Yield Equity Fund IDCW Option</t>
  </si>
  <si>
    <t>INF174KA1YI5</t>
  </si>
  <si>
    <t>Kotak Dividend Yield Fund - Direct - Growth</t>
  </si>
  <si>
    <t>INF174KA1YJ3</t>
  </si>
  <si>
    <t>INF174KA1YK1</t>
  </si>
  <si>
    <t>Kotak Dividend Yield Fund - Direct - IDCW</t>
  </si>
  <si>
    <t>INF174KA1YL9</t>
  </si>
  <si>
    <t>Kotak Dividend Yield Fund - Regular -Growth</t>
  </si>
  <si>
    <t>INF174KA1YM7</t>
  </si>
  <si>
    <t>INF174KA1YN5</t>
  </si>
  <si>
    <t>Kotak Dividend Yield Fund - Regular IDCW</t>
  </si>
  <si>
    <t>INF397L01LC1</t>
  </si>
  <si>
    <t>LIC MF Dividend Yield Fund-Direct Plan-Growth</t>
  </si>
  <si>
    <t>INF397L01KZ4</t>
  </si>
  <si>
    <t>INF397L01LA5</t>
  </si>
  <si>
    <t>LIC MF Dividend Yield Fund-Direct Plan-IDCW</t>
  </si>
  <si>
    <t>INF397L01KY7</t>
  </si>
  <si>
    <t>LIC MF Dividend Yield Fund-Regular Plan-Growth</t>
  </si>
  <si>
    <t>INF397L01KV3</t>
  </si>
  <si>
    <t>INF397L01KW1</t>
  </si>
  <si>
    <t>LIC MF Dividend Yield Fund-Regular Plan-IDCW</t>
  </si>
  <si>
    <t>INF200KA14W3</t>
  </si>
  <si>
    <t>SBI Dividend Yield Fund - Direct Plan - Growth</t>
  </si>
  <si>
    <t>INF200KA15W0</t>
  </si>
  <si>
    <t>INF200KA16W8</t>
  </si>
  <si>
    <t>SBI Dividend Yield Fund - Direct Plan - Income Distribution cum Capital Withdrawal (IDCW) Option</t>
  </si>
  <si>
    <t>INF200KA11W9</t>
  </si>
  <si>
    <t>SBI Dividend Yield Fund - Regular Plan - Growth</t>
  </si>
  <si>
    <t>INF200KA12W7</t>
  </si>
  <si>
    <t>INF200KA13W5</t>
  </si>
  <si>
    <t>SBI Dividend Yield Fund - Regular Plan - Income Distribution cum Capital Withdrawal (IDCW) Option</t>
  </si>
  <si>
    <t>INF173K01EV3</t>
  </si>
  <si>
    <t>Sundaram Dividend Yield Fund (Formerly Known as Principal Dividend Yield Fund) - Direct Plan - Growth Option</t>
  </si>
  <si>
    <t>INF173K01ES9</t>
  </si>
  <si>
    <t>INF173K01ET7</t>
  </si>
  <si>
    <t>Sundaram Dividend Yield Fund (Formerly Known as Principal Dividend Yield Fund)- Direct Plan - Income Distribution CUM Capital Withdrawal Option</t>
  </si>
  <si>
    <t>INF173K01AD9</t>
  </si>
  <si>
    <t>INF173K01AE7</t>
  </si>
  <si>
    <t>Sundaram Dividend Yield Fund (Formerly Known as Principal Dividend Yield Fund)- Income Distribution CUM Capital Withdrawal Plan</t>
  </si>
  <si>
    <t>INF173K01AC1</t>
  </si>
  <si>
    <t>Sundaram Dividend Yield Fund (Formerly Known as Principal Dividend Yield Fund)-Growth Plan</t>
  </si>
  <si>
    <t>INF277K015Z8</t>
  </si>
  <si>
    <t>Tata Dividend Yield Fund-Direct Plan-Growth</t>
  </si>
  <si>
    <t>INF277K017Z4</t>
  </si>
  <si>
    <t>Tata Dividend Yield Fund-Direct Plan-IDCW Payout</t>
  </si>
  <si>
    <t>INF277K016Z6</t>
  </si>
  <si>
    <t>Tata Dividend Yield Fund-Direct Plan-IDCW Reinvestment</t>
  </si>
  <si>
    <t>INF277K018Z2</t>
  </si>
  <si>
    <t>Tata Dividend Yield Fund-Regular Plan-Growth</t>
  </si>
  <si>
    <t>INF277KA1018</t>
  </si>
  <si>
    <t>Tata Dividend Yield Fund-Regular Plan-IDCW Payout</t>
  </si>
  <si>
    <t>INF277K019Z0</t>
  </si>
  <si>
    <t>Tata Dividend Yield Fund-Regular Plan-IDCW Reinvestment</t>
  </si>
  <si>
    <t>INF789F01SU8</t>
  </si>
  <si>
    <t>INF789F01SV6</t>
  </si>
  <si>
    <t>UTI Dividend Yield Fund - Direct Plan - IDCW</t>
  </si>
  <si>
    <t>INF789F01448</t>
  </si>
  <si>
    <t>INF789F01455</t>
  </si>
  <si>
    <t>UTI Dividend Yield Fund - Regular Plan - IDCW</t>
  </si>
  <si>
    <t>INF789F01463</t>
  </si>
  <si>
    <t>UTI-Dividend Yield Fund.-Growth</t>
  </si>
  <si>
    <t>INF789F01SW4</t>
  </si>
  <si>
    <t>UTI-Dividend Yield Fund.-Growth-Direct</t>
  </si>
  <si>
    <t>INF579M01AN2</t>
  </si>
  <si>
    <t>360 ONE ELSS Tax Saver Nifty 50 Index Fund - Direct Plan - Growth</t>
  </si>
  <si>
    <t>INF579M01AO0</t>
  </si>
  <si>
    <t>360 ONE ELSS Tax Saver Nifty 50 Index Fund - Direct Plan - IDCW Payout</t>
  </si>
  <si>
    <t>INF579M01AL6</t>
  </si>
  <si>
    <t>360 ONE ELSS Tax Saver Nifty 50 Index Fund - Regular Plan - Growth</t>
  </si>
  <si>
    <t>INF579M01AM4</t>
  </si>
  <si>
    <t>360 ONE ELSS Tax Saver Nifty 50 Index Fund - Regular Plan - IDCW Payout</t>
  </si>
  <si>
    <t>INF209K01UN8</t>
  </si>
  <si>
    <t>Aditya Birla Sun Life ELSS Tax Saver Fund - Growth - Direct Plan</t>
  </si>
  <si>
    <t>INF209K01108</t>
  </si>
  <si>
    <t>Aditya Birla Sun Life ELSS Tax Saver Fund - Growth Option</t>
  </si>
  <si>
    <t>INF209K01P23</t>
  </si>
  <si>
    <t>INF209K01UM0</t>
  </si>
  <si>
    <t>Aditya Birla Sun Life ELSS Tax Saver Fund-DIRECT - IDCW</t>
  </si>
  <si>
    <t>INF209K01090</t>
  </si>
  <si>
    <t>INF209K01CB1</t>
  </si>
  <si>
    <t>Aditya Birla Sun Life ELSS Tax Saver Fund-Regular - IDCW</t>
  </si>
  <si>
    <t>INF846K01EW2</t>
  </si>
  <si>
    <t>Axis ELSS Tax Saver Fund - Direct Plan - Growth Option</t>
  </si>
  <si>
    <t>INF846K01EX0</t>
  </si>
  <si>
    <t>INF846K01EY8</t>
  </si>
  <si>
    <t>Axis ELSS Tax Saver Fund - Direct Plan - IDCW</t>
  </si>
  <si>
    <t>INF846K01131</t>
  </si>
  <si>
    <t>Axis ELSS Tax Saver Fund - Regular Plan - Growth</t>
  </si>
  <si>
    <t>INF846K01149</t>
  </si>
  <si>
    <t>INF846K01156</t>
  </si>
  <si>
    <t>Axis ELSS Tax Saver Fund - Regular Plan - IDCW</t>
  </si>
  <si>
    <t>INF0QA701AK0</t>
  </si>
  <si>
    <t>BAJAJ FINSERV ELSS TAX SAVER FUND - DIRECT - GROWTH</t>
  </si>
  <si>
    <t>INF0QA701AL8</t>
  </si>
  <si>
    <t>BAJAJ FINSERV ELSS TAX SAVER FUND - DIRECT - IDCW</t>
  </si>
  <si>
    <t>INF0QA701AI4</t>
  </si>
  <si>
    <t>BAJAJ FINSERV ELSS TAX SAVER FUND - REGULAR - GROWTH</t>
  </si>
  <si>
    <t>INF0QA701AJ2</t>
  </si>
  <si>
    <t>BAJAJ FINSERV ELSS TAX SAVER FUND - REGULAR - IDCW</t>
  </si>
  <si>
    <t>INF194K01Y29</t>
  </si>
  <si>
    <t>BANDHAN ELSS Tax Saver Fund - Direct Plan - Growth</t>
  </si>
  <si>
    <t>INF194K01Y37</t>
  </si>
  <si>
    <t>INF194K01Y45</t>
  </si>
  <si>
    <t>BANDHAN ELSS Tax Saver Fund - Direct Plan - IDCW</t>
  </si>
  <si>
    <t>INF194K01292</t>
  </si>
  <si>
    <t>BANDHAN ELSS Tax Saver Fund - Regular Plan - Growth</t>
  </si>
  <si>
    <t>INF194K01300</t>
  </si>
  <si>
    <t>INF194K01318</t>
  </si>
  <si>
    <t>BANDHAN ELSS Tax Saver Fund - Regular Plan - IDCW</t>
  </si>
  <si>
    <t>INF761K01884</t>
  </si>
  <si>
    <t>BANK OF INDIA ELSS Tax Saver -Direct Plan- Growth</t>
  </si>
  <si>
    <t>INF761K01876</t>
  </si>
  <si>
    <t>INF761K01868</t>
  </si>
  <si>
    <t>BANK OF INDIA ELSS Tax Saver -Direct Plan-IDCW</t>
  </si>
  <si>
    <t>INF761K01157</t>
  </si>
  <si>
    <t>BANK OF INDIA ELSS Tax Saver -ECO Plan-Growth</t>
  </si>
  <si>
    <t>INF761K01132</t>
  </si>
  <si>
    <t>INF761K01140</t>
  </si>
  <si>
    <t>BANK OF INDIA ELSS Tax Saver -ECO Plan-IDCW</t>
  </si>
  <si>
    <t>INF761K01181</t>
  </si>
  <si>
    <t>BANK OF INDIA ELSS Tax Saver -Regular Plan- Growth</t>
  </si>
  <si>
    <t>INF761K01165</t>
  </si>
  <si>
    <t>INF761K01173</t>
  </si>
  <si>
    <t>BANK OF INDIA ELSS Tax Saver -Regular Plan-IDCW</t>
  </si>
  <si>
    <t>INF251K01HF3</t>
  </si>
  <si>
    <t>BARODA BNP PARIBAS ELSS Tax Saver Fund - Direct Plan - Growth Option</t>
  </si>
  <si>
    <t>INF251K01HH9</t>
  </si>
  <si>
    <t>INF251K01HG1</t>
  </si>
  <si>
    <t>BARODA BNP PARIBAS ELSS Tax Saver Fund - Direct Plan - IDCW Option</t>
  </si>
  <si>
    <t>INF251K01985</t>
  </si>
  <si>
    <t>BARODA BNP PARIBAS ELSS Tax Saver Fund - Regular - Growth Option</t>
  </si>
  <si>
    <t>INF251K01AA9</t>
  </si>
  <si>
    <t>INF251K01993</t>
  </si>
  <si>
    <t>BARODA BNP PARIBAS ELSS Tax Saver Fund- Regular - IDCW Option</t>
  </si>
  <si>
    <t>INF760K01EL8</t>
  </si>
  <si>
    <t>CANARA ROBECO ELSS TAX SAVER - DIRECT PLAN - GROWTH OPTION</t>
  </si>
  <si>
    <t>INF760K01EJ2</t>
  </si>
  <si>
    <t>INF760K01EK0</t>
  </si>
  <si>
    <t>CANARA ROBECO ELSS TAX SAVER - DIRECT PLAN - IDCW (Payout)</t>
  </si>
  <si>
    <t>INF760K01100</t>
  </si>
  <si>
    <t>CANARA ROBECO ELSS TAX SAVER - REGULAR PLAN - GROWTH OPTION</t>
  </si>
  <si>
    <t>INF760K01084</t>
  </si>
  <si>
    <t>INF760K01092</t>
  </si>
  <si>
    <t>CANARA ROBECO ELSS TAX SAVER - REGULAR PLAN -IDCW (Payout)</t>
  </si>
  <si>
    <t>INF740K01OK1</t>
  </si>
  <si>
    <t>DSP ELSS Tax Saver Fund - Direct Plan - Growth</t>
  </si>
  <si>
    <t>INF740K01OL9</t>
  </si>
  <si>
    <t>INF740K01OM7</t>
  </si>
  <si>
    <t>DSP ELSS Tax Saver Fund - Direct Plan - IDCW</t>
  </si>
  <si>
    <t>INF740K01185</t>
  </si>
  <si>
    <t>DSP ELSS Tax Saver Fund - Regular Plan - Growth</t>
  </si>
  <si>
    <t>INF740K01169</t>
  </si>
  <si>
    <t>INF740K01177</t>
  </si>
  <si>
    <t>DSP ELSS Tax Saver Fund - Regular Plan - IDCW</t>
  </si>
  <si>
    <t>INF754K01BX2</t>
  </si>
  <si>
    <t>INF754K01BY0</t>
  </si>
  <si>
    <t>Edelweiss ELSS Tax Saver Fund - Direct Plan - IDCW Option</t>
  </si>
  <si>
    <t>INF754K01CA8</t>
  </si>
  <si>
    <t>Edelweiss ELSS Tax Saver Fund - Direct Plan-Growth Option</t>
  </si>
  <si>
    <t>INF754K01517</t>
  </si>
  <si>
    <t>Edelweiss ELSS Tax Saver Fund - Regular Plan - Growth Option</t>
  </si>
  <si>
    <t>INF754K01525</t>
  </si>
  <si>
    <t>INF754K01541</t>
  </si>
  <si>
    <t>Edelweiss ELSS Tax Saver Fund - Regular Plan - IDCW Option</t>
  </si>
  <si>
    <t>INF090I01JS8</t>
  </si>
  <si>
    <t>Franklin India ELSS Tax Saver Fund - Direct - Growth</t>
  </si>
  <si>
    <t>INF090I01JT6</t>
  </si>
  <si>
    <t>INF090I01JU4</t>
  </si>
  <si>
    <t>Franklin India ELSS Tax Saver Fund - Direct - IDCW</t>
  </si>
  <si>
    <t>INF090I01783</t>
  </si>
  <si>
    <t>INF090I01791</t>
  </si>
  <si>
    <t>Franklin India ELSS Tax Saver Fund - IDCW</t>
  </si>
  <si>
    <t>INF090I01775</t>
  </si>
  <si>
    <t>Franklin India ELSS Tax Saver Fund-Growth</t>
  </si>
  <si>
    <t>INF666M01DL5</t>
  </si>
  <si>
    <t>Groww ELSS Tax Saver Fund (formerly known as Indiabulls Tax Savings Fund)- Direct Plan- Dividend Option</t>
  </si>
  <si>
    <t>INF666M01DK7</t>
  </si>
  <si>
    <t>Groww ELSS Tax Saver Fund (formerly known as Indiabulls Tax Savings Fund)- Direct Plan- Growth Option</t>
  </si>
  <si>
    <t>INF666M01DO9</t>
  </si>
  <si>
    <t>Groww ELSS Tax Saver Fund (formerly known as Indiabulls Tax Savings Fund)- Regular Plan- - Income Distribution cum capital withdrawal Option (Payout)</t>
  </si>
  <si>
    <t>INF666M01DN1</t>
  </si>
  <si>
    <t>Groww ELSS Tax Saver Fund (formerly known as Indiabulls Tax Savings Fund)-Regular Plan-Growth Option</t>
  </si>
  <si>
    <t>INF179K01YS4</t>
  </si>
  <si>
    <t>HDFC ELSS Tax saver - Growth Option - Direct Plan</t>
  </si>
  <si>
    <t>INF179K01BB8</t>
  </si>
  <si>
    <t>HDFC ELSS Tax saver - Growth Plan</t>
  </si>
  <si>
    <t>INF179K01YQ8</t>
  </si>
  <si>
    <t>INF179K01YR6</t>
  </si>
  <si>
    <t>HDFC ELSS Tax saver - IDCW Option - Direct Plan</t>
  </si>
  <si>
    <t>INF179K01AZ9</t>
  </si>
  <si>
    <t>INF179K01BA0</t>
  </si>
  <si>
    <t>HDFC ELSS Tax saver - IDCW Plan</t>
  </si>
  <si>
    <t>INF179K01WX8</t>
  </si>
  <si>
    <t>HDFC Long Term Advantage Plan - Growth Option - Direct Plan</t>
  </si>
  <si>
    <t>INF179K01996</t>
  </si>
  <si>
    <t>HDFC Long Term Advantage Plan - Growth Plan</t>
  </si>
  <si>
    <t>INF179K01WV2</t>
  </si>
  <si>
    <t>INF179K01WW0</t>
  </si>
  <si>
    <t>HDFC Long Term Advantage Plan - IDCW Option - Direct Plan</t>
  </si>
  <si>
    <t>INF179K01970</t>
  </si>
  <si>
    <t>INF179K01988</t>
  </si>
  <si>
    <t>HDFC Long Term Advantage Plan - IDCW Plan</t>
  </si>
  <si>
    <t>INF917K01GP0</t>
  </si>
  <si>
    <t>HSBC ELSS Tax saver Fund - Direct Growth</t>
  </si>
  <si>
    <t>INF917K01GO3</t>
  </si>
  <si>
    <t>HSBC ELSS Tax saver Fund - Direct IDCW Payout</t>
  </si>
  <si>
    <t>INF677K01064</t>
  </si>
  <si>
    <t>HSBC ELSS Tax saver Fund - Regular Growth</t>
  </si>
  <si>
    <t>INF677K01072</t>
  </si>
  <si>
    <t>HSBC ELSS Tax saver Fund - Regular IDCW Payout</t>
  </si>
  <si>
    <t>INF109K01Y31</t>
  </si>
  <si>
    <t>ICICI Prudential ELSS Tax Saver Fund - Direct Plan - Growth</t>
  </si>
  <si>
    <t>INF109K01Y15</t>
  </si>
  <si>
    <t>INF109K01Y23</t>
  </si>
  <si>
    <t>ICICI Prudential ELSS Tax Saver Fund - Direct Plan - IDCW</t>
  </si>
  <si>
    <t>INF109K01464</t>
  </si>
  <si>
    <t>ICICI Prudential ELSS Tax Saver Fund - Growth</t>
  </si>
  <si>
    <t>INF109K01FN1</t>
  </si>
  <si>
    <t>INF109K01472</t>
  </si>
  <si>
    <t>ICICI Prudential ELSS Tax Saver Fund - IDCW</t>
  </si>
  <si>
    <t>INF205K01NT8</t>
  </si>
  <si>
    <t>Invesco India ELSS Tax Saver Fund - Direct Plan - Growth</t>
  </si>
  <si>
    <t>INF205K01NR2</t>
  </si>
  <si>
    <t>INF205K01NS0</t>
  </si>
  <si>
    <t>Invesco India ELSS Tax Saver Fund - Direct Plan - IDCW Payout</t>
  </si>
  <si>
    <t>INF205K01270</t>
  </si>
  <si>
    <t>Invesco India ELSS Tax Saver Fund - Regular Plan - Growth</t>
  </si>
  <si>
    <t>INF205K01296</t>
  </si>
  <si>
    <t>INF205K01288</t>
  </si>
  <si>
    <t>Invesco India ELSS Tax Saver Fund - Regular Plan - IDCW Payout</t>
  </si>
  <si>
    <t>INF00XX01390</t>
  </si>
  <si>
    <t>ITI ELSS Tax Saver Fund - Direct Plan - Growth Option</t>
  </si>
  <si>
    <t>INF00XX01408</t>
  </si>
  <si>
    <t>ITI ELSS Tax Saver Fund - Direct Plan - IDCW Option</t>
  </si>
  <si>
    <t>INF00XX01374</t>
  </si>
  <si>
    <t>ITI ELSS Tax Saver Fund - Regular Plan - Growth Option</t>
  </si>
  <si>
    <t>INF00XX01382</t>
  </si>
  <si>
    <t>ITI ELSS Tax Saver Fund - Regular Plan - IDCW Option</t>
  </si>
  <si>
    <t>INF192K01CE3</t>
  </si>
  <si>
    <t>JM ELSS Tax Saver Fund (Direct) - Growth Option</t>
  </si>
  <si>
    <t>INF192K01CD5</t>
  </si>
  <si>
    <t>JM ELSS Tax Saver Fund (Direct) - IDCW</t>
  </si>
  <si>
    <t>INF192K01650</t>
  </si>
  <si>
    <t>JM ELSS Tax Saver Fund (Regular) - Growth option</t>
  </si>
  <si>
    <t>INF192K01643</t>
  </si>
  <si>
    <t>JM ELSS Tax Saver Fund (Regular) - IDCW</t>
  </si>
  <si>
    <t>INF174K01369</t>
  </si>
  <si>
    <t>Kotak ELSS Tax Saver Fund-Growth</t>
  </si>
  <si>
    <t>INF174K01LI3</t>
  </si>
  <si>
    <t>Kotak ELSS Tax Saver Fund-Growth - Direct</t>
  </si>
  <si>
    <t>INF174K01385</t>
  </si>
  <si>
    <t>Kotak ELSS Tax Saver Fund-Payout of Income Distribution cum capital withdrawal option</t>
  </si>
  <si>
    <t>INF174K01LJ1</t>
  </si>
  <si>
    <t>Kotak ELSS Tax Saver Fund-Payout of Income Distribution cum capital withdrawal option - Direct</t>
  </si>
  <si>
    <t>INF767K01EM1</t>
  </si>
  <si>
    <t>LIC MF ELSS Tax Saver-Direct Plan-Growth</t>
  </si>
  <si>
    <t>INF767K01EL3</t>
  </si>
  <si>
    <t>INF767K01EN9</t>
  </si>
  <si>
    <t>LIC MF ELSS Tax Saver-Direct Plan-IDCW</t>
  </si>
  <si>
    <t>INF767K01956</t>
  </si>
  <si>
    <t>LIC MF ELSS Tax Saver-Regular Plan-Growth</t>
  </si>
  <si>
    <t>INF767K01931</t>
  </si>
  <si>
    <t>INF767K01949</t>
  </si>
  <si>
    <t>LIC MF ELSS Tax Saver-Regular Plan-IDCW</t>
  </si>
  <si>
    <t>INF767K01DR2</t>
  </si>
  <si>
    <t>LIC MF ULIS (10 Yrs. Regular Premium Reducing Cover Half-Yearly)-Direct Plan-IDCW Reinvestment</t>
  </si>
  <si>
    <t>INF767K01998</t>
  </si>
  <si>
    <t>LIC MF ULIS (10 Yrs. Regular Premium Reducing Cover Half-Yearly)-Regular Plan-IDCW Reinvestment</t>
  </si>
  <si>
    <t>INF767K01DQ4</t>
  </si>
  <si>
    <t>LIC MF ULIS (10 Yrs. Regular Premium Reducing Cover Monthly)-Direct Plan-IDCW Reinvestment</t>
  </si>
  <si>
    <t>INF767K01980</t>
  </si>
  <si>
    <t>LIC MF ULIS (10 Yrs. Regular Premium Reducing Cover Monthly)-Regular Plan-IDCW Reinvestment</t>
  </si>
  <si>
    <t>INF767K01OY5</t>
  </si>
  <si>
    <t>LIC MF ULIS (10 Yrs. Regular Premium Reducing Cover Quarterly)-Direct Plan-IDCW Reinvestment</t>
  </si>
  <si>
    <t>INF767K01OV1</t>
  </si>
  <si>
    <t>LIC MF ULIS (10 Yrs. Regular Premium Reducing Cover Quarterly)-Regular Plan-IDCW Reinvestment</t>
  </si>
  <si>
    <t>INF767K01DS0</t>
  </si>
  <si>
    <t>LIC MF ULIS (10 Yrs. Regular Premium Reducing Cover Yearly)-Direct Plan-IDCW Reinvestment</t>
  </si>
  <si>
    <t>INF767K01AA4</t>
  </si>
  <si>
    <t>LIC MF ULIS (10 Yrs. Regular Premium Reducing Cover Yearly)-Regular Plan-IDCW Reinvestment</t>
  </si>
  <si>
    <t>INF767K01DU6</t>
  </si>
  <si>
    <t>LIC MF ULIS (10 Yrs. Regular Premium Uniform Cover Half-Yearly)-Direct Plan-IDCW Reinvestment</t>
  </si>
  <si>
    <t>INF767K01AC0</t>
  </si>
  <si>
    <t>LIC MF ULIS (10 Yrs. Regular Premium Uniform Cover Half-Yearly)-Regular Plan-IDCW Reinvestment</t>
  </si>
  <si>
    <t>INF767K01DT8</t>
  </si>
  <si>
    <t>LIC MF ULIS (10 Yrs. Regular Premium Uniform Cover Monthly)-Direct Plan-IDCW Reinvestment</t>
  </si>
  <si>
    <t>INF767K01AB2</t>
  </si>
  <si>
    <t>LIC MF ULIS (10 Yrs. Regular Premium Uniform Cover Monthly)-Regular Plan-IDCW Reinvestment</t>
  </si>
  <si>
    <t>INF767K01PB0</t>
  </si>
  <si>
    <t>LIC MF ULIS (10 Yrs. Regular Premium Uniform Cover Quarterly)-Direct Plan-IDCW Reinvestment</t>
  </si>
  <si>
    <t>INF767K01PA2</t>
  </si>
  <si>
    <t>LIC MF ULIS (10 Yrs. Regular Premium Uniform Cover Quarterly)-Regular Plan-IDCW Reinvestment</t>
  </si>
  <si>
    <t>INF767K01DV4</t>
  </si>
  <si>
    <t>LIC MF ULIS (10 Yrs. Regular Premium Uniform Cover Yearly)-Direct Plan-IDCW Reinvestment</t>
  </si>
  <si>
    <t>INF767K01AD8</t>
  </si>
  <si>
    <t>LIC MF ULIS (10 Yrs. Regular Premium Uniform Cover Yearly)-Regular Plan-IDCW Reinvestment</t>
  </si>
  <si>
    <t>INF767K01DP6</t>
  </si>
  <si>
    <t>LIC MF ULIS (10 Yrs. Single Premium)-Direct Plan-IDCW Reinvestment</t>
  </si>
  <si>
    <t>INF767K01972</t>
  </si>
  <si>
    <t>LIC MF ULIS (10 Yrs. Single Premium)-Regular Plan-IDCW Reinvestment</t>
  </si>
  <si>
    <t>INF767K01DX0</t>
  </si>
  <si>
    <t>LIC MF ULIS (15 Yrs. Regular Premium Reducing Cover Half-Yearly)-Direct Plan-IDCW Reinvestment</t>
  </si>
  <si>
    <t>INF767K01AF3</t>
  </si>
  <si>
    <t>LIC MF ULIS (15 Yrs. Regular Premium Reducing Cover Half-Yearly)-Regular Plan-IDCW Reinvestment</t>
  </si>
  <si>
    <t>INF767K01DW2</t>
  </si>
  <si>
    <t>LIC MF ULIS (15 Yrs. Regular Premium Reducing Cover Monthly)-Direct Plan-IDCW Reinvestment</t>
  </si>
  <si>
    <t>INF767K01AE6</t>
  </si>
  <si>
    <t>LIC MF ULIS (15 Yrs. Regular Premium Reducing Cover Monthly)-Regular Plan-IDCW Reinvestment</t>
  </si>
  <si>
    <t>INF767K01OX7</t>
  </si>
  <si>
    <t>LIC MF ULIS (15 Yrs. Regular Premium Reducing Cover Quarterly)-Direct Plan-IDCW Reinvestment</t>
  </si>
  <si>
    <t>INF767K01OU3</t>
  </si>
  <si>
    <t>LIC MF ULIS (15 Yrs. Regular Premium Reducing Cover Quarterly)-Regular Plan-IDCW Reinvestment</t>
  </si>
  <si>
    <t>INF767K01DY8</t>
  </si>
  <si>
    <t>LIC MF ULIS (15 Yrs. Regular Premium Reducing Cover Yearly)-Direct Plan-IDCW Reinvestment</t>
  </si>
  <si>
    <t>INF767K01AG1</t>
  </si>
  <si>
    <t>LIC MF ULIS (15 Yrs. Regular Premium Reducing Cover Yearly)-Regular Plan-IDCW Reinvestment</t>
  </si>
  <si>
    <t>INF767K01EA6</t>
  </si>
  <si>
    <t>LIC MF ULIS (15 Yrs. Regular Premium Uniform Cover Half-Yearly)-Direct Plan-IDCW Reinvestment</t>
  </si>
  <si>
    <t>INF767K01AI7</t>
  </si>
  <si>
    <t>LIC MF ULIS (15 Yrs. Regular Premium Uniform Cover Half-Yearly)-Regular Plan-IDCW Reinvestment</t>
  </si>
  <si>
    <t>INF767K01DZ5</t>
  </si>
  <si>
    <t>LIC MF ULIS (15 Yrs. Regular Premium Uniform Cover Monthly)-Direct Plan-IDCW Reinvestment</t>
  </si>
  <si>
    <t>INF767K01AH9</t>
  </si>
  <si>
    <t>LIC MF ULIS (15 Yrs. Regular Premium Uniform Cover Monthly)-Regular Plan-IDCW Reinvestment</t>
  </si>
  <si>
    <t>INF767K01OZ2</t>
  </si>
  <si>
    <t>LIC MF ULIS (15 Yrs. Regular Premium Uniform Cover Quarterly)-Direct Plan-IDCW Reinvestment</t>
  </si>
  <si>
    <t>INF767K01OW9</t>
  </si>
  <si>
    <t>LIC MF ULIS (15 Yrs. Regular Premium Uniform Cover Quarterly)-Regular Plan-IDCW Reinvestment</t>
  </si>
  <si>
    <t>INF767K01EB4</t>
  </si>
  <si>
    <t>LIC MF ULIS (15 Yrs. Regular Premium Uniform Cover Yearly)-Direct Plan-IDCW Reinvestment</t>
  </si>
  <si>
    <t>INF767K01AJ5</t>
  </si>
  <si>
    <t>LIC MF ULIS (15Yrs. Regular Premium Uniform Cover Yearly)-Regular Plan-IDCW Reinvestment</t>
  </si>
  <si>
    <t>INF767K01DO9</t>
  </si>
  <si>
    <t>LIC MF ULIS (5 Yrs. Single Premium)-Direct Plan-IDCW Reinvestment</t>
  </si>
  <si>
    <t>INF767K01964</t>
  </si>
  <si>
    <t>LIC MF ULIS (5 Yrs. Single Premium)-Regular Plan-IDCW Reinvestment</t>
  </si>
  <si>
    <t>INF174V01093</t>
  </si>
  <si>
    <t>Mahindra Manulife ELSS Tax Saver Fund - Direct Plan -Growth</t>
  </si>
  <si>
    <t>INF174V01085</t>
  </si>
  <si>
    <t>Mahindra Manulife ELSS Tax Saver Fund - Regular Plan - IDCW</t>
  </si>
  <si>
    <t>INF174V01101</t>
  </si>
  <si>
    <t>Mahindra Manulife ELSS Tax Saver Fund- Direct Plan - IDCW</t>
  </si>
  <si>
    <t>INF174V01077</t>
  </si>
  <si>
    <t>Mahindra Manulife ELSS Tax Saver Fund- Regular Plan - Growth</t>
  </si>
  <si>
    <t>INF769K01DM9</t>
  </si>
  <si>
    <t>Mirae Asset ELSS Tax Saver Fund - Direct Plan - Growth</t>
  </si>
  <si>
    <t>INF769K01DN7</t>
  </si>
  <si>
    <t>Mirae Asset ELSS Tax Saver Fund - Direct Plan - IDCW</t>
  </si>
  <si>
    <t>INF769K01DK3</t>
  </si>
  <si>
    <t>Mirae Asset ELSS Tax Saver Fund - Regular Plan - Growth</t>
  </si>
  <si>
    <t>INF769K01DL1</t>
  </si>
  <si>
    <t>Mirae Asset ELSS Tax Saver Fund - Regular Plan - IDCW</t>
  </si>
  <si>
    <t>INF247L01569</t>
  </si>
  <si>
    <t>Motilal Oswal ELSS Tax Saver Fund - Direct Plan - Growth Option</t>
  </si>
  <si>
    <t>INF247L01551</t>
  </si>
  <si>
    <t>Motilal Oswal ELSS Tax Saver Fund - IDCW Payout</t>
  </si>
  <si>
    <t>INF247L01544</t>
  </si>
  <si>
    <t>Motilal Oswal ELSS Tax Saver Fund - Regular Plan - Growth Option</t>
  </si>
  <si>
    <t>INF247L01577</t>
  </si>
  <si>
    <t>Motilal Oswal ELSS Tax Saver Fund Direct - IDCW Payout</t>
  </si>
  <si>
    <t>INF959L01CE3</t>
  </si>
  <si>
    <t>Navi ELSS Tax Saver Fund - Direct Plan IDCW Payout</t>
  </si>
  <si>
    <t>INF959L01CG8</t>
  </si>
  <si>
    <t>Navi ELSS Tax Saver Fund - Regular Plan IDCW Payout</t>
  </si>
  <si>
    <t>INF959L01CD5</t>
  </si>
  <si>
    <t>Navi ELSS Tax Saver Fund- Direct Plan- Growth Option</t>
  </si>
  <si>
    <t>INF959L01CF0</t>
  </si>
  <si>
    <t>Navi ELSS Tax Saver Fund- Regular Plan- Growth Option</t>
  </si>
  <si>
    <t>INF959L01GR6</t>
  </si>
  <si>
    <t>NAVI ELSS TAX SAVER NIFTY 50 INDEX FUND - DIRECT PLAN GROWTH</t>
  </si>
  <si>
    <t>INF959L01GT2</t>
  </si>
  <si>
    <t>NAVI ELSS TAX SAVER NIFTY 50 INDEX FUND - DIRECT PLAN IDCW PAYOUT</t>
  </si>
  <si>
    <t>INF959L01GS4</t>
  </si>
  <si>
    <t>NAVI ELSS TAX SAVER NIFTY 50 INDEX FUND - REGULAR PLAN GROWTH</t>
  </si>
  <si>
    <t>INF959L01GU0</t>
  </si>
  <si>
    <t>NAVI ELSS TAX SAVER NIFTY 50 INDEX FUND - REGULAR PLAN IDCW PAYOUT</t>
  </si>
  <si>
    <t>INF204KA1E04</t>
  </si>
  <si>
    <t>NIPPON INDIA ELSS TAX SAVER FUND - ANNUAL IDCW Option</t>
  </si>
  <si>
    <t>INF204KA1E12</t>
  </si>
  <si>
    <t>NIPPON INDIA ELSS TAX SAVER FUND - DIRECT Plan - ANNUAL IDCW Option</t>
  </si>
  <si>
    <t>INF204K01L30</t>
  </si>
  <si>
    <t>INF204K01L48</t>
  </si>
  <si>
    <t>NIPPON INDIA ELSS TAX SAVER FUND - DIRECT Plan - IDCW Option</t>
  </si>
  <si>
    <t>INF204K01L55</t>
  </si>
  <si>
    <t>Nippon India ELSS Tax Saver Fund - Direct Plan Growth Plan - Growth Option</t>
  </si>
  <si>
    <t>INF204K01GL2</t>
  </si>
  <si>
    <t>INF204K01GM0</t>
  </si>
  <si>
    <t>NIPPON INDIA ELSS TAX SAVER FUND - IDCW Option</t>
  </si>
  <si>
    <t>INF204K01GK4</t>
  </si>
  <si>
    <t>Nippon India ELSS Tax Saver Fund-Growth Plan-Growth Option</t>
  </si>
  <si>
    <t>INF0J8L01115</t>
  </si>
  <si>
    <t>NJ ELSS Tax Saver Scheme Direct Growth</t>
  </si>
  <si>
    <t>INF0J8L01123</t>
  </si>
  <si>
    <t>NJ ELSS Tax Saver Scheme Direct IDCW</t>
  </si>
  <si>
    <t>INF0J8L01099</t>
  </si>
  <si>
    <t>NJ ELSS Tax Saver Scheme Regular Growth</t>
  </si>
  <si>
    <t>INF0J8L01107</t>
  </si>
  <si>
    <t>NJ ELSS Tax Saver Scheme Regular IDCW</t>
  </si>
  <si>
    <t>INF663L01FO3</t>
  </si>
  <si>
    <t>PGIM India ELSS Tax Saver Fund - Direct Plan - Dividend Option</t>
  </si>
  <si>
    <t>INF663L01FN5</t>
  </si>
  <si>
    <t>PGIM India ELSS Tax Saver Fund - Direct Plan - Growth Option</t>
  </si>
  <si>
    <t>INF663L01FR6</t>
  </si>
  <si>
    <t>PGIM India ELSS Tax Saver Fund - Regular Plan - Dividend Option</t>
  </si>
  <si>
    <t>INF663L01FQ8</t>
  </si>
  <si>
    <t>PGIM India ELSS Tax Saver Fund - Regular Plan - Growth Option</t>
  </si>
  <si>
    <t>INF879O01100</t>
  </si>
  <si>
    <t>Parag Parikh ELSS Tax Saver Fund- Direct Growth</t>
  </si>
  <si>
    <t>INF879O01092</t>
  </si>
  <si>
    <t>Parag Parikh ELSS Tax Saver Fund- Regular Growth</t>
  </si>
  <si>
    <t>INF966L01986</t>
  </si>
  <si>
    <t>quant ELSS Tax Saver Fund - Growth Option - Direct Plan</t>
  </si>
  <si>
    <t>INF966L01135</t>
  </si>
  <si>
    <t>quant ELSS Tax Saver Fund - Growth Option - Regular Plan</t>
  </si>
  <si>
    <t>INF966L01960</t>
  </si>
  <si>
    <t>INF966L01127</t>
  </si>
  <si>
    <t>quant ELSS Tax Saver Fund - IDCW Option - Direct Plan</t>
  </si>
  <si>
    <t>INF966L01119</t>
  </si>
  <si>
    <t>quant ELSS Tax Saver Fund - IDCW Option - Regular Plan</t>
  </si>
  <si>
    <t>INF082J01069</t>
  </si>
  <si>
    <t>Quantum ELSS Tax Saver Fund - Direct Plan Growth Option</t>
  </si>
  <si>
    <t>INF082J01077</t>
  </si>
  <si>
    <t>INF082J01085</t>
  </si>
  <si>
    <t>Quantum ELSS Tax Saver Fund - Direct Plan IDCW</t>
  </si>
  <si>
    <t>INF082J01366</t>
  </si>
  <si>
    <t>Quantum ELSS Tax Saver Fund - Regular Plan Growth Option</t>
  </si>
  <si>
    <t>INF082J01374</t>
  </si>
  <si>
    <t>Quantum ELSS Tax Saver Fund - Regular Plan IDCW</t>
  </si>
  <si>
    <t>INF0K1H01065</t>
  </si>
  <si>
    <t>Samco ELSS Tax Saver Fund - Direct Plan - Growth Option</t>
  </si>
  <si>
    <t>INF0K1H01057</t>
  </si>
  <si>
    <t>Samco ELSS Tax Saver Fund - Regular Plan - Growth Option</t>
  </si>
  <si>
    <t>INF200K01UK3</t>
  </si>
  <si>
    <t>SBI ELSS Tax Saver Fund - Direct Plan - Income Distribution cum Capital Withdrawal Option (IDCW)</t>
  </si>
  <si>
    <t>INF200K01UM9</t>
  </si>
  <si>
    <t>SBI ELSS Tax Saver FUND - DIRECT PLAN -GROWTH</t>
  </si>
  <si>
    <t>INF200K01479</t>
  </si>
  <si>
    <t>SBI ELSS Tax Saver Fund - Regular Plan - Income Distribution cum Capital Withdrawal Option (IDCW)</t>
  </si>
  <si>
    <t>INF200K01495</t>
  </si>
  <si>
    <t>SBI ELSS Tax Saver FUND - REGULAR PLAN- GROWTH</t>
  </si>
  <si>
    <t>INF680P01158</t>
  </si>
  <si>
    <t>Shriram ELSS Tax Saver Fund - Direct Growth</t>
  </si>
  <si>
    <t>INF680P01166</t>
  </si>
  <si>
    <t>Shriram ELSS Tax Saver Fund - Direct- IDCW</t>
  </si>
  <si>
    <t>INF680P01133</t>
  </si>
  <si>
    <t>Shriram ELSS Tax Saver Fund - Regular Growth</t>
  </si>
  <si>
    <t>INF680P01141</t>
  </si>
  <si>
    <t>Shriram ELSS Tax Saver Fund - Regular-IDCW</t>
  </si>
  <si>
    <t>INF173K01NN1</t>
  </si>
  <si>
    <t>Sundaram ELSS Tax Saver Fund Direct Plan - Income Distribution CUM Capital Withdrawal Option (IDCW)</t>
  </si>
  <si>
    <t>INF173K01HZ7</t>
  </si>
  <si>
    <t>Sundaram ELSS Tax Saver Fund Direct Plan Growth</t>
  </si>
  <si>
    <t>INF173K01361</t>
  </si>
  <si>
    <t>Sundaram ELSS Tax Saver Fund Regular Growth</t>
  </si>
  <si>
    <t>INF173K01NM3</t>
  </si>
  <si>
    <t>Sundaram ELSS Tax Saver Fund Regular Plan - Income Distribution CUM Capital Withdrawal Option (IDCW)</t>
  </si>
  <si>
    <t>INF277K01I94</t>
  </si>
  <si>
    <t>Tata ELSS Fund- Direct Plan - Payout of IDCW Option</t>
  </si>
  <si>
    <t>INF277K01I60</t>
  </si>
  <si>
    <t>Tata ELSS Fund- Regular Plan - Payout of IDCW Option</t>
  </si>
  <si>
    <t>INF277K01I86</t>
  </si>
  <si>
    <t>Tata ELSS Fund-Growth-Direct Plan</t>
  </si>
  <si>
    <t>INF277K01I52</t>
  </si>
  <si>
    <t>Tata ELSS Fund-Growth-Regular Plan</t>
  </si>
  <si>
    <t>INF044D01CG6</t>
  </si>
  <si>
    <t>INF044D01AA3</t>
  </si>
  <si>
    <t>Taurus ELSS Tax Saver Fund - Direct Plan - Growth</t>
  </si>
  <si>
    <t>INF044D01CH4</t>
  </si>
  <si>
    <t>INF044D01CI2</t>
  </si>
  <si>
    <t>Taurus ELSS Tax Saver Fund - Direct Plan - Payout of Income Distribution cum Capital Withdrawal option</t>
  </si>
  <si>
    <t>INF044D01AC9</t>
  </si>
  <si>
    <t>Taurus ELSS Tax Saver Fund - Regular Plan - Growth</t>
  </si>
  <si>
    <t>INF044D01997</t>
  </si>
  <si>
    <t>Taurus ELSS Tax Saver Fund - Regular Plan - Payout of Income Distribution cum Capital Withdrawal option</t>
  </si>
  <si>
    <t>INF582M01765</t>
  </si>
  <si>
    <t>Union ELSS Tax Saver Fund - Direct Plan - Growth Option</t>
  </si>
  <si>
    <t>INF582M01781</t>
  </si>
  <si>
    <t>INF582M01773</t>
  </si>
  <si>
    <t>Union ELSS Tax Saver Fund - Direct Plan - IDCW Option</t>
  </si>
  <si>
    <t>INF582M01302</t>
  </si>
  <si>
    <t>Union ELSS Tax Saver Fund - Growth Option</t>
  </si>
  <si>
    <t>INF582M01328</t>
  </si>
  <si>
    <t>INF582M01310</t>
  </si>
  <si>
    <t>Union ELSS Tax Saver Fund - IDCW Option</t>
  </si>
  <si>
    <t>INF789F01TF7</t>
  </si>
  <si>
    <t>UTI ELSS Tax Saver Fund - Direct Plan - Growth Option</t>
  </si>
  <si>
    <t>INF789F01TD2</t>
  </si>
  <si>
    <t>INF789F01TE0</t>
  </si>
  <si>
    <t>UTI ELSS Tax Saver Fund - Direct Plan - IDCW</t>
  </si>
  <si>
    <t>INF789F01547</t>
  </si>
  <si>
    <t>UTI ELSS Tax Saver Fund - Regular Plan - Growth Option</t>
  </si>
  <si>
    <t>INF789F01521</t>
  </si>
  <si>
    <t>INF789F01539</t>
  </si>
  <si>
    <t>UTI ELSS Tax Saver Fund - Regular Plan - IDCW</t>
  </si>
  <si>
    <t>INF03VN01621</t>
  </si>
  <si>
    <t>WhiteOak Capital ELSS Tax Saver Fund Direct Plan Growth</t>
  </si>
  <si>
    <t>INF03VN01639</t>
  </si>
  <si>
    <t>WhiteOak Capital ELSS Tax Saver Fund Direct Plan IDCW</t>
  </si>
  <si>
    <t>INF03VN01647</t>
  </si>
  <si>
    <t>WhiteOak Capital ELSS Tax Saver Fund Regular Plan Growth</t>
  </si>
  <si>
    <t>INF03VN01654</t>
  </si>
  <si>
    <t>WhiteOak Capital ELSS Tax Saver Fund Regular Plan IDCW</t>
  </si>
  <si>
    <t>INF579M01AS1</t>
  </si>
  <si>
    <t>360 ONE FLEXICAP FUND-DIRECT PLAN- GROWTH</t>
  </si>
  <si>
    <t>INF579M01AT9</t>
  </si>
  <si>
    <t>INF579M01AU7</t>
  </si>
  <si>
    <t>360 ONE FLEXICAP FUND-DIRECT PLAN- IDCW</t>
  </si>
  <si>
    <t>INF579M01AP7</t>
  </si>
  <si>
    <t>360 ONE FLEXICAP FUND-REGULAR PLAN- GROWTH</t>
  </si>
  <si>
    <t>INF579M01AQ5</t>
  </si>
  <si>
    <t>INF579M01AR3</t>
  </si>
  <si>
    <t>360 ONE FLEXICAP FUND-REGULAR PLAN- IDCW</t>
  </si>
  <si>
    <t>INF2JJD01136</t>
  </si>
  <si>
    <t>Abakkus Flexi Cap Fund - Direct - Growth</t>
  </si>
  <si>
    <t>INF2JJD01128</t>
  </si>
  <si>
    <t>INF2JJD01110</t>
  </si>
  <si>
    <t>Abakkus Flexi Cap Fund - Direct - IDCW</t>
  </si>
  <si>
    <t>INF2JJD01169</t>
  </si>
  <si>
    <t>Abakkus Flexi Cap Fund - Regular - Growth</t>
  </si>
  <si>
    <t>INF2JJD01151</t>
  </si>
  <si>
    <t>INF2JJD01144</t>
  </si>
  <si>
    <t>Abakkus Flexi Cap Fund - Regular - IDCW</t>
  </si>
  <si>
    <t>INF209K01XX1</t>
  </si>
  <si>
    <t>Aditya Birla Sun Life Flexi Cap Fund - Growth - Direct Plan</t>
  </si>
  <si>
    <t>INF209K01AJ8</t>
  </si>
  <si>
    <t>Aditya Birla Sun Life Flexi Cap Fund - Growth - Regular Plan</t>
  </si>
  <si>
    <t>INF209KA1LE0</t>
  </si>
  <si>
    <t>INF209K01XY9</t>
  </si>
  <si>
    <t>Aditya Birla Sun Life Flexi Cap Fund -DIRECT - IDCW</t>
  </si>
  <si>
    <t>INF209K01AQ3</t>
  </si>
  <si>
    <t>INF209K01DT1</t>
  </si>
  <si>
    <t>Aditya Birla Sun Life Flexi Cap Fund -Regular - IDCW</t>
  </si>
  <si>
    <t>INF846K01B28</t>
  </si>
  <si>
    <t>Axis Flexi Cap Fund - Direct Plan - Growth</t>
  </si>
  <si>
    <t>INF846K01B02</t>
  </si>
  <si>
    <t>INF846K01B10</t>
  </si>
  <si>
    <t>Axis Flexi Cap fund - Direct Plan - IDCW</t>
  </si>
  <si>
    <t>INF846K01B51</t>
  </si>
  <si>
    <t>Axis Flexi Cap Fund - Regular Plan - Growth</t>
  </si>
  <si>
    <t>INF846K01B36</t>
  </si>
  <si>
    <t>INF846K01B44</t>
  </si>
  <si>
    <t>Axis Flexi Cap Fund - Regular Plan - IDCW</t>
  </si>
  <si>
    <t>INF0QA701383</t>
  </si>
  <si>
    <t>Bajaj Finserv Flexi Cap Fund -Regular Plan-Growth</t>
  </si>
  <si>
    <t>INF0QA701342</t>
  </si>
  <si>
    <t>Bajaj Finserv Flexi Cap Fund-Direct Plan-Growth</t>
  </si>
  <si>
    <t>INF0QA701359</t>
  </si>
  <si>
    <t>INF0QA701367</t>
  </si>
  <si>
    <t>Bajaj Finserv Flexi Cap Fund-Direct Plan-IDCW</t>
  </si>
  <si>
    <t>INF0QA701409</t>
  </si>
  <si>
    <t>INF0QA701417</t>
  </si>
  <si>
    <t>Bajaj Finserv Flexi Cap Fund-Regular Plan-IDCW</t>
  </si>
  <si>
    <t>INF194K01391</t>
  </si>
  <si>
    <t>BANDHAN Flexi Cap Fund - Regular Plan - Growth</t>
  </si>
  <si>
    <t>INF194K01409</t>
  </si>
  <si>
    <t>INF194K01417</t>
  </si>
  <si>
    <t>BANDHAN Flexi Cap Fund - Regular Plan - IDCW</t>
  </si>
  <si>
    <t>INF194K01W62</t>
  </si>
  <si>
    <t>BANDHAN Flexi Cap Fund-Direct Plan-Growth</t>
  </si>
  <si>
    <t>INF194K01W70</t>
  </si>
  <si>
    <t>INF194K01W88</t>
  </si>
  <si>
    <t>BANDHAN Flexi Cap Fund-Direct Plan-IDCW</t>
  </si>
  <si>
    <t>INF761K01FF5</t>
  </si>
  <si>
    <t>BANK OF INDIA Flexi Cap Fund Direct Plan -Growth</t>
  </si>
  <si>
    <t>INF761K01FE8</t>
  </si>
  <si>
    <t>INF761K01FG3</t>
  </si>
  <si>
    <t>BANK OF INDIA Flexi Cap Fund Direct Plan -IDCW</t>
  </si>
  <si>
    <t>INF761K01FI9</t>
  </si>
  <si>
    <t>BANK OF INDIA Flexi Cap Fund Regular Plan -Growth</t>
  </si>
  <si>
    <t>INF761K01FH1</t>
  </si>
  <si>
    <t>INF761K01FJ7</t>
  </si>
  <si>
    <t>BANK OF INDIA Flexi Cap Fund Regular Plan -IDCW</t>
  </si>
  <si>
    <t>INF251K01QZ2</t>
  </si>
  <si>
    <t>Baroda BNP Paribas Flexi Cap Fund - Direct Plan - Growth Option</t>
  </si>
  <si>
    <t>INF251K01RA3</t>
  </si>
  <si>
    <t>INF251K01RB1</t>
  </si>
  <si>
    <t>Baroda BNP Paribas Flexi Cap Fund - Direct Plan - IDCW Option</t>
  </si>
  <si>
    <t>INF251K01QW9</t>
  </si>
  <si>
    <t>Baroda BNP Paribas Flexi Cap Fund - Regular Plan - Growth Option</t>
  </si>
  <si>
    <t>INF251K01QX7</t>
  </si>
  <si>
    <t>INF251K01QY5</t>
  </si>
  <si>
    <t>Baroda BNP Paribas Flexi Cap Fund - Regular Plan - IDCW Option</t>
  </si>
  <si>
    <t>INF760K01EF0</t>
  </si>
  <si>
    <t>CANARA ROBECO FLEXICAP FUND - DIRECT PLAN - GROWTH OPTION</t>
  </si>
  <si>
    <t>INF760K01ED5</t>
  </si>
  <si>
    <t>INF760K01EE3</t>
  </si>
  <si>
    <t>CANARA ROBECO FLEXICAP FUND - DIRECT PLAN - IDCW (Payout/Reinvestment)</t>
  </si>
  <si>
    <t>INF760K01019</t>
  </si>
  <si>
    <t>CANARA ROBECO FLEXICAP FUND - REGULAR PLAN - GROWTH OPTION</t>
  </si>
  <si>
    <t>INF760K01027</t>
  </si>
  <si>
    <t>INF760K01035</t>
  </si>
  <si>
    <t>CANARA ROBECO FLEXICAP FUND - REGULAR PLAN - IDCW (Payout/Reinvestment)</t>
  </si>
  <si>
    <t>INF226401018</t>
  </si>
  <si>
    <t>CAPITALMIND FLEXI CAP FUND DIRECT GROWTH</t>
  </si>
  <si>
    <t>INF226401026</t>
  </si>
  <si>
    <t>CAPITALMIND FLEXI CAP FUND REGULAR GROWTH</t>
  </si>
  <si>
    <t>INF740K01PI2</t>
  </si>
  <si>
    <t>DSP Flexi Cap Fund - Direct Plan - Growth</t>
  </si>
  <si>
    <t>INF740K01PJ0</t>
  </si>
  <si>
    <t>INF740K01PK8</t>
  </si>
  <si>
    <t>DSP Flexi Cap Fund - Direct Plan - IDCW</t>
  </si>
  <si>
    <t>INF740K01037</t>
  </si>
  <si>
    <t>DSP Flexi Cap Fund - Regular Plan - Growth</t>
  </si>
  <si>
    <t>INF740K01011</t>
  </si>
  <si>
    <t>INF740K01029</t>
  </si>
  <si>
    <t>DSP Flexi Cap Fund - Regular Plan - IDCW</t>
  </si>
  <si>
    <t>INF843K01KK1</t>
  </si>
  <si>
    <t>Edelweiss Flexi Cap Fund - Direct Plan - Growth Option</t>
  </si>
  <si>
    <t>INF843K01KL9</t>
  </si>
  <si>
    <t>INF843K01KM7</t>
  </si>
  <si>
    <t>Edelweiss Flexi Cap Fund - Direct Plan - IDCW Option</t>
  </si>
  <si>
    <t>INF843K01KO3</t>
  </si>
  <si>
    <t>INF843K01KP0</t>
  </si>
  <si>
    <t>Edelweiss Flexi Cap Fund - Regular - IDCW Option</t>
  </si>
  <si>
    <t>INF843K01KN5</t>
  </si>
  <si>
    <t>Edelweiss Flexi Cap Fund - Regular Plan - Growth Option</t>
  </si>
  <si>
    <t>INF090I01FK3</t>
  </si>
  <si>
    <t>Franklin India Flexi Cap Fund - Direct - Growth</t>
  </si>
  <si>
    <t>INF090I01FL1</t>
  </si>
  <si>
    <t>INF090I01FM9</t>
  </si>
  <si>
    <t xml:space="preserve">Franklin India Flexi Cap Fund - Direct - IDCW </t>
  </si>
  <si>
    <t>INF090I01239</t>
  </si>
  <si>
    <t>Franklin India Flexi Cap Fund - Growth</t>
  </si>
  <si>
    <t>INF090I01213</t>
  </si>
  <si>
    <t>INF090I01221</t>
  </si>
  <si>
    <t xml:space="preserve">Franklin India Flexi Cap Fund - IDCW </t>
  </si>
  <si>
    <t>HDFC Flexi Cap Fund - Growth Option - Direct Plan</t>
  </si>
  <si>
    <t>INF179K01608</t>
  </si>
  <si>
    <t>HDFC Flexi Cap Fund - Growth Plan</t>
  </si>
  <si>
    <t>INF179K01VL5</t>
  </si>
  <si>
    <t>INF179K01VM3</t>
  </si>
  <si>
    <t>HDFC Flexi Cap Fund - IDCW Option - Direct Plan</t>
  </si>
  <si>
    <t>INF179K01582</t>
  </si>
  <si>
    <t>INF179K01590</t>
  </si>
  <si>
    <t>HDFC Flexi Cap Fund - IDCW Plan</t>
  </si>
  <si>
    <t>INF0R8701046</t>
  </si>
  <si>
    <t>Helios Flexi Cap Fund - Direct Plan - Growth Option</t>
  </si>
  <si>
    <t>INF0R8701053</t>
  </si>
  <si>
    <t>INF0R8701061</t>
  </si>
  <si>
    <t>Helios Flexi Cap Fund - Direct Plan - IDCW Option</t>
  </si>
  <si>
    <t>INF0R8701012</t>
  </si>
  <si>
    <t>Helios Flexi Cap Fund - Regular Plan - Growth Option</t>
  </si>
  <si>
    <t>INF0R8701020</t>
  </si>
  <si>
    <t>INF0R8701038</t>
  </si>
  <si>
    <t>Helios Flexi Cap Fund - Regular Plan - IDCW Option</t>
  </si>
  <si>
    <t>INF336L01DH5</t>
  </si>
  <si>
    <t>HSBC Flexi Cap Fund - Direct Growth</t>
  </si>
  <si>
    <t>INF336L01DF9</t>
  </si>
  <si>
    <t>INF336L01DG7</t>
  </si>
  <si>
    <t>HSBC Flexi Cap Fund - Direct IDCW</t>
  </si>
  <si>
    <t>INF336L01AF5</t>
  </si>
  <si>
    <t>HSBC Flexi Cap Fund - Regular Growth</t>
  </si>
  <si>
    <t>INF336L01AE8</t>
  </si>
  <si>
    <t>INF336L01AD0</t>
  </si>
  <si>
    <t>HSBC Flexi Cap Fund - Regular IDCW</t>
  </si>
  <si>
    <t>INF109KC1R14</t>
  </si>
  <si>
    <t>ICICI Prudential Flexicap Fund - Direct Plan - Growth</t>
  </si>
  <si>
    <t>INF109KC1R22</t>
  </si>
  <si>
    <t>INF109KC1R30</t>
  </si>
  <si>
    <t>ICICI Prudential Flexicap Fund - Direct Plan - IDCW</t>
  </si>
  <si>
    <t>INF109KC1Q80</t>
  </si>
  <si>
    <t>ICICI Prudential Flexicap Fund - Growth</t>
  </si>
  <si>
    <t>INF109KC1Q98</t>
  </si>
  <si>
    <t>INF109KC1R06</t>
  </si>
  <si>
    <t>ICICI Prudential Flexicap Fund - IDCW</t>
  </si>
  <si>
    <t>INF205KA1494</t>
  </si>
  <si>
    <t>Invesco India Flexi Cap Fund - Direct Plan - Growth</t>
  </si>
  <si>
    <t>INF205KA1486</t>
  </si>
  <si>
    <t>INF205KA1502</t>
  </si>
  <si>
    <t>Invesco India Flexi Cap Fund - Direct Plan - IDCW</t>
  </si>
  <si>
    <t>INF205KA1460</t>
  </si>
  <si>
    <t>Invesco India Flexi Cap Fund - Regular Plan - Growth</t>
  </si>
  <si>
    <t>INF205KA1452</t>
  </si>
  <si>
    <t>INF205KA1478</t>
  </si>
  <si>
    <t>Invesco India Flexi Cap Fund - Regular Plan - IDCW</t>
  </si>
  <si>
    <t>INF00XX01CO7</t>
  </si>
  <si>
    <t>ITI Flexi Cap Fund- Direct Plan- Growth</t>
  </si>
  <si>
    <t>INF00XX01CP4</t>
  </si>
  <si>
    <t>INF00XX01CQ2</t>
  </si>
  <si>
    <t>ITI Flexi Cap Fund- Direct Plan- IDCW</t>
  </si>
  <si>
    <t>INF00XX01CL3</t>
  </si>
  <si>
    <t>ITI Flexi Cap Fund- Regular Plan- Growth</t>
  </si>
  <si>
    <t>INF00XX01CM1</t>
  </si>
  <si>
    <t>INF00XX01CN9</t>
  </si>
  <si>
    <t>ITI Flexi Cap Fund- Regular Plan- IDCW</t>
  </si>
  <si>
    <t>INF22M001093</t>
  </si>
  <si>
    <t>JioBlackRock Flexi Cap Fund - Direct Plan - Growth Option</t>
  </si>
  <si>
    <t>INF192K01CC7</t>
  </si>
  <si>
    <t>JM Flexicap Fund (Direct) - Growth Option</t>
  </si>
  <si>
    <t>INF192K01CA1</t>
  </si>
  <si>
    <t>INF192K01CB9</t>
  </si>
  <si>
    <t>JM Flexicap Fund (Direct) - IDCW</t>
  </si>
  <si>
    <t>INF192K01635</t>
  </si>
  <si>
    <t>JM Flexicap Fund (Regular) - Growth option</t>
  </si>
  <si>
    <t>INF192K01619</t>
  </si>
  <si>
    <t>INF192K01627</t>
  </si>
  <si>
    <t>JM Flexicap Fund (Regular) - IDCW</t>
  </si>
  <si>
    <t>INF174K01336</t>
  </si>
  <si>
    <t>Kotak Flexicap Fund - Growth</t>
  </si>
  <si>
    <t>INF174K01LS2</t>
  </si>
  <si>
    <t>Kotak Flexicap Fund - Growth - Direct</t>
  </si>
  <si>
    <t>INF174K01351</t>
  </si>
  <si>
    <t>INF174K01344</t>
  </si>
  <si>
    <t>Kotak Flexicap Fund - Payout of Income Distribution cum capital withdrawal option</t>
  </si>
  <si>
    <t>INF174K01LQ6</t>
  </si>
  <si>
    <t>INF174K01LR4</t>
  </si>
  <si>
    <t>Kotak Flexicap Fund - Payout of Income Distribution cum capital withdrawal option- Direct</t>
  </si>
  <si>
    <t>INF767K01EG3</t>
  </si>
  <si>
    <t>LIC MF Flexi Cap Fund-Direct Plan-Growth</t>
  </si>
  <si>
    <t>INF767K01EF5</t>
  </si>
  <si>
    <t>INF767K01EH1</t>
  </si>
  <si>
    <t>LIC MF Flexi Cap Fund-Direct Plan-IDCW</t>
  </si>
  <si>
    <t>INF767K01071</t>
  </si>
  <si>
    <t>LIC MF Flexi Cap Fund-Regular Plan-Growth</t>
  </si>
  <si>
    <t>INF767K01063</t>
  </si>
  <si>
    <t>INF767K01055</t>
  </si>
  <si>
    <t>LIC MF Flexi Cap Fund-Regular Plan-IDCW</t>
  </si>
  <si>
    <t>INF174V01AS2</t>
  </si>
  <si>
    <t>Mahindra Manulife Flexi Cap Fund - Direct Plan -Growth</t>
  </si>
  <si>
    <t>INF174V01AU8</t>
  </si>
  <si>
    <t>INF174V01AT0</t>
  </si>
  <si>
    <t>Mahindra Manulife Flexi Cap Fund - Direct Plan -IDCW</t>
  </si>
  <si>
    <t>INF174V01AP8</t>
  </si>
  <si>
    <t>Mahindra Manulife Flexi Cap Fund - Regular Plan -Growth</t>
  </si>
  <si>
    <t>INF174V01AR4</t>
  </si>
  <si>
    <t>INF174V01AQ6</t>
  </si>
  <si>
    <t>Mahindra Manulife Flexi Cap Fund - Regular Plan -IDCW</t>
  </si>
  <si>
    <t>INF769K01JI4</t>
  </si>
  <si>
    <t>INF769K01JK0</t>
  </si>
  <si>
    <t>Mirae Asset Flexi Cap Fund - Direct Plan -  IDCW</t>
  </si>
  <si>
    <t>INF769K01JJ2</t>
  </si>
  <si>
    <t>Mirae Asset Flexi Cap Fund - Direct Plan - Growth</t>
  </si>
  <si>
    <t>INF769K01JG8</t>
  </si>
  <si>
    <t>Mirae Asset Flexi Cap Fund - Regular Plan - Growth</t>
  </si>
  <si>
    <t>INF769K01JF0</t>
  </si>
  <si>
    <t>INF769K01JH6</t>
  </si>
  <si>
    <t>Mirae Asset Flexi Cap Fund - Regular Plan - IDCW</t>
  </si>
  <si>
    <t>INF247L01528</t>
  </si>
  <si>
    <t>INF247L01510</t>
  </si>
  <si>
    <t>Motilal Oswal Flexi Cap Fund Direct - IDCW Payout/Reinvestment</t>
  </si>
  <si>
    <t>INF247L01502</t>
  </si>
  <si>
    <t>Motilal Oswal Flexi cap Fund Direct Plan-Growth Option</t>
  </si>
  <si>
    <t>INF247L01494</t>
  </si>
  <si>
    <t>INF247L01486</t>
  </si>
  <si>
    <t>Motilal Oswal Flexi cap Fund Regular - IDCW Payout/Reinvestment</t>
  </si>
  <si>
    <t>INF247L01478</t>
  </si>
  <si>
    <t>Motilal Oswal Flexi Cap Fund Regular Plan-Growth Option</t>
  </si>
  <si>
    <t>INF959L01DT9</t>
  </si>
  <si>
    <t>Navi Flexi Cap Fund - Direct Plan - Growth</t>
  </si>
  <si>
    <t>INF959L01EC3</t>
  </si>
  <si>
    <t>INF959L01ED1</t>
  </si>
  <si>
    <t>NAVI FLEXI CAP FUND - DIRECT PLAN ANNUAL IDCW PAYOUT</t>
  </si>
  <si>
    <t>INF959L01EA7</t>
  </si>
  <si>
    <t>INF959L01EB5</t>
  </si>
  <si>
    <t>NAVI FLEXI CAP FUND - DIRECT PLAN HALF YEARLY IDCW PAYOUT</t>
  </si>
  <si>
    <t>INF959L01DW3</t>
  </si>
  <si>
    <t>INF959L01DX1</t>
  </si>
  <si>
    <t>NAVI FLEXI CAP FUND - DIRECT PLAN MONTHLY IDCW PAYOUT</t>
  </si>
  <si>
    <t>INF959L01DU7</t>
  </si>
  <si>
    <t>INF959L01DV5</t>
  </si>
  <si>
    <t>NAVI FLEXI CAP FUND - DIRECT PLAN NORMAL IDCW PAYOUT</t>
  </si>
  <si>
    <t>INF959L01DY9</t>
  </si>
  <si>
    <t>INF959L01DZ6</t>
  </si>
  <si>
    <t>NAVI FLEXI CAP FUND - DIRECT PLAN QUARTERLY IDCW PAYOUT</t>
  </si>
  <si>
    <t>INF959L01EE9</t>
  </si>
  <si>
    <t>Navi Flexi Cap Fund - Regular Plan - Growth</t>
  </si>
  <si>
    <t>INF959L01EN0</t>
  </si>
  <si>
    <t>INF959L01EO8</t>
  </si>
  <si>
    <t>NAVI FLEXI CAP FUND - REGULAR PLAN ANNUAL IDCW PAYOUT</t>
  </si>
  <si>
    <t>INF959L01EL4</t>
  </si>
  <si>
    <t>INF959L01EM2</t>
  </si>
  <si>
    <t>NAVI FLEXI CAP FUND - REGULAR PLAN HALF YEARLY IDCW PAYOUT</t>
  </si>
  <si>
    <t>INF959L01EH2</t>
  </si>
  <si>
    <t>INF959L01EI0</t>
  </si>
  <si>
    <t>NAVI FLEXI CAP FUND - REGULAR PLAN MONTHLY IDCW PAYOUT</t>
  </si>
  <si>
    <t>INF959L01EF6</t>
  </si>
  <si>
    <t>INF959L01EG4</t>
  </si>
  <si>
    <t>NAVI FLEXI CAP FUND - REGULAR PLAN NORMAL IDCW PAYOUT</t>
  </si>
  <si>
    <t>INF959L01EJ8</t>
  </si>
  <si>
    <t>INF959L01EK6</t>
  </si>
  <si>
    <t>NAVI FLEXI CAP FUND - REGULAR PLAN QUARTERLY IDCW PAYOUT</t>
  </si>
  <si>
    <t>INF204KC1121</t>
  </si>
  <si>
    <t>Nippon India Flexi Cap Fund - Direct Plan - Growth Plan - Growth Option</t>
  </si>
  <si>
    <t>INF204KC1139</t>
  </si>
  <si>
    <t>INF204KC1147</t>
  </si>
  <si>
    <t>Nippon India Flexi Cap Fund - Direct Plan - IDCW Option</t>
  </si>
  <si>
    <t>INF204KC1097</t>
  </si>
  <si>
    <t>Nippon India Flexi Cap Fund - Regular Plan - Growth Plan - Growth Option</t>
  </si>
  <si>
    <t>INF204KC1105</t>
  </si>
  <si>
    <t>INF204KC1113</t>
  </si>
  <si>
    <t>Nippon India Flexi Cap Fund - Regular Plan - IDCW Option</t>
  </si>
  <si>
    <t>INF0J8L01156</t>
  </si>
  <si>
    <t>NJ Flexi Cap Fund - Direct Plan - Growth Option</t>
  </si>
  <si>
    <t>INF0J8L01164</t>
  </si>
  <si>
    <t>NJ Flexi Cap Fund - Direct Plan - IDCW Option</t>
  </si>
  <si>
    <t>INF0J8L01131</t>
  </si>
  <si>
    <t>NJ Flexi Cap Fund - Regular Plan - Growth Option</t>
  </si>
  <si>
    <t>INF0J8L01149</t>
  </si>
  <si>
    <t>NJ Flexi Cap Fund - Regular Plan - IDCW Option</t>
  </si>
  <si>
    <t>INF0S5R01133</t>
  </si>
  <si>
    <t>Old Bridge Flexi Cap Fund Direct Growth</t>
  </si>
  <si>
    <t>INF0S5R01141</t>
  </si>
  <si>
    <t>INF0S5R01158</t>
  </si>
  <si>
    <t>Old Bridge Flexi Cap Fund Direct IDCW</t>
  </si>
  <si>
    <t>INF0S5R01166</t>
  </si>
  <si>
    <t>Old Bridge Flexi Cap Fund Regular Growth</t>
  </si>
  <si>
    <t>INF0S5R01174</t>
  </si>
  <si>
    <t>INF0S5R01182</t>
  </si>
  <si>
    <t>Old Bridge Flexi Cap Fund Regular IDCW</t>
  </si>
  <si>
    <t>INF663L01FG9</t>
  </si>
  <si>
    <t>INF663L01FH7</t>
  </si>
  <si>
    <t>PGIM India Flexi Cap Fund - Direct Plan - Dividend Option</t>
  </si>
  <si>
    <t>INF663L01FF1</t>
  </si>
  <si>
    <t>PGIM India Flexi Cap Fund - Direct Plan - Growth Option</t>
  </si>
  <si>
    <t>INF663L01FK1</t>
  </si>
  <si>
    <t>INF663L01FL9</t>
  </si>
  <si>
    <t>PGIM India Flexi Cap Fund - Regular Plan - Dividend Option</t>
  </si>
  <si>
    <t>INF663L01FJ3</t>
  </si>
  <si>
    <t>PGIM India Flexi Cap Fund - Regular Plan - Growth Option</t>
  </si>
  <si>
    <t>INF879O01027</t>
  </si>
  <si>
    <t>Parag Parikh Flexi Cap Fund - Direct Plan - Growth</t>
  </si>
  <si>
    <t>INF879O01308</t>
  </si>
  <si>
    <t>Parag Parikh Flexi Cap Fund - Direct Plan - IDCW</t>
  </si>
  <si>
    <t>INF879O01019</t>
  </si>
  <si>
    <t>Parag Parikh Flexi Cap Fund - Regular Plan - Growth</t>
  </si>
  <si>
    <t>INF879O01324</t>
  </si>
  <si>
    <t>Parag Parikh Flexi Cap Fund - Regular Plan - IDCW</t>
  </si>
  <si>
    <t>INF966L01457</t>
  </si>
  <si>
    <t>quant Flexi Cap Fund - Growth Option - Regular Plan</t>
  </si>
  <si>
    <t>INF966L01911</t>
  </si>
  <si>
    <t>quant Flexi Cap Fund - Growth Option-Direct Plan</t>
  </si>
  <si>
    <t>INF966L01895</t>
  </si>
  <si>
    <t>INF966L01903</t>
  </si>
  <si>
    <t>quant Flexi Cap Fund - IDCW Option - Direct Plan</t>
  </si>
  <si>
    <t>INF966L01432</t>
  </si>
  <si>
    <t>INF966L01440</t>
  </si>
  <si>
    <t>quant Flexi Cap Fund - IDCW Option - Regular Plan</t>
  </si>
  <si>
    <t>INF0K1H01024</t>
  </si>
  <si>
    <t>Samco Flexi Cap Fund - Direct Plan - Growth Option</t>
  </si>
  <si>
    <t>INF0K1H01016</t>
  </si>
  <si>
    <t>Samco Flexi Cap Fund - Regular Plan - Growth Option</t>
  </si>
  <si>
    <t>INF200K01UG1</t>
  </si>
  <si>
    <t>SBI Flexicap Fund - DIRECT PLAN - Growth Option</t>
  </si>
  <si>
    <t>INF200K01UE6</t>
  </si>
  <si>
    <t>INF200K01UF3</t>
  </si>
  <si>
    <t>SBI Flexicap Fund - Direct Plan - Income Distribution cum Capital Withdrawal Option (IDCW)</t>
  </si>
  <si>
    <t>INF200K01230</t>
  </si>
  <si>
    <t>INF200K01248</t>
  </si>
  <si>
    <t>SBI Flexicap Fund - Regular Plan - Income Distribution cum Capital Withdrawal Option (IDCW)</t>
  </si>
  <si>
    <t>INF200K01222</t>
  </si>
  <si>
    <t>SBI Flexicap Fund - REGULAR PLAN -Growth Option</t>
  </si>
  <si>
    <t>INF680P01109</t>
  </si>
  <si>
    <t>Shriram Flexi Cap Fund - Direct Growth</t>
  </si>
  <si>
    <t>INF680P01117</t>
  </si>
  <si>
    <t>INF680P01125</t>
  </si>
  <si>
    <t>Shriram Flexi Cap Fund - Direct-IDCW</t>
  </si>
  <si>
    <t>INF680P01075</t>
  </si>
  <si>
    <t>Shriram Flexi Cap Fund - Regular Growth</t>
  </si>
  <si>
    <t>INF680P01083</t>
  </si>
  <si>
    <t>INF680P01091</t>
  </si>
  <si>
    <t>Shriram Flexi Cap Fund - Regular-IDCW</t>
  </si>
  <si>
    <t>INF903JA1LE2</t>
  </si>
  <si>
    <t>Sundaram Flexicap Fund Direct Growth</t>
  </si>
  <si>
    <t>INF903JA1LF9</t>
  </si>
  <si>
    <t>Sundaram Flexicap Fund Direct Plan IDCW Payout</t>
  </si>
  <si>
    <t>INF903JA1LG7</t>
  </si>
  <si>
    <t>Sundaram Flexicap Fund Direct Plan IDCW Reinvestment</t>
  </si>
  <si>
    <t>INF903JA1LB8</t>
  </si>
  <si>
    <t>Sundaram Flexicap Fund Regular Growth</t>
  </si>
  <si>
    <t>INF903JA1LC6</t>
  </si>
  <si>
    <t>Sundaram Flexicap Fund Regular Plan IDCW Payout</t>
  </si>
  <si>
    <t>INF903JA1LD4</t>
  </si>
  <si>
    <t>Sundaram Flexicap Fund Regular Plan IDCW Reinvestment</t>
  </si>
  <si>
    <t>INF277K017K6</t>
  </si>
  <si>
    <t xml:space="preserve">TATA Flexi Cap Fund - Direct Plan - Payout of Income Distribution cum capital withdrawal option </t>
  </si>
  <si>
    <t>INF277K019K2</t>
  </si>
  <si>
    <t>Tata Flexi Cap Fund -Regular Plan-Growth</t>
  </si>
  <si>
    <t>INF277K016K8</t>
  </si>
  <si>
    <t>TATA Flexi Cap Fund Direct Plan - Reinvestment of Income Distribution cum capital withdrawal option</t>
  </si>
  <si>
    <t>INF277K011L7</t>
  </si>
  <si>
    <t xml:space="preserve">TATA Flexi Cap Fund Regular Plan - Payout of Income Distribution cum capital withdrawal option </t>
  </si>
  <si>
    <t>INF277K010L9</t>
  </si>
  <si>
    <t xml:space="preserve">TATA Flexi Cap Fund Regular Plan - Reinvestment of Income Distribution cum capital withdrawal option </t>
  </si>
  <si>
    <t>INF277K015K0</t>
  </si>
  <si>
    <t>Tata Flexi Cap Fund-Direct Plan-Growth</t>
  </si>
  <si>
    <t>INF044D01BV7</t>
  </si>
  <si>
    <t>INF044D01BW5</t>
  </si>
  <si>
    <t>Taurus Flexi Cap Fund - Direct Plan -  Payout of Income Distribution cum Capital Withdrawal option</t>
  </si>
  <si>
    <t>INF044D01BU9</t>
  </si>
  <si>
    <t>Taurus Flexi Cap Fund - Direct Plan - Growth</t>
  </si>
  <si>
    <t>INF044D01989</t>
  </si>
  <si>
    <t xml:space="preserve">Taurus Flexi Cap Fund - Regular Plan - Growth </t>
  </si>
  <si>
    <t>INF044D01955</t>
  </si>
  <si>
    <t>INF044D01963</t>
  </si>
  <si>
    <t>Taurus Flexi Cap Fund - Regular Plan - Payout of Income Distribution cum Capital Withdrawal option</t>
  </si>
  <si>
    <t>INF2F0001040</t>
  </si>
  <si>
    <t>THE WEALTH COMPANY FLEXI CAP FUND - DIRECT GROWTH</t>
  </si>
  <si>
    <t>INF2F0001057</t>
  </si>
  <si>
    <t>INF2F0001065</t>
  </si>
  <si>
    <t>THE WEALTH COMPANY FLEXI CAP FUND - DIRECT IDCW</t>
  </si>
  <si>
    <t>INF2F0001016</t>
  </si>
  <si>
    <t>THE WEALTH COMPANY FLEXI CAP FUND - REGULAR GROWTH</t>
  </si>
  <si>
    <t>INF2F0001024</t>
  </si>
  <si>
    <t>INF2F0001032</t>
  </si>
  <si>
    <t>THE WEALTH COMPANY FLEXI CAP FUND - REGULAR IDCW</t>
  </si>
  <si>
    <t>INF0GCD01743</t>
  </si>
  <si>
    <t>TRUSTMF Flexi Cap Fund-Direct Plan- Growth</t>
  </si>
  <si>
    <t>INF0GCD01750</t>
  </si>
  <si>
    <t>INF0GCD01768</t>
  </si>
  <si>
    <t>TRUSTMF Flexi Cap Fund-Direct Plan- IDCW</t>
  </si>
  <si>
    <t>INF0GCD01719</t>
  </si>
  <si>
    <t>TRUSTMF Flexi Cap Fund-Regular Plan- Growth</t>
  </si>
  <si>
    <t>INF0GCD01727</t>
  </si>
  <si>
    <t>INF0GCD01735</t>
  </si>
  <si>
    <t>TRUSTMF Flexi Cap Fund-Regular Plan- IDCW</t>
  </si>
  <si>
    <t>INF1MIY01031</t>
  </si>
  <si>
    <t>Unifi Flexi Cap Fund - Direct Growth</t>
  </si>
  <si>
    <t>INF1MIY01049</t>
  </si>
  <si>
    <t>Unifi Flexi Cap Fund - Regular Growth</t>
  </si>
  <si>
    <t>INF582M01633</t>
  </si>
  <si>
    <t>Union Flexi Cap Fund - Direct Plan - Growth Option</t>
  </si>
  <si>
    <t>INF582M01658</t>
  </si>
  <si>
    <t>INF582M01641</t>
  </si>
  <si>
    <t>Union Flexi Cap Fund - Direct Plan - IDCW Option</t>
  </si>
  <si>
    <t>INF582M01104</t>
  </si>
  <si>
    <t>Union Flexi Cap Fund - Growth Option</t>
  </si>
  <si>
    <t>INF582M01120</t>
  </si>
  <si>
    <t>INF582M01112</t>
  </si>
  <si>
    <t>Union Flexi Cap Fund - IDCW Option</t>
  </si>
  <si>
    <t>INF789F01513</t>
  </si>
  <si>
    <t>UTI - Flexi Cap Fund-Growth Option</t>
  </si>
  <si>
    <t>INF789F01TC4</t>
  </si>
  <si>
    <t>UTI - Flexi Cap Fund-Growth Option - Direct</t>
  </si>
  <si>
    <t>INF789F01TA8</t>
  </si>
  <si>
    <t>INF789F01TB6</t>
  </si>
  <si>
    <t>UTI Flexi Cap Fund - Direct Plan - IDCW</t>
  </si>
  <si>
    <t>INF189A01053</t>
  </si>
  <si>
    <t>INF789F01505</t>
  </si>
  <si>
    <t>UTI Flexi Cap Fund - Regular Plan - IDCW</t>
  </si>
  <si>
    <t>INF03VN01555</t>
  </si>
  <si>
    <t>INF03VN01548</t>
  </si>
  <si>
    <t>WhiteOak Capital Flexi Cap Fund Direct Plan IDCW</t>
  </si>
  <si>
    <t>INF03VN01530</t>
  </si>
  <si>
    <t>WhiteOak Capital Flexi Cap Fund Direct Plan-Growth</t>
  </si>
  <si>
    <t>INF03VN01522</t>
  </si>
  <si>
    <t>INF03VN01514</t>
  </si>
  <si>
    <t>WhiteOak Capital Flexi Cap Fund Regular Plan IDCW</t>
  </si>
  <si>
    <t>INF03VN01506</t>
  </si>
  <si>
    <t>WhiteOak Capital Flexi Cap Fund Regular Plan-Growth</t>
  </si>
  <si>
    <t>INF579M01910</t>
  </si>
  <si>
    <t>INF579M01928</t>
  </si>
  <si>
    <t>360 ONE Focused Fund - Direct Plan - Dividend</t>
  </si>
  <si>
    <t>INF579M01886</t>
  </si>
  <si>
    <t>INF579M01894</t>
  </si>
  <si>
    <t>360 ONE Focused Fund - Regular Plan - Dividend</t>
  </si>
  <si>
    <t>INF579M01878</t>
  </si>
  <si>
    <t>360 ONE Focused Fund -Regular Plan - Growth</t>
  </si>
  <si>
    <t>INF579M01902</t>
  </si>
  <si>
    <t>360 ONE Focused Fund-Direct Plan-Growth</t>
  </si>
  <si>
    <t>INF209K01WE3</t>
  </si>
  <si>
    <t>Aditya Birla Sun Life Focused Fund - Growth - Direct Plan</t>
  </si>
  <si>
    <t>INF209K01Q71</t>
  </si>
  <si>
    <t>INF209K01WF0</t>
  </si>
  <si>
    <t>Aditya Birla Sun Life Focused Fund -Direct - IDCW</t>
  </si>
  <si>
    <t>INF209K01462</t>
  </si>
  <si>
    <t>Aditya Birla Sun Life Focused Fund -Growth Option</t>
  </si>
  <si>
    <t>INF209K01454</t>
  </si>
  <si>
    <t>INF209K01CS5</t>
  </si>
  <si>
    <t>Aditya Birla Sun Life Focused Fund -Regular - IDCW</t>
  </si>
  <si>
    <t>INF846K01CQ8</t>
  </si>
  <si>
    <t>Axis Focused Fund - Direct Plan - Growth Option</t>
  </si>
  <si>
    <t>INF846K01CO3</t>
  </si>
  <si>
    <t>INF846K01CP0</t>
  </si>
  <si>
    <t>Axis Focused Fund - Direct Plan - IDCW</t>
  </si>
  <si>
    <t>INF846K01CH7</t>
  </si>
  <si>
    <t>Axis Focused Fund - Regular Plan - Growth Option</t>
  </si>
  <si>
    <t>INF846K01CI5</t>
  </si>
  <si>
    <t>INF846K01CJ3</t>
  </si>
  <si>
    <t>Axis Focused Fund - Regular Plan - IDCW</t>
  </si>
  <si>
    <t>INF194K01W21</t>
  </si>
  <si>
    <t>Bandhan Focused Fund - Direct Plan - Growth</t>
  </si>
  <si>
    <t>INF194K01W39</t>
  </si>
  <si>
    <t>INF194K01W47</t>
  </si>
  <si>
    <t>Bandhan Focused Fund - Direct Plan - IDCW</t>
  </si>
  <si>
    <t>INF194K01466</t>
  </si>
  <si>
    <t>Bandhan Focused Fund - Regular Plan - Growth</t>
  </si>
  <si>
    <t>INF194K01474</t>
  </si>
  <si>
    <t>INF194K01482</t>
  </si>
  <si>
    <t>Bandhan Focused Fund - Regular Plan - IDCW</t>
  </si>
  <si>
    <t>INF251K01PN0</t>
  </si>
  <si>
    <t>BARODA BNP PARIBAS Focused Fund - Direct Plan - Growth Option</t>
  </si>
  <si>
    <t>INF251K01PO8</t>
  </si>
  <si>
    <t>INF251K01PP5</t>
  </si>
  <si>
    <t>BARODA BNP PARIBAS Focused Fund - Direct Plan - IDCW Option</t>
  </si>
  <si>
    <t>INF251K01PL4</t>
  </si>
  <si>
    <t>INF251K01PM2</t>
  </si>
  <si>
    <t>BARODA BNP PARIBAS Focused Fund - Regular Plan - IDCW Option</t>
  </si>
  <si>
    <t>INF251K01PK6</t>
  </si>
  <si>
    <t>BARODA BNP PARIBAS Focused Fund - Regular Plan-Growth Option</t>
  </si>
  <si>
    <t>INF760K01JQ6</t>
  </si>
  <si>
    <t>Canara Robeco Focused Fund - Direct Plan - Growth Option</t>
  </si>
  <si>
    <t>INF760K01JS2</t>
  </si>
  <si>
    <t>INF760K01JR4</t>
  </si>
  <si>
    <t>Canara Robeco Focused Fund - Direct Plan - IDCW (Payout/Reinvestment)</t>
  </si>
  <si>
    <t>INF760K01JT0</t>
  </si>
  <si>
    <t>Canara Robeco Focused Fund - Regular Plan - Growth Option</t>
  </si>
  <si>
    <t>INF760K01JV6</t>
  </si>
  <si>
    <t>INF760K01JU8</t>
  </si>
  <si>
    <t>Canara Robeco Focused Fund - Regular Plan - IDCW (Payout/Reinvestment)</t>
  </si>
  <si>
    <t>INF740K01OB0</t>
  </si>
  <si>
    <t>DSP Focused Fund - Direct Plan - Growth</t>
  </si>
  <si>
    <t>INF740K01OC8</t>
  </si>
  <si>
    <t>INF740K01OD6</t>
  </si>
  <si>
    <t>DSP Focused Fund - Direct Plan - IDCW</t>
  </si>
  <si>
    <t>INF740K01532</t>
  </si>
  <si>
    <t>DSP Focused Fund - Regular Plan - Growth</t>
  </si>
  <si>
    <t>INF740K01540</t>
  </si>
  <si>
    <t>INF740K01AC7</t>
  </si>
  <si>
    <t>DSP Focused Fund - Regular Plan - IDCW</t>
  </si>
  <si>
    <t>INF754K01OP1</t>
  </si>
  <si>
    <t>Edelweiss Focused Fund - Direct Plan - Growth</t>
  </si>
  <si>
    <t>INF754K01OQ9</t>
  </si>
  <si>
    <t>INF754K01OR7</t>
  </si>
  <si>
    <t>Edelweiss Focused Fund - Direct Plan - IDCW</t>
  </si>
  <si>
    <t>INF754K01OL0</t>
  </si>
  <si>
    <t>Edelweiss Focused Fund - Regular Plan - Growth</t>
  </si>
  <si>
    <t>INF754K01OM8</t>
  </si>
  <si>
    <t>INF754K01ON6</t>
  </si>
  <si>
    <t>Edelweiss Focused Fund - Regular Plan - IDCW</t>
  </si>
  <si>
    <t>INF090I01IW2</t>
  </si>
  <si>
    <t>Franklin India Focused Equity Fund - Direct - Growth</t>
  </si>
  <si>
    <t>INF090I01IU6</t>
  </si>
  <si>
    <t>INF090I01IV4</t>
  </si>
  <si>
    <t xml:space="preserve">Franklin India Focused Equity Fund - Direct - IDCW </t>
  </si>
  <si>
    <t>INF090I01981</t>
  </si>
  <si>
    <t>Franklin India Focused Equity Fund - Growth Plan</t>
  </si>
  <si>
    <t>INF090I01965</t>
  </si>
  <si>
    <t>INF090I01973</t>
  </si>
  <si>
    <t xml:space="preserve">Franklin India Focused Equity Fund - IDCW </t>
  </si>
  <si>
    <t>INF179K01VK7</t>
  </si>
  <si>
    <t>HDFC Focused Fund - Growth Option - Direct Plan</t>
  </si>
  <si>
    <t>INF179K01574</t>
  </si>
  <si>
    <t>HDFC Focused Fund - GROWTH PLAN</t>
  </si>
  <si>
    <t>INF179K01VI1</t>
  </si>
  <si>
    <t>INF179K01VJ9</t>
  </si>
  <si>
    <t>HDFC Focused Fund - IDCW Option - Direct Plan</t>
  </si>
  <si>
    <t>INF179K01558</t>
  </si>
  <si>
    <t>INF179K01566</t>
  </si>
  <si>
    <t>HDFC Focused Fund - IDCW PLAN</t>
  </si>
  <si>
    <t>INF336L01PB2</t>
  </si>
  <si>
    <t>HSBC Focused Fund - Direct Growth</t>
  </si>
  <si>
    <t>INF336L01PC0</t>
  </si>
  <si>
    <t>INF336L01PD8</t>
  </si>
  <si>
    <t>HSBC Focused Fund - Direct IDCW</t>
  </si>
  <si>
    <t>INF336L01PE6</t>
  </si>
  <si>
    <t>HSBC Focused Fund - Regular Growth</t>
  </si>
  <si>
    <t>INF336L01PF3</t>
  </si>
  <si>
    <t>INF336L01PG1</t>
  </si>
  <si>
    <t>HSBC Focused Fund - Regular IDCW</t>
  </si>
  <si>
    <t>INF109K018N2</t>
  </si>
  <si>
    <t>ICICI Prudential Focused Equity Fund - Direct Plan - Growth</t>
  </si>
  <si>
    <t>INF109K016N6</t>
  </si>
  <si>
    <t>INF109K017N4</t>
  </si>
  <si>
    <t>ICICI Prudential Focused Equity Fund - Direct Plan - IDCW</t>
  </si>
  <si>
    <t>INF109K01BZ4</t>
  </si>
  <si>
    <t>ICICI Prudential Focused Equity Fund - Growth</t>
  </si>
  <si>
    <t>INF109K01FM3</t>
  </si>
  <si>
    <t>INF109K01CA5</t>
  </si>
  <si>
    <t>ICICI Prudential Focused Equity Fund - IDCW</t>
  </si>
  <si>
    <t>INF205KA1213</t>
  </si>
  <si>
    <t>Invesco India Focused Fund - Direct Plan - Growth</t>
  </si>
  <si>
    <t>INF205KA1205</t>
  </si>
  <si>
    <t>INF205KA1221</t>
  </si>
  <si>
    <t>Invesco India Focused Fund - Direct Plan - IDCW (Payout / Reinvestment)</t>
  </si>
  <si>
    <t>INF205KA1189</t>
  </si>
  <si>
    <t>Invesco India Focused Fund - Regular Plan - Growth</t>
  </si>
  <si>
    <t>INF205KA1171</t>
  </si>
  <si>
    <t>INF205KA1197</t>
  </si>
  <si>
    <t>Invesco India Focused Fund - Regular Plan - IDCW (Payout / Reinvestment)</t>
  </si>
  <si>
    <t>INF00XX01CS8</t>
  </si>
  <si>
    <t>ITI Focused Fund - Direct Plan - Growth</t>
  </si>
  <si>
    <t>INF00XX01CT6</t>
  </si>
  <si>
    <t>INF00XX01CU4</t>
  </si>
  <si>
    <t>ITI Focused Fund - Direct Plan - IDCW</t>
  </si>
  <si>
    <t>INF00XX01CV2</t>
  </si>
  <si>
    <t>ITI Focused Fund - Regular Plan - Growth</t>
  </si>
  <si>
    <t>INF00XX01CW0</t>
  </si>
  <si>
    <t>INF00XX01CR0</t>
  </si>
  <si>
    <t>ITI Focused Fund - Regular Plan - IDCW</t>
  </si>
  <si>
    <t>INF192K01BW7</t>
  </si>
  <si>
    <t>JM Focused Fund (Direct)  - Growth Option</t>
  </si>
  <si>
    <t>INF192K01BU1</t>
  </si>
  <si>
    <t>INF192K01BV9</t>
  </si>
  <si>
    <t>JM Focused Fund (Direct) -  IDCW</t>
  </si>
  <si>
    <t>INF192K01577</t>
  </si>
  <si>
    <t>JM Focused Fund (Regular) - Growth Option</t>
  </si>
  <si>
    <t>INF192K01551</t>
  </si>
  <si>
    <t>INF192K01569</t>
  </si>
  <si>
    <t>JM Focused Fund (Regular) - IDCW</t>
  </si>
  <si>
    <t>INF174KA1EN7</t>
  </si>
  <si>
    <t>Kotak Focused Fund- Direct Plan- Growth option</t>
  </si>
  <si>
    <t>INF174KA1EK3</t>
  </si>
  <si>
    <t>Kotak Focused Fund- Regular plan _ Growth Option</t>
  </si>
  <si>
    <t>INF174KA1EM9</t>
  </si>
  <si>
    <t>INF174KA1EL1</t>
  </si>
  <si>
    <t>Kotak Focused Fund- Regular Plan-Income Distribution cum capital withdrawal option</t>
  </si>
  <si>
    <t>INF174KA1EP2</t>
  </si>
  <si>
    <t>INF174KA1EO5</t>
  </si>
  <si>
    <t>Kotak Focused Fund-Direct Plan- Income Distribution cum capital withdrawal option</t>
  </si>
  <si>
    <t>INF397L01KA7</t>
  </si>
  <si>
    <t>LIC MF Focused Fund-Direct Plan-Growth</t>
  </si>
  <si>
    <t>INF397L01JX1</t>
  </si>
  <si>
    <t>INF397L01JY9</t>
  </si>
  <si>
    <t>LIC MF Focused Fund-Direct Plan-IDCW</t>
  </si>
  <si>
    <t>INF397L01KE9</t>
  </si>
  <si>
    <t>LIC MF Focused Fund-Regular Plan-Growth</t>
  </si>
  <si>
    <t>INF397L01KB5</t>
  </si>
  <si>
    <t>INF397L01KC3</t>
  </si>
  <si>
    <t>LIC MF Focused Fund-Regular Plan-IDCW</t>
  </si>
  <si>
    <t>INF174V01AI3</t>
  </si>
  <si>
    <t>INF174V01AH5</t>
  </si>
  <si>
    <t>Mahindra Manulife Focused Fund - Direct Plan - IDCW</t>
  </si>
  <si>
    <t>INF174V01AG7</t>
  </si>
  <si>
    <t>Mahindra Manulife Focused Fund - Direct Plan -Growth</t>
  </si>
  <si>
    <t>INF174V01AD4</t>
  </si>
  <si>
    <t>Mahindra Manulife Focused Fund - Regular Plan - Growth</t>
  </si>
  <si>
    <t>INF174V01AF9</t>
  </si>
  <si>
    <t>INF174V01AE2</t>
  </si>
  <si>
    <t>Mahindra Manulife Focused Fund - Regular Plan - IDCW</t>
  </si>
  <si>
    <t>INF769K01ET2</t>
  </si>
  <si>
    <t>INF769K01EW6</t>
  </si>
  <si>
    <t>Mirae Asset Focused Fund Direct IDCW</t>
  </si>
  <si>
    <t>INF769K01EU0</t>
  </si>
  <si>
    <t>Mirae Asset Focused Fund Direct Plan Growth</t>
  </si>
  <si>
    <t>INF769K01ER6</t>
  </si>
  <si>
    <t>INF769K01EV8</t>
  </si>
  <si>
    <t>Mirae Asset Focused Fund Regular IDCW</t>
  </si>
  <si>
    <t>INF769K01ES4</t>
  </si>
  <si>
    <t>Mirae Asset Focused Fund Regular Plan Growth</t>
  </si>
  <si>
    <t>INF247L01189</t>
  </si>
  <si>
    <t>Motilal Oswal Focused Fund - Direct Plan Growth Option</t>
  </si>
  <si>
    <t>INF247L01155</t>
  </si>
  <si>
    <t>Motilal Oswal Focused Fund - Regular Plan Growth Option</t>
  </si>
  <si>
    <t>INF247L01205</t>
  </si>
  <si>
    <t>INF247L01197</t>
  </si>
  <si>
    <t>Motilal Oswal Focused Fund Direct - IDCW Payout/Reinvestment</t>
  </si>
  <si>
    <t>INF247L01171</t>
  </si>
  <si>
    <t>INF247L01163</t>
  </si>
  <si>
    <t>Motilal Oswal Focused Fund Regular - IDCW Payout/Reinvestment</t>
  </si>
  <si>
    <t>INF204K01F79</t>
  </si>
  <si>
    <t>INF204K01F87</t>
  </si>
  <si>
    <t>NIPPON INDIA FOCUSED  FUND - DIRECT Plan - IDCW Option</t>
  </si>
  <si>
    <t>INF204K01GF4</t>
  </si>
  <si>
    <t>INF204K01GG2</t>
  </si>
  <si>
    <t>NIPPON INDIA FOCUSED  FUND - IDCW OPTION</t>
  </si>
  <si>
    <t>INF204K01F95</t>
  </si>
  <si>
    <t>Nippon India Focused Fund - Direct Plan Growth Plan - Growth Option</t>
  </si>
  <si>
    <t>INF204K01GE7</t>
  </si>
  <si>
    <t>Nippon India Focused Fund -Growth Plan -Growth Option</t>
  </si>
  <si>
    <t>INF0S5R01042</t>
  </si>
  <si>
    <t>Old Bridge Focused Fund - Direct Growth</t>
  </si>
  <si>
    <t>INF0S5R01059</t>
  </si>
  <si>
    <t>INF0S5R01067</t>
  </si>
  <si>
    <t>Old Bridge Focused Fund - Direct IDCW</t>
  </si>
  <si>
    <t>INF0S5R01034</t>
  </si>
  <si>
    <t>Old Bridge Focused Fund - Regular Growth</t>
  </si>
  <si>
    <t>INF0S5R01018</t>
  </si>
  <si>
    <t>INF0S5R01026</t>
  </si>
  <si>
    <t>Old Bridge Focused Fund - Regular IDCW</t>
  </si>
  <si>
    <t>INF966L01374</t>
  </si>
  <si>
    <t>quant Focused Fund - Growth Option - Regular Plan</t>
  </si>
  <si>
    <t>INF966L01853</t>
  </si>
  <si>
    <t>quant Focused Fund - Growth Option-Direct Plan</t>
  </si>
  <si>
    <t>INF966L01838</t>
  </si>
  <si>
    <t>INF966L01846</t>
  </si>
  <si>
    <t>quant Focused Fund - IDCW Option - Direct Plan</t>
  </si>
  <si>
    <t>INF966L01358</t>
  </si>
  <si>
    <t>INF966L01366</t>
  </si>
  <si>
    <t>quant Focused Fund - IDCW Option - Regular Plan</t>
  </si>
  <si>
    <t>INF200K01RH5</t>
  </si>
  <si>
    <t>INF200K01RI3</t>
  </si>
  <si>
    <t>SBI Focused Fund - Direct Plan - Income Distribution cum Capital Withdrawal Option (IDCW)</t>
  </si>
  <si>
    <t>INF200K01RJ1</t>
  </si>
  <si>
    <t>SBI FOCUSED FUND - DIRECT PLAN -GROWTH</t>
  </si>
  <si>
    <t>INF200K01388</t>
  </si>
  <si>
    <t>INF200K01396</t>
  </si>
  <si>
    <t>SBI Focused Fund - Regular Plan - Income Distribution cum Capital Withdrawal Option (IDCW)</t>
  </si>
  <si>
    <t>INF200K01370</t>
  </si>
  <si>
    <t>SBI FOCUSED FUND - REGULAR PLAN -GROWTH</t>
  </si>
  <si>
    <t>INF173K01EK6</t>
  </si>
  <si>
    <t>Sundaram Focused Fund (Formerly Known as Principal Focused Multicap Fund)- Direct Plan - Growth Option</t>
  </si>
  <si>
    <t>INF173K01EM2</t>
  </si>
  <si>
    <t>INF173K01EL4</t>
  </si>
  <si>
    <t>Sundaram Focused Fund (Formerly Known as Principal Focused Multicap Fund)- Direct Plan - Income Distribution CUM Capital Withdrawal Option (IDCW)</t>
  </si>
  <si>
    <t>INF173K01197</t>
  </si>
  <si>
    <t>INF173K01205</t>
  </si>
  <si>
    <t>Sundaram Focused Fund (Formerly Known as Principal Focused Multicap Fund)- Income Distribution CUM Capital Withdrawal Option (IDCW)</t>
  </si>
  <si>
    <t>INF173K01189</t>
  </si>
  <si>
    <t>Sundaram Focused Fund (Formerly Known as Principal Focused Multicap Fund)-Growth Option</t>
  </si>
  <si>
    <t>INF277K019X5</t>
  </si>
  <si>
    <t>TATA Focused Fund Direct Plan - Payout of Income Distribution cum capital withdrawal option</t>
  </si>
  <si>
    <t>INF277K018X7</t>
  </si>
  <si>
    <t>TATA Focused Fund Direct Plan - Reinvestment of Income Distribution cum capital withdrawal option</t>
  </si>
  <si>
    <t>INF277K012Y8</t>
  </si>
  <si>
    <t>TATA Focused Fund Regular Plan - Payout of Income Distribution cum capital withdrawal option</t>
  </si>
  <si>
    <t>INF277K011Y0</t>
  </si>
  <si>
    <t>TATA Focused Fund Regular Plan - Reinvestment of Income Distribution cum capital withdrawal option</t>
  </si>
  <si>
    <t>INF277K017X9</t>
  </si>
  <si>
    <t>Tata Focused Fund-Direct Plan-Growth</t>
  </si>
  <si>
    <t>INF277K010Y2</t>
  </si>
  <si>
    <t>Tata Focused Fund-Regular Plan-Growth</t>
  </si>
  <si>
    <t>INF582M01FS4</t>
  </si>
  <si>
    <t>Union Focused Fund - Direct Plan - Growth Option</t>
  </si>
  <si>
    <t>INF582M01FU0</t>
  </si>
  <si>
    <t>INF582M01FT2</t>
  </si>
  <si>
    <t>Union Focused Fund - Direct Plan - IDCW Option</t>
  </si>
  <si>
    <t>INF582M01FW6</t>
  </si>
  <si>
    <t>Union Focused Fund - Regular Plan - Growth Option</t>
  </si>
  <si>
    <t>INF582M01FY2</t>
  </si>
  <si>
    <t>INF582M01FX4</t>
  </si>
  <si>
    <t>Union Focused Fund - Regular Plan - IDCW Option</t>
  </si>
  <si>
    <t>INF789F1AVA3</t>
  </si>
  <si>
    <t>UTI Focused Fund - Direct Plan - Growth Option</t>
  </si>
  <si>
    <t>INF789F1AVB1</t>
  </si>
  <si>
    <t>UTI Focused Fund - Direct Plan - IDCW Payout Option</t>
  </si>
  <si>
    <t>INF789F1AUY5</t>
  </si>
  <si>
    <t>UTI Focused Fund - Regular Plan - Growth Option</t>
  </si>
  <si>
    <t>INF789F1AUZ2</t>
  </si>
  <si>
    <t>UTI Focused Fund - Regular Plan - IDCW Payout Option</t>
  </si>
  <si>
    <t>INF209K01VH8</t>
  </si>
  <si>
    <t>Aditya Birla Sun Life Large &amp; Mid Cap Fund - Growth - Direct Plan</t>
  </si>
  <si>
    <t>INF209K01165</t>
  </si>
  <si>
    <t>Aditya Birla Sun Life Large &amp; Mid Cap Fund - Regular Growth</t>
  </si>
  <si>
    <t>INF209K01VG0</t>
  </si>
  <si>
    <t>INF209K01VI6</t>
  </si>
  <si>
    <t>Aditya Birla Sun Life Large &amp; Mid Cap Fund -Direct - IDCW</t>
  </si>
  <si>
    <t>INF209K01157</t>
  </si>
  <si>
    <t>INF209K01CE5</t>
  </si>
  <si>
    <t>Aditya Birla Sun Life Large &amp; Mid Cap Fund -Regular - IDCW</t>
  </si>
  <si>
    <t>INF846K01J46</t>
  </si>
  <si>
    <t>Axis Large &amp; Mid Cap Fund - Direct Plan - Growth</t>
  </si>
  <si>
    <t>INF846K01J53</t>
  </si>
  <si>
    <t>INF846K01J61</t>
  </si>
  <si>
    <t>Axis Large &amp; Mid Cap Fund - Direct Plan - IDCW</t>
  </si>
  <si>
    <t>INF846K01J79</t>
  </si>
  <si>
    <t>Axis Large &amp; Mid Cap Fund - Regular Plan - Growth</t>
  </si>
  <si>
    <t>INF846K01J87</t>
  </si>
  <si>
    <t>INF846K01J95</t>
  </si>
  <si>
    <t>Axis Large &amp; Mid Cap Fund - Regular Plan - IDCW</t>
  </si>
  <si>
    <t>INF0QA701763</t>
  </si>
  <si>
    <t>Bajaj Finserv Large and Mid Cap Fund- Direct Plan- Growth</t>
  </si>
  <si>
    <t>INF0QA701771</t>
  </si>
  <si>
    <t>INF0QA701789</t>
  </si>
  <si>
    <t>Bajaj Finserv Large and Mid Cap Fund- Direct Plan- IDCW</t>
  </si>
  <si>
    <t>INF0QA701730</t>
  </si>
  <si>
    <t>Bajaj Finserv Large and Mid Cap Fund- Regular Plan- Growth</t>
  </si>
  <si>
    <t>INF0QA701748</t>
  </si>
  <si>
    <t>INF0QA701755</t>
  </si>
  <si>
    <t>Bajaj Finserv Large and Mid Cap Fund- Regular Plan- IDCW</t>
  </si>
  <si>
    <t>INF194K01V89</t>
  </si>
  <si>
    <t>Bandhan Large &amp; Mid Cap Fund - Direct Plan - Growth</t>
  </si>
  <si>
    <t>INF194K01V97</t>
  </si>
  <si>
    <t>INF194K01W05</t>
  </si>
  <si>
    <t>Bandhan Large &amp; Mid Cap Fund - Direct Plan - IDCW</t>
  </si>
  <si>
    <t>INF194K01524</t>
  </si>
  <si>
    <t>Bandhan Large &amp; Mid Cap Fund - Regular Plan - Growth</t>
  </si>
  <si>
    <t>INF194K01532</t>
  </si>
  <si>
    <t>INF194K01540</t>
  </si>
  <si>
    <t>Bandhan Large &amp; Mid Cap Fund - Regular Plan - IDCW</t>
  </si>
  <si>
    <t>INF761K01678</t>
  </si>
  <si>
    <t>INF761K01660</t>
  </si>
  <si>
    <t>BANK OF INDIA Large &amp; Mid Cap Fund Direct  Plan- Quarterly IDCW</t>
  </si>
  <si>
    <t>INF761K01629</t>
  </si>
  <si>
    <t>BANK OF INDIA Large &amp; Mid Cap Fund Direct Plan- Bonus</t>
  </si>
  <si>
    <t>INF761K01652</t>
  </si>
  <si>
    <t>BANK OF INDIA Large &amp; Mid Cap Fund Direct Plan-Growth</t>
  </si>
  <si>
    <t>INF761K01645</t>
  </si>
  <si>
    <t>INF761K01637</t>
  </si>
  <si>
    <t>BANK OF INDIA Large &amp; Mid Cap Fund Direct Plan-Regular IDCW</t>
  </si>
  <si>
    <t>INF761K01041</t>
  </si>
  <si>
    <t>BANK OF INDIA Large &amp; Mid Cap Fund Eco Plan- Growth</t>
  </si>
  <si>
    <t>INF761K01017</t>
  </si>
  <si>
    <t>BANK OF INDIA Large &amp; Mid Cap Fund Eco Plan-Bonus</t>
  </si>
  <si>
    <t>INF761K01058</t>
  </si>
  <si>
    <t>INF761K01066</t>
  </si>
  <si>
    <t>BANK OF INDIA Large &amp; Mid Cap Fund Eco Plan-Quarterly IDCW</t>
  </si>
  <si>
    <t>INF761K01025</t>
  </si>
  <si>
    <t>INF761K01033</t>
  </si>
  <si>
    <t>BANK OF INDIA Large &amp; Mid Cap Fund Eco Plan-Regular IDCW</t>
  </si>
  <si>
    <t>INF761K01108</t>
  </si>
  <si>
    <t>BANK OF INDIA Large &amp; Mid Cap Fund Regular Plan- Growth</t>
  </si>
  <si>
    <t>INF761K01116</t>
  </si>
  <si>
    <t>INF761K01124</t>
  </si>
  <si>
    <t>BANK OF INDIA Large &amp; Mid Cap Fund Regular Plan- Quarterly IDCW</t>
  </si>
  <si>
    <t>INF761K01082</t>
  </si>
  <si>
    <t>INF761K01090</t>
  </si>
  <si>
    <t>BANK OF INDIA Large &amp; Mid Cap Fund Regular Plan- Regular IDCW</t>
  </si>
  <si>
    <t>INF761K01074</t>
  </si>
  <si>
    <t>BANK OF INDIA Large &amp; Mid Cap Fund Regular Plan-Bonus</t>
  </si>
  <si>
    <t>INF955L01JU2</t>
  </si>
  <si>
    <t>Baroda BNP Paribas Large and Mid Cap Fund- Direct Plan -Growth Option</t>
  </si>
  <si>
    <t>INF955L01JV0</t>
  </si>
  <si>
    <t>INF955L01JW8</t>
  </si>
  <si>
    <t>Baroda BNP Paribas Large and Mid Cap Fund-Direct Plan-IDCW Option</t>
  </si>
  <si>
    <t>INF955L01JR8</t>
  </si>
  <si>
    <t>Baroda BNP Paribas Large and Mid Cap Fund-Regular Plan-Growth Option</t>
  </si>
  <si>
    <t>INF955L01JS6</t>
  </si>
  <si>
    <t>INF955L01JT4</t>
  </si>
  <si>
    <t>Baroda BNP Paribas Large and Mid Cap Fund-Regular plan-IDCW Option</t>
  </si>
  <si>
    <t>INF760K01EI4</t>
  </si>
  <si>
    <t>CANARA ROBECO LARGE AND MID CAP FUND - DIRECT PLAN - GROWTH OPTION</t>
  </si>
  <si>
    <t>INF760K01EG8</t>
  </si>
  <si>
    <t>INF760K01EH6</t>
  </si>
  <si>
    <t>CANARA ROBECO LARGE AND MID CAP FUND - DIRECT PLAN - IDCW (Payout/Reinvestment)</t>
  </si>
  <si>
    <t>INF760K01167</t>
  </si>
  <si>
    <t>CANARA ROBECO LARGE AND MID CAP FUND - REGULAR PLAN - GROWTH OPTION</t>
  </si>
  <si>
    <t>INF760K01175</t>
  </si>
  <si>
    <t>INF760K01183</t>
  </si>
  <si>
    <t>CANARA ROBECO LARGE AND MID CAP FUND - REGULAR PLAN - IDCW (Payout/Reinvestment)</t>
  </si>
  <si>
    <t>INF740K01PL6</t>
  </si>
  <si>
    <t>DSP Large &amp; Mid Cap Fund - Direct Plan - Growth</t>
  </si>
  <si>
    <t>INF740K01PM4</t>
  </si>
  <si>
    <t>INF740K01PN2</t>
  </si>
  <si>
    <t>DSP Large &amp; Mid Cap Fund - Direct Plan - IDCW</t>
  </si>
  <si>
    <t>INF740K01094</t>
  </si>
  <si>
    <t>DSP Large &amp; Mid Cap Fund - Regular Plan - Growth</t>
  </si>
  <si>
    <t>INF740K01078</t>
  </si>
  <si>
    <t>INF740K01086</t>
  </si>
  <si>
    <t>DSP Large &amp; Mid Cap Fund - Regular Plan - IDCW</t>
  </si>
  <si>
    <t>INF843K01AL0</t>
  </si>
  <si>
    <t>Edelweiss Large &amp; Mid Cap Fund - Direct Plan - Growth Option</t>
  </si>
  <si>
    <t>INF843K01047</t>
  </si>
  <si>
    <t>Edelweiss Large &amp; Mid Cap Fund - Regular Plan - Growth Option</t>
  </si>
  <si>
    <t>INF843K01AM8</t>
  </si>
  <si>
    <t>INF843K01AN6</t>
  </si>
  <si>
    <t>Edelweiss Large and Mid Cap Fund - Direct Plan - IDCW Option</t>
  </si>
  <si>
    <t>INF843K01054</t>
  </si>
  <si>
    <t>INF843K01062</t>
  </si>
  <si>
    <t>Edelweiss Large and Mid Cap Fund - Regular Plan - IDCW Option</t>
  </si>
  <si>
    <t>INF090I01IN1</t>
  </si>
  <si>
    <t>Franklin India Large &amp; Mid Cap Fund - Direct - Growth</t>
  </si>
  <si>
    <t>INF090I01IL5</t>
  </si>
  <si>
    <t>INF090I01IM3</t>
  </si>
  <si>
    <t>Franklin India Large &amp; Mid cap Fund - Direct - IDCW</t>
  </si>
  <si>
    <t>INF090I01205</t>
  </si>
  <si>
    <t>Franklin India Large &amp; Mid Cap Fund - Growth Plan</t>
  </si>
  <si>
    <t>INF090I01189</t>
  </si>
  <si>
    <t>INF090I01197</t>
  </si>
  <si>
    <t>Franklin India Large &amp; Mid Cap Fund - IDCW</t>
  </si>
  <si>
    <t>INF179KA1RT1</t>
  </si>
  <si>
    <t>HDFC Large and Mid Cap Fund - Growth Option</t>
  </si>
  <si>
    <t>INF179KA1RQ7</t>
  </si>
  <si>
    <t>HDFC Large and Mid Cap Fund - Growth Option - Direct Plan</t>
  </si>
  <si>
    <t>INF179KA1RU9</t>
  </si>
  <si>
    <t>HDFC Large and Mid Cap Fund - IDCW Option</t>
  </si>
  <si>
    <t>INF179KA1RR5</t>
  </si>
  <si>
    <t>HDFC Large and Mid Cap Fund - IDCW Option - Direct Plan</t>
  </si>
  <si>
    <t>INF0R8701269</t>
  </si>
  <si>
    <t>Helios Large &amp; Mid Cap Fund - Direct Plan - Growth Option</t>
  </si>
  <si>
    <t>INF0R8701277</t>
  </si>
  <si>
    <t>INF0R8701285</t>
  </si>
  <si>
    <t>Helios Large &amp; Mid Cap Fund - Direct Plan - IDCW Option</t>
  </si>
  <si>
    <t>INF0R8701236</t>
  </si>
  <si>
    <t>Helios Large &amp; Mid Cap Fund - Regular Plan - Growth Option</t>
  </si>
  <si>
    <t>INF0R8701244</t>
  </si>
  <si>
    <t>INF0R8701251</t>
  </si>
  <si>
    <t>Helios Large &amp; Mid Cap Fund - Regular Plan - IDCW Option</t>
  </si>
  <si>
    <t>INF336L01NV5</t>
  </si>
  <si>
    <t>HSBC Large &amp; Mid Cap Fund - Direct Growth</t>
  </si>
  <si>
    <t>INF336L01NW3</t>
  </si>
  <si>
    <t>INF336L01NX1</t>
  </si>
  <si>
    <t>HSBC Large &amp; Mid Cap Fund - Direct IDCW</t>
  </si>
  <si>
    <t>INF336L01NY9</t>
  </si>
  <si>
    <t>HSBC Large &amp; Mid Cap Fund - Regular Growth</t>
  </si>
  <si>
    <t>INF336L01NZ6</t>
  </si>
  <si>
    <t>INF336L01OA7</t>
  </si>
  <si>
    <t>HSBC Large &amp; Mid Cap Fund - Regular IDCW</t>
  </si>
  <si>
    <t>INF109K011O5</t>
  </si>
  <si>
    <t>ICICI Prudential Large &amp; Mid Cap Fund - Direct Plan - Growth</t>
  </si>
  <si>
    <t>INF109K019N0</t>
  </si>
  <si>
    <t>INF109K010O7</t>
  </si>
  <si>
    <t>ICICI Prudential Large &amp; Mid Cap Fund - Direct Plan - IDCW</t>
  </si>
  <si>
    <t>INF109K01431</t>
  </si>
  <si>
    <t>ICICI Prudential Large &amp; Mid Cap Fund - Growth</t>
  </si>
  <si>
    <t>INF109K01EQ7</t>
  </si>
  <si>
    <t>INF109K01449</t>
  </si>
  <si>
    <t>ICICI Prudential Large &amp; Mid Cap Fund - IDCW</t>
  </si>
  <si>
    <t>INF205K01MA0</t>
  </si>
  <si>
    <t>Invesco India Large &amp; Mid Cap Fund - Direct Plan - Growth</t>
  </si>
  <si>
    <t>INF205K01LY2</t>
  </si>
  <si>
    <t>INF205K01LZ9</t>
  </si>
  <si>
    <t>Invesco India Large &amp; Mid Cap Fund - Direct Plan - IDCW (Payout / Reinvestment)</t>
  </si>
  <si>
    <t>INF205K01247</t>
  </si>
  <si>
    <t>Invesco India Large &amp; Mid Cap Fund - Regular Plan - Growth</t>
  </si>
  <si>
    <t>INF205K01262</t>
  </si>
  <si>
    <t>INF205K01254</t>
  </si>
  <si>
    <t>Invesco India Large &amp; Mid Cap Fund - Regular Plan - IDCW (Payout / Reinvestment)</t>
  </si>
  <si>
    <t>INF00XX01DA4</t>
  </si>
  <si>
    <t>ITI Large &amp; Midcap Fund - Direct Plan - Growth</t>
  </si>
  <si>
    <t>INF00XX01DB2</t>
  </si>
  <si>
    <t>INF00XX01DC0</t>
  </si>
  <si>
    <t>ITI Large &amp; Midcap Fund - Direct Plan - IDCW Option</t>
  </si>
  <si>
    <t>INF00XX01CX8</t>
  </si>
  <si>
    <t>ITI Large &amp; Midcap Fund - Regular Plan - Growth</t>
  </si>
  <si>
    <t>INF00XX01CY6</t>
  </si>
  <si>
    <t>INF00XX01CZ3</t>
  </si>
  <si>
    <t>ITI Large &amp; Midcap Fund - Regular Plan - IDCW Option</t>
  </si>
  <si>
    <t>INF192K01NK7</t>
  </si>
  <si>
    <t>JM Large &amp; Mid Cap Fund (Direct) - Growth Option</t>
  </si>
  <si>
    <t>INF192K01NP6</t>
  </si>
  <si>
    <t>INF192K01NL5</t>
  </si>
  <si>
    <t>JM Large &amp; Mid Cap Fund (Direct) - IDCW</t>
  </si>
  <si>
    <t>INF192K01NM3</t>
  </si>
  <si>
    <t>JM Large &amp; Mid Cap Fund (Regular) - Growth Option</t>
  </si>
  <si>
    <t>INF192K01NO9</t>
  </si>
  <si>
    <t>INF192K01NN1</t>
  </si>
  <si>
    <t>JM Large &amp; Mid Cap Fund (Regular) - IDCW</t>
  </si>
  <si>
    <t>INF174K01LF9</t>
  </si>
  <si>
    <t>Kotak Large &amp; Midcap Fund - Direct- Growth</t>
  </si>
  <si>
    <t>INF174K01187</t>
  </si>
  <si>
    <t>Kotak Large &amp; Midcap Fund - Growth-Regular</t>
  </si>
  <si>
    <t>INF174K01LG7</t>
  </si>
  <si>
    <t>INF174K01LH5</t>
  </si>
  <si>
    <t>Kotak Large &amp; Midcap Fund - IDCW-Direct</t>
  </si>
  <si>
    <t>INF174K01203</t>
  </si>
  <si>
    <t>INF174K01195</t>
  </si>
  <si>
    <t>Kotak Large &amp; Midcap Fund - IDCW-Regular</t>
  </si>
  <si>
    <t>INF767K01NE9</t>
  </si>
  <si>
    <t>LIC MF Large &amp; Mid Cap Fund-Direct Plan-Growth</t>
  </si>
  <si>
    <t>INF767K01ND1</t>
  </si>
  <si>
    <t>INF767K01NF6</t>
  </si>
  <si>
    <t>LIC MF Large &amp; Mid Cap Fund-Direct Plan-IDCW</t>
  </si>
  <si>
    <t>INF767K01NB5</t>
  </si>
  <si>
    <t>LIC MF Large &amp; Mid Cap Fund-Regular Plan-Growth</t>
  </si>
  <si>
    <t>INF767K01NA7</t>
  </si>
  <si>
    <t>INF767K01NC3</t>
  </si>
  <si>
    <t>LIC MF Large &amp; Mid Cap Fund-Regular Plan-IDCW</t>
  </si>
  <si>
    <t>INF174V01960</t>
  </si>
  <si>
    <t>INF174V01952</t>
  </si>
  <si>
    <t>Mahindra Manulife Large &amp; Mid Cap Fund - Direct Plan - IDCW</t>
  </si>
  <si>
    <t>INF174V01945</t>
  </si>
  <si>
    <t>Mahindra Manulife Large &amp; Mid Cap Fund - Direct Plan -Growth</t>
  </si>
  <si>
    <t>INF174V01911</t>
  </si>
  <si>
    <t>Mahindra Manulife Large &amp; Mid Cap Fund - Regular Plan - Growth</t>
  </si>
  <si>
    <t>INF174V01937</t>
  </si>
  <si>
    <t>INF174V01929</t>
  </si>
  <si>
    <t>Mahindra Manulife Large &amp; Mid Cap Fund - Regular Plan - IDCW</t>
  </si>
  <si>
    <t>INF769K01BJ9</t>
  </si>
  <si>
    <t>INF769K01BK7</t>
  </si>
  <si>
    <t>Mirae Asset Large &amp; Midcap Fund - Direct Plan - IDCW</t>
  </si>
  <si>
    <t>INF769K01101</t>
  </si>
  <si>
    <t>Mirae Asset Large &amp; Midcap Fund - Regular Plan - Growth</t>
  </si>
  <si>
    <t>INF769K01127</t>
  </si>
  <si>
    <t>INF769K01119</t>
  </si>
  <si>
    <t>Mirae Asset Large &amp; Midcap Fund - Regular Plan - IDCW</t>
  </si>
  <si>
    <t>INF247L01999</t>
  </si>
  <si>
    <t>Motilal Oswal Large and Midcap Fund - Direct Plan Growth</t>
  </si>
  <si>
    <t>INF247L01965</t>
  </si>
  <si>
    <t>Motilal Oswal Large and Midcap Fund - Regular Plan Growth</t>
  </si>
  <si>
    <t>INF247L01AB3</t>
  </si>
  <si>
    <t>INF247L01AA5</t>
  </si>
  <si>
    <t>Motilal Oswal Large and Midcap Fund Direct - IDCW Payout/Reinvestment</t>
  </si>
  <si>
    <t>INF247L01981</t>
  </si>
  <si>
    <t>INF247L01973</t>
  </si>
  <si>
    <t>Motilal Oswal Large and Midcap Fund Regular - IDCW Payout/Reinvestment</t>
  </si>
  <si>
    <t>INF959L01CR5</t>
  </si>
  <si>
    <t>INF959L01CS3</t>
  </si>
  <si>
    <t>Navi Large &amp; Midcap Fund - Direct Annual IDCW Payout</t>
  </si>
  <si>
    <t>INF959L01CP9</t>
  </si>
  <si>
    <t>INF959L01CQ7</t>
  </si>
  <si>
    <t>Navi Large &amp; Midcap Fund - Direct Half Yearly IDCW Payout</t>
  </si>
  <si>
    <t>INF959L01CI4</t>
  </si>
  <si>
    <t>INF959L01CJ2</t>
  </si>
  <si>
    <t>Navi Large &amp; Midcap Fund - Direct Normal IDCW Payout</t>
  </si>
  <si>
    <t>INF959L01CV7</t>
  </si>
  <si>
    <t>INF959L01CW5</t>
  </si>
  <si>
    <t>Navi Large &amp; Midcap Fund - Regular Annual IDCW payout</t>
  </si>
  <si>
    <t>INF959L01CT1</t>
  </si>
  <si>
    <t>INF959L01CU9</t>
  </si>
  <si>
    <t>NAVI Large &amp; Midcap Fund - Regular Half Yearly IDCW Payout</t>
  </si>
  <si>
    <t>INF959L01CL8</t>
  </si>
  <si>
    <t>INF959L01CM6</t>
  </si>
  <si>
    <t>Navi Large &amp; Midcap Fund - Regular Normal IDCW Payout</t>
  </si>
  <si>
    <t>INF959L01CH6</t>
  </si>
  <si>
    <t>Navi Large &amp; Midcap Fund- Direct Plan- Growth Option</t>
  </si>
  <si>
    <t>INF959L01CK0</t>
  </si>
  <si>
    <t>Navi Large &amp; Midcap Fund- Regular Plan- Growth Option</t>
  </si>
  <si>
    <t>INF204K01F04</t>
  </si>
  <si>
    <t>INF204K01F12</t>
  </si>
  <si>
    <t>NIPPON INDIA VISION LARGE &amp; MID CAP  FUND - DIRECT Plan - IDCW Option</t>
  </si>
  <si>
    <t>INF204K01E96</t>
  </si>
  <si>
    <t>Nippon India Vision Large &amp; Mid Cap Fund - Direct Plan Growth Plan - Bonus Option</t>
  </si>
  <si>
    <t>INF204K01F20</t>
  </si>
  <si>
    <t>Nippon India Vision Large &amp; Mid Cap Fund - Direct Plan Growth Plan - Growth Option</t>
  </si>
  <si>
    <t>INF204K01331</t>
  </si>
  <si>
    <t>INF204K01349</t>
  </si>
  <si>
    <t>Nippon India Vision Large &amp; Mid Cap Fund Institutional Dividend Plan</t>
  </si>
  <si>
    <t>INF204K01372</t>
  </si>
  <si>
    <t>INF204K01380</t>
  </si>
  <si>
    <t>Nippon India Vision Large &amp; Midcap Fund - IDCW Option</t>
  </si>
  <si>
    <t>INF204K01398</t>
  </si>
  <si>
    <t>Nippon India Vision Large &amp; Midcap Fund-GROWTH PLAN-Bonus Option</t>
  </si>
  <si>
    <t>INF204K01406</t>
  </si>
  <si>
    <t>Nippon India Vision Large &amp; Midcap Fund-GROWTH PLAN-Growth Option</t>
  </si>
  <si>
    <t>INF663L01Y12</t>
  </si>
  <si>
    <t>PGIM India Large and Midcap Fund - Direct Plan - Growth Option</t>
  </si>
  <si>
    <t>INF663L01Y20</t>
  </si>
  <si>
    <t>INF663L01Y38</t>
  </si>
  <si>
    <t>PGIM India Large and Midcap Fund - Direct Plan - IDCW option</t>
  </si>
  <si>
    <t>INF663L01X88</t>
  </si>
  <si>
    <t>PGIM India Large and Midcap Fund - Regular Plan - Growth Option</t>
  </si>
  <si>
    <t>INF663L01X96</t>
  </si>
  <si>
    <t>INF663L01Y04</t>
  </si>
  <si>
    <t>PGIM India Large and Midcap Fund - Regular Plan - IDCW Option</t>
  </si>
  <si>
    <t>INF966L01341</t>
  </si>
  <si>
    <t>quant Large &amp; Mid Cap Fund - Growth Option</t>
  </si>
  <si>
    <t>INF966L01648</t>
  </si>
  <si>
    <t>quant Large &amp; Mid Cap Fund - Growth Option-Direct Plan</t>
  </si>
  <si>
    <t>INF966L01622</t>
  </si>
  <si>
    <t>INF966L01630</t>
  </si>
  <si>
    <t>quant Large &amp; Mid Cap Fund - IDCW Option - Direct Plan</t>
  </si>
  <si>
    <t>INF966L01325</t>
  </si>
  <si>
    <t>INF966L01333</t>
  </si>
  <si>
    <t>quant Large &amp; Mid Cap Fund - IDCW Option - Regular Plan</t>
  </si>
  <si>
    <t>INF0K1H01271</t>
  </si>
  <si>
    <t>Samco Large &amp; Mid Cap Fund - Direct Plan - Growth Option</t>
  </si>
  <si>
    <t>INF0K1H01289</t>
  </si>
  <si>
    <t>Samco Large &amp; Mid Cap Fund - Regular Plan - Growth Option</t>
  </si>
  <si>
    <t>INF200K01UH9</t>
  </si>
  <si>
    <t>INF200K01UI7</t>
  </si>
  <si>
    <t>SBI Large &amp; Midcap Fund - Direct Plan - Income Distribution cum Capital Withdrawal Option (IDCW)</t>
  </si>
  <si>
    <t>INF200K01289</t>
  </si>
  <si>
    <t>INF200K01297</t>
  </si>
  <si>
    <t>SBI Large &amp; Midcap Fund - Regular Plan - Income Distribution cum Capital Withdrawal Option (IDCW)</t>
  </si>
  <si>
    <t>INF200K01UJ5</t>
  </si>
  <si>
    <t>SBI LARGE &amp; MIDCAP FUND -DIRECT PLAN -Growth</t>
  </si>
  <si>
    <t>INF200K01305</t>
  </si>
  <si>
    <t>SBI LARGE &amp; MIDCAP FUND- REGULAR PLAN -Growth</t>
  </si>
  <si>
    <t>INF903J01PP3</t>
  </si>
  <si>
    <t>INF903J01PQ1</t>
  </si>
  <si>
    <t>Sundaram Large and Midcap Direct Plan - Income Distribution cum Capital Withdrawal (IDCW)</t>
  </si>
  <si>
    <t>INF903J01PR9</t>
  </si>
  <si>
    <t>Sundaram Large and Midcap Fund Direct Plan - Growth</t>
  </si>
  <si>
    <t>INF903J01DT1</t>
  </si>
  <si>
    <t>Sundaram Large and Midcap Fund Regular Plan - Growth</t>
  </si>
  <si>
    <t>INF903J01DU9</t>
  </si>
  <si>
    <t>INF903J01DV7</t>
  </si>
  <si>
    <t>Sundaram Large and Midcap Regular Plan - Income Distribution cum Capital Withdrawal (IDCW)</t>
  </si>
  <si>
    <t>INF277K01MK8</t>
  </si>
  <si>
    <t>Tata Large &amp; MId Cap Fund -Direct Plan- Growth Option</t>
  </si>
  <si>
    <t>INF277K01MI2</t>
  </si>
  <si>
    <t>INF277K01MJ0</t>
  </si>
  <si>
    <t>Tata Large &amp; Mid Cap Fund Direct Plan - Payout of IDCW Option</t>
  </si>
  <si>
    <t>INF277K01DH3</t>
  </si>
  <si>
    <t>INF277K01410</t>
  </si>
  <si>
    <t>Tata Large &amp; Mid Cap Fund Regular Plan - Payout of IDCW Option</t>
  </si>
  <si>
    <t>INF277K01428</t>
  </si>
  <si>
    <t>Tata Large &amp; Mid Cap Fund- Regular Plan - Growth Option</t>
  </si>
  <si>
    <t>INF582M01GA0</t>
  </si>
  <si>
    <t>Union Large &amp; Midcap Fund - Direct Plan - Growth Option</t>
  </si>
  <si>
    <t>INF582M01GC6</t>
  </si>
  <si>
    <t>INF582M01GB8</t>
  </si>
  <si>
    <t>Union Large &amp; Midcap Fund - Direct Plan - IDCW Option</t>
  </si>
  <si>
    <t>INF582M01GD4</t>
  </si>
  <si>
    <t>Union Large &amp; Midcap Fund - Regular Plan - Growth Option</t>
  </si>
  <si>
    <t>INF582M01GG7</t>
  </si>
  <si>
    <t>INF582M01GF9</t>
  </si>
  <si>
    <t>Union Large &amp; Midcap Fund - Regular Plan - IDCW Option</t>
  </si>
  <si>
    <t>INF789F01UG3</t>
  </si>
  <si>
    <t>UTI Large &amp; Mid Cap Fund - Direct Plan - Growth Option</t>
  </si>
  <si>
    <t>INF789F01UE8</t>
  </si>
  <si>
    <t>INF789F01UF5</t>
  </si>
  <si>
    <t>UTI Large &amp; Mid Cap Fund - Direct Plan - IDCW</t>
  </si>
  <si>
    <t>INF789F01869</t>
  </si>
  <si>
    <t>UTI Large &amp; Mid Cap Fund - Regular Plan - Growth Option</t>
  </si>
  <si>
    <t>INF189A01046</t>
  </si>
  <si>
    <t>INF789F01851</t>
  </si>
  <si>
    <t>UTI Large &amp; Mid Cap Fund - Regular Plan - IDCW</t>
  </si>
  <si>
    <t>INF03VN01845</t>
  </si>
  <si>
    <t>Whiteoak Capital Large &amp; Mid Cap Fund Direct Plan Growth</t>
  </si>
  <si>
    <t>INF03VN01837</t>
  </si>
  <si>
    <t>Whiteoak Capital Large &amp; Mid Cap Fund Regular Plan Growth</t>
  </si>
  <si>
    <t>INF209K01YY7</t>
  </si>
  <si>
    <t>Aditya Birla Sun Life Large Cap Fund - Growth - Direct Plan</t>
  </si>
  <si>
    <t>INF209K01YX9</t>
  </si>
  <si>
    <t>INF209K01YW1</t>
  </si>
  <si>
    <t>Aditya Birla Sun Life Large Cap Fund-DIRECT - IDCW</t>
  </si>
  <si>
    <t>INF209K01BR9</t>
  </si>
  <si>
    <t>Aditya Birla Sun Life Large Cap Fund-Growth</t>
  </si>
  <si>
    <t>INF209K01BO6</t>
  </si>
  <si>
    <t>INF209K01EC5</t>
  </si>
  <si>
    <t>Aditya Birla Sun Life Large Cap Fund-Regular - IDCW</t>
  </si>
  <si>
    <t>INF846K01DP8</t>
  </si>
  <si>
    <t>Axis Large Cap Fund - Direct Plan - Growth</t>
  </si>
  <si>
    <t>INF846K01DN3</t>
  </si>
  <si>
    <t>INF846K01DO1</t>
  </si>
  <si>
    <t>Axis Large Cap Fund - Direct Plan - IDCW</t>
  </si>
  <si>
    <t>INF846K01164</t>
  </si>
  <si>
    <t>Axis Large Cap Fund - Regular Plan - Growth</t>
  </si>
  <si>
    <t>INF846K01172</t>
  </si>
  <si>
    <t>INF846K01180</t>
  </si>
  <si>
    <t>Axis Large Cap Fund - Regular Plan - IDCW</t>
  </si>
  <si>
    <t>INF0QA701896</t>
  </si>
  <si>
    <t>BAJAJ FINSERV LARGE CAP FUND - DIRECT PLAN - GROWTH</t>
  </si>
  <si>
    <t>INF0QA701904</t>
  </si>
  <si>
    <t>INF0QA701912</t>
  </si>
  <si>
    <t>BAJAJ FINSERV LARGE CAP FUND - DIRECT PLAN - IDCW</t>
  </si>
  <si>
    <t>INF0QA701862</t>
  </si>
  <si>
    <t>BAJAJ FINSERV LARGE CAP FUND - REGULAR PLAN - GROWTH</t>
  </si>
  <si>
    <t>INF0QA701870</t>
  </si>
  <si>
    <t>INF0QA701888</t>
  </si>
  <si>
    <t>BAJAJ FINSERV LARGE CAP FUND - REGULAR PLAN - IDCW</t>
  </si>
  <si>
    <t>INF194K01516</t>
  </si>
  <si>
    <t>BANDHAN Large Cap Fund - Regular Plan - Growth</t>
  </si>
  <si>
    <t>INF194K01490</t>
  </si>
  <si>
    <t>INF194K01508</t>
  </si>
  <si>
    <t>BANDHAN Large Cap Fund - Regular Plan - IDCW</t>
  </si>
  <si>
    <t>INF194K01Z44</t>
  </si>
  <si>
    <t>BANDHAN Large Cap Fund-Direct Plan-Growth</t>
  </si>
  <si>
    <t>INF194K01Z51</t>
  </si>
  <si>
    <t>INF194K01Z69</t>
  </si>
  <si>
    <t>BANDHAN Large Cap Fund-Direct Plan-IDCW</t>
  </si>
  <si>
    <t>INF761K01FL3</t>
  </si>
  <si>
    <t>BANK OF INDIA Large Cap Fund Direct Plan Growth</t>
  </si>
  <si>
    <t>INF761K01FK5</t>
  </si>
  <si>
    <t>INF761K01FM1</t>
  </si>
  <si>
    <t>BANK OF INDIA Large Cap Fund Direct Plan IDCW</t>
  </si>
  <si>
    <t>INF761K01FO7</t>
  </si>
  <si>
    <t>BANK OF INDIA Large Cap Fund Regular Plan Growth</t>
  </si>
  <si>
    <t>INF761K01FN9</t>
  </si>
  <si>
    <t>INF761K01FP4</t>
  </si>
  <si>
    <t>BANK OF INDIA Large Cap Fund Regular Plan IDCW</t>
  </si>
  <si>
    <t>INF251K01HN7</t>
  </si>
  <si>
    <t>BARODA BNP PARIBAS LARGE CAP Fund - Direct Plan - Growth Option</t>
  </si>
  <si>
    <t>INF251K01HL1</t>
  </si>
  <si>
    <t>INF251K01HM9</t>
  </si>
  <si>
    <t>BARODA BNP PARIBAS LARGE CAP Fund - Direct Plan - IDCW Option</t>
  </si>
  <si>
    <t>INF251K01910</t>
  </si>
  <si>
    <t>INF251K01902</t>
  </si>
  <si>
    <t>BARODA BNP PARIBAS LARGE CAP Fund - Regular Plan - IDCW Option</t>
  </si>
  <si>
    <t>INF251K01894</t>
  </si>
  <si>
    <t>BARODA BNP PARIBAS LARGE CAP Fund- Regular Plan - Growth Option</t>
  </si>
  <si>
    <t>INF760K01FR2</t>
  </si>
  <si>
    <t>CANARA ROBECO LARGE CAP FUND - DIRECT PLAN - GROWTH OPTION</t>
  </si>
  <si>
    <t>INF760K01FP6</t>
  </si>
  <si>
    <t>INF760K01FQ4</t>
  </si>
  <si>
    <t>CANARA ROBECO LARGE CAP FUND - DIRECT PLAN - IDCW (Payout/Reinvestment)</t>
  </si>
  <si>
    <t>INF760K01AR3</t>
  </si>
  <si>
    <t>CANARA ROBECO LARGE CAP FUND - REGULAR PLAN - GROWTH OPTION</t>
  </si>
  <si>
    <t>INF760K01AS1</t>
  </si>
  <si>
    <t>INF760K01AT9</t>
  </si>
  <si>
    <t>CANARA ROBECO LARGE CAP FUND - REGULAR PLAN - IDCW (Payout/Reinvestment)</t>
  </si>
  <si>
    <t>INF740K01PR3</t>
  </si>
  <si>
    <t>DSP Large Cap Fund - Direct Plan - Growth</t>
  </si>
  <si>
    <t>INF740K01PS1</t>
  </si>
  <si>
    <t>INF740K01PT9</t>
  </si>
  <si>
    <t>DSP Large Cap Fund - Direct Plan - IDCW</t>
  </si>
  <si>
    <t>INF740K01243</t>
  </si>
  <si>
    <t>DSP Large Cap Fund - Regular Plan - Growth</t>
  </si>
  <si>
    <t>INF740K01227</t>
  </si>
  <si>
    <t>INF740K01235</t>
  </si>
  <si>
    <t>DSP Large Cap Fund - Regular Plan - IDCW</t>
  </si>
  <si>
    <t>INF754K01BT0</t>
  </si>
  <si>
    <t>INF754K01BU8</t>
  </si>
  <si>
    <t>Edelweiss Large Cap Fund - Direct Plan - IDCW Option</t>
  </si>
  <si>
    <t>INF754K01BW4</t>
  </si>
  <si>
    <t>Edelweiss Large Cap Fund - Direct Plan-Growth option</t>
  </si>
  <si>
    <t>INF754K01053</t>
  </si>
  <si>
    <t>INF754K01061</t>
  </si>
  <si>
    <t>Edelweiss Large Cap Fund - Plan B - IDCW Option</t>
  </si>
  <si>
    <t>INF754K01095</t>
  </si>
  <si>
    <t>INF754K01103</t>
  </si>
  <si>
    <t>Edelweiss Large Cap Fund - Plan C - IDCW Option</t>
  </si>
  <si>
    <t>INF754K01046</t>
  </si>
  <si>
    <t>Edelweiss Large Cap Fund - Regular Plan - Growth Option</t>
  </si>
  <si>
    <t>INF754K01012</t>
  </si>
  <si>
    <t>INF754K01020</t>
  </si>
  <si>
    <t>Edelweiss Large Cap Fund - Regular Plan - IDCW Option</t>
  </si>
  <si>
    <t>INF754K01087</t>
  </si>
  <si>
    <t>Edelweiss Large Cap Fund -Plan B - Growth option</t>
  </si>
  <si>
    <t>INF754K01129</t>
  </si>
  <si>
    <t>Edelweiss Large Cap Fund -Plan C - Growth option</t>
  </si>
  <si>
    <t>INF090I01FO5</t>
  </si>
  <si>
    <t>INF090I01FP2</t>
  </si>
  <si>
    <t>Franklin India Large Cap Fund - Direct - IDCW</t>
  </si>
  <si>
    <t>INF090I01155</t>
  </si>
  <si>
    <t>INF090I01163</t>
  </si>
  <si>
    <t>Franklin India Large Cap Fund - IDCW</t>
  </si>
  <si>
    <t>INF090I01FN7</t>
  </si>
  <si>
    <t>Franklin India Large Cap Fund- Direct - Growth</t>
  </si>
  <si>
    <t>INF090I01171</t>
  </si>
  <si>
    <t>Franklin India Large Cap Fund-Growth</t>
  </si>
  <si>
    <t>INF666M01600</t>
  </si>
  <si>
    <t>Groww Largecap Fund (formerly known as Indiabulls Blue Chip Fund) - Direct Plan - Growth Option</t>
  </si>
  <si>
    <t>INF666M01162</t>
  </si>
  <si>
    <t>Groww Largecap Fund (formerly known as Indiabulls Blue Chip Fund) - Regular Plan- Growth Option</t>
  </si>
  <si>
    <t>INF666M01626</t>
  </si>
  <si>
    <t>INF666M01618</t>
  </si>
  <si>
    <t>Groww Largecap Fund (formerly known as Indiabulls Bluechip Fund)- Direct Plan- - Income Distribution cum capital withdrawal Option (Payout &amp; Reinvestment)</t>
  </si>
  <si>
    <t>INF666M01CQ6</t>
  </si>
  <si>
    <t>INF666M01CR4</t>
  </si>
  <si>
    <t>Groww Largecap Fund (formerly known as Indiabulls Bluechip Fund)- Direct Plan- Half Yearly -Income Distribution cum capital withdrawal Option (Payout &amp; Reinvestment)</t>
  </si>
  <si>
    <t>INF666M01CM5</t>
  </si>
  <si>
    <t>INF666M01CN3</t>
  </si>
  <si>
    <t>Groww Largecap Fund (formerly known as Indiabulls Bluechip Fund)- Direct Plan- Monthly - Income Distribution cum capital withdrawal Option (Payout &amp; Reinvestment)</t>
  </si>
  <si>
    <t>INF666M01CO1</t>
  </si>
  <si>
    <t>INF666M01CP8</t>
  </si>
  <si>
    <t>Groww Largecap Fund (formerly known as Indiabulls Bluechip Fund)- Direct Plan- Quarterly - Income Distribution cum capital withdrawal Option (Payout &amp; Reinvestment)</t>
  </si>
  <si>
    <t>INF666M01188</t>
  </si>
  <si>
    <t>INF666M01170</t>
  </si>
  <si>
    <t>Groww Largecap Fund (formerly known as Indiabulls Bluechip Fund)- Regular Plan- - Income Distribution cum capital withdrawal Option (Payout &amp; Reinvestment)</t>
  </si>
  <si>
    <t>INF666M01CW4</t>
  </si>
  <si>
    <t>INF666M01CX2</t>
  </si>
  <si>
    <t>Groww Largecap Fund (formerly known as Indiabulls Bluechip Fund)- Regular Plan- Half Yearly - Income Distribution cum capital withdrawal Option (Payout &amp; Reinvestment)</t>
  </si>
  <si>
    <t>INF666M01CS2</t>
  </si>
  <si>
    <t>INF666M01CT0</t>
  </si>
  <si>
    <t>Groww Largecap Fund (formerly known as Indiabulls Bluechip Fund)- Regular Plan- Monthly - Income Distribution cum capital withdrawal Option (Payout &amp; Reinvestment)</t>
  </si>
  <si>
    <t>INF666M01CU8</t>
  </si>
  <si>
    <t>INF666M01CV6</t>
  </si>
  <si>
    <t>Groww Largecap Fund (formerly known as Indiabulls Bluechip Fund)- Regular Plan- Quarterly - Income Distribution cum capital withdrawal Option (Payout &amp; Reinvestment)</t>
  </si>
  <si>
    <t>INF179K01YV8</t>
  </si>
  <si>
    <t>HDFC Large Cap Fund - Growth Option - Direct Plan</t>
  </si>
  <si>
    <t>INF179K01BE2</t>
  </si>
  <si>
    <t>HDFC Large Cap Fund - Growth Option - Regular Plan</t>
  </si>
  <si>
    <t>INF179K01YT2</t>
  </si>
  <si>
    <t>INF179K01YU0</t>
  </si>
  <si>
    <t>HDFC Large Cap Fund - IDCW Option - Direct Plan</t>
  </si>
  <si>
    <t>INF179K01BC6</t>
  </si>
  <si>
    <t>INF179K01BD4</t>
  </si>
  <si>
    <t>HDFC Large Cap Fund - IDCW Option - Regular Plan</t>
  </si>
  <si>
    <t>INF336L01CM7</t>
  </si>
  <si>
    <t>HSBC Large Cap Fund - Direct Growth</t>
  </si>
  <si>
    <t>INF336L01CK1</t>
  </si>
  <si>
    <t>INF336L01CL9</t>
  </si>
  <si>
    <t>HSBC Large Cap Fund - Direct IDCW</t>
  </si>
  <si>
    <t>INF336L01016</t>
  </si>
  <si>
    <t>HSBC Large Cap Fund - Regular Growth</t>
  </si>
  <si>
    <t>INF336L01024</t>
  </si>
  <si>
    <t>INF336L01032</t>
  </si>
  <si>
    <t>HSBC Large Cap Fund - Regular IDCW</t>
  </si>
  <si>
    <t>INF109K01BN0</t>
  </si>
  <si>
    <t>ICICI Prudential Bluechip Fund - Institutional Option - I - Growth</t>
  </si>
  <si>
    <t>INF109K014L5</t>
  </si>
  <si>
    <t>INF109K015L2</t>
  </si>
  <si>
    <t>ICICI Prudential Large Cap Fund (erstwhile Bluechip Fund)  - Direct Plan - IDCW</t>
  </si>
  <si>
    <t>INF109K01BL4</t>
  </si>
  <si>
    <t>ICICI Prudential Large Cap Fund (erstwhile Bluechip Fund)  - Growth</t>
  </si>
  <si>
    <t>INF109K01EP9</t>
  </si>
  <si>
    <t>INF109K01BM2</t>
  </si>
  <si>
    <t>ICICI Prudential Large Cap Fund (erstwhile Bluechip Fund)  - IDCW</t>
  </si>
  <si>
    <t>INF109K016L0</t>
  </si>
  <si>
    <t>ICICI Prudential Large Cap Fund (erstwhile Bluechip Fund) - Direct Plan - Growth</t>
  </si>
  <si>
    <t>INF205K01LB0</t>
  </si>
  <si>
    <t>Invesco India Largecap Fund - Direct Plan - Growth</t>
  </si>
  <si>
    <t>INF205K01KZ1</t>
  </si>
  <si>
    <t>INF205K01LA2</t>
  </si>
  <si>
    <t>Invesco India Largecap Fund - Direct Plan - IDCW (Payout / Reinvestment)</t>
  </si>
  <si>
    <t>INF205K01304</t>
  </si>
  <si>
    <t>Invesco India Largecap Fund - Regular Plan - Growth</t>
  </si>
  <si>
    <t>INF205K01320</t>
  </si>
  <si>
    <t>INF205K01312</t>
  </si>
  <si>
    <t>Invesco India Largecap Fund - Regular Plan - IDCW (Payout / Reinvestment)</t>
  </si>
  <si>
    <t>INF00XX01804</t>
  </si>
  <si>
    <t>ITI Large Cap Fund - Direct Plan - Growth Option</t>
  </si>
  <si>
    <t>INF00XX01812</t>
  </si>
  <si>
    <t>INF00XX01820</t>
  </si>
  <si>
    <t>ITI Large Cap Fund - Direct Plan - IDCW Option</t>
  </si>
  <si>
    <t>INF00XX01770</t>
  </si>
  <si>
    <t>ITI Large Cap Fund - Regular Plan - Growth Option</t>
  </si>
  <si>
    <t>INF00XX01788</t>
  </si>
  <si>
    <t>INF00XX01796</t>
  </si>
  <si>
    <t>ITI Large Cap Fund - Regular Plan - IDCW Option</t>
  </si>
  <si>
    <t>INF22M001176</t>
  </si>
  <si>
    <t>JioBlackRock Large Cap Fund - Direct Plan - Growth Option</t>
  </si>
  <si>
    <t>INF192K01JU4</t>
  </si>
  <si>
    <t>INF192K01JV2</t>
  </si>
  <si>
    <t>JM Large Cap Fund (Direct) - Annual IDCW</t>
  </si>
  <si>
    <t>INF192K01BZ0</t>
  </si>
  <si>
    <t>JM Large Cap Fund (Direct) - Growth Option</t>
  </si>
  <si>
    <t>INF192K01JR0</t>
  </si>
  <si>
    <t>INF192K01JZ3</t>
  </si>
  <si>
    <t xml:space="preserve">JM Large Cap Fund (Direct) - Half Yearly IDCW </t>
  </si>
  <si>
    <t>INF192K01BX5</t>
  </si>
  <si>
    <t>INF192K01BY3</t>
  </si>
  <si>
    <t>JM Large Cap Fund (Direct) - IDCW</t>
  </si>
  <si>
    <t>INF192K01JJ7</t>
  </si>
  <si>
    <t>INF192K01JK5</t>
  </si>
  <si>
    <t xml:space="preserve">JM Large Cap Fund (Direct) - Monthly IDCW </t>
  </si>
  <si>
    <t>INF192K01JN9</t>
  </si>
  <si>
    <t>INF192K01JO7</t>
  </si>
  <si>
    <t>JM Large Cap Fund (Direct) - Quarterly IDCW</t>
  </si>
  <si>
    <t>INF192K01JS8</t>
  </si>
  <si>
    <t>INF192K01JT6</t>
  </si>
  <si>
    <t>JM Large Cap Fund (Regular) - Annual IDCW</t>
  </si>
  <si>
    <t>INF192K01601</t>
  </si>
  <si>
    <t>JM Large Cap Fund (Regular) - Growth Option</t>
  </si>
  <si>
    <t>INF192K01JP4</t>
  </si>
  <si>
    <t>INF192K01JQ2</t>
  </si>
  <si>
    <t>JM Large Cap Fund (Regular) - Half Yearly IDCW</t>
  </si>
  <si>
    <t>INF192K01585</t>
  </si>
  <si>
    <t>INF192K01593</t>
  </si>
  <si>
    <t xml:space="preserve">JM Large Cap Fund (Regular) - IDCW </t>
  </si>
  <si>
    <t>INF192K01JH1</t>
  </si>
  <si>
    <t>INF192K01JI9</t>
  </si>
  <si>
    <t>JM Large Cap Fund (Regular) - Monthly IDCW</t>
  </si>
  <si>
    <t>INF192K01JL3</t>
  </si>
  <si>
    <t>INF192K01JM1</t>
  </si>
  <si>
    <t>JM Large Cap Fund (Regular) - Quarterly IDCW</t>
  </si>
  <si>
    <t>INF174K01KW6</t>
  </si>
  <si>
    <t>Kotak Large Cap  Fund - Growth - Direct</t>
  </si>
  <si>
    <t>INF174K01153</t>
  </si>
  <si>
    <t>Kotak Large Cap Fund - Growth</t>
  </si>
  <si>
    <t>INF174K01KY2</t>
  </si>
  <si>
    <t>INF174K01KX4</t>
  </si>
  <si>
    <t>Kotak Large Cap Fund - Payout of Income Distribution cum capital withdrawal option - Direct</t>
  </si>
  <si>
    <t>INF174K01179</t>
  </si>
  <si>
    <t>INF174K01161</t>
  </si>
  <si>
    <t>Kotak Large Cap Fund - Payout of Income Distribution cumcapital withdrawal option</t>
  </si>
  <si>
    <t>INF767K01EJ7</t>
  </si>
  <si>
    <t>LIC MF Large Cap Fund-Direct Plan-Growth</t>
  </si>
  <si>
    <t>INF767K01EI9</t>
  </si>
  <si>
    <t>INF767K01EK5</t>
  </si>
  <si>
    <t>LIC MF Large Cap Fund-Direct Plan-IDCW</t>
  </si>
  <si>
    <t>INF767K01105</t>
  </si>
  <si>
    <t>LIC MF Large Cap Fund-Regular Plan-Growth</t>
  </si>
  <si>
    <t>INF767K01097</t>
  </si>
  <si>
    <t>INF767K01089</t>
  </si>
  <si>
    <t>LIC MF Large Cap Fund-Regular Plan-IDCW</t>
  </si>
  <si>
    <t>INF174V01747</t>
  </si>
  <si>
    <t>INF174V01739</t>
  </si>
  <si>
    <t>Mahindra Manulife Large Cap Fund - Direct Plan - IDCW</t>
  </si>
  <si>
    <t>INF174V01721</t>
  </si>
  <si>
    <t>Mahindra Manulife Large Cap Fund - Direct Plan -Growth</t>
  </si>
  <si>
    <t>INF174V01697</t>
  </si>
  <si>
    <t>Mahindra Manulife Large Cap Fund - Regular Plan - Growth</t>
  </si>
  <si>
    <t>INF174V01713</t>
  </si>
  <si>
    <t>INF174V01705</t>
  </si>
  <si>
    <t>Mahindra Manulife Large Cap Fund - Regular Plan - IDCW</t>
  </si>
  <si>
    <t>INF769K01AX2</t>
  </si>
  <si>
    <t>Mirae Asset Large Cap Fund - Direct Plan - Growth</t>
  </si>
  <si>
    <t>INF769K01010</t>
  </si>
  <si>
    <t>Mirae Asset Large Cap Fund - Growth Plan</t>
  </si>
  <si>
    <t>INF769K01AY0</t>
  </si>
  <si>
    <t>INF769K01AZ7</t>
  </si>
  <si>
    <t>Mirae Asset Large Cap Fund Direct IDCW</t>
  </si>
  <si>
    <t>INF769K01036</t>
  </si>
  <si>
    <t>INF769K01028</t>
  </si>
  <si>
    <t>Mirae Asset Large Cap Fund Regular IDCW</t>
  </si>
  <si>
    <t>INF247L01CE3</t>
  </si>
  <si>
    <t>Motilal Oswal Large Cap Direct Plan Growth</t>
  </si>
  <si>
    <t>INF247L01CF0</t>
  </si>
  <si>
    <t>INF247L01CG8</t>
  </si>
  <si>
    <t>Motilal Oswal Large Cap Direct Plan IDCW</t>
  </si>
  <si>
    <t>INF247L01CB9</t>
  </si>
  <si>
    <t>Motilal Oswal Large Cap Regular Plan Growth</t>
  </si>
  <si>
    <t>INF247L01CC7</t>
  </si>
  <si>
    <t>INF247L01CD5</t>
  </si>
  <si>
    <t>Motilal Oswal Large Cap Regular Plan IDCW</t>
  </si>
  <si>
    <t>INF204K01562</t>
  </si>
  <si>
    <t>Nippon India Large Cap  Fund- Growth Plan -Growth Option</t>
  </si>
  <si>
    <t>INF204K01XG7</t>
  </si>
  <si>
    <t>INF204K01XH5</t>
  </si>
  <si>
    <t>NIPPON INDIA LARGE CAP FUND - DIRECT Plan - IDCW Option</t>
  </si>
  <si>
    <t>INF204K01D30</t>
  </si>
  <si>
    <t>Nippon India Large Cap Fund - Direct Plan Growth Plan - Bonus Option</t>
  </si>
  <si>
    <t>INF204K01XI3</t>
  </si>
  <si>
    <t>Nippon India Large Cap Fund - Direct Plan Growth Plan - Growth Option</t>
  </si>
  <si>
    <t>INF204K01539</t>
  </si>
  <si>
    <t>INF204K01547</t>
  </si>
  <si>
    <t>NIPPON INDIA LARGE CAP FUND - IDCW Option</t>
  </si>
  <si>
    <t>INF204K01554</t>
  </si>
  <si>
    <t>Nippon India Large Cap Fund- Growth Plan Bonus Option</t>
  </si>
  <si>
    <t>INF204K01513</t>
  </si>
  <si>
    <t>Nippon India Large Cap Fund-Institutional Plan Growth Plan Bonus Option</t>
  </si>
  <si>
    <t>INF223J01895</t>
  </si>
  <si>
    <t>PGIM India Large Cap Fund - BONUS OPTION</t>
  </si>
  <si>
    <t>INF223J01MM0</t>
  </si>
  <si>
    <t>PGIM India Large Cap Fund - Direct Plan - Bonus</t>
  </si>
  <si>
    <t>INF663L01GS2</t>
  </si>
  <si>
    <t>INF663L01GT0</t>
  </si>
  <si>
    <t>PGIM India Large Cap Fund - Direct Plan - Dividend</t>
  </si>
  <si>
    <t>INF663L01GR4</t>
  </si>
  <si>
    <t>PGIM India Large Cap Fund - Direct Plan - Growth</t>
  </si>
  <si>
    <t>INF663L01GU8</t>
  </si>
  <si>
    <t>INF663L01GV6</t>
  </si>
  <si>
    <t>PGIM India Large Cap Fund - Dividend</t>
  </si>
  <si>
    <t>INF663L01GW4</t>
  </si>
  <si>
    <t>PGIM India Large Cap Fund - Growth</t>
  </si>
  <si>
    <t>INF223J01267</t>
  </si>
  <si>
    <t>PGIM India Large Cap Fund Wealth Plan - Growth Option</t>
  </si>
  <si>
    <t>INF223J01242</t>
  </si>
  <si>
    <t>PGIM India Large Cap Fund Wealth Plan -Dividend Option</t>
  </si>
  <si>
    <t>INF879O01332</t>
  </si>
  <si>
    <t>Parag Parikh Large Cap Fund - Direct Plan - Growth</t>
  </si>
  <si>
    <t>INF879O01357</t>
  </si>
  <si>
    <t>Parag Parikh Large Cap Fund - Direct Plan - IDCW</t>
  </si>
  <si>
    <t>INF879O01365</t>
  </si>
  <si>
    <t>Parag Parikh Large Cap Fund - Regular Plan - Growth</t>
  </si>
  <si>
    <t>INF879O01381</t>
  </si>
  <si>
    <t>Parag Parikh Large Cap Fund - Regular Plan - IDCW</t>
  </si>
  <si>
    <t>INF966L01AT0</t>
  </si>
  <si>
    <t>quant Large Cap Fund - Growth Option - Direct Plan</t>
  </si>
  <si>
    <t>INF966L01AW4</t>
  </si>
  <si>
    <t>quant Large Cap Fund - Growth Option - Regular Plan</t>
  </si>
  <si>
    <t>INF966L01AU8</t>
  </si>
  <si>
    <t>INF966L01AV6</t>
  </si>
  <si>
    <t>quant Large Cap Fund - IDCW Option - Direct Plan</t>
  </si>
  <si>
    <t>INF966L01AX2</t>
  </si>
  <si>
    <t>INF966L01AY0</t>
  </si>
  <si>
    <t>quant Large Cap Fund - IDCW Option - Regular Plan</t>
  </si>
  <si>
    <t>INF0K1H01255</t>
  </si>
  <si>
    <t>Samco Large Cap Fund - Direct Plan - Growth Option</t>
  </si>
  <si>
    <t>INF0K1H01263</t>
  </si>
  <si>
    <t>Samco Large Cap Fund - Regular Plan - Growth Option</t>
  </si>
  <si>
    <t>INF200K01QV8</t>
  </si>
  <si>
    <t>INF200K01QW6</t>
  </si>
  <si>
    <t>SBI Large Cap Fund - Direct Plan - Income Distribution cum Capital Withdrawal Option (IDCW)</t>
  </si>
  <si>
    <t>INF200K01164</t>
  </si>
  <si>
    <t>INF200K01172</t>
  </si>
  <si>
    <t>SBI Large Cap Fund - Regular Plan - Income Distribution cum Capital Withdrawal Option (IDCW)</t>
  </si>
  <si>
    <t>INF200K01QX4</t>
  </si>
  <si>
    <t>SBI Large Cap FUND-DIRECT PLAN -GROWTH</t>
  </si>
  <si>
    <t>INF200K01180</t>
  </si>
  <si>
    <t>SBI Large Cap FUND-REGULAR PLAN GROWTH</t>
  </si>
  <si>
    <t>INF903JA1JE6</t>
  </si>
  <si>
    <t>Sundaram Large Cap Fund (Formerly Known as Sundaram Blue Chip  Fund)  Direct Plan - Reinvestment of Income Distribution cum Capital Withdrawal (IDCW)</t>
  </si>
  <si>
    <t>INF903JA1JA4</t>
  </si>
  <si>
    <t>Sundaram Large Cap Fund (Formerly Known as Sundaram Blue Chip Fund)  Regular Plan - Payout of Income Distribution cum Capital Withdrawal (IDCW)</t>
  </si>
  <si>
    <t>INF903JA1JD8</t>
  </si>
  <si>
    <t>Sundaram Large Cap Fund (Formerly Known as Sundaram Blue Chip Fund) Direct Plan - Payout of Income Distribution cum Capital Withdrawal (IDCW)</t>
  </si>
  <si>
    <t>INF903JA1JB2</t>
  </si>
  <si>
    <t>Sundaram Large Cap Fund (Formerly Known as Sundaram Blue Chip Fund) Regular Plan - Reinvestment of Income Distribution cum Capital Withdrawal (IDCW)</t>
  </si>
  <si>
    <t>INF903JA1JC0</t>
  </si>
  <si>
    <t>Sundaram Large Cap Fund (Formerly Known as Sundaram Blue Chip Fund)Direct Plan - Growth</t>
  </si>
  <si>
    <t>INF903JA1IZ3</t>
  </si>
  <si>
    <t>Sundaram Large Cap Fund(Formerly Known as Sundaram Blue Chip Fund) Regular Plan - Growth</t>
  </si>
  <si>
    <t>INF277K01QZ7</t>
  </si>
  <si>
    <t>Tata Large Cap Fund -Direct Plan Growth Option</t>
  </si>
  <si>
    <t>INF277K01931</t>
  </si>
  <si>
    <t>Tata Large Cap Fund -Regular Plan - Growth Option</t>
  </si>
  <si>
    <t>INF277K01QX2</t>
  </si>
  <si>
    <t>INF277K01QY0</t>
  </si>
  <si>
    <t>Tata Large Cap Fund- Direct Plan - Payout of IDCW Option</t>
  </si>
  <si>
    <t>INF277K01EG3</t>
  </si>
  <si>
    <t>INF277K01923</t>
  </si>
  <si>
    <t>Tata Large Cap Fund- Regular Plan - Payout of IDCW Option</t>
  </si>
  <si>
    <t>INF044D01BX3</t>
  </si>
  <si>
    <t>Taurus Large Cap Fund - Direct Plan - Growth</t>
  </si>
  <si>
    <t>INF044D01BY1</t>
  </si>
  <si>
    <t>INF044D01BZ8</t>
  </si>
  <si>
    <t>Taurus Large Cap Fund - Direct Plan - Payout of Income Distribution cum Capital Withdrawal option</t>
  </si>
  <si>
    <t>INF044D01773</t>
  </si>
  <si>
    <t>Taurus Large Cap Fund - Regular Plan - Growth</t>
  </si>
  <si>
    <t>INF044D01740</t>
  </si>
  <si>
    <t>INF044D01757</t>
  </si>
  <si>
    <t>Taurus Large Cap Fund - Regular Plan - Payout of Income Distribution cum Capital Withdrawal option</t>
  </si>
  <si>
    <t>INF582M01CU7</t>
  </si>
  <si>
    <t>Union Largecap Fund - Direct Plan - Growth Option</t>
  </si>
  <si>
    <t>INF582M01CV5</t>
  </si>
  <si>
    <t>INF582M01CW3</t>
  </si>
  <si>
    <t>Union Largecap Fund - Direct Plan - IDCW Option</t>
  </si>
  <si>
    <t>INF582M01CQ5</t>
  </si>
  <si>
    <t>Union Largecap Fund - Regular Plan - Growth Option</t>
  </si>
  <si>
    <t>INF582M01CR3</t>
  </si>
  <si>
    <t>INF582M01CS1</t>
  </si>
  <si>
    <t>Union Largecap Fund - Regular Plan - IDCW Option</t>
  </si>
  <si>
    <t>INF789F01US8</t>
  </si>
  <si>
    <t>UTI Large Cap Fund - Direct Plan - Growth Option</t>
  </si>
  <si>
    <t>INF789F01UQ2</t>
  </si>
  <si>
    <t>INF789F01UR0</t>
  </si>
  <si>
    <t>UTI Large Cap Fund - Direct Plan - IDCW</t>
  </si>
  <si>
    <t>INF789F01976</t>
  </si>
  <si>
    <t>UTI Large Cap Fund - Regular Plan - Growth Option</t>
  </si>
  <si>
    <t>INF189A01038</t>
  </si>
  <si>
    <t>INF789F01950</t>
  </si>
  <si>
    <t>UTI Large Cap Fund - Regular Plan - IDCW</t>
  </si>
  <si>
    <t>INF03VN01696</t>
  </si>
  <si>
    <t>WhiteOak Capital Large Cap Fund Direct Plan Growth</t>
  </si>
  <si>
    <t>INF03VN01704</t>
  </si>
  <si>
    <t>INF03VN01712</t>
  </si>
  <si>
    <t>WhiteOak Capital Large Cap Fund Direct Plan IDCW</t>
  </si>
  <si>
    <t>INF03VN01662</t>
  </si>
  <si>
    <t>WhiteOak Capital Large Cap Fund Regular Plan Growth</t>
  </si>
  <si>
    <t>INF03VN01670</t>
  </si>
  <si>
    <t>INF03VN01688</t>
  </si>
  <si>
    <t>WhiteOak Capital Large Cap Fund Regular Plan IDCW</t>
  </si>
  <si>
    <t>INF209K01Q30</t>
  </si>
  <si>
    <t>Aditya Birla Sun Life Midcap Fund - Growth - Direct Plan</t>
  </si>
  <si>
    <t>INF209K01Q22</t>
  </si>
  <si>
    <t>Aditya Birla Sun Life Midcap Fund -DIRECT - IDCW</t>
  </si>
  <si>
    <t>INF209K01355</t>
  </si>
  <si>
    <t>INF209K01CN6</t>
  </si>
  <si>
    <t>Aditya Birla Sun Life Midcap Fund -REGULAR - IDCW</t>
  </si>
  <si>
    <t>INF209K01363</t>
  </si>
  <si>
    <t>Aditya Birla Sun Life MIDCAP Fund-Growth</t>
  </si>
  <si>
    <t>INF846K01EH3</t>
  </si>
  <si>
    <t>Axis Midcap Fund - Direct Plan - Growth</t>
  </si>
  <si>
    <t>INF846K01EF7</t>
  </si>
  <si>
    <t>INF846K01EG5</t>
  </si>
  <si>
    <t>Axis Midcap Fund - Direct Plan - IDCW</t>
  </si>
  <si>
    <t>INF846K01859</t>
  </si>
  <si>
    <t>Axis Midcap Fund - Regular Plan - Growth</t>
  </si>
  <si>
    <t>INF846K01867</t>
  </si>
  <si>
    <t>INF846K01875</t>
  </si>
  <si>
    <t>Axis Midcap Fund - Regular Plan - IDCW</t>
  </si>
  <si>
    <t>INF194KB1DJ2</t>
  </si>
  <si>
    <t>BANDHAN MIDCAP FUND - GROWTH - DIRECT PLAN</t>
  </si>
  <si>
    <t>INF194KB1DM6</t>
  </si>
  <si>
    <t>BANDHAN MIDCAP FUND - GROWTH - REGULAR PLAN</t>
  </si>
  <si>
    <t>INF194KB1DK0</t>
  </si>
  <si>
    <t>INF194KB1DL8</t>
  </si>
  <si>
    <t>BANDHAN MIDCAP FUND - IDCW - DIRECT PLAN</t>
  </si>
  <si>
    <t>INF194KB1DN4</t>
  </si>
  <si>
    <t>INF194KB1DO2</t>
  </si>
  <si>
    <t>BANDHAN MIDCAP FUND - IDCW - REGULAR PLAN</t>
  </si>
  <si>
    <t>INF761K01GY4</t>
  </si>
  <si>
    <t>Bank of India Mid Cap Fund - Direct Plan Growth</t>
  </si>
  <si>
    <t>INF761K01GZ1</t>
  </si>
  <si>
    <t>INF761K01HA2</t>
  </si>
  <si>
    <t>Bank of India Mid Cap Fund - Direct Plan IDCW</t>
  </si>
  <si>
    <t>INF761K01HB0</t>
  </si>
  <si>
    <t>Bank of India Mid Cap Fund - Regular Plan Growth</t>
  </si>
  <si>
    <t>INF761K01HC8</t>
  </si>
  <si>
    <t>INF761K01HD6</t>
  </si>
  <si>
    <t>Bank of India Mid Cap Fund - Regular Plan IDCW</t>
  </si>
  <si>
    <t>INF251K01HQ0</t>
  </si>
  <si>
    <t>BARODA BNP PARIBAS Mid Cap Fund - Direct Plan - Growth Option</t>
  </si>
  <si>
    <t>INF251K01HO5</t>
  </si>
  <si>
    <t>INF251K01HP2</t>
  </si>
  <si>
    <t>BARODA BNP PARIBAS Mid Cap Fund - Direct Plan - IDCW Option</t>
  </si>
  <si>
    <t>INF251K01AW3</t>
  </si>
  <si>
    <t>BARODA BNP PARIBAS Mid Cap Fund - Regular Plan - Growth Option</t>
  </si>
  <si>
    <t>INF251K01AX1</t>
  </si>
  <si>
    <t>INF251K01AY9</t>
  </si>
  <si>
    <t>BARODA BNP PARIBAS Mid Cap Fund - Regular Plan - IDCW Option</t>
  </si>
  <si>
    <t>INF760K01KI1</t>
  </si>
  <si>
    <t>Canara Robeco Mid Cap Fund- Direct Plan- Growth Option</t>
  </si>
  <si>
    <t>INF760K01KK7</t>
  </si>
  <si>
    <t>INF760K01KJ9</t>
  </si>
  <si>
    <t>Canara Robeco Mid Cap Fund- Direct Plan- IDCW</t>
  </si>
  <si>
    <t>INF760K01KL5</t>
  </si>
  <si>
    <t>Canara Robeco Mid Cap Fund- Regular Plan- Growth Option</t>
  </si>
  <si>
    <t>INF760K01KN1</t>
  </si>
  <si>
    <t>INF760K01KM3</t>
  </si>
  <si>
    <t>Canara Robeco Mid Cap Fund- Regular Plan- IDCW</t>
  </si>
  <si>
    <t>INF740K01PX1</t>
  </si>
  <si>
    <t>DSP Midcap Fund - Direct Plan - Growth</t>
  </si>
  <si>
    <t>INF740K01PY9</t>
  </si>
  <si>
    <t>INF740K01PZ6</t>
  </si>
  <si>
    <t>DSP Midcap Fund - Direct Plan - IDCW</t>
  </si>
  <si>
    <t>INF740K01128</t>
  </si>
  <si>
    <t>DSP Midcap Fund - Regular Plan - Growth</t>
  </si>
  <si>
    <t>INF740K01102</t>
  </si>
  <si>
    <t>INF740K01110</t>
  </si>
  <si>
    <t>DSP Midcap Fund - Regular Plan - IDCW</t>
  </si>
  <si>
    <t>INF843K01AO4</t>
  </si>
  <si>
    <t>Edelweiss Mid Cap Fund - Direct Plan - Growth Option</t>
  </si>
  <si>
    <t>INF843K01AP1</t>
  </si>
  <si>
    <t>INF843K01AQ9</t>
  </si>
  <si>
    <t>Edelweiss Mid Cap Fund - Direct Plan - IDCW Option</t>
  </si>
  <si>
    <t>INF843K01013</t>
  </si>
  <si>
    <t>Edelweiss Mid Cap Fund - Regular Plan - Growth Option</t>
  </si>
  <si>
    <t>INF843K01021</t>
  </si>
  <si>
    <t>INF843K01039</t>
  </si>
  <si>
    <t>Edelweiss Mid Cap Fund - Regular Plan - IDCW Option</t>
  </si>
  <si>
    <t>INF090I01FH9</t>
  </si>
  <si>
    <t>Franklin India Mid Cap Fund - Direct - Growth</t>
  </si>
  <si>
    <t>INF090I01FI7</t>
  </si>
  <si>
    <t>INF090I01FJ5</t>
  </si>
  <si>
    <t>Franklin India Mid Cap Fund - Direct - IDCW</t>
  </si>
  <si>
    <t>INF090I01726</t>
  </si>
  <si>
    <t>INF090I01734</t>
  </si>
  <si>
    <t>Franklin India Mid Cap Fund - IDCW</t>
  </si>
  <si>
    <t>INF090I01809</t>
  </si>
  <si>
    <t>Franklin India Mid Cap Fund-Growth</t>
  </si>
  <si>
    <t>INF179K01XQ0</t>
  </si>
  <si>
    <t>HDFC Mid Cap Fund - Growth Option - Direct Plan</t>
  </si>
  <si>
    <t>INF179K01CR2</t>
  </si>
  <si>
    <t>HDFC Mid Cap Fund - Growth Plan</t>
  </si>
  <si>
    <t>INF179K01XO5</t>
  </si>
  <si>
    <t>INF179K01XP2</t>
  </si>
  <si>
    <t>HDFC Mid Cap Fund - IDCW Option - Direct Plan</t>
  </si>
  <si>
    <t>INF179K01CS0</t>
  </si>
  <si>
    <t>INF179K01CT8</t>
  </si>
  <si>
    <t>HDFC Mid Cap Fund - IDCW Plan</t>
  </si>
  <si>
    <t>INF0R8701327</t>
  </si>
  <si>
    <t>Helios Mid Cap Fund - Direct Plan - Growth Option</t>
  </si>
  <si>
    <t>INF0R8701335</t>
  </si>
  <si>
    <t>INF0R8701343</t>
  </si>
  <si>
    <t>Helios Mid Cap Fund - Direct Plan - IDCW Option</t>
  </si>
  <si>
    <t>INF0R8701293</t>
  </si>
  <si>
    <t>Helios Mid Cap Fund - Regular Plan - Growth Plan</t>
  </si>
  <si>
    <t>INF0R8701301</t>
  </si>
  <si>
    <t>INF0R8701319</t>
  </si>
  <si>
    <t>Helios Mid Cap Fund - Regular Plan - IDCW Option</t>
  </si>
  <si>
    <t>INF917K01FZ1</t>
  </si>
  <si>
    <t>HSBC Midcap Fund - Direct Growth</t>
  </si>
  <si>
    <t>INF917K01E78</t>
  </si>
  <si>
    <t>INF917K01FX6</t>
  </si>
  <si>
    <t>HSBC Midcap Fund - Direct IDCW</t>
  </si>
  <si>
    <t>INF917K01254</t>
  </si>
  <si>
    <t>HSBC Midcap Fund - Regular Growth</t>
  </si>
  <si>
    <t>INF917K01239</t>
  </si>
  <si>
    <t>INF917K01247</t>
  </si>
  <si>
    <t>HSBC Midcap Fund - Regular IDCW</t>
  </si>
  <si>
    <t>INF109K011N7</t>
  </si>
  <si>
    <t>ICICI Prudential MidCap Fund - Direct Plan -  Growth</t>
  </si>
  <si>
    <t>INF109K019M2</t>
  </si>
  <si>
    <t>INF109K010N9</t>
  </si>
  <si>
    <t>ICICI Prudential MidCap Fund - Direct Plan -  IDCW</t>
  </si>
  <si>
    <t>INF109K01AN2</t>
  </si>
  <si>
    <t>ICICI Prudential MidCap Fund - Growth</t>
  </si>
  <si>
    <t>INF109K01EH6</t>
  </si>
  <si>
    <t>INF109K01AL6</t>
  </si>
  <si>
    <t>ICICI Prudential MidCap Fund - IDCW</t>
  </si>
  <si>
    <t>INF205K01MV6</t>
  </si>
  <si>
    <t>Invesco India Midcap Fund - Direct Plan - Growth Option</t>
  </si>
  <si>
    <t>INF205K01MT0</t>
  </si>
  <si>
    <t>INF205K01MU8</t>
  </si>
  <si>
    <t>Invesco India Midcap Fund - Direct Plan - IDCW (Payout / Reinvestment)</t>
  </si>
  <si>
    <t>INF205K01BC9</t>
  </si>
  <si>
    <t>Invesco India Midcap Fund - Regular Plan - Growth Option</t>
  </si>
  <si>
    <t>INF205K01BD7</t>
  </si>
  <si>
    <t>INF205K01BE5</t>
  </si>
  <si>
    <t>Invesco India Midcap Fund - Regular Plan - IDCW (Payout / Reinvestment)</t>
  </si>
  <si>
    <t>INF00XX01929</t>
  </si>
  <si>
    <t>ITI Mid Cap Fund - Direct Plan - Growth Option</t>
  </si>
  <si>
    <t>INF00XX01937</t>
  </si>
  <si>
    <t>INF00XX01945</t>
  </si>
  <si>
    <t>ITI Mid Cap Fund - Direct Plan - IDCW Option</t>
  </si>
  <si>
    <t>INF00XX01895</t>
  </si>
  <si>
    <t>ITI Mid Cap Fund - Regular Plan - Growth Option</t>
  </si>
  <si>
    <t>INF00XX01903</t>
  </si>
  <si>
    <t>INF00XX01911</t>
  </si>
  <si>
    <t>ITI Mid Cap Fund - Regular Plan - IDCW Option</t>
  </si>
  <si>
    <t>INF192K01MV6</t>
  </si>
  <si>
    <t>JM Midcap Fund (Direct) - Growth</t>
  </si>
  <si>
    <t>INF192K01MW4</t>
  </si>
  <si>
    <t>INF192K01MX2</t>
  </si>
  <si>
    <t>JM Midcap Fund (Direct) - IDCW</t>
  </si>
  <si>
    <t>INF192K01MS2</t>
  </si>
  <si>
    <t>JM Midcap Fund (Regular) - Growth</t>
  </si>
  <si>
    <t>INF192K01MT0</t>
  </si>
  <si>
    <t>INF192K01MU8</t>
  </si>
  <si>
    <t>JM Midcap Fund (Regular) - IDCW</t>
  </si>
  <si>
    <t>INF174K01LU8</t>
  </si>
  <si>
    <t>INF174K01LV6</t>
  </si>
  <si>
    <t>Kotak Midcap Fund  - Direct Plan - IDCW - Payout &amp; Re-investment of Income Distribution cum capital withdrawal option</t>
  </si>
  <si>
    <t>INF174K01LT0</t>
  </si>
  <si>
    <t>Kotak Midcap Fund - Direct Plan - Growth</t>
  </si>
  <si>
    <t>INF174K01DS9</t>
  </si>
  <si>
    <t>Kotak Midcap Fund - Regular Plan - Growth</t>
  </si>
  <si>
    <t>INF174K01DU5</t>
  </si>
  <si>
    <t>INF174K01DT7</t>
  </si>
  <si>
    <t>Kotak Midcap Fund - Regular Plan - IDCW -Payout &amp; Re-investment of Income Distribution cum capital withdrawal option</t>
  </si>
  <si>
    <t>INF397L01JK8</t>
  </si>
  <si>
    <t>LIC MF Mid Cap Fund-Direct Plan-Growth</t>
  </si>
  <si>
    <t>INF397L01JH4</t>
  </si>
  <si>
    <t>INF397L01JI2</t>
  </si>
  <si>
    <t>LIC MF Mid Cap Fund-Direct Plan-IDCW</t>
  </si>
  <si>
    <t>INF397L01JO0</t>
  </si>
  <si>
    <t>LIC MF Mid Cap Fund-Regular Plan-Growth</t>
  </si>
  <si>
    <t>INF397L01JL6</t>
  </si>
  <si>
    <t>INF397L01JM4</t>
  </si>
  <si>
    <t>LIC MF Mid Cap Fund-Regular Plan-IDCW</t>
  </si>
  <si>
    <t>INF174V01523</t>
  </si>
  <si>
    <t>INF174V01515</t>
  </si>
  <si>
    <t>Mahindra Manulife Mid Cap Fund - Direct Plan - IDCW</t>
  </si>
  <si>
    <t>INF174V01507</t>
  </si>
  <si>
    <t>Mahindra Manulife Mid Cap Fund - Direct Plan -Growth</t>
  </si>
  <si>
    <t>INF174V01473</t>
  </si>
  <si>
    <t>Mahindra Manulife Mid Cap Fund - Regular Plan - Growth</t>
  </si>
  <si>
    <t>INF174V01499</t>
  </si>
  <si>
    <t>INF174V01481</t>
  </si>
  <si>
    <t>Mahindra Manulife Mid Cap Fund- Regular Plan - IDCW</t>
  </si>
  <si>
    <t>INF769K01EY2</t>
  </si>
  <si>
    <t>Mirae Asset Midcap Fund - Regular Plan-Growth Option</t>
  </si>
  <si>
    <t>INF769K01EZ9</t>
  </si>
  <si>
    <t>INF769K01FC5</t>
  </si>
  <si>
    <t>Mirae Asset Midcap Fund Direct IDCW</t>
  </si>
  <si>
    <t>INF769K01EX4</t>
  </si>
  <si>
    <t>INF769K01FB7</t>
  </si>
  <si>
    <t>Mirae Asset Midcap Fund Regular IDCW</t>
  </si>
  <si>
    <t>INF769K01FA9</t>
  </si>
  <si>
    <t>Mirae Asset Midcap Fund- Direct Growth Option</t>
  </si>
  <si>
    <t>INF247L01460</t>
  </si>
  <si>
    <t>INF247L01452</t>
  </si>
  <si>
    <t>Motilal Oswal Midcap Fund-Direct - IDCW Payout/Reinvestment</t>
  </si>
  <si>
    <t>INF247L01445</t>
  </si>
  <si>
    <t>Motilal Oswal Midcap Fund-Direct Plan-Growth Option</t>
  </si>
  <si>
    <t>INF247L01437</t>
  </si>
  <si>
    <t>INF247L01429</t>
  </si>
  <si>
    <t>Motilal Oswal Midcap Fund-Regular - IDCW Payout/Reinvestment</t>
  </si>
  <si>
    <t>INF247L01411</t>
  </si>
  <si>
    <t>Motilal Oswal Midcap Fund-Regular Plan-Growth Option</t>
  </si>
  <si>
    <t>INF204K01E39</t>
  </si>
  <si>
    <t>INF204K01E47</t>
  </si>
  <si>
    <t>NIPPON INDIA GROWTH MID CAP FUND - DIRECT Plan - IDCW Option</t>
  </si>
  <si>
    <t>INF204K01E21</t>
  </si>
  <si>
    <t>Nippon India Growth Mid Cap Fund - Direct Plan Growth Plan - Bonus Option</t>
  </si>
  <si>
    <t>INF204K01E54</t>
  </si>
  <si>
    <t>Nippon India Growth Mid Cap Fund - Direct Plan Growth Plan - Growth Option</t>
  </si>
  <si>
    <t>INF204K01299</t>
  </si>
  <si>
    <t>INF204K01307</t>
  </si>
  <si>
    <t>NIPPON INDIA GROWTH MID CAP FUND - IDCW Option</t>
  </si>
  <si>
    <t>INF204K01257</t>
  </si>
  <si>
    <t>INF204K01265</t>
  </si>
  <si>
    <t>NIPPON INDIA GROWTH MID CAP FUND - INSTITUTIONAL Plan - IDCW Option</t>
  </si>
  <si>
    <t>INF204K01315</t>
  </si>
  <si>
    <t>Nippon India Growth Mid Cap Fund-Growth Plan-Bonus Option</t>
  </si>
  <si>
    <t>INF204K01323</t>
  </si>
  <si>
    <t>Nippon India Growth Mid Cap Fund-Growth Plan-Growth Option</t>
  </si>
  <si>
    <t>INF663L01DW1</t>
  </si>
  <si>
    <t>INF663L01DX9</t>
  </si>
  <si>
    <t>PGIM India Midcap Fund - Direct Plan - Dividend Option - Payout</t>
  </si>
  <si>
    <t>INF663L01DV3</t>
  </si>
  <si>
    <t>PGIM India Midcap Fund - Direct Plan - Growth Option</t>
  </si>
  <si>
    <t>INF663L01EA5</t>
  </si>
  <si>
    <t>INF663L01EB3</t>
  </si>
  <si>
    <t>PGIM India Midcap Fund - Regular Plan - Dividend Option - Payout</t>
  </si>
  <si>
    <t>INF663L01DZ4</t>
  </si>
  <si>
    <t>PGIM India Midcap Fund - Regular Plan - Growth Option</t>
  </si>
  <si>
    <t>INF966L01887</t>
  </si>
  <si>
    <t>quant Mid Cap Fund - Growth Option - Direct Plan</t>
  </si>
  <si>
    <t>INF966L01176</t>
  </si>
  <si>
    <t>quant Mid Cap Fund - Growth Option - Regular Plan</t>
  </si>
  <si>
    <t>INF966L01861</t>
  </si>
  <si>
    <t>INF966L01879</t>
  </si>
  <si>
    <t>quant Mid Cap Fund - IDCW Option - Direct Plan</t>
  </si>
  <si>
    <t>INF966L01150</t>
  </si>
  <si>
    <t>INF966L01168</t>
  </si>
  <si>
    <t>quant Mid Cap Fund - IDCW Option - Regular Plan</t>
  </si>
  <si>
    <t>INF0K1H01313</t>
  </si>
  <si>
    <t>Samco Mid Cap Fund - Direct Plan</t>
  </si>
  <si>
    <t>INF0K1H01321</t>
  </si>
  <si>
    <t>Samco Mid Cap Fund - Regular Plan</t>
  </si>
  <si>
    <t>INF200K01TP4</t>
  </si>
  <si>
    <t>SBI MIDCAP FUND - DIRECT PLAN - GROWTH</t>
  </si>
  <si>
    <t>INF200K01TN9</t>
  </si>
  <si>
    <t>INF200K01TO7</t>
  </si>
  <si>
    <t>SBI Midcap Fund - Direct Plan - Income Distribution cum Capital Withdrawal Option (IDCW)</t>
  </si>
  <si>
    <t>INF200K01560</t>
  </si>
  <si>
    <t>SBI MIDCAP FUND - REGULAR PLAN - GROWTH</t>
  </si>
  <si>
    <t>INF200K01578</t>
  </si>
  <si>
    <t>INF200K01586</t>
  </si>
  <si>
    <t>SBI Midcap Fund - Regular Plan - Income Distribution cum Capital Withdrawal Option (IDCW)</t>
  </si>
  <si>
    <t>INF903J01MJ3</t>
  </si>
  <si>
    <t>Sundaram Mid Cap Fund Direct Plan - Growth</t>
  </si>
  <si>
    <t>INF903J01MH7</t>
  </si>
  <si>
    <t>INF903J01MI5</t>
  </si>
  <si>
    <t>Sundaram Mid Cap Fund Direct Plan - Income Distribution cum Capital Withdrawal (IDCW)</t>
  </si>
  <si>
    <t>INF903J01173</t>
  </si>
  <si>
    <t>Sundaram Mid Cap Fund Regular Plan - Growth</t>
  </si>
  <si>
    <t>INF903J01181</t>
  </si>
  <si>
    <t>INF903J01199</t>
  </si>
  <si>
    <t>Sundaram Mid Cap Fund Regular Plan - Income Distribution cum Capital Withdrawal (IDCW)</t>
  </si>
  <si>
    <t>INF277K01PY2</t>
  </si>
  <si>
    <t>Tata Mid Cap Fund - Direct Plan- Growth Option</t>
  </si>
  <si>
    <t>INF277K01PW6</t>
  </si>
  <si>
    <t>INF277K01PX4</t>
  </si>
  <si>
    <t>Tata Mid Cap Fund - Direct Plan- IDCW Option</t>
  </si>
  <si>
    <t>INF277K01626</t>
  </si>
  <si>
    <t>Tata Mid Cap Fund Regular Plan- Growth Option</t>
  </si>
  <si>
    <t>INF277K01DS0</t>
  </si>
  <si>
    <t>INF277K01642</t>
  </si>
  <si>
    <t>Tata Mid Cap Fund-Regular Plan - IDCW Option</t>
  </si>
  <si>
    <t>INF044D01CA9</t>
  </si>
  <si>
    <t>Taurus Mid Cap Fund - Direct Plan - Growth</t>
  </si>
  <si>
    <t>INF044D01CB7</t>
  </si>
  <si>
    <t>INF044D01CC5</t>
  </si>
  <si>
    <t>Taurus Mid Cap Fund - Direct Plan - Payout of Income Distribution cum Capital Withdrawal option</t>
  </si>
  <si>
    <t>INF044D01815</t>
  </si>
  <si>
    <t>Taurus Mid Cap Fund - Regular Plan - Growth</t>
  </si>
  <si>
    <t>INF044D01781</t>
  </si>
  <si>
    <t>INF044D01799</t>
  </si>
  <si>
    <t>Taurus Mid Cap Fund - Regular Plan - Payout of Income Distribution cum Capital Withdrawal option</t>
  </si>
  <si>
    <t>INF0GCD01875</t>
  </si>
  <si>
    <t>TRUSTMF MID CAP FUND -DIRECT -GROWTH</t>
  </si>
  <si>
    <t>INF0GCD01883</t>
  </si>
  <si>
    <t>TRUSTMF MID CAP FUND -REGULAR-GROWTH</t>
  </si>
  <si>
    <t>INF582M01GI3</t>
  </si>
  <si>
    <t>Union Midcap Fund - Direct Plan - Growth Option</t>
  </si>
  <si>
    <t>INF582M01GK9</t>
  </si>
  <si>
    <t>INF582M01GJ1</t>
  </si>
  <si>
    <t>Union Midcap Fund - Direct Plan - IDCW Option</t>
  </si>
  <si>
    <t>INF582M01GM5</t>
  </si>
  <si>
    <t>Union Midcap Fund - Regular Plan - Growth Option</t>
  </si>
  <si>
    <t>INF582M01GO1</t>
  </si>
  <si>
    <t>INF582M01GN3</t>
  </si>
  <si>
    <t>Union Midcap Fund - Regular Plan - IDCW Option</t>
  </si>
  <si>
    <t>INF789F01TY8</t>
  </si>
  <si>
    <t>INF789F01TZ5</t>
  </si>
  <si>
    <t>UTI Mid Cap Fund - Direct Plan - IDCW</t>
  </si>
  <si>
    <t>INF789F01794</t>
  </si>
  <si>
    <t>INF789F01802</t>
  </si>
  <si>
    <t>UTI Mid Cap Fund - Regular Plan - IDCW</t>
  </si>
  <si>
    <t>INF789F01810</t>
  </si>
  <si>
    <t>UTI Mid Cap Fund-Growth Option</t>
  </si>
  <si>
    <t>INF789F01UA6</t>
  </si>
  <si>
    <t>UTI Mid Cap Fund-Growth Option- Direct</t>
  </si>
  <si>
    <t>INF03VN01597</t>
  </si>
  <si>
    <t>WhiteOak Capital Mid Cap Fund Direct Plan Growth</t>
  </si>
  <si>
    <t>INF03VN01605</t>
  </si>
  <si>
    <t>INF03VN01613</t>
  </si>
  <si>
    <t>WhiteOak Capital Mid Cap Fund Direct Plan IDCW</t>
  </si>
  <si>
    <t>INF03VN01563</t>
  </si>
  <si>
    <t>WhiteOak Capital Mid Cap Fund Regular Plan Growth</t>
  </si>
  <si>
    <t>INF03VN01571</t>
  </si>
  <si>
    <t>INF03VN01589</t>
  </si>
  <si>
    <t>WhiteOak Capital Mid Cap Fund Regular Plan IDCW</t>
  </si>
  <si>
    <t>INF209KB1Y49</t>
  </si>
  <si>
    <t>Aditya Birla Sun Life Multi-Cap Fund-Direct Growth</t>
  </si>
  <si>
    <t>INF209KB1Y56</t>
  </si>
  <si>
    <t>Aditya Birla Sun Life Multi-Cap Fund-Direct IDCW Payout</t>
  </si>
  <si>
    <t>INF209KB1Y23</t>
  </si>
  <si>
    <t>Aditya Birla Sun Life Multi-Cap Fund-Regular Growth</t>
  </si>
  <si>
    <t>INF209KB1Y31</t>
  </si>
  <si>
    <t>Aditya Birla Sun Life Multi-Cap Fund-Regular-IDCW Payout</t>
  </si>
  <si>
    <t>INF846K013E0</t>
  </si>
  <si>
    <t>Axis Multicap Fund - Direct Growth</t>
  </si>
  <si>
    <t>INF846K014E8</t>
  </si>
  <si>
    <t>INF846K015E5</t>
  </si>
  <si>
    <t>Axis Multicap Fund - Direct Plan - IDCW</t>
  </si>
  <si>
    <t>INF846K016E3</t>
  </si>
  <si>
    <t>Axis Multicap Fund - Regular Plan - Growth</t>
  </si>
  <si>
    <t>INF846K017E1</t>
  </si>
  <si>
    <t>INF846K018E9</t>
  </si>
  <si>
    <t>Axis Multicap Fund - Regular Plan - IDCW</t>
  </si>
  <si>
    <t>INF0QA701AV7</t>
  </si>
  <si>
    <t>BAJAJ FINSERV MULTI CAP FUND - DIRECT - GROWTH</t>
  </si>
  <si>
    <t>INF0QA701AW5</t>
  </si>
  <si>
    <t>INF0QA701AX3</t>
  </si>
  <si>
    <t>BAJAJ FINSERV MULTI CAP FUND - DIRECT - IDCW</t>
  </si>
  <si>
    <t>INF0QA701AS3</t>
  </si>
  <si>
    <t>BAJAJ FINSERV MULTI CAP FUND - REGULAR - GROWTH</t>
  </si>
  <si>
    <t>INF0QA701AT1</t>
  </si>
  <si>
    <t>INF0QA701AU9</t>
  </si>
  <si>
    <t>BAJAJ FINSERV MULTI CAP FUND - REGULAR - IDCW</t>
  </si>
  <si>
    <t>INF194KB1CL0</t>
  </si>
  <si>
    <t>BANDHAN MULTI CAP FUND - GROWTH - DIRECT PLAN</t>
  </si>
  <si>
    <t>INF194KB1CI6</t>
  </si>
  <si>
    <t>BANDHAN MULTI CAP FUND - GROWTH - REGULAR PLAN</t>
  </si>
  <si>
    <t>INF194KB1CM8</t>
  </si>
  <si>
    <t>INF194KB1CN6</t>
  </si>
  <si>
    <t>BANDHAN MULTI CAP FUND - IDCW - DIRECT PLAN</t>
  </si>
  <si>
    <t>INF194KB1CJ4</t>
  </si>
  <si>
    <t>INF194KB1CK2</t>
  </si>
  <si>
    <t>BANDHAN MULTI CAP FUND - IDCW - REGULAR PLAN</t>
  </si>
  <si>
    <t>INF761K01FR0</t>
  </si>
  <si>
    <t>Bank of India Multi Cap Fund Direct Plan - Growth</t>
  </si>
  <si>
    <t>INF761K01FQ2</t>
  </si>
  <si>
    <t>INF761K01FS8</t>
  </si>
  <si>
    <t>Bank of India Multi Cap Fund Direct Plan - IDCW</t>
  </si>
  <si>
    <t>INF761K01FU4</t>
  </si>
  <si>
    <t>Bank of India Multi Cap Fund Regular Plan - Growth</t>
  </si>
  <si>
    <t>INF761K01FT6</t>
  </si>
  <si>
    <t>INF761K01FV2</t>
  </si>
  <si>
    <t>Bank of India Multi Cap Fund Regular Plan - IDCW</t>
  </si>
  <si>
    <t>INF955L01AG0</t>
  </si>
  <si>
    <t>Baroda BNP Paribas MULTI CAP FUND - Direct Plan - Growth Option</t>
  </si>
  <si>
    <t>INF955L01AE5</t>
  </si>
  <si>
    <t>Baroda BNP Paribas MULTI CAP FUND - Direct Plan - IDCW Option</t>
  </si>
  <si>
    <t>INF955L01674</t>
  </si>
  <si>
    <t>Baroda BNP Paribas MULTI CAP FUND - Regular Plan - Growth Option</t>
  </si>
  <si>
    <t>INF955L01658</t>
  </si>
  <si>
    <t>INF955L01666</t>
  </si>
  <si>
    <t>Baroda BNP Paribas MULTI CAP FUND - Regular Plan - IDCW Option</t>
  </si>
  <si>
    <t>INF760K01KO9</t>
  </si>
  <si>
    <t>Canara Robeco Multi Cap Fund - Direct Plan - Growth Option</t>
  </si>
  <si>
    <t>INF760K01KQ4</t>
  </si>
  <si>
    <t>INF760K01KP6</t>
  </si>
  <si>
    <t>Canara Robeco Multi Cap Fund - Direct Plan - IDCW Option</t>
  </si>
  <si>
    <t>INF760K01KR2</t>
  </si>
  <si>
    <t>Canara Robeco Multi Cap Fund - Regular Plan - Growth Option</t>
  </si>
  <si>
    <t>INF760K01KT8</t>
  </si>
  <si>
    <t>INF760K01KS0</t>
  </si>
  <si>
    <t>Canara Robeco Multi Cap Fund - Regular Plan - IDCW Option</t>
  </si>
  <si>
    <t>INF740KA1UC1</t>
  </si>
  <si>
    <t>DSP Multicap Fund - Direct - Growth</t>
  </si>
  <si>
    <t>INF740KA1UD9</t>
  </si>
  <si>
    <t>INF740KA1UE7</t>
  </si>
  <si>
    <t>DSP Multicap Fund - Direct - IDCW</t>
  </si>
  <si>
    <t>INF740KA1TZ4</t>
  </si>
  <si>
    <t>DSP Multicap Fund - Regular - Growth</t>
  </si>
  <si>
    <t>INF740KA1UA5</t>
  </si>
  <si>
    <t>INF740KA1UB3</t>
  </si>
  <si>
    <t>DSP Multicap Fund - Regular - IDCW</t>
  </si>
  <si>
    <t>INF754K01SD8</t>
  </si>
  <si>
    <t>Edelweiss Multi Cap Fund - Direct Plan - Growth</t>
  </si>
  <si>
    <t>INF754K01SA4</t>
  </si>
  <si>
    <t>INF754K01SB2</t>
  </si>
  <si>
    <t>Edelweiss Multi Cap Fund - Direct Plan - IDCW</t>
  </si>
  <si>
    <t>INF754K01RW0</t>
  </si>
  <si>
    <t>Edelweiss Multi Cap Fund - Regular Plan - Growth</t>
  </si>
  <si>
    <t>INF754K01RX8</t>
  </si>
  <si>
    <t>INF754K01RY6</t>
  </si>
  <si>
    <t>Edelweiss Multi Cap Fund - Regular Plan - IDCW</t>
  </si>
  <si>
    <t>INF090I01XA7</t>
  </si>
  <si>
    <t>Franklin India Multi Cap Fund - Direct - Growth</t>
  </si>
  <si>
    <t>INF090I01XB5</t>
  </si>
  <si>
    <t>INF090I01XC3</t>
  </si>
  <si>
    <t>Franklin India Multi Cap Fund - Direct - IDCW</t>
  </si>
  <si>
    <t>INF090I01WX1</t>
  </si>
  <si>
    <t>Franklin India Multi Cap Fund - Growth</t>
  </si>
  <si>
    <t>INF090I01WY9</t>
  </si>
  <si>
    <t>INF090I01WZ6</t>
  </si>
  <si>
    <t>Franklin India Multi Cap Fund - IDCW</t>
  </si>
  <si>
    <t>INF666M01JD9</t>
  </si>
  <si>
    <t>Groww Multicap Fund - Direct - Growth</t>
  </si>
  <si>
    <t>INF666M01JE7</t>
  </si>
  <si>
    <t>INF666M01JF4</t>
  </si>
  <si>
    <t>Groww Multicap Fund - Direct - IDCW</t>
  </si>
  <si>
    <t>INF666M01JG2</t>
  </si>
  <si>
    <t>Groww Multicap Fund - Regular - Growth</t>
  </si>
  <si>
    <t>INF666M01JH0</t>
  </si>
  <si>
    <t>INF666M01JI8</t>
  </si>
  <si>
    <t>Groww Multicap Fund - Regular - IDCW</t>
  </si>
  <si>
    <t>INF179KC1BV9</t>
  </si>
  <si>
    <t>HDFC Multi Cap Fund - Growth Option</t>
  </si>
  <si>
    <t>INF179KC1BS5</t>
  </si>
  <si>
    <t>HDFC Multi Cap Fund - Growth Option - Direct Plan</t>
  </si>
  <si>
    <t>INF179KC1BW7</t>
  </si>
  <si>
    <t>INF179KC1BX5</t>
  </si>
  <si>
    <t>HDFC Multi Cap Fund - IDCW Option</t>
  </si>
  <si>
    <t>INF179KC1BT3</t>
  </si>
  <si>
    <t>INF179KC1BU1</t>
  </si>
  <si>
    <t>HDFC Multi Cap Fund - IDCW Option - Direct Plan</t>
  </si>
  <si>
    <t>INF336L01QN5</t>
  </si>
  <si>
    <t>HSBC Multi Cap Fund - Direct - Growth</t>
  </si>
  <si>
    <t>INF336L01QO3</t>
  </si>
  <si>
    <t>INF336L01QP0</t>
  </si>
  <si>
    <t>HSBC Multi Cap Fund - Direct - IDCW</t>
  </si>
  <si>
    <t>INF336L01QQ8</t>
  </si>
  <si>
    <t>HSBC Multi Cap Fund - Regular - Growth</t>
  </si>
  <si>
    <t>INF336L01QR6</t>
  </si>
  <si>
    <t>INF336L01QS4</t>
  </si>
  <si>
    <t>HSBC Multi Cap Fund - Regular - IDCW</t>
  </si>
  <si>
    <t>INF109K014O9</t>
  </si>
  <si>
    <t>ICICI Prudential Multicap Fund - Direct Plan -  Growth</t>
  </si>
  <si>
    <t>INF109K012O3</t>
  </si>
  <si>
    <t>INF109K013O1</t>
  </si>
  <si>
    <t>ICICI Prudential Multicap Fund - Direct Plan -  IDCW</t>
  </si>
  <si>
    <t>INF109K01613</t>
  </si>
  <si>
    <t>ICICI Prudential Multicap Fund - Growth</t>
  </si>
  <si>
    <t>INF109K01FK7</t>
  </si>
  <si>
    <t>INF109K01621</t>
  </si>
  <si>
    <t>ICICI Prudential Multicap Fund - IDCW</t>
  </si>
  <si>
    <t>INF205K01MS2</t>
  </si>
  <si>
    <t>Invesco India Multicap Fund - Direct Plan - Growth Option</t>
  </si>
  <si>
    <t>INF205K01MQ6</t>
  </si>
  <si>
    <t>INF205K01MR4</t>
  </si>
  <si>
    <t>Invesco India Multicap Fund - Direct Plan - IDCW (Payout / Reinvestment)</t>
  </si>
  <si>
    <t>INF205K01DN2</t>
  </si>
  <si>
    <t>Invesco India Multicap Fund - Regular Plan - Growth Option</t>
  </si>
  <si>
    <t>INF205K01DO0</t>
  </si>
  <si>
    <t>INF205K01DP7</t>
  </si>
  <si>
    <t>Invesco India Multicap Fund - Regular Plan - IDCW (Payout / Reinvestment)</t>
  </si>
  <si>
    <t>INF00XX01168</t>
  </si>
  <si>
    <t>ITI Multi Cap Fund - Direct Plan - Growth Option</t>
  </si>
  <si>
    <t>INF00XX01176</t>
  </si>
  <si>
    <t>INF00XX01184</t>
  </si>
  <si>
    <t>ITI Multi Cap Fund - Direct Plan - IDCW Option</t>
  </si>
  <si>
    <t>INF00XX01135</t>
  </si>
  <si>
    <t>ITI Multi Cap Fund - Regular Plan - Growth Option</t>
  </si>
  <si>
    <t>INF00XX01143</t>
  </si>
  <si>
    <t>INF00XX01150</t>
  </si>
  <si>
    <t>ITI Multi Cap Fund - Regular Plan - IDCW Option</t>
  </si>
  <si>
    <t>INF174KA1HT7</t>
  </si>
  <si>
    <t>INF174KA1HU5</t>
  </si>
  <si>
    <t>Kotak Multicap Fund- Regular Plan -IDCW Option</t>
  </si>
  <si>
    <t>INF174KA1HV3</t>
  </si>
  <si>
    <t>Kotak Multicap Fund-Direct Plan-Growth</t>
  </si>
  <si>
    <t>INF174KA1HW1</t>
  </si>
  <si>
    <t>INF174KA1HX9</t>
  </si>
  <si>
    <t>Kotak Multicap Fund-Direct Plan-IDCW Option</t>
  </si>
  <si>
    <t>INF174KA1HS9</t>
  </si>
  <si>
    <t>Kotak Multicap Fund-Regular Plan-Growth</t>
  </si>
  <si>
    <t>INF767K01RK7</t>
  </si>
  <si>
    <t>LIC MF Multi Cap Fund-Direct Plan-Growth</t>
  </si>
  <si>
    <t>INF767K01RL5</t>
  </si>
  <si>
    <t>INF767K01RM3</t>
  </si>
  <si>
    <t>LIC MF Multi Cap Fund-Direct Plan-IDCW</t>
  </si>
  <si>
    <t>INF767K01RH3</t>
  </si>
  <si>
    <t>LIC MF Multi Cap Fund-Regular Plan-Growth</t>
  </si>
  <si>
    <t>INF767K01RI1</t>
  </si>
  <si>
    <t>INF767K01RJ9</t>
  </si>
  <si>
    <t>LIC MF Multi Cap Fund-Regular Plan-IDCW</t>
  </si>
  <si>
    <t>INF174V01366</t>
  </si>
  <si>
    <t>INF174V01358</t>
  </si>
  <si>
    <t>Mahindra Manulife Multi Cap Fund - Direct Plan - IDCW</t>
  </si>
  <si>
    <t>INF174V01341</t>
  </si>
  <si>
    <t>Mahindra Manulife Multi Cap Fund - Direct Plan -Growth</t>
  </si>
  <si>
    <t>INF174V01317</t>
  </si>
  <si>
    <t>Mahindra Manulife Multi Cap Fund - Regular Plan - Growth</t>
  </si>
  <si>
    <t>INF174V01333</t>
  </si>
  <si>
    <t>INF174V01325</t>
  </si>
  <si>
    <t>Mahindra Manulife Multi Cap Fund - Regular Plan - IDCW</t>
  </si>
  <si>
    <t>INF769K01KK8</t>
  </si>
  <si>
    <t>Mirae Asset Multicap Fund - Direct Plan - Growth</t>
  </si>
  <si>
    <t>INF769K01KL6</t>
  </si>
  <si>
    <t>INF769K01KM4</t>
  </si>
  <si>
    <t>Mirae Asset Multicap Fund - Direct Plan - IDCW</t>
  </si>
  <si>
    <t>INF769K01KH4</t>
  </si>
  <si>
    <t>Mirae Asset Multicap Fund - Regular Plan - Growth</t>
  </si>
  <si>
    <t>INF769K01KI2</t>
  </si>
  <si>
    <t>INF769K01KJ0</t>
  </si>
  <si>
    <t>Mirae Asset Multicap Fund - Regular Plan - IDCW</t>
  </si>
  <si>
    <t>INF247L01CO2</t>
  </si>
  <si>
    <t>Motilal Oswal Multi Cap Fund Regular Plan Growth</t>
  </si>
  <si>
    <t>INF247L01CJ2</t>
  </si>
  <si>
    <t>INF247L01CK0</t>
  </si>
  <si>
    <t>Motilal Oswal Multi Cap Fund Regular Plan IDCW</t>
  </si>
  <si>
    <t>INF247L01CL8</t>
  </si>
  <si>
    <t>Motilal Oswal Multi Cap Fund-Direct Plan Growth</t>
  </si>
  <si>
    <t>INF247L01CM6</t>
  </si>
  <si>
    <t>INF247L01CN4</t>
  </si>
  <si>
    <t>Motilal Oswal Multi Cap Fund-Direct Plan IDCW</t>
  </si>
  <si>
    <t>INF204K01XD4</t>
  </si>
  <si>
    <t>INF204K01XE2</t>
  </si>
  <si>
    <t>NIPPON INDIA MULTI CAP FUND - DIRECT Plan - IDCW Option</t>
  </si>
  <si>
    <t>INF204K01D55</t>
  </si>
  <si>
    <t>Nippon India Multi Cap Fund - Direct Plan Growth Plan - Bonus Option</t>
  </si>
  <si>
    <t>INF204K01XF9</t>
  </si>
  <si>
    <t>Nippon India Multi Cap Fund - Direct Plan Growth Plan - Growth Option</t>
  </si>
  <si>
    <t>INF204K01455</t>
  </si>
  <si>
    <t>INF204K01463</t>
  </si>
  <si>
    <t>NIPPON INDIA MULTI CAP FUND - IDCW Option</t>
  </si>
  <si>
    <t>INF204K01414</t>
  </si>
  <si>
    <t>INF204K01422</t>
  </si>
  <si>
    <t>Nippon India Multi Cap Fund Institutional Dividend Plan</t>
  </si>
  <si>
    <t>INF204K01448</t>
  </si>
  <si>
    <t>Nippon India Multi Cap Fund Institutional Plan Growth Plan Growth Option</t>
  </si>
  <si>
    <t>INF204K01471</t>
  </si>
  <si>
    <t>Nippon India Multi Cap Fund-Growth Plan-Bonus Option</t>
  </si>
  <si>
    <t>INF204K01489</t>
  </si>
  <si>
    <t>Nippon India Multi Cap Fund-Growth Plan-Growth Option</t>
  </si>
  <si>
    <t>INF663L01Z03</t>
  </si>
  <si>
    <t>PGIM India Multi Cap Fund - Direct Plan - Growth Option</t>
  </si>
  <si>
    <t>INF663L01Z11</t>
  </si>
  <si>
    <t>INF663L01Z29</t>
  </si>
  <si>
    <t>PGIM India Multi Cap Fund - Direct Plan - IDCW Option</t>
  </si>
  <si>
    <t>INF663L01Y87</t>
  </si>
  <si>
    <t>PGIM India Multi Cap Fund - Regular Plan - Growth Option</t>
  </si>
  <si>
    <t>INF663L01Y95</t>
  </si>
  <si>
    <t>INF663L01Z37</t>
  </si>
  <si>
    <t>PGIM India Multi Cap Fund - Regular Plan - IDCW Option</t>
  </si>
  <si>
    <t>INF966L01234</t>
  </si>
  <si>
    <t>quant Multi Cap Fund-GROWTH OPTION - Regular Plan</t>
  </si>
  <si>
    <t>INF966L01614</t>
  </si>
  <si>
    <t>quant Multi Cap Fund-GROWTH OPTION-Direct Plan</t>
  </si>
  <si>
    <t>INF966L01598</t>
  </si>
  <si>
    <t>INF966L01606</t>
  </si>
  <si>
    <t>quant Multi Cap Fund-IDCW Option - Direct Plan</t>
  </si>
  <si>
    <t>INF966L01218</t>
  </si>
  <si>
    <t>INF966L01226</t>
  </si>
  <si>
    <t>quant Multi Cap Fund-IDCW Option - Regular Plan</t>
  </si>
  <si>
    <t>INF0K1H01198</t>
  </si>
  <si>
    <t>Samco Multi Cap Fund - Direct Plan - Growth</t>
  </si>
  <si>
    <t>INF0K1H01206</t>
  </si>
  <si>
    <t>Samco Multi Cap Fund - Regular Plan - Growth</t>
  </si>
  <si>
    <t>INF200KA19E0</t>
  </si>
  <si>
    <t>INF200KA10F6</t>
  </si>
  <si>
    <t>SBI Multicap Fund- Direct Plan - Income Distribution cum Capital Withdrawal Option (IDCW)</t>
  </si>
  <si>
    <t>INF200KA18E2</t>
  </si>
  <si>
    <t>SBI Multicap Fund- Direct Plan- Growth option</t>
  </si>
  <si>
    <t>INF200KA15E8</t>
  </si>
  <si>
    <t>SBI Multicap Fund- Regular Plan- Growth Option</t>
  </si>
  <si>
    <t>INF200KA16E6</t>
  </si>
  <si>
    <t>INF200KA17E4</t>
  </si>
  <si>
    <t>SBI Multicap Fund- Regular Plan- Income Distribution cum Capital Withdrawal Option (IDCW)</t>
  </si>
  <si>
    <t>INF173K01FN7</t>
  </si>
  <si>
    <t>INF173K01FO5</t>
  </si>
  <si>
    <t>Sundaram Multi Cap Fund (Formerly Known as Principal Multi Cap Growth Fund) - Direct Plan - Income Distribution CUM Capital Withdrawal Option (IDCW)</t>
  </si>
  <si>
    <t>INF173K01957</t>
  </si>
  <si>
    <t>INF173K01965</t>
  </si>
  <si>
    <t>Sundaram Multi Cap Fund (Formerly Known as Principal Multi Cap Growth Fund)- Income Distribution CUM Capital Withdrawal Option (IDCW)</t>
  </si>
  <si>
    <t>INF173K01FQ0</t>
  </si>
  <si>
    <t>Sundaram Multi Cap Fund (Formerly Known as Principal Multi Cap Growth Fund)-Direct Plan - Growth Option</t>
  </si>
  <si>
    <t>INF173K01940</t>
  </si>
  <si>
    <t>Sundaram Multi Cap Fund (Formerly Known as Principal Multi Cap Growth Fund)-Growth Option</t>
  </si>
  <si>
    <t>INF277KA1679</t>
  </si>
  <si>
    <t>Tata Multicap Fund - Direct Plan - Growth</t>
  </si>
  <si>
    <t>INF277KA1695</t>
  </si>
  <si>
    <t>Tata Multicap Fund - Direct Plan - IDCW Payout</t>
  </si>
  <si>
    <t>INF277KA1687</t>
  </si>
  <si>
    <t>Tata Multicap Fund - Direct Plan - IDCW Reinvestment</t>
  </si>
  <si>
    <t>INF277KA1703</t>
  </si>
  <si>
    <t>Tata Multicap Fund - Regular Plan - Growth</t>
  </si>
  <si>
    <t>INF277KA1729</t>
  </si>
  <si>
    <t>Tata Multicap Fund - Regular Plan - IDCW Payout</t>
  </si>
  <si>
    <t>INF277KA1711</t>
  </si>
  <si>
    <t>Tata Multicap Fund - Regular Plan - IDCW Reinvestment</t>
  </si>
  <si>
    <t>INF0GCD01834</t>
  </si>
  <si>
    <t>TRUSTMF MULTI CAP FUND -DIRECT PLAN-GROWTH</t>
  </si>
  <si>
    <t>INF0GCD01842</t>
  </si>
  <si>
    <t>TRUSTMF MULTI CAP FUND -REGULAR PLAN-GROWTH</t>
  </si>
  <si>
    <t>INF582M01IO7</t>
  </si>
  <si>
    <t>Union Multicap Fund - Direct Plan - Growth Option</t>
  </si>
  <si>
    <t>INF582M01IP4</t>
  </si>
  <si>
    <t>INF582M01IQ2</t>
  </si>
  <si>
    <t>Union Multicap Fund - Direct Plan - IDCW Option</t>
  </si>
  <si>
    <t>INF582M01IS8</t>
  </si>
  <si>
    <t>Union Multicap Fund - Regular Plan - Growth Option</t>
  </si>
  <si>
    <t>INF582M01IT6</t>
  </si>
  <si>
    <t>INF582M01IU4</t>
  </si>
  <si>
    <t>Union Multicap Fund - Regular Plan - IDCW Option</t>
  </si>
  <si>
    <t>INF789F1AB89</t>
  </si>
  <si>
    <t>UTI Multi Cap Fund - Direct Plan - Growth Option</t>
  </si>
  <si>
    <t>INF789F1AB71</t>
  </si>
  <si>
    <t>UTI Multi Cap Fund - Regular Plan - Growth Option</t>
  </si>
  <si>
    <t>INF03VN01803</t>
  </si>
  <si>
    <t>WhiteOak Capital Multi Cap Fund Direct Plan Growth</t>
  </si>
  <si>
    <t>INF03VN01795</t>
  </si>
  <si>
    <t>WhiteOak Capital Multi Cap Fund Regular Plan Growth</t>
  </si>
  <si>
    <t>INF579M01AI2</t>
  </si>
  <si>
    <t>360 ONE QUANT FUND DIRECT GROWTH</t>
  </si>
  <si>
    <t>INF579M01AJ0</t>
  </si>
  <si>
    <t>INF579M01AK8</t>
  </si>
  <si>
    <t>360 ONE QUANT FUND DIRECT INCOME DISTRIBUTION CUM CAPITAL WITHDRAWAL</t>
  </si>
  <si>
    <t>INF579M01AF8</t>
  </si>
  <si>
    <t>360 ONE QUANT FUND REGULAR GROWTH</t>
  </si>
  <si>
    <t>INF579M01AG6</t>
  </si>
  <si>
    <t>INF579M01AH4</t>
  </si>
  <si>
    <t>360 ONE QUANT FUND REGULAR INCOME DISTRIBUTION CUM CAPITAL WITHDRAWAL</t>
  </si>
  <si>
    <t>INF209K013W3</t>
  </si>
  <si>
    <t>INF209K015W8</t>
  </si>
  <si>
    <t>Aditya Birla Sun Life Banking and Financial Services Fund - DIRECT - IDCW</t>
  </si>
  <si>
    <t>INF209K014W1</t>
  </si>
  <si>
    <t>Aditya Birla Sun Life Banking and Financial Services Fund - Direct Plan - Growth</t>
  </si>
  <si>
    <t>INF209K010W9</t>
  </si>
  <si>
    <t>INF209K012W5</t>
  </si>
  <si>
    <t>Aditya Birla Sun Life Banking and Financial Services Fund - REGULAR - IDCW</t>
  </si>
  <si>
    <t>INF209K011W7</t>
  </si>
  <si>
    <t>Aditya Birla Sun Life Banking and Financial Services Fund - Regular Plan - Growth</t>
  </si>
  <si>
    <t>INF209KB14D2</t>
  </si>
  <si>
    <t>Aditya Birla Sun Life Business Cycle Fund-Direct Growth</t>
  </si>
  <si>
    <t>INF209KB15D9</t>
  </si>
  <si>
    <t>Aditya Birla Sun Life Business Cycle Fund-Direct IDCW Payout</t>
  </si>
  <si>
    <t>INF209KB13D4</t>
  </si>
  <si>
    <t>Aditya Birla Sun Life Business Cycle Fund-Regular IDCW Payout</t>
  </si>
  <si>
    <t>INF209KB12D6</t>
  </si>
  <si>
    <t>Aditya Birla Sun Life Business Cycle Fund-Regular-Growth</t>
  </si>
  <si>
    <t>INF209K01VL0</t>
  </si>
  <si>
    <t>Aditya Birla Sun Life Commodity Equities Fund - Global Agri Plan - Growth - Direct Plan</t>
  </si>
  <si>
    <t>INF209K01207</t>
  </si>
  <si>
    <t>Aditya Birla Sun Life Commodity Equities Fund - Global Agri Plan - Growth - Regular Plan</t>
  </si>
  <si>
    <t>INF209K01P64</t>
  </si>
  <si>
    <t>INF209K01VM8</t>
  </si>
  <si>
    <t>Aditya Birla Sun Life Commodity Equities Fund - Global Agri Plan -Direct - IDCW</t>
  </si>
  <si>
    <t>INF209K01199</t>
  </si>
  <si>
    <t>INF209K01CG0</t>
  </si>
  <si>
    <t>Aditya Birla Sun Life Commodity Equities Fund - Global Agri Plan -Regular - IDCW</t>
  </si>
  <si>
    <t>INF209KC1373</t>
  </si>
  <si>
    <t>Aditya Birla Sun Life Conglomerate Fund-Direct Growth</t>
  </si>
  <si>
    <t>INF209KC1381</t>
  </si>
  <si>
    <t>Aditya Birla Sun Life Conglomerate Fund-Direct IDCW Payout</t>
  </si>
  <si>
    <t>INF209KC1399</t>
  </si>
  <si>
    <t>Aditya Birla Sun Life Conglomerate Fund-Regular Growth</t>
  </si>
  <si>
    <t>INF209KC1407</t>
  </si>
  <si>
    <t>Aditya Birla Sun Life Conglomerate Fund-Regular IDCW Payout</t>
  </si>
  <si>
    <t>INF209K01WC7</t>
  </si>
  <si>
    <t>Aditya Birla Sun Life Consumption Fund - Growth - Direct Plan</t>
  </si>
  <si>
    <t>INF209K01Q63</t>
  </si>
  <si>
    <t>Aditya Birla Sun Life Consumption Fund -DIRECT - IDCW</t>
  </si>
  <si>
    <t>INF209K01439</t>
  </si>
  <si>
    <t>INF209K01CR7</t>
  </si>
  <si>
    <t>Aditya Birla Sun Life Consumption Fund -Regular - IDCW</t>
  </si>
  <si>
    <t>INF209K01447</t>
  </si>
  <si>
    <t>Aditya Birla Sun Life Consumption Fund-Growth Option</t>
  </si>
  <si>
    <t>INF209K01VF2</t>
  </si>
  <si>
    <t>Aditya Birla Sun Life Digital India Fund - Growth - Direct Plan</t>
  </si>
  <si>
    <t>INF209K01140</t>
  </si>
  <si>
    <t>Aditya Birla Sun Life Digital India Fund - Growth - Regular Plan</t>
  </si>
  <si>
    <t>INF209K01P49</t>
  </si>
  <si>
    <t>INF209K01VE5</t>
  </si>
  <si>
    <t>Aditya Birla Sun Life Digital India Fund -DIRECT - IDCW</t>
  </si>
  <si>
    <t>INF209K01132</t>
  </si>
  <si>
    <t>INF209K01CD7</t>
  </si>
  <si>
    <t>Aditya Birla Sun Life Digital India Fund -Regular - IDCW</t>
  </si>
  <si>
    <t>INF209KB1U84</t>
  </si>
  <si>
    <t>INF209KB1U92</t>
  </si>
  <si>
    <t>Aditya Birla Sun Life ESG Integration Strategy Fund-Direct - Payout of IDCW</t>
  </si>
  <si>
    <t>INF209KB1U76</t>
  </si>
  <si>
    <t>Aditya Birla Sun Life ESG Integration Strategy Fund-Direct Plan-Growth</t>
  </si>
  <si>
    <t>INF209KB1U50</t>
  </si>
  <si>
    <t>INF209KB1U68</t>
  </si>
  <si>
    <t>Aditya Birla Sun Life ESG Integration Strategy Fund-Regular - Payout of IDCW</t>
  </si>
  <si>
    <t>INF209KB1U43</t>
  </si>
  <si>
    <t>Aditya Birla Sun Life ESG Integration Strategy Fund-Regular Plan-Growth</t>
  </si>
  <si>
    <t>INF209K01WG8</t>
  </si>
  <si>
    <t>Aditya Birla Sun Life Infrastructure Fund -  Direct - IDCW</t>
  </si>
  <si>
    <t>INF209K01470</t>
  </si>
  <si>
    <t>INF209K01CT3</t>
  </si>
  <si>
    <t>Aditya Birla Sun Life Infrastructure Fund -  Regular - IDCW</t>
  </si>
  <si>
    <t>INF209K01WH6</t>
  </si>
  <si>
    <t>Aditya Birla Sun Life Infrastructure Fund - Growth - Direct Plan</t>
  </si>
  <si>
    <t>INF209K01504</t>
  </si>
  <si>
    <t>Aditya Birla Sun Life Infrastructure Fund-Growth</t>
  </si>
  <si>
    <t>INF209K01Q89</t>
  </si>
  <si>
    <t>INF209K01WT1</t>
  </si>
  <si>
    <t>Aditya Birla Sun Life International Equity Fund - Direct - IDCW</t>
  </si>
  <si>
    <t>INF209K01WS3</t>
  </si>
  <si>
    <t>Aditya Birla Sun Life International Equity Fund - Growth - Direct Plan</t>
  </si>
  <si>
    <t>INF209K01520</t>
  </si>
  <si>
    <t>Aditya Birla Sun Life International Equity Fund - Growth - Regular Plan</t>
  </si>
  <si>
    <t>INF209K01512</t>
  </si>
  <si>
    <t>INF209K01CV9</t>
  </si>
  <si>
    <t>Aditya Birla Sun Life International Equity Fund - Regular - IDCW</t>
  </si>
  <si>
    <t>INF209K01Q97</t>
  </si>
  <si>
    <t>INF209K01WV7</t>
  </si>
  <si>
    <t>Aditya Birla Sun Life International Equity Fund - Plan B - Direct - IDCW</t>
  </si>
  <si>
    <t>INF209K01WU9</t>
  </si>
  <si>
    <t>Aditya Birla Sun Life International Equity Fund - Plan B - Growth - Direct Plan</t>
  </si>
  <si>
    <t>INF209K01546</t>
  </si>
  <si>
    <t>Aditya Birla Sun Life International Equity Fund - Plan B - Growth - Regular Plan</t>
  </si>
  <si>
    <t>INF209K01538</t>
  </si>
  <si>
    <t>INF209K01CW7</t>
  </si>
  <si>
    <t>Aditya Birla Sun Life International Equity Fund - Plan B - Regular - IDCW</t>
  </si>
  <si>
    <t>INF209KA1YL8</t>
  </si>
  <si>
    <t>INF209KA1YM6</t>
  </si>
  <si>
    <t>Aditya Birla Sun Life Manufacturing Equity Fund - Direct - IDCW</t>
  </si>
  <si>
    <t>INF209KA1YK0</t>
  </si>
  <si>
    <t>Aditya Birla Sun Life Manufacturing Equity Fund - Direct Plan - Growth</t>
  </si>
  <si>
    <t>INF209KA1YI4</t>
  </si>
  <si>
    <t>INF209KA1YJ2</t>
  </si>
  <si>
    <t>Aditya Birla Sun Life Manufacturing Equity Fund - Regular - IDCW</t>
  </si>
  <si>
    <t>INF209KA1YH6</t>
  </si>
  <si>
    <t>Aditya Birla Sun Life Manufacturing Equity Fund - Regular Plan - Growth</t>
  </si>
  <si>
    <t>INF209K01Q06</t>
  </si>
  <si>
    <t>INF209K01VU1</t>
  </si>
  <si>
    <t>Aditya Birla Sun Life MNC Fund - DIRECT - IDCW</t>
  </si>
  <si>
    <t>INF209K01VT3</t>
  </si>
  <si>
    <t>Aditya Birla Sun Life MNC Fund - Growth - Direct Plan</t>
  </si>
  <si>
    <t>INF209K01322</t>
  </si>
  <si>
    <t>Aditya Birla Sun Life MNC Fund - Growth - Regular Plan</t>
  </si>
  <si>
    <t>INF209K01314</t>
  </si>
  <si>
    <t>INF209K01CL0</t>
  </si>
  <si>
    <t>Aditya Birla Sun Life MNC Fund - Regular - IDCW</t>
  </si>
  <si>
    <t>INF209KB1O33</t>
  </si>
  <si>
    <t>INF209KB1O41</t>
  </si>
  <si>
    <t>Aditya Birla Sun Life Pharma and Healthcare Fund-Direct - Payout of IDCW</t>
  </si>
  <si>
    <t>INF209KB1O25</t>
  </si>
  <si>
    <t>Aditya Birla Sun Life Pharma and Healthcare Fund-Direct-Growth</t>
  </si>
  <si>
    <t>INF209KB1O09</t>
  </si>
  <si>
    <t>INF209KB1O17</t>
  </si>
  <si>
    <t>Aditya Birla Sun Life Pharma and Healthcare Fund-Regular - Payout of IDCW</t>
  </si>
  <si>
    <t>INF209KB1N91</t>
  </si>
  <si>
    <t>Aditya Birla Sun Life Pharma and Healthcare Fund-Regular-Growth</t>
  </si>
  <si>
    <t>INF209KB1O90</t>
  </si>
  <si>
    <t>Aditya Birla Sun Life PSU Equity Fund-Direct - Payout of IDCW</t>
  </si>
  <si>
    <t>INF209KB1O82</t>
  </si>
  <si>
    <t>Aditya Birla Sun Life PSU Equity Fund-Direct Plan-Growth</t>
  </si>
  <si>
    <t>INF209KB1O74</t>
  </si>
  <si>
    <t>Aditya Birla Sun Life PSU Equity Fund-Regular - Payout of IDCW</t>
  </si>
  <si>
    <t>INF209KB1O66</t>
  </si>
  <si>
    <t>Aditya Birla Sun Life PSU Equity Fund-Regular Plan-Growth</t>
  </si>
  <si>
    <t>INF209KC1118</t>
  </si>
  <si>
    <t>Aditya Birla Sun Life Quant Fund - Direct Growth</t>
  </si>
  <si>
    <t>INF209KC1126</t>
  </si>
  <si>
    <t>Aditya Birla Sun Life Quant Fund - Direct IDCW Payout</t>
  </si>
  <si>
    <t>INF209KC1092</t>
  </si>
  <si>
    <t>Aditya Birla Sun Life Quant Fund - Regular Growth</t>
  </si>
  <si>
    <t>INF209KC1100</t>
  </si>
  <si>
    <t>Aditya Birla Sun Life Quant Fund - Regular IDCW Payout</t>
  </si>
  <si>
    <t>INF209KB1T87</t>
  </si>
  <si>
    <t>INF209KB1T95</t>
  </si>
  <si>
    <t>Aditya Birla Sun Life Special Opportunities Fund-Direct - IDCW</t>
  </si>
  <si>
    <t>INF209KB1T79</t>
  </si>
  <si>
    <t>Aditya Birla Sun Life Special Opportunities Fund-Direct-Growth</t>
  </si>
  <si>
    <t>INF209KB1T53</t>
  </si>
  <si>
    <t>INF209KB1T61</t>
  </si>
  <si>
    <t>Aditya Birla Sun Life Special Opportunities Fund-Regular - IDCW</t>
  </si>
  <si>
    <t>INF209KB1T46</t>
  </si>
  <si>
    <t>Aditya Birla Sun Life Special Opportunities Fund-Regular Plan-Growth</t>
  </si>
  <si>
    <t>INF209KB15X7</t>
  </si>
  <si>
    <t>Aditya Birla Sun Life Transportation and Logistics Fund-Direct Growth</t>
  </si>
  <si>
    <t>INF209KB16X5</t>
  </si>
  <si>
    <t>Aditya Birla Sun Life Transportation and Logistics Fund-Direct IDCW</t>
  </si>
  <si>
    <t>INF209KB17X3</t>
  </si>
  <si>
    <t>Aditya Birla Sun Life Transportation and Logistics Fund-Regular Growth</t>
  </si>
  <si>
    <t>INF209KB18X1</t>
  </si>
  <si>
    <t>Aditya Birla Sun Life Transportation and Logistics Fund-Regular IDCW</t>
  </si>
  <si>
    <t>INF846K016N4</t>
  </si>
  <si>
    <t>Axis Business Cycles Fund - Direct Plan - Growth</t>
  </si>
  <si>
    <t>INF846K017N2</t>
  </si>
  <si>
    <t>INF846K018N0</t>
  </si>
  <si>
    <t>Axis Business Cycles Fund - Direct Plan - IDCW</t>
  </si>
  <si>
    <t>INF846K019N8</t>
  </si>
  <si>
    <t>Axis Business Cycles Fund - Regular Plan - Growth</t>
  </si>
  <si>
    <t>INF846K010O5</t>
  </si>
  <si>
    <t>INF846K011O3</t>
  </si>
  <si>
    <t>Axis Business Cycles Fund - Regular Plan - IDCW</t>
  </si>
  <si>
    <t>INF846K013X0</t>
  </si>
  <si>
    <t>Axis Consumption Fund Direct Plan - Growth</t>
  </si>
  <si>
    <t>INF846K014X8</t>
  </si>
  <si>
    <t>INF846K015X5</t>
  </si>
  <si>
    <t>Axis Consumption Fund Direct Plan - IDCW</t>
  </si>
  <si>
    <t>INF846K010X6</t>
  </si>
  <si>
    <t>Axis Consumption Fund Regular Plan - Growth</t>
  </si>
  <si>
    <t>INF846K011X4</t>
  </si>
  <si>
    <t>INF846K012X2</t>
  </si>
  <si>
    <t>Axis Consumption Fund Regular Plan - IDCW</t>
  </si>
  <si>
    <t>INF846K01W23</t>
  </si>
  <si>
    <t>Axis ESG Integration Strategy Fund - Direct Plan - Growth Option</t>
  </si>
  <si>
    <t>INF846K01W31</t>
  </si>
  <si>
    <t>INF846K01W49</t>
  </si>
  <si>
    <t>Axis ESG Integration Strategy Fund - Direct Plan - IDCW</t>
  </si>
  <si>
    <t>INF846K01W56</t>
  </si>
  <si>
    <t>Axis ESG Integration Strategy Fund - Regular Plan - Growth Option</t>
  </si>
  <si>
    <t>INF846K01W64</t>
  </si>
  <si>
    <t>INF846K01W72</t>
  </si>
  <si>
    <t>Axis ESG Integration Strategy Fund - Regular Plan - IDCW</t>
  </si>
  <si>
    <t>INF846K016S3</t>
  </si>
  <si>
    <t>Axis India Manufacturing Fund - Direct Plan - Growth</t>
  </si>
  <si>
    <t>INF846K017S1</t>
  </si>
  <si>
    <t>INF846K018S9</t>
  </si>
  <si>
    <t>Axis India Manufacturing Fund - Direct Plan - IDCW</t>
  </si>
  <si>
    <t>INF846K013S0</t>
  </si>
  <si>
    <t>Axis India Manufacturing Fund - Regular Plan - Growth</t>
  </si>
  <si>
    <t>INF846K014S8</t>
  </si>
  <si>
    <t>INF846K015S5</t>
  </si>
  <si>
    <t>Axis India Manufacturing Fund - Regular Plan - IDCW</t>
  </si>
  <si>
    <t>INF846K01X71</t>
  </si>
  <si>
    <t>Axis Innovation Fund - Direct Plan - Growth Option</t>
  </si>
  <si>
    <t>INF846K01X89</t>
  </si>
  <si>
    <t>INF846K01X97</t>
  </si>
  <si>
    <t>Axis Innovation Fund - Direct Plan - IDCW</t>
  </si>
  <si>
    <t>INF846K01Y05</t>
  </si>
  <si>
    <t>Axis Innovation Fund - Regular Plan - Growth Option</t>
  </si>
  <si>
    <t>INF846K01Y13</t>
  </si>
  <si>
    <t>INF846K01Y21</t>
  </si>
  <si>
    <t>Axis Innovation Fund - Regular Plan - IDCW</t>
  </si>
  <si>
    <t>INF846K011Z9</t>
  </si>
  <si>
    <t>Axis Momentum Fund - Direct Plan - Growth Option</t>
  </si>
  <si>
    <t>INF846K013Z5</t>
  </si>
  <si>
    <t>INF846K015Z0</t>
  </si>
  <si>
    <t>Axis Momentum Fund - Direct Plan - IDCW Option</t>
  </si>
  <si>
    <t>INF846K010Z1</t>
  </si>
  <si>
    <t>Axis Momentum Fund - Regular Plan - Growth Option</t>
  </si>
  <si>
    <t>INF846K012Z7</t>
  </si>
  <si>
    <t>INF846K014Z3</t>
  </si>
  <si>
    <t>Axis Momentum Fund - Regular Plan - IDCW Option</t>
  </si>
  <si>
    <t>INF846K01Z87</t>
  </si>
  <si>
    <t>Axis Quant Fund - Direct Plan - Growth</t>
  </si>
  <si>
    <t>INF846K01Z95</t>
  </si>
  <si>
    <t>INF846K010A4</t>
  </si>
  <si>
    <t>Axis Quant Fund - Direct Plan - IDCW</t>
  </si>
  <si>
    <t>INF846K011A2</t>
  </si>
  <si>
    <t>Axis Quant Fund - Regular Plan - Growth</t>
  </si>
  <si>
    <t>INF846K012A0</t>
  </si>
  <si>
    <t>INF846K013A8</t>
  </si>
  <si>
    <t>Axis Quant Fund - Regular Plan - IDCW</t>
  </si>
  <si>
    <t>INF846KA1168</t>
  </si>
  <si>
    <t>Axis Services Opportunities Fund - Direct Plan - Growth Option</t>
  </si>
  <si>
    <t>INF846KA1176</t>
  </si>
  <si>
    <t>INF846KA1184</t>
  </si>
  <si>
    <t>Axis Services Opportunities Fund - Direct Plan - IDCW Option</t>
  </si>
  <si>
    <t>INF846KA1135</t>
  </si>
  <si>
    <t>Axis Services Opportunities Fund - Regular Plan - Growth Option</t>
  </si>
  <si>
    <t>INF846KA1143</t>
  </si>
  <si>
    <t>INF846KA1150</t>
  </si>
  <si>
    <t>Axis Services Opportunities Fund - Regular Plan - IDCW Option</t>
  </si>
  <si>
    <t>INF0QA701BZ6</t>
  </si>
  <si>
    <t>Bajaj Finserv Banking and Financial Services Fund - Direct - Growth</t>
  </si>
  <si>
    <t>INF0QA701CA7</t>
  </si>
  <si>
    <t>INF0QA701CB5</t>
  </si>
  <si>
    <t>Bajaj Finserv Banking and Financial Services Fund - Direct - IDCW</t>
  </si>
  <si>
    <t>INF0QA701BW3</t>
  </si>
  <si>
    <t>Bajaj Finserv Banking and Financial Services Fund - Regular - Growth</t>
  </si>
  <si>
    <t>INF0QA701BX1</t>
  </si>
  <si>
    <t>INF0QA701BY9</t>
  </si>
  <si>
    <t>Bajaj Finserv Banking and Financial Services Fund - Regular - IDCW</t>
  </si>
  <si>
    <t>INF0QA701946</t>
  </si>
  <si>
    <t>BAJAJ FINSERV CONSUMPTION FUND - DIRECT - GROWTH</t>
  </si>
  <si>
    <t>INF0QA701953</t>
  </si>
  <si>
    <t>INF0QA701961</t>
  </si>
  <si>
    <t>BAJAJ FINSERV CONSUMPTION FUND - DIRECT - IDCW</t>
  </si>
  <si>
    <t>INF0QA701979</t>
  </si>
  <si>
    <t>BAJAJ FINSERV CONSUMPTION FUND - REGULAR - GROWTH</t>
  </si>
  <si>
    <t>INF0QA701920</t>
  </si>
  <si>
    <t>INF0QA701938</t>
  </si>
  <si>
    <t>BAJAJ FINSERV CONSUMPTION FUND - REGULAR - IDCW</t>
  </si>
  <si>
    <t>INF0QA701AB9</t>
  </si>
  <si>
    <t>BAJAJ FINSERV HEALTHCARE FUND - DIRECT - GROWTH</t>
  </si>
  <si>
    <t>INF0QA701AC7</t>
  </si>
  <si>
    <t>INF0QA701AD5</t>
  </si>
  <si>
    <t>BAJAJ FINSERV HEALTHCARE FUND - DIRECT - IDCW</t>
  </si>
  <si>
    <t>INF0QA701987</t>
  </si>
  <si>
    <t>BAJAJ FINSERV HEALTHCARE FUND - REGULAR - GROWTH</t>
  </si>
  <si>
    <t>INF0QA701995</t>
  </si>
  <si>
    <t>INF0QA701AA1</t>
  </si>
  <si>
    <t>BAJAJ FINSERV HEALTHCARE FUND - REGULAR - IDCW</t>
  </si>
  <si>
    <t>INF194KB1IQ6</t>
  </si>
  <si>
    <t>Bandhan Business Cycle Fund - Direct Plan - Growth</t>
  </si>
  <si>
    <t>INF194KB1IL7</t>
  </si>
  <si>
    <t>INF194KB1IM5</t>
  </si>
  <si>
    <t>Bandhan Business Cycle Fund - Direct Plan - IDCW</t>
  </si>
  <si>
    <t>INF194KB1IP8</t>
  </si>
  <si>
    <t>Bandhan Business Cycle Fund - Regular Plan - Growth</t>
  </si>
  <si>
    <t>INF194KB1II3</t>
  </si>
  <si>
    <t>INF194KB1IJ1</t>
  </si>
  <si>
    <t>Bandhan Business Cycle Fund - Regular Plan - IDCW</t>
  </si>
  <si>
    <t>INF194KB1GB2</t>
  </si>
  <si>
    <t>BANDHAN FINANCIAL SERVICES FUND - DIRECT PLAN - GROWTH</t>
  </si>
  <si>
    <t>INF194KB1GC0</t>
  </si>
  <si>
    <t>INF194KB1GD8</t>
  </si>
  <si>
    <t>BANDHAN FINANCIAL SERVICES FUND - DIRECT PLAN - IDCW</t>
  </si>
  <si>
    <t>INF194KB1GE6</t>
  </si>
  <si>
    <t>BANDHAN FINANCIAL SERVICES FUND - REGULAR PLAN - GROWTH</t>
  </si>
  <si>
    <t>INF194KB1GF3</t>
  </si>
  <si>
    <t>INF194KB1GG1</t>
  </si>
  <si>
    <t>BANDHAN FINANCIAL SERVICES FUND - REGULAR PLAN - IDCW</t>
  </si>
  <si>
    <t>INF194KB1KF5</t>
  </si>
  <si>
    <t>Bandhan Healthcare Fund - Direct Plan - Growth</t>
  </si>
  <si>
    <t>INF194KB1KG3</t>
  </si>
  <si>
    <t>INF194KB1KH1</t>
  </si>
  <si>
    <t>Bandhan Healthcare Fund - Direct Plan - IDCW</t>
  </si>
  <si>
    <t>INF194KB1KC2</t>
  </si>
  <si>
    <t>Bandhan Healthcare Fund - Regular Plan - Growth</t>
  </si>
  <si>
    <t>INF194KB1KD0</t>
  </si>
  <si>
    <t>INF194KB1KE8</t>
  </si>
  <si>
    <t>Bandhan Healthcare Fund - Regular Plan - IDCW</t>
  </si>
  <si>
    <t>INF194K01BY9</t>
  </si>
  <si>
    <t>BANDHAN Infrastructure Fund - Regular Plan - Growth</t>
  </si>
  <si>
    <t>INF194K01BZ6</t>
  </si>
  <si>
    <t>INF194K01CA7</t>
  </si>
  <si>
    <t>BANDHAN Infrastructure Fund - Regular Plan - IDCW</t>
  </si>
  <si>
    <t>INF194K01X46</t>
  </si>
  <si>
    <t>BANDHAN Infrastructure Fund-Direct Plan-Growth</t>
  </si>
  <si>
    <t>INF194K01X53</t>
  </si>
  <si>
    <t>INF194K01X61</t>
  </si>
  <si>
    <t>BANDHAN Infrastructure Fund-Direct Plan-IDCW</t>
  </si>
  <si>
    <t>INF194KB1IE2</t>
  </si>
  <si>
    <t>Bandhan Innovation Fund - Direct Plan - Growth</t>
  </si>
  <si>
    <t>INF194KB1IF9</t>
  </si>
  <si>
    <t>INF194KB1IG7</t>
  </si>
  <si>
    <t>Bandhan Innovation Fund - Direct Plan - IDCW</t>
  </si>
  <si>
    <t>INF194KB1IB8</t>
  </si>
  <si>
    <t>Bandhan Innovation Fund - Regular Plan - Growth</t>
  </si>
  <si>
    <t>INF194KB1IC6</t>
  </si>
  <si>
    <t>INF194KB1ID4</t>
  </si>
  <si>
    <t>Bandhan Innovation Fund - Regular Plan - IDCW</t>
  </si>
  <si>
    <t>INF194KB1JX0</t>
  </si>
  <si>
    <t>Bandhan Multi-Factor Fund - Direct Plan - Growth</t>
  </si>
  <si>
    <t>INF194KB1JY8</t>
  </si>
  <si>
    <t>INF194KB1JZ5</t>
  </si>
  <si>
    <t>Bandhan Multi-Factor Fund - Direct Plan - IDCW</t>
  </si>
  <si>
    <t>INF194KB1JU6</t>
  </si>
  <si>
    <t>Bandhan Multi-Factor Fund - Regular Plan - Growth</t>
  </si>
  <si>
    <t>INF194KB1JV4</t>
  </si>
  <si>
    <t>INF194KB1JW2</t>
  </si>
  <si>
    <t>Bandhan Multi-Factor Fund - Regular Plan - IDCW</t>
  </si>
  <si>
    <t>INF194KB1EB7</t>
  </si>
  <si>
    <t>BANDHAN TRANSPORTATION AND LOGISTICS FUND - GROWTH - DIRECT PLAN</t>
  </si>
  <si>
    <t>INF194KB1EE1</t>
  </si>
  <si>
    <t>BANDHAN TRANSPORTATION AND LOGISTICS FUND - GROWTH - REGULAR PLAN</t>
  </si>
  <si>
    <t>INF194KB1EC5</t>
  </si>
  <si>
    <t>INF194KB1ED3</t>
  </si>
  <si>
    <t>BANDHAN TRANSPORTATION AND LOGISTICS FUND - IDCW - DIRECT PLAN</t>
  </si>
  <si>
    <t>INF194KB1EF8</t>
  </si>
  <si>
    <t>INF194KB1EG6</t>
  </si>
  <si>
    <t>BANDHAN TRANSPORTATION AND LOGISTICS FUND - IDCW - REGULAR PLAN</t>
  </si>
  <si>
    <t>INF761K01HE4</t>
  </si>
  <si>
    <t>Bank of India Banking &amp; Financial Services Fund - Direct Plan - Growth</t>
  </si>
  <si>
    <t>INF761K01HF1</t>
  </si>
  <si>
    <t>INF761K01HG9</t>
  </si>
  <si>
    <t>Bank of India Banking &amp; Financial Services Fund - Direct Plan - IDCW</t>
  </si>
  <si>
    <t>INF761K01HH7</t>
  </si>
  <si>
    <t>Bank of India Banking &amp; Financial Services Fund - Regular Plan - Growth</t>
  </si>
  <si>
    <t>INF761K01HI5</t>
  </si>
  <si>
    <t>INF761K01HJ3</t>
  </si>
  <si>
    <t>Bank of India Banking &amp; Financial Services Fund - Regular Plan - IDCW</t>
  </si>
  <si>
    <t>INF761K01GG1</t>
  </si>
  <si>
    <t>INF761K01GH9</t>
  </si>
  <si>
    <t>Bank of India Business Cycle Fund - Direct Plan - Dividend</t>
  </si>
  <si>
    <t>INF761K01GF3</t>
  </si>
  <si>
    <t>Bank of India Business Cycle Fund - Direct Plan - Growth</t>
  </si>
  <si>
    <t>INF761K01GD8</t>
  </si>
  <si>
    <t>INF761K01GE6</t>
  </si>
  <si>
    <t>Bank of India Business Cycle Fund - Regular Plan - Dividend</t>
  </si>
  <si>
    <t>INF761K01GC0</t>
  </si>
  <si>
    <t>Bank of India Business Cycle Fund - Regular Plan - Growth</t>
  </si>
  <si>
    <t>INF761K01GI7</t>
  </si>
  <si>
    <t>Bank of India Consumption Fund - Direct - Growth</t>
  </si>
  <si>
    <t>INF761K01GJ5</t>
  </si>
  <si>
    <t>INF761K01GK3</t>
  </si>
  <si>
    <t>Bank of India Consumption Fund - Direct - IDCW</t>
  </si>
  <si>
    <t>INF761K01GL1</t>
  </si>
  <si>
    <t>Bank of India Consumption Fund - Regular - Growth</t>
  </si>
  <si>
    <t>INF761K01GM9</t>
  </si>
  <si>
    <t>INF761K01GN7</t>
  </si>
  <si>
    <t>Bank of India Consumption Fund - Regular - IDCW</t>
  </si>
  <si>
    <t>INF761K01702</t>
  </si>
  <si>
    <t>BANK OF INDIA Manufacturing &amp; Infrastructure Fund-Direct Plan-Growth</t>
  </si>
  <si>
    <t>INF761K01728</t>
  </si>
  <si>
    <t>INF761K01710</t>
  </si>
  <si>
    <t>BANK OF INDIA Manufacturing &amp; Infrastructure Fund-Direct Plan-Quarterly IDCW</t>
  </si>
  <si>
    <t>INF761K01694</t>
  </si>
  <si>
    <t>INF761K01686</t>
  </si>
  <si>
    <t>BANK OF INDIA Manufacturing &amp; Infrastructure Fund-Direct Plan-Regular IDCW</t>
  </si>
  <si>
    <t>INF761K01199</t>
  </si>
  <si>
    <t>BANK OF INDIA Manufacturing &amp; Infrastructure Fund-Growth</t>
  </si>
  <si>
    <t>INF761K01231</t>
  </si>
  <si>
    <t>INF761K01223</t>
  </si>
  <si>
    <t>BANK OF INDIA Manufacturing &amp; Infrastructure Fund-Quarterly IDCW</t>
  </si>
  <si>
    <t>INF761K01215</t>
  </si>
  <si>
    <t>INF761K01207</t>
  </si>
  <si>
    <t>BANK OF INDIA Manufacturing &amp; Infrastructure Fund-Regular IDCW</t>
  </si>
  <si>
    <t>INF955L01971</t>
  </si>
  <si>
    <t>Baroda BNP Paribas Banking and Financial Services Fund - Direct - Growth Option</t>
  </si>
  <si>
    <t>INF955L01955</t>
  </si>
  <si>
    <t>Baroda BNP Paribas Banking and Financial Services Fund - Direct - IDCW Option</t>
  </si>
  <si>
    <t>INF955L01856</t>
  </si>
  <si>
    <t>Baroda BNP Paribas Banking and Financial Services Fund - Regular - Growth Option</t>
  </si>
  <si>
    <t>INF955L01831</t>
  </si>
  <si>
    <t>Baroda BNP Paribas Banking and Financial Services Fund - Regular - IDCW Option</t>
  </si>
  <si>
    <t>INF251K01VJ6</t>
  </si>
  <si>
    <t>Baroda BNP Paribas Business Conglomerates Fund Direct Growth Option</t>
  </si>
  <si>
    <t>INF251K01VK4</t>
  </si>
  <si>
    <t>Baroda BNP Paribas Business Conglomerates Fund Direct IDCW Payout Option</t>
  </si>
  <si>
    <t>INF251K01VG2</t>
  </si>
  <si>
    <t>Baroda BNP Paribas Business Conglomerates Fund Regular Growth Option</t>
  </si>
  <si>
    <t>INF251K01VH0</t>
  </si>
  <si>
    <t>Baroda BNP Paribas Business Conglomerates Fund Regular IDCW Payout Option</t>
  </si>
  <si>
    <t>INF955L01KK1</t>
  </si>
  <si>
    <t>Baroda BNP Paribas Business Cycle Fund - Direct Plan - Growth</t>
  </si>
  <si>
    <t>INF955L01KL9</t>
  </si>
  <si>
    <t>INF955L01KM7</t>
  </si>
  <si>
    <t>Baroda BNP Paribas Business Cycle Fund - Direct Plan - IDCW Option</t>
  </si>
  <si>
    <t>INF955L01KH7</t>
  </si>
  <si>
    <t>Baroda BNP Paribas Business Cycle Fund - Regular Plan - Growth</t>
  </si>
  <si>
    <t>INF955L01KI5</t>
  </si>
  <si>
    <t>INF955L01KJ3</t>
  </si>
  <si>
    <t>Baroda BNP Paribas Business Cycle Fund - Regular Plan - IDCW Option</t>
  </si>
  <si>
    <t>INF251K01UJ8</t>
  </si>
  <si>
    <t>Baroda BNP Paribas Energy Opportunities Fund - Direct Plan - Growth Option</t>
  </si>
  <si>
    <t>INF251K01UK6</t>
  </si>
  <si>
    <t>INF251K01UL4</t>
  </si>
  <si>
    <t>Baroda BNP Paribas Energy Opportunities Fund - Direct Plan - IDCW Option</t>
  </si>
  <si>
    <t>INF251K01UG4</t>
  </si>
  <si>
    <t>Baroda BNP Paribas Energy Opportunities Fund - Regular Plan - Growth Option</t>
  </si>
  <si>
    <t>INF251K01UH2</t>
  </si>
  <si>
    <t>INF251K01UI0</t>
  </si>
  <si>
    <t>Baroda BNP Paribas Energy Opportunities Fund - Regular Plan - ICDW Option</t>
  </si>
  <si>
    <t>INF251K01VP3</t>
  </si>
  <si>
    <t>Baroda BNP Paribas Best-in-Class Strategy Fund - Direct - Growth Option</t>
  </si>
  <si>
    <t>INF251K01VQ1</t>
  </si>
  <si>
    <t>INF251K01VR9</t>
  </si>
  <si>
    <t>Baroda BNP Paribas Best-in-Class Strategy Fund - Direct - IDCW Payout Option</t>
  </si>
  <si>
    <t>INF251K01VM0</t>
  </si>
  <si>
    <t>Baroda BNP Paribas Best-in-Class Strategy Fund - Regular - Growth Option</t>
  </si>
  <si>
    <t>INF251K01VN8</t>
  </si>
  <si>
    <t>INF251K01VO6</t>
  </si>
  <si>
    <t>Baroda BNP Paribas Best-in-Class Strategy Fund - Regular - IDCW Payout Option</t>
  </si>
  <si>
    <t>INF251K01VA5</t>
  </si>
  <si>
    <t>Baroda BNP Paribas Health and Wellness Fund Direct Growth</t>
  </si>
  <si>
    <t>INF251K01VB3</t>
  </si>
  <si>
    <t>INF251K01VC1</t>
  </si>
  <si>
    <t>Baroda BNP Paribas Health and Wellness Fund Direct IDCWPayout</t>
  </si>
  <si>
    <t>INF251K01UY7</t>
  </si>
  <si>
    <t>Baroda BNP Paribas Health and Wellness Fund Regular Growth</t>
  </si>
  <si>
    <t>INF251K01VD9</t>
  </si>
  <si>
    <t>INF251K01UZ4</t>
  </si>
  <si>
    <t>Baroda BNP Paribas Health and Wellness Fund Regular IDCWPayout</t>
  </si>
  <si>
    <t>INF251K01PT7</t>
  </si>
  <si>
    <t>BARODA BNP PARIBAS India Consumption Fund - Direct Plan - Growth Option</t>
  </si>
  <si>
    <t>INF251K01PV3</t>
  </si>
  <si>
    <t>INF251K01PU5</t>
  </si>
  <si>
    <t>BARODA BNP PARIBAS India Consumption Fund - Direct Plan - IDCW Option</t>
  </si>
  <si>
    <t>INF251K01PQ3</t>
  </si>
  <si>
    <t>BARODA BNP PARIBAS India Consumption Fund - Regular Plan - Growth Option</t>
  </si>
  <si>
    <t>INF251K01PS9</t>
  </si>
  <si>
    <t>INF251K01PR1</t>
  </si>
  <si>
    <t>BARODA BNP PARIBAS India Consumption Fund - Regular Plan - IDCW Option</t>
  </si>
  <si>
    <t>INF251K01TE1</t>
  </si>
  <si>
    <t>Baroda BNP Paribas Innovation Fund Direct plan - Growth Option</t>
  </si>
  <si>
    <t>INF251K01TF8</t>
  </si>
  <si>
    <t>INF251K01TG6</t>
  </si>
  <si>
    <t>Baroda BNP Paribas Innovation Fund Direct plan - IDCW Option</t>
  </si>
  <si>
    <t>INF251K01TB7</t>
  </si>
  <si>
    <t>Baroda BNP Paribas Innovation Fund Regular plan - Growth Option</t>
  </si>
  <si>
    <t>INF251K01TC5</t>
  </si>
  <si>
    <t>INF251K01TD3</t>
  </si>
  <si>
    <t>Baroda BNP Paribas Innovation Fund Regular plan - IDCW Option</t>
  </si>
  <si>
    <t>INF251K01TP7</t>
  </si>
  <si>
    <t>Baroda BNP Paribas Manufacturing Fund - Direct Plan - Growth Option</t>
  </si>
  <si>
    <t>INF251K01TQ5</t>
  </si>
  <si>
    <t>INF251K01TR3</t>
  </si>
  <si>
    <t>Baroda BNP Paribas Manufacturing Fund - Direct Plan - IDCW Option</t>
  </si>
  <si>
    <t>INF251K01TM4</t>
  </si>
  <si>
    <t>Baroda BNP Paribas Manufacturing Fund - Regular Plan - Growth Option</t>
  </si>
  <si>
    <t>INF251K01TN2</t>
  </si>
  <si>
    <t>INF251K01TO0</t>
  </si>
  <si>
    <t>Baroda BNP Paribas Manufacturing Fund - Regular Plan - IDCW Option</t>
  </si>
  <si>
    <t>INF760K01LN9</t>
  </si>
  <si>
    <t>Canara Robeco Banking and Financials Services Fund - Direct Plan - Growth</t>
  </si>
  <si>
    <t>INF760K01LP4</t>
  </si>
  <si>
    <t>INF760K01LR0</t>
  </si>
  <si>
    <t>Canara Robeco Banking and Financials Services Fund - Direct Plan - IDCW</t>
  </si>
  <si>
    <t>INF760K01LM1</t>
  </si>
  <si>
    <t>Canara Robeco Banking and Financials Services Fund - Regular Plan - Growth</t>
  </si>
  <si>
    <t>INF760K01LO7</t>
  </si>
  <si>
    <t>INF760K01LQ2</t>
  </si>
  <si>
    <t>Canara Robeco Banking and Financials Services Fund - Regular Plan - IDCW</t>
  </si>
  <si>
    <t>INF760K01DU1</t>
  </si>
  <si>
    <t>INF760K01DS5</t>
  </si>
  <si>
    <t>INF760K01DT3</t>
  </si>
  <si>
    <t>INF760K01241</t>
  </si>
  <si>
    <t>INF760K01225</t>
  </si>
  <si>
    <t>INF760K01233</t>
  </si>
  <si>
    <t>INF760K01FO9</t>
  </si>
  <si>
    <t>CANARA ROBECO INFRASTRUCTURE FUND - DIRECT PLAN - GROWTH OPTION</t>
  </si>
  <si>
    <t>INF760K01FM3</t>
  </si>
  <si>
    <t>INF760K01FN1</t>
  </si>
  <si>
    <t>CANARA ROBECO INFRASTRUCTURE FUND - DIRECT PLAN - IDCW (Payout/Reinvestment)</t>
  </si>
  <si>
    <t>INF760K01274</t>
  </si>
  <si>
    <t>CANARA ROBECO INFRASTRUCTURE FUND - REGULAR PLAN - GROWTH OPTION</t>
  </si>
  <si>
    <t>INF760K01258</t>
  </si>
  <si>
    <t>INF760K01266</t>
  </si>
  <si>
    <t>CANARA ROBECO INFRASTRUCTURE FUND - REGULAR PLAN - IDCW (Payout/Reinvestment)</t>
  </si>
  <si>
    <t>INF760K01KZ5</t>
  </si>
  <si>
    <t>Canara Robeco Manufacturing Fund - Direct Plan - Growth Option</t>
  </si>
  <si>
    <t>INF760K01KY8</t>
  </si>
  <si>
    <t>INF760K01KX0</t>
  </si>
  <si>
    <t>Canara Robeco Manufacturing Fund - Direct Plan - IDWC Option</t>
  </si>
  <si>
    <t>INF760K01KU6</t>
  </si>
  <si>
    <t>Canara Robeco Manufacturing Fund - Regular Plan - Growth Option</t>
  </si>
  <si>
    <t>INF760K01KW2</t>
  </si>
  <si>
    <t>INF760K01KV4</t>
  </si>
  <si>
    <t>Canara Robeco Manufacturing Fund -Regular Plan - IDWC Option</t>
  </si>
  <si>
    <t>INF740KA1TQ3</t>
  </si>
  <si>
    <t>DSP Banking &amp; Financial Services Fund - Direct - Growth</t>
  </si>
  <si>
    <t>INF740KA1TR1</t>
  </si>
  <si>
    <t>INF740KA1TS9</t>
  </si>
  <si>
    <t>DSP Banking &amp; Financial Services Fund - Direct - IDCW</t>
  </si>
  <si>
    <t>INF740KA1TN0</t>
  </si>
  <si>
    <t>DSP Banking &amp; Financial Services Fund - Regular - Growth</t>
  </si>
  <si>
    <t>INF740KA1TO8</t>
  </si>
  <si>
    <t>INF740KA1TP5</t>
  </si>
  <si>
    <t>DSP Banking &amp; Financial Services Fund - Regular - IDCW</t>
  </si>
  <si>
    <t>INF740KA1UX7</t>
  </si>
  <si>
    <t>DSP Business Cycle Fund - Direct - Growth</t>
  </si>
  <si>
    <t>INF740KA1UV1</t>
  </si>
  <si>
    <t>INF740KA1UW9</t>
  </si>
  <si>
    <t>DSP Business Cycle Fund - Direct - IDCW</t>
  </si>
  <si>
    <t>INF740KA1US7</t>
  </si>
  <si>
    <t>DSP Business Cycle Fund - Regular - Growth</t>
  </si>
  <si>
    <t>INF740KA1UT5</t>
  </si>
  <si>
    <t>INF740KA1UU3</t>
  </si>
  <si>
    <t>DSP Business Cycle Fund - Regular - IDCW</t>
  </si>
  <si>
    <t>INF740KA1LG1</t>
  </si>
  <si>
    <t>DSP Healthcare Fund - Direct Plan - Growth</t>
  </si>
  <si>
    <t>INF740KA1LH9</t>
  </si>
  <si>
    <t>INF740KA1LI7</t>
  </si>
  <si>
    <t>DSP Healthcare Fund - Direct Plan - IDCW</t>
  </si>
  <si>
    <t>INF740KA1LD8</t>
  </si>
  <si>
    <t>DSP Healthcare Fund - Regular Plan - Growth</t>
  </si>
  <si>
    <t>INF740KA1LE6</t>
  </si>
  <si>
    <t>INF740KA1LF3</t>
  </si>
  <si>
    <t>DSP Healthcare Fund - Regular Plan - IDCW</t>
  </si>
  <si>
    <t>INF740K01PU7</t>
  </si>
  <si>
    <t>DSP India T.I.G.E.R. Fund - Direct Plan - Growth</t>
  </si>
  <si>
    <t>INF740K01PV5</t>
  </si>
  <si>
    <t>INF740K01PW3</t>
  </si>
  <si>
    <t>DSP India T.I.G.E.R. Fund - Direct Plan - IDCW</t>
  </si>
  <si>
    <t>INF740K01151</t>
  </si>
  <si>
    <t>DSP India T.I.G.E.R. Fund - Regular Plan - Growth</t>
  </si>
  <si>
    <t>INF740K01136</t>
  </si>
  <si>
    <t>INF740K01144</t>
  </si>
  <si>
    <t>DSP India T.I.G.E.R. Fund - Regular Plan - IDCW</t>
  </si>
  <si>
    <t>INF740K01QA7</t>
  </si>
  <si>
    <t>DSP Natural Resources and New Energy Fund - Direct Plan - Growth</t>
  </si>
  <si>
    <t>INF740K01QB5</t>
  </si>
  <si>
    <t>INF740K01QC3</t>
  </si>
  <si>
    <t>DSP Natural Resources and New Energy Fund - Direct Plan - IDCW</t>
  </si>
  <si>
    <t>INF740K01060</t>
  </si>
  <si>
    <t>DSP Natural Resources And New Energy Fund - Regular - Growth</t>
  </si>
  <si>
    <t>INF740K01045</t>
  </si>
  <si>
    <t>INF740K01052</t>
  </si>
  <si>
    <t>DSP Natural Resources And New Energy Fund - Regular Plan - IDCW</t>
  </si>
  <si>
    <t>INF740KA1NQ6</t>
  </si>
  <si>
    <t>DSP Quant Fund - Direct Plan - Growth</t>
  </si>
  <si>
    <t>INF740KA1NR4</t>
  </si>
  <si>
    <t>INF740KA1NS2</t>
  </si>
  <si>
    <t>DSP Quant Fund - Direct Plan - IDCW</t>
  </si>
  <si>
    <t>INF740KA1NN3</t>
  </si>
  <si>
    <t>DSP Quant Fund - Regular Plan - Growth</t>
  </si>
  <si>
    <t>INF740KA1NO1</t>
  </si>
  <si>
    <t>INF740KA1NP8</t>
  </si>
  <si>
    <t>DSP Quant Fund - Regular Plan - IDCW</t>
  </si>
  <si>
    <t>INF754K01TA2</t>
  </si>
  <si>
    <t>Edelweiss Business Cycle Fund - Direct Plan - Growth</t>
  </si>
  <si>
    <t>INF754K01TB0</t>
  </si>
  <si>
    <t>INF754K01TC8</t>
  </si>
  <si>
    <t>Edelweiss Business Cycle Fund - Direct Plan - IDCW Option</t>
  </si>
  <si>
    <t>INF754K01SW8</t>
  </si>
  <si>
    <t>Edelweiss Business Cycle Fund - Regular Plan - Growth</t>
  </si>
  <si>
    <t>INF754K01SX6</t>
  </si>
  <si>
    <t>INF754K01SY4</t>
  </si>
  <si>
    <t>Edelweiss Business Cycle Fund - Regular Plan - IDCW Option</t>
  </si>
  <si>
    <t>INF754K01TY2</t>
  </si>
  <si>
    <t>Edelweiss Consumption Fund - Direct - Growth</t>
  </si>
  <si>
    <t>INF754K01TZ9</t>
  </si>
  <si>
    <t>INF754K01UA0</t>
  </si>
  <si>
    <t>Edelweiss Consumption Fund - Direct - IDCW - Payout</t>
  </si>
  <si>
    <t>INF754K01UC6</t>
  </si>
  <si>
    <t>Edelweiss Consumption Fund - Regular - Growth</t>
  </si>
  <si>
    <t>INF754K01UD4</t>
  </si>
  <si>
    <t>INF754K01UE2</t>
  </si>
  <si>
    <t>Edelweiss Consumption Fund - Regular - IDCW - Payout</t>
  </si>
  <si>
    <t>INF754K01WH1</t>
  </si>
  <si>
    <t>Edelweiss Financial Services Fund - Direct Plan - Growth Option</t>
  </si>
  <si>
    <t>INF754K01WI9</t>
  </si>
  <si>
    <t>INF754K01WJ7</t>
  </si>
  <si>
    <t>Edelweiss Financial Services Fund - Direct Plan - IDCW Option</t>
  </si>
  <si>
    <t>INF754K01WL3</t>
  </si>
  <si>
    <t>Edelweiss Financial Services Fund - Regular Plan - Growth Option</t>
  </si>
  <si>
    <t>INF754K01WM1</t>
  </si>
  <si>
    <t>INF754K01WN9</t>
  </si>
  <si>
    <t>Edelweiss Financial Services Fund - Regular Plan - IDCW Option</t>
  </si>
  <si>
    <t>INF754K01MM2</t>
  </si>
  <si>
    <t>INF754K01MN0</t>
  </si>
  <si>
    <t>Edelweiss Recently Listed IPO Fund - DIRECT PLAN - IDCW Option</t>
  </si>
  <si>
    <t>INF754K01ML4</t>
  </si>
  <si>
    <t>Edelweiss Recently Listed IPO Fund Direct Plan Growth</t>
  </si>
  <si>
    <t>INF754K01MI0</t>
  </si>
  <si>
    <t>INF754K01MJ8</t>
  </si>
  <si>
    <t>Edelweiss Recently Listed IPO Fund REGULAR PLAN - IDCW Option</t>
  </si>
  <si>
    <t>INF754K01MH2</t>
  </si>
  <si>
    <t>Edelweiss Recently Listed IPO Fund Regular Plan Growth</t>
  </si>
  <si>
    <t>INF754K01SK3</t>
  </si>
  <si>
    <t>Edelweiss Technology Fund - Direct Plan - Growth</t>
  </si>
  <si>
    <t>INF754K01SL1</t>
  </si>
  <si>
    <t>INF754K01SM9</t>
  </si>
  <si>
    <t>Edelweiss Technology Fund - Direct Plan - IDCW</t>
  </si>
  <si>
    <t>INF754K01SG1</t>
  </si>
  <si>
    <t>Edelweiss Technology Fund - Regular Plan - Growth</t>
  </si>
  <si>
    <t>INF754K01SH9</t>
  </si>
  <si>
    <t>INF754K01SI7</t>
  </si>
  <si>
    <t>Edelweiss Technology Fund - Regular Plan - IDCW</t>
  </si>
  <si>
    <t>INF090I01IZ5</t>
  </si>
  <si>
    <t>Franklin Asian Equity Fund - Direct - Growth</t>
  </si>
  <si>
    <t>INF090I01IX0</t>
  </si>
  <si>
    <t>INF090I01IY8</t>
  </si>
  <si>
    <t xml:space="preserve">Franklin Asian Equity Fund - Direct - IDCW </t>
  </si>
  <si>
    <t>INF090I01AB3</t>
  </si>
  <si>
    <t>Franklin Asian Equity Fund - Growth Plan</t>
  </si>
  <si>
    <t>INF090I01999</t>
  </si>
  <si>
    <t>INF090I01AA5</t>
  </si>
  <si>
    <t xml:space="preserve">Franklin Asian Equity Fund - IDCW </t>
  </si>
  <si>
    <t>INF090I01JF5</t>
  </si>
  <si>
    <t>Franklin Build India Fund - Direct - Growth</t>
  </si>
  <si>
    <t>INF090I01JD0</t>
  </si>
  <si>
    <t>INF090I01JE8</t>
  </si>
  <si>
    <t xml:space="preserve">Franklin Build India Fund - Direct - IDCW </t>
  </si>
  <si>
    <t>INF090I01AC1</t>
  </si>
  <si>
    <t>INF090I01AD9</t>
  </si>
  <si>
    <t xml:space="preserve">Franklin Build India Fund - IDCW </t>
  </si>
  <si>
    <t>INF090I01AE7</t>
  </si>
  <si>
    <t>Franklin Build India Fund Growth Plan</t>
  </si>
  <si>
    <t>INF090I01YQ1</t>
  </si>
  <si>
    <t>Franklin India Multi-Factor Fund- Direct- Growth</t>
  </si>
  <si>
    <t>INF090I01YS7</t>
  </si>
  <si>
    <t>INF090I01YR9</t>
  </si>
  <si>
    <t>Franklin India Multi-Factor Fund- Direct- IDCW</t>
  </si>
  <si>
    <t>INF090I01YN8</t>
  </si>
  <si>
    <t>Franklin India Multi-Factor Fund- Growth</t>
  </si>
  <si>
    <t>INF090I01YP3</t>
  </si>
  <si>
    <t>INF090I01YO6</t>
  </si>
  <si>
    <t>Franklin India Multi-Factor Fund- IDCW</t>
  </si>
  <si>
    <t>INF090I01GC8</t>
  </si>
  <si>
    <t>Franklin India Opportunities Fund - Direct - Growth</t>
  </si>
  <si>
    <t>INF090I01GD6</t>
  </si>
  <si>
    <t>INF090I01GE4</t>
  </si>
  <si>
    <t xml:space="preserve">Franklin INDIA OPPORTUNITIES FUND - Direct - IDCW </t>
  </si>
  <si>
    <t>INF090I01841</t>
  </si>
  <si>
    <t>Franklin India Opportunities Fund - Growth</t>
  </si>
  <si>
    <t>INF090I01858</t>
  </si>
  <si>
    <t>INF090I01866</t>
  </si>
  <si>
    <t xml:space="preserve">Franklin INDIA OPPORTUNITIES FUND - IDCW </t>
  </si>
  <si>
    <t>INF090I01FE6</t>
  </si>
  <si>
    <t>Franklin India Technology Fund - Direct - Growth</t>
  </si>
  <si>
    <t>INF090I01FF3</t>
  </si>
  <si>
    <t>INF090I01FG1</t>
  </si>
  <si>
    <t xml:space="preserve">Franklin India Technology Fund - Direct - IDCW </t>
  </si>
  <si>
    <t>INF090I01759</t>
  </si>
  <si>
    <t>INF090I01767</t>
  </si>
  <si>
    <t xml:space="preserve">Franklin India Technology Fund - IDCW </t>
  </si>
  <si>
    <t>INF090I01742</t>
  </si>
  <si>
    <t>Franklin India Technology Fund-Growth</t>
  </si>
  <si>
    <t>INF666M01HS1</t>
  </si>
  <si>
    <t>Groww Banking &amp; Financial Services Fund - Direct Plan - Growth</t>
  </si>
  <si>
    <t>INF666M01HP7</t>
  </si>
  <si>
    <t>Groww Banking &amp; Financial Services Fund - Regular - Growth</t>
  </si>
  <si>
    <t>INF666M01HQ5</t>
  </si>
  <si>
    <t>INF666M01HR3</t>
  </si>
  <si>
    <t>Groww Banking &amp; Financial Services Fund - Regular Plan - IDCW</t>
  </si>
  <si>
    <t>INF666M01HT9</t>
  </si>
  <si>
    <t>INF666M01HU7</t>
  </si>
  <si>
    <t>Groww Banking &amp; Financial Services Fund-IDCW</t>
  </si>
  <si>
    <t>INF179KC1BJ4</t>
  </si>
  <si>
    <t>HDFC Banking &amp; Financial Services Fund - Growth Option</t>
  </si>
  <si>
    <t>INF179KC1BG0</t>
  </si>
  <si>
    <t>HDFC Banking &amp; Financial Services Fund - Growth Option - Direct Plan</t>
  </si>
  <si>
    <t>INF179KC1BK2</t>
  </si>
  <si>
    <t>INF179KC1BL0</t>
  </si>
  <si>
    <t>HDFC Banking &amp; Financial Services Fund - IDCW Option</t>
  </si>
  <si>
    <t>INF179KC1BH8</t>
  </si>
  <si>
    <t>INF179KC1BI6</t>
  </si>
  <si>
    <t>HDFC Banking &amp; Financial Services Fund - IDCW Option - Direct Plan</t>
  </si>
  <si>
    <t>INF179KC1EB5</t>
  </si>
  <si>
    <t>HDFC Business Cycle Fund - Growth Option</t>
  </si>
  <si>
    <t>INF179KC1DY9</t>
  </si>
  <si>
    <t>HDFC Business Cycle Fund - Growth Option - Direct Plan</t>
  </si>
  <si>
    <t>INF179KC1EC3</t>
  </si>
  <si>
    <t>INF179KC1ED1</t>
  </si>
  <si>
    <t>HDFC Business Cycle Fund - IDCW Option</t>
  </si>
  <si>
    <t>INF179KC1DZ6</t>
  </si>
  <si>
    <t>INF179KC1EA7</t>
  </si>
  <si>
    <t>HDFC Business Cycle Fund - IDCW Option - Direct Plan</t>
  </si>
  <si>
    <t>INF179KC1GR6</t>
  </si>
  <si>
    <t>HDFC Consumption Fund - Growth Option</t>
  </si>
  <si>
    <t>INF179KC1GO3</t>
  </si>
  <si>
    <t>HDFC Consumption Fund - Growth Option - Direct Plan</t>
  </si>
  <si>
    <t>INF179KC1GS4</t>
  </si>
  <si>
    <t>INF179KC1GT2</t>
  </si>
  <si>
    <t>HDFC Consumption Fund - IDCW Option</t>
  </si>
  <si>
    <t>INF179KC1GP0</t>
  </si>
  <si>
    <t>INF179KC1GQ8</t>
  </si>
  <si>
    <t>HDFC Consumption Fund - IDCW Option - Direct Plan</t>
  </si>
  <si>
    <t>INF179KC1GL9</t>
  </si>
  <si>
    <t>HDFC Defence Fund - Growth Option</t>
  </si>
  <si>
    <t>INF179KC1GI5</t>
  </si>
  <si>
    <t>HDFC Defence Fund - Growth Option - Direct Plan</t>
  </si>
  <si>
    <t>INF179KC1GM7</t>
  </si>
  <si>
    <t>INF179KC1GN5</t>
  </si>
  <si>
    <t>HDFC Defence Fund - IDCW Option</t>
  </si>
  <si>
    <t>INF179KC1GJ3</t>
  </si>
  <si>
    <t>INF179KC1GK1</t>
  </si>
  <si>
    <t>HDFC Defence Fund - IDCW Option - Direct Plan</t>
  </si>
  <si>
    <t>INF179KC1AX7</t>
  </si>
  <si>
    <t>HDFC Housing Opportunities Fund  - Growth Option</t>
  </si>
  <si>
    <t>INF179KC1AU3</t>
  </si>
  <si>
    <t>HDFC Housing Opportunities Fund  - Growth Option - Direct Plan</t>
  </si>
  <si>
    <t>INF179KC1AY5</t>
  </si>
  <si>
    <t>INF179KC1AZ2</t>
  </si>
  <si>
    <t>HDFC Housing Opportunities Fund  - IDCW Option</t>
  </si>
  <si>
    <t>INF179KC1AV1</t>
  </si>
  <si>
    <t>INF179KC1AW9</t>
  </si>
  <si>
    <t>HDFC Housing Opportunities Fund  - IDCW Option - Direct Plan</t>
  </si>
  <si>
    <t>INF179K01WQ2</t>
  </si>
  <si>
    <t>HDFC Infrastructure Fund - Growth Option - Direct Plan</t>
  </si>
  <si>
    <t>INF179K01GF8</t>
  </si>
  <si>
    <t>HDFC Infrastructure Fund - Growth Plan</t>
  </si>
  <si>
    <t>INF179K01WP4</t>
  </si>
  <si>
    <t>INF179K01WR0</t>
  </si>
  <si>
    <t>HDFC Infrastructure Fund - IDCW Option - Direct Plan</t>
  </si>
  <si>
    <t>INF179K01GE1</t>
  </si>
  <si>
    <t>INF179K01GG6</t>
  </si>
  <si>
    <t>HDFC Infrastructure Fund - IDCW Plan</t>
  </si>
  <si>
    <t>INF179KC1JO7</t>
  </si>
  <si>
    <t>HDFC INNOVATION FUND - DIRECT PLAN - GROWTH OPTION</t>
  </si>
  <si>
    <t>INF179KC1JP4</t>
  </si>
  <si>
    <t>INF179KC1JQ2</t>
  </si>
  <si>
    <t>HDFC INNOVATION FUND - IDCW - DIRECT PLAN</t>
  </si>
  <si>
    <t>INF179KC1JM1</t>
  </si>
  <si>
    <t>INF179KC1JN9</t>
  </si>
  <si>
    <t>HDFC INNOVATION FUND - IDCW - REGULAR PLAN</t>
  </si>
  <si>
    <t>INF179KC1JL3</t>
  </si>
  <si>
    <t>HDFC INNOVATION FUND - REGULAR PLAN - GROWTH OPTION</t>
  </si>
  <si>
    <t>INF179KC1II1</t>
  </si>
  <si>
    <t>HDFC Manufacturing fund - Growth Option - Direct Plan</t>
  </si>
  <si>
    <t>INF179KC1IF7</t>
  </si>
  <si>
    <t>HDFC Manufacturing fund - Growth Option - Regular Plan</t>
  </si>
  <si>
    <t>INF179KC1IJ9</t>
  </si>
  <si>
    <t>INF179KC1IK7</t>
  </si>
  <si>
    <t>HDFC Manufacturing fund - IDCW - Direct Plan</t>
  </si>
  <si>
    <t>INF179KC1IG5</t>
  </si>
  <si>
    <t>INF179KC1IH3</t>
  </si>
  <si>
    <t>HDFC Manufacturing fund - IDCW - Regular Plan</t>
  </si>
  <si>
    <t>INF179KC1FF3</t>
  </si>
  <si>
    <t>HDFC MNC Fund - Growth Option</t>
  </si>
  <si>
    <t>INF179KC1FC0</t>
  </si>
  <si>
    <t>HDFC MNC Fund - Growth Option - Direct Plan</t>
  </si>
  <si>
    <t>INF179KC1FG1</t>
  </si>
  <si>
    <t>INF179KC1FH9</t>
  </si>
  <si>
    <t>HDFC MNC Fund - IDCW Option</t>
  </si>
  <si>
    <t>INF179KC1FD8</t>
  </si>
  <si>
    <t>INF179KC1FE6</t>
  </si>
  <si>
    <t>HDFC MNC Fund - IDCW Option - Direct Plan</t>
  </si>
  <si>
    <t>INF179KC1HL7</t>
  </si>
  <si>
    <t>HDFC Pharma and Healthcare Fund - Growth Option</t>
  </si>
  <si>
    <t>INF179KC1HO1</t>
  </si>
  <si>
    <t>HDFC Pharma and Healthcare Fund - Growth Option - Direct Plan</t>
  </si>
  <si>
    <t>INF179KC1HM5</t>
  </si>
  <si>
    <t>INF179KC1HN3</t>
  </si>
  <si>
    <t>HDFC Pharma and Healthcare Fund - IDCW Option</t>
  </si>
  <si>
    <t>INF179KC1HP8</t>
  </si>
  <si>
    <t>INF179KC1HQ6</t>
  </si>
  <si>
    <t>HDFC Pharma and Healthcare Fund - IDCW Option - Direct Plan</t>
  </si>
  <si>
    <t>INF179KC1HF9</t>
  </si>
  <si>
    <t>HDFC Technology Fund - Growth Option</t>
  </si>
  <si>
    <t>INF179KC1HI3</t>
  </si>
  <si>
    <t>HDFC Technology Fund - Growth Option - Direct Plan</t>
  </si>
  <si>
    <t>INF179KC1HG7</t>
  </si>
  <si>
    <t>INF179KC1HH5</t>
  </si>
  <si>
    <t>HDFC Technology Fund - IDCW Option</t>
  </si>
  <si>
    <t>INF179KC1HJ1</t>
  </si>
  <si>
    <t>INF179KC1HK9</t>
  </si>
  <si>
    <t>HDFC Technology Fund - IDCW Option - Direct Plan</t>
  </si>
  <si>
    <t>INF179KC1GX4</t>
  </si>
  <si>
    <t>HDFC Transportation and Logistics Fund - Growth Option</t>
  </si>
  <si>
    <t>INF179KC1GU0</t>
  </si>
  <si>
    <t>HDFC Transportation and Logistics Fund - Growth Option - Direct Plan</t>
  </si>
  <si>
    <t>INF179KC1GY2</t>
  </si>
  <si>
    <t>INF179KC1GZ9</t>
  </si>
  <si>
    <t>HDFC Transportation and Logistics Fund - IDCW Option</t>
  </si>
  <si>
    <t>INF179KC1GV8</t>
  </si>
  <si>
    <t>INF179KC1GW6</t>
  </si>
  <si>
    <t>HDFC Transportation and Logistics Fund - IDCW Option - Direct Plan</t>
  </si>
  <si>
    <t>INF0R8701202</t>
  </si>
  <si>
    <t>Helios Financial Services Fund - Direct Plan - Growth Option</t>
  </si>
  <si>
    <t>INF0R8701210</t>
  </si>
  <si>
    <t>INF0R8701228</t>
  </si>
  <si>
    <t>Helios Financial Services Fund - Direct Plan - IDCW Option</t>
  </si>
  <si>
    <t>INF0R8701178</t>
  </si>
  <si>
    <t>Helios Financial Services Fund - Regular Plan - Growth Option</t>
  </si>
  <si>
    <t>INF0R8701186</t>
  </si>
  <si>
    <t>INF0R8701194</t>
  </si>
  <si>
    <t>Helios Financial Services Fund - Regular Plan - IDCW Option</t>
  </si>
  <si>
    <t>INF917K01RI2</t>
  </si>
  <si>
    <t>HSBC Business Cycles Fund - Direct Growth</t>
  </si>
  <si>
    <t>INF917K01RK8</t>
  </si>
  <si>
    <t>INF917K01RJ0</t>
  </si>
  <si>
    <t>HSBC Business Cycles Fund - Direct IDCW</t>
  </si>
  <si>
    <t>INF917K01RF8</t>
  </si>
  <si>
    <t>HSBC Business Cycles Fund - Regular Growth</t>
  </si>
  <si>
    <t>INF917K01RH4</t>
  </si>
  <si>
    <t>INF917K01RG6</t>
  </si>
  <si>
    <t>HSBC Business Cycles Fund - Regular IDCW</t>
  </si>
  <si>
    <t>INF336L01QZ9</t>
  </si>
  <si>
    <t>HSBC Consumption Fund - Direct Growth</t>
  </si>
  <si>
    <t>INF336L01RA0</t>
  </si>
  <si>
    <t>INF336L01RB8</t>
  </si>
  <si>
    <t>HSBC Consumption Fund - Direct IDCW</t>
  </si>
  <si>
    <t>INF336L01RC6</t>
  </si>
  <si>
    <t>HSBC Consumption Fund - Regular Growth</t>
  </si>
  <si>
    <t>INF336L01RD4</t>
  </si>
  <si>
    <t>INF336L01RE2</t>
  </si>
  <si>
    <t>HSBC Consumption Fund - Regular IDCW</t>
  </si>
  <si>
    <t>INF336L01RU8</t>
  </si>
  <si>
    <t>HSBC Financial Services Fund - Direct Growth</t>
  </si>
  <si>
    <t>INF336L01RW4</t>
  </si>
  <si>
    <t>INF336L01RV6</t>
  </si>
  <si>
    <t>HSBC Financial Services Fund - Direct IDCW</t>
  </si>
  <si>
    <t>INF336L01RR4</t>
  </si>
  <si>
    <t>HSBC Financial Services Fund - Regular Growth</t>
  </si>
  <si>
    <t>INF336L01RT0</t>
  </si>
  <si>
    <t>INF336L01RS2</t>
  </si>
  <si>
    <t>HSBC Financial Services Fund - Regular IDCW</t>
  </si>
  <si>
    <t>INF336L01RO1</t>
  </si>
  <si>
    <t>HSBC India Export Opportunities Fund - Direct Growth</t>
  </si>
  <si>
    <t>INF336L01RP8</t>
  </si>
  <si>
    <t>INF336L01RQ6</t>
  </si>
  <si>
    <t>HSBC India Export Opportunities Fund - Direct IDCW</t>
  </si>
  <si>
    <t>INF336L01RL7</t>
  </si>
  <si>
    <t>HSBC India Export Opportunities Fund - Regular Growth</t>
  </si>
  <si>
    <t>INF336L01RM5</t>
  </si>
  <si>
    <t>INF336L01RN3</t>
  </si>
  <si>
    <t>HSBC India Export Opportunities Fund - Regular IDCW</t>
  </si>
  <si>
    <t>INF917K01FW8</t>
  </si>
  <si>
    <t>HSBC Infrastructure Fund - Direct Growth</t>
  </si>
  <si>
    <t>INF917K01E52</t>
  </si>
  <si>
    <t>INF917K01FU2</t>
  </si>
  <si>
    <t>HSBC Infrastructure Fund - Direct IDCW</t>
  </si>
  <si>
    <t>INF917K01536</t>
  </si>
  <si>
    <t>HSBC Infrastructure Fund - Regular Growth</t>
  </si>
  <si>
    <t>INF917K01544</t>
  </si>
  <si>
    <t>INF917K01551</t>
  </si>
  <si>
    <t>HSBC Infrastructure Fund - Regular IDCW</t>
  </si>
  <si>
    <t>INF109K1A385</t>
  </si>
  <si>
    <t>ICICI Prudential Active Momentum Fund - Direct Plan - Growth</t>
  </si>
  <si>
    <t>INF109K1A377</t>
  </si>
  <si>
    <t>ICICI Prudential Active Momentum Fund - Growth</t>
  </si>
  <si>
    <t>INF109K01BU5</t>
  </si>
  <si>
    <t>ICICI Prudential Banking and Financial Services Fund -  Growth</t>
  </si>
  <si>
    <t>INF109K01DY3</t>
  </si>
  <si>
    <t>INF109K01BV3</t>
  </si>
  <si>
    <t>ICICI Prudential Banking and Financial Services Fund -  IDCW</t>
  </si>
  <si>
    <t>INF109K013J1</t>
  </si>
  <si>
    <t>ICICI Prudential Banking and Financial Services Fund - Direct Plan -  Growth</t>
  </si>
  <si>
    <t>INF109K011J5</t>
  </si>
  <si>
    <t>INF109K012J3</t>
  </si>
  <si>
    <t>ICICI Prudential Banking and Financial Services Fund - Direct Plan -  IDCW</t>
  </si>
  <si>
    <t>INF109KC1YD4</t>
  </si>
  <si>
    <t>ICICI Prudential Bharat Consumption Fund - Direct Plan - Growth Option</t>
  </si>
  <si>
    <t>INF109KC1YF9</t>
  </si>
  <si>
    <t>ICICI Prudential Bharat Consumption Fund - Direct Plan - IDCW Option</t>
  </si>
  <si>
    <t>INF109KC1YA0</t>
  </si>
  <si>
    <t>ICICI Prudential Bharat Consumption Fund - Growth Option</t>
  </si>
  <si>
    <t>INF109KC1YC6</t>
  </si>
  <si>
    <t>ICICI Prudential Bharat Consumption Fund - IDCW Option</t>
  </si>
  <si>
    <t>INF109KC1P24</t>
  </si>
  <si>
    <t>ICICI Prudential Business Cycle Fund Direct Plan Growth</t>
  </si>
  <si>
    <t>INF109KC1P40</t>
  </si>
  <si>
    <t>INF109KC1P32</t>
  </si>
  <si>
    <t>ICICI Prudential Business Cycle Fund Direct Plan IDCW</t>
  </si>
  <si>
    <t>INF109KC1O90</t>
  </si>
  <si>
    <t>ICICI Prudential Business Cycle Fund Growth</t>
  </si>
  <si>
    <t>INF109KC1P16</t>
  </si>
  <si>
    <t>INF109KC1P08</t>
  </si>
  <si>
    <t>ICICI Prudential Business Cycle Fund IDCW</t>
  </si>
  <si>
    <t>INF109KC1F91</t>
  </si>
  <si>
    <t>ICICI Prudential Commodities Fund - Direct Plan - Growth Option</t>
  </si>
  <si>
    <t>INF109KC1G09</t>
  </si>
  <si>
    <t>ICICI Prudential Commodities Fund - Direct Plan - IDCW Option</t>
  </si>
  <si>
    <t>INF109KC1F67</t>
  </si>
  <si>
    <t>ICICI Prudential Commodities Fund - Growth Option</t>
  </si>
  <si>
    <t>INF109KC1F75</t>
  </si>
  <si>
    <t>ICICI Prudential Commodities Fund - IDCW Option</t>
  </si>
  <si>
    <t>INF109K1A427</t>
  </si>
  <si>
    <t>ICICI Prudential Conglomerate Fund - Direct Plan - Growth</t>
  </si>
  <si>
    <t>INF109K1A443</t>
  </si>
  <si>
    <t>INF109K1A435</t>
  </si>
  <si>
    <t>ICICI Prudential Conglomerate Fund - Direct Plan - IDCW</t>
  </si>
  <si>
    <t>INF109K1A393</t>
  </si>
  <si>
    <t>ICICI Prudential Conglomerate Fund - Growth</t>
  </si>
  <si>
    <t>INF109K1A419</t>
  </si>
  <si>
    <t>INF109K1A401</t>
  </si>
  <si>
    <t>ICICI Prudential Conglomerate Fund - IDCW</t>
  </si>
  <si>
    <t>INF109KC12W6</t>
  </si>
  <si>
    <t>ICICI PRUDENTIAL ENERGY OPPORTUNITIES FUND - Direct Plan - Growth</t>
  </si>
  <si>
    <t>INF109KC13W4</t>
  </si>
  <si>
    <t>INF109KC14W2</t>
  </si>
  <si>
    <t>ICICI PRUDENTIAL ENERGY OPPORTUNITIES FUND - Direct Plan - IDCW</t>
  </si>
  <si>
    <t>INF109KC15W9</t>
  </si>
  <si>
    <t>ICICI PRUDENTIAL ENERGY OPPORTUNITIES FUND - Growth</t>
  </si>
  <si>
    <t>INF109KC16W7</t>
  </si>
  <si>
    <t>INF109KC17W5</t>
  </si>
  <si>
    <t>ICICI PRUDENTIAL ENERGY OPPORTUNITIES FUND - IDCW</t>
  </si>
  <si>
    <t>INF109KC10Y6</t>
  </si>
  <si>
    <t>ICICI Prudential Equity Minimum Variance Fund - Direct Plan - Growth</t>
  </si>
  <si>
    <t>INF109KC12Y2</t>
  </si>
  <si>
    <t>INF109KC11Y4</t>
  </si>
  <si>
    <t>ICICI Prudential Equity Minimum Variance Fund - Direct Plan - IDCW</t>
  </si>
  <si>
    <t>INF109KC17X3</t>
  </si>
  <si>
    <t>ICICI Prudential Equity Minimum Variance Fund - Growth</t>
  </si>
  <si>
    <t>INF109KC19X9</t>
  </si>
  <si>
    <t>INF109KC18X1</t>
  </si>
  <si>
    <t>ICICI Prudential Equity Minimum Variance Fund - IDCW</t>
  </si>
  <si>
    <t>INF109KC1O09</t>
  </si>
  <si>
    <t>ICICI Prudential ESG Exclusionary Strategy Fund - Direct Plan - Growth</t>
  </si>
  <si>
    <t>INF109KC1O25</t>
  </si>
  <si>
    <t>INF109KC1O17</t>
  </si>
  <si>
    <t>ICICI Prudential ESG Exclusionary Strategy Fund - Direct Plan - IDCW</t>
  </si>
  <si>
    <t>INF109KC1N75</t>
  </si>
  <si>
    <t>ICICI Prudential ESG Exclusionary Strategy Fund - Growth</t>
  </si>
  <si>
    <t>INF109KC1N91</t>
  </si>
  <si>
    <t>INF109KC1N83</t>
  </si>
  <si>
    <t>ICICI Prudential ESG Exclusionary Strategy Fund - IDCW</t>
  </si>
  <si>
    <t>INF109K01W25</t>
  </si>
  <si>
    <t>ICICI Prudential Exports &amp; Services Fund - Direct Plan - Growth</t>
  </si>
  <si>
    <t>INF109K01W09</t>
  </si>
  <si>
    <t>INF109K01W17</t>
  </si>
  <si>
    <t>ICICI Prudential Exports &amp; Services Fund - Direct Plan - IDCW</t>
  </si>
  <si>
    <t>INF109K01BB5</t>
  </si>
  <si>
    <t>ICICI Prudential Exports &amp; Services Fund - Growth</t>
  </si>
  <si>
    <t>INF109K01FL5</t>
  </si>
  <si>
    <t>INF109K01BA7</t>
  </si>
  <si>
    <t>ICICI Prudential Exports &amp; Services Fund - IDCW</t>
  </si>
  <si>
    <t>INF109K01Z14</t>
  </si>
  <si>
    <t>ICICI Prudential FMCG Fund - Direct Plan -  Growth</t>
  </si>
  <si>
    <t>INF109K01Y98</t>
  </si>
  <si>
    <t>INF109K01Z06</t>
  </si>
  <si>
    <t>ICICI Prudential FMCG Fund - Direct Plan -  IDCW</t>
  </si>
  <si>
    <t>INF109K01415</t>
  </si>
  <si>
    <t>ICICI Prudential FMCG Fund - Growth</t>
  </si>
  <si>
    <t>INF109K01EO2</t>
  </si>
  <si>
    <t>INF109K01423</t>
  </si>
  <si>
    <t>ICICI Prudential FMCG Fund - IDCW</t>
  </si>
  <si>
    <t>INF109KC10C2</t>
  </si>
  <si>
    <t>ICICI PRUDENTIAL HOUSING OPPORTUNITIES FUND - Direct Plan Growth</t>
  </si>
  <si>
    <t>INF109KC11C0</t>
  </si>
  <si>
    <t>INF109KC12C8</t>
  </si>
  <si>
    <t>ICICI PRUDENTIAL HOUSING OPPORTUNITIES FUND - Direct Plan IDCW</t>
  </si>
  <si>
    <t>INF109KC17B9</t>
  </si>
  <si>
    <t>ICICI PRUDENTIAL HOUSING OPPORTUNITIES FUND - Growth</t>
  </si>
  <si>
    <t>INF109KC18B7</t>
  </si>
  <si>
    <t>INF109KC19B5</t>
  </si>
  <si>
    <t>ICICI PRUDENTIAL HOUSING OPPORTUNITIES FUND - IDCW</t>
  </si>
  <si>
    <t>INF109KC1RE6</t>
  </si>
  <si>
    <t>ICICI Prudential India Opportunities Fund - Cumulative Option</t>
  </si>
  <si>
    <t>INF109KC1RH9</t>
  </si>
  <si>
    <t>ICICI Prudential India Opportunities Fund - Direct Plan - Cumulative Option</t>
  </si>
  <si>
    <t>INF109KC1RJ5</t>
  </si>
  <si>
    <t>INF109KC1RI7</t>
  </si>
  <si>
    <t>ICICI Prudential India Opportunities Fund - Direct Plan - IDCW Option</t>
  </si>
  <si>
    <t>INF109KC1RG1</t>
  </si>
  <si>
    <t>INF109KC1RF3</t>
  </si>
  <si>
    <t>ICICI Prudential India Opportunities Fund - IDCW Option</t>
  </si>
  <si>
    <t>INF109K018M4</t>
  </si>
  <si>
    <t>ICICI Prudential Infrastructure Fund - Direct Plan -  Growth</t>
  </si>
  <si>
    <t>INF109K016M8</t>
  </si>
  <si>
    <t>INF109K017M6</t>
  </si>
  <si>
    <t>ICICI Prudential Infrastructure Fund - Direct Plan -  IDCW</t>
  </si>
  <si>
    <t>INF109K01AV5</t>
  </si>
  <si>
    <t>ICICI Prudential Infrastructure Fund - Growth</t>
  </si>
  <si>
    <t>INF109K01FB6</t>
  </si>
  <si>
    <t>INF109K01AT9</t>
  </si>
  <si>
    <t>ICICI Prudential Infrastructure Fund - IDCW</t>
  </si>
  <si>
    <t>INF109KC12T2</t>
  </si>
  <si>
    <t>ICICI Prudential Innovation Fund - Direct Plan - Growth</t>
  </si>
  <si>
    <t>INF109KC13T0</t>
  </si>
  <si>
    <t>INF109KC14T8</t>
  </si>
  <si>
    <t>ICICI Prudential Innovation Fund - Direct Plan - IDCW</t>
  </si>
  <si>
    <t>INF109KC19S9</t>
  </si>
  <si>
    <t>ICICI Prudential Innovation Fund - Growth</t>
  </si>
  <si>
    <t>INF109KC10T6</t>
  </si>
  <si>
    <t>INF109KC11T4</t>
  </si>
  <si>
    <t>ICICI Prudential Innovation Fund - IDCW</t>
  </si>
  <si>
    <t>INF109KC1LG4</t>
  </si>
  <si>
    <t>ICICI Prudential Manufacturing Fund - Cumulative Option</t>
  </si>
  <si>
    <t>INF109KC1LJ8</t>
  </si>
  <si>
    <t>ICICI Prudential Manufacturing Fund - Direct Plan - Cumulative Option</t>
  </si>
  <si>
    <t>INF109KC1LK6</t>
  </si>
  <si>
    <t>ICICI Prudential Manufacturing Fund - Direct Plan - IDCW Option</t>
  </si>
  <si>
    <t>INF109KC1LH2</t>
  </si>
  <si>
    <t>ICICI Prudential Manufacturing Fund - IDCW Option</t>
  </si>
  <si>
    <t>INF109KC1D93</t>
  </si>
  <si>
    <t>ICICI Prudential MNC Fund - Direct Plan - Growth Option</t>
  </si>
  <si>
    <t>INF109KC1E01</t>
  </si>
  <si>
    <t>ICICI Prudential MNC Fund - Direct Plan - IDCW Option</t>
  </si>
  <si>
    <t>INF109KC1D69</t>
  </si>
  <si>
    <t>ICICI Prudential MNC Fund - Growth Option</t>
  </si>
  <si>
    <t>INF109KC1D77</t>
  </si>
  <si>
    <t>ICICI Prudential MNC Fund - IDCW Option</t>
  </si>
  <si>
    <t>INF109KC1GE9</t>
  </si>
  <si>
    <t>ICICI Prudential Pharma Healthcare and Diagnostics (P.H.D) Fund - Cumulative Option</t>
  </si>
  <si>
    <t>INF109KC1GH2</t>
  </si>
  <si>
    <t>ICICI Prudential Pharma Healthcare and Diagnostics (P.H.D) Fund - Direct Plan - Cumulative Option</t>
  </si>
  <si>
    <t>INF109KC1GJ8</t>
  </si>
  <si>
    <t>ICICI Prudential Pharma Healthcare and Diagnostics (P.H.D) Fund - Direct Plan - IDCW Option</t>
  </si>
  <si>
    <t>INF109KC1GG4</t>
  </si>
  <si>
    <t>ICICI Prudential Pharma Healthcare and Diagnostics (P.H.D) Fund - IDCW Option</t>
  </si>
  <si>
    <t>INF109KC12I5</t>
  </si>
  <si>
    <t>ICICI Prudential PSU Equity Fund - Direct Plan - Growth</t>
  </si>
  <si>
    <t>INF109KC13I3</t>
  </si>
  <si>
    <t>INF109KC14I1</t>
  </si>
  <si>
    <t>ICICI Prudential PSU Equity Fund - Direct Plan - IDCW</t>
  </si>
  <si>
    <t>INF109KC19H2</t>
  </si>
  <si>
    <t>ICICI Prudential PSU Equity Fund - Growth</t>
  </si>
  <si>
    <t>INF109KC10I9</t>
  </si>
  <si>
    <t>INF109KC11I7</t>
  </si>
  <si>
    <t>ICICI Prudential PSU Equity Fund - IDCW</t>
  </si>
  <si>
    <t>INF109K1A187</t>
  </si>
  <si>
    <t>ICICI Prudential Quality Fund - Direct Plan - Growth</t>
  </si>
  <si>
    <t>INF109K1A203</t>
  </si>
  <si>
    <t>INF109K1A195</t>
  </si>
  <si>
    <t>ICICI Prudential Quality Fund - Direct Plan - IDCW</t>
  </si>
  <si>
    <t>INF109K1A211</t>
  </si>
  <si>
    <t>ICICI Prudential Quality Fund - Growth</t>
  </si>
  <si>
    <t>INF109K1A179</t>
  </si>
  <si>
    <t>INF109K1A161</t>
  </si>
  <si>
    <t>ICICI Prudential Quality Fund - IDCW</t>
  </si>
  <si>
    <t>INF109KC1O66</t>
  </si>
  <si>
    <t>ICICI Prudential Quant Fund Direct Plan Growth</t>
  </si>
  <si>
    <t>INF109KC1O82</t>
  </si>
  <si>
    <t>INF109KC1O74</t>
  </si>
  <si>
    <t>ICICI Prudential Quant Fund Direct Plan IDCW</t>
  </si>
  <si>
    <t>INF109KC1O33</t>
  </si>
  <si>
    <t>ICICI Prudential Quant Fund Growth</t>
  </si>
  <si>
    <t>INF109KC1O58</t>
  </si>
  <si>
    <t>INF109KC1O41</t>
  </si>
  <si>
    <t>ICICI Prudential Quant Fund IDCW</t>
  </si>
  <si>
    <t>INF109KC12Z9</t>
  </si>
  <si>
    <t>ICICI Prudential Rural Opportunities Fund - Direct Plan - Growth</t>
  </si>
  <si>
    <t>INF109KC14Z5</t>
  </si>
  <si>
    <t>INF109KC13Z7</t>
  </si>
  <si>
    <t>ICICI Prudential Rural Opportunities Fund - Direct Plan - IDCW</t>
  </si>
  <si>
    <t>INF109KC19Y7</t>
  </si>
  <si>
    <t>ICICI Prudential Rural Opportunities Fund - Growth</t>
  </si>
  <si>
    <t>INF109KC11Z1</t>
  </si>
  <si>
    <t>INF109KC10Z3</t>
  </si>
  <si>
    <t>ICICI Prudential Rural Opportunities Fund - IDCW</t>
  </si>
  <si>
    <t>INF109K01Z48</t>
  </si>
  <si>
    <t>ICICI Prudential Technology Fund - Direct Plan -  Growth</t>
  </si>
  <si>
    <t>INF109K01Z22</t>
  </si>
  <si>
    <t>INF109K01Z30</t>
  </si>
  <si>
    <t>ICICI Prudential Technology Fund - Direct Plan -  IDCW</t>
  </si>
  <si>
    <t>INF109K01506</t>
  </si>
  <si>
    <t>ICICI Prudential Technology Fund - Growth</t>
  </si>
  <si>
    <t>INF109K01FO9</t>
  </si>
  <si>
    <t>INF109K01514</t>
  </si>
  <si>
    <t>ICICI Prudential Technology Fund - IDCW</t>
  </si>
  <si>
    <t>INF109KC12K1</t>
  </si>
  <si>
    <t>ICICI PRUDENTIAL TRANSPORTATION AND LOGISTICS FUND - Direct Plan - Growth</t>
  </si>
  <si>
    <t>INF109KC13K9</t>
  </si>
  <si>
    <t>INF109KC14K7</t>
  </si>
  <si>
    <t>ICICI PRUDENTIAL TRANSPORTATION AND LOGISTICS FUND - Direct Plan - IDCW</t>
  </si>
  <si>
    <t>INF109KC19J8</t>
  </si>
  <si>
    <t>ICICI PRUDENTIAL TRANSPORTATION AND LOGISTICS FUND - Growth</t>
  </si>
  <si>
    <t>INF109KC10K5</t>
  </si>
  <si>
    <t>INF109KC11K3</t>
  </si>
  <si>
    <t>ICICI PRUDENTIAL TRANSPORTATION AND LOGISTICS FUND - IDCW</t>
  </si>
  <si>
    <t>INF109K01Z71</t>
  </si>
  <si>
    <t>ICICI Prudential US Bluechip Equity Fund - Direct Plan -  Growth</t>
  </si>
  <si>
    <t>INF109K01Z55</t>
  </si>
  <si>
    <t>INF109K01Z63</t>
  </si>
  <si>
    <t>ICICI Prudential US Bluechip Equity Fund - Direct Plan -  IDCW</t>
  </si>
  <si>
    <t>INF109K01E35</t>
  </si>
  <si>
    <t>ICICI Prudential US Bluechip Equity Fund - Growth</t>
  </si>
  <si>
    <t>INF109K01E43</t>
  </si>
  <si>
    <t>INF109K01E50</t>
  </si>
  <si>
    <t>ICICI Prudential US Bluechip Equity Fund - IDCW</t>
  </si>
  <si>
    <t>INF205KA1AI8</t>
  </si>
  <si>
    <t>Invesco India Business Cycle Fund - Direct Plan - Growth</t>
  </si>
  <si>
    <t>INF205KA1AJ6</t>
  </si>
  <si>
    <t>INF205KA1AK4</t>
  </si>
  <si>
    <t>Invesco India Business Cycle Fund - Direct Plan - IDCW</t>
  </si>
  <si>
    <t>INF205KA1AF4</t>
  </si>
  <si>
    <t>Invesco India Business Cycle Fund - Regular Plan - Growth</t>
  </si>
  <si>
    <t>INF205KA1AG2</t>
  </si>
  <si>
    <t>INF205KA1AH0</t>
  </si>
  <si>
    <t>Invesco India Business Cycle Fund - Regular Plan - IDCW</t>
  </si>
  <si>
    <t>INF205KA1BI6</t>
  </si>
  <si>
    <t>Invesco India Consumption Fund - Direct Plan - Growth</t>
  </si>
  <si>
    <t>INF205KA1BJ4</t>
  </si>
  <si>
    <t>INF205KA1BK2</t>
  </si>
  <si>
    <t>Invesco India Consumption Fund - Direct Plan - IDCW</t>
  </si>
  <si>
    <t>INF205KA1BF2</t>
  </si>
  <si>
    <t>Invesco India Consumption Fund - Regular Plan - Growth Plan</t>
  </si>
  <si>
    <t>INF205KA1BG0</t>
  </si>
  <si>
    <t>INF205KA1BH8</t>
  </si>
  <si>
    <t>Invesco India Consumption Fund - Regular Plan - IDCW Plan</t>
  </si>
  <si>
    <t>INF205KA1338</t>
  </si>
  <si>
    <t>Invesco India ESG Integration Strategy Fund - Direct Plan - Growth</t>
  </si>
  <si>
    <t>INF205KA1320</t>
  </si>
  <si>
    <t>INF205KA1346</t>
  </si>
  <si>
    <t>Invesco India ESG Integration Strategy Fund - Direct Plan - IDCW (Payout / Reinvestment)</t>
  </si>
  <si>
    <t>INF205KA1304</t>
  </si>
  <si>
    <t>Invesco India ESG Integration Strategy Fund - Regular Plan - Growth</t>
  </si>
  <si>
    <t>INF205KA1296</t>
  </si>
  <si>
    <t>INF205KA1312</t>
  </si>
  <si>
    <t>Invesco India ESG Integration Strategy Fund - Regular Plan - IDCW (Payout / Reinvestment)</t>
  </si>
  <si>
    <t>INF205K01KY4</t>
  </si>
  <si>
    <t>Invesco India Financial Services Fund - Direct Plan - Growth</t>
  </si>
  <si>
    <t>INF205K01KW8</t>
  </si>
  <si>
    <t>INF205K01KX6</t>
  </si>
  <si>
    <t>Invesco India Financial Services Fund - Direct Plan - IDCW (Payout / Reinvestment)</t>
  </si>
  <si>
    <t>INF205K01171</t>
  </si>
  <si>
    <t>INF205K01163</t>
  </si>
  <si>
    <t>Invesco India Financial Services Fund - Regular Plan -  IDCW (Payout / Reinvestment)</t>
  </si>
  <si>
    <t>INF205K01155</t>
  </si>
  <si>
    <t>Invesco India Financial Services Fund - Regular Plan - Growth</t>
  </si>
  <si>
    <t>INF205K01MD4</t>
  </si>
  <si>
    <t>Invesco India Infrastructure Fund - Direct Plan - Growth Option</t>
  </si>
  <si>
    <t>INF205K01MB8</t>
  </si>
  <si>
    <t>INF205K01MC6</t>
  </si>
  <si>
    <t>Invesco India Infrastructure Fund - Direct Plan - IDCW (Payout / Reinvestment)</t>
  </si>
  <si>
    <t>INF205K01CD5</t>
  </si>
  <si>
    <t>Invesco India Infrastructure Fund - Regular Plan - Growth Option</t>
  </si>
  <si>
    <t>INF205K01CE3</t>
  </si>
  <si>
    <t>INF205K01CF0</t>
  </si>
  <si>
    <t>Invesco India Infrastructure Fund - Regular Plan - IDCW (Payout / Reinvestment)</t>
  </si>
  <si>
    <t>INF205KA1908</t>
  </si>
  <si>
    <t>Invesco India Manufacturing Fund - Direct Plan - Growth</t>
  </si>
  <si>
    <t>INF205KA1916</t>
  </si>
  <si>
    <t>INF205KA1924</t>
  </si>
  <si>
    <t>Invesco India Manufacturing Fund - Direct Plan - IDCW</t>
  </si>
  <si>
    <t>INF205KA1874</t>
  </si>
  <si>
    <t>Invesco India Manufacturing Fund - Regular Plan - Growth</t>
  </si>
  <si>
    <t>INF205KA1882</t>
  </si>
  <si>
    <t>INF205KA1890</t>
  </si>
  <si>
    <t>Invesco India Manufacturing Fund - Regular Plan - IDCW</t>
  </si>
  <si>
    <t>INF205K01NG5</t>
  </si>
  <si>
    <t>Invesco India PSU Equity Fund - Direct Plan - Growth</t>
  </si>
  <si>
    <t>INF205K01NE0</t>
  </si>
  <si>
    <t>INF205K01NF7</t>
  </si>
  <si>
    <t>Invesco India PSU Equity Fund - Direct Plan - IDCW (Payout / Reinvestment)</t>
  </si>
  <si>
    <t>INF205K01338</t>
  </si>
  <si>
    <t>Invesco India PSU Equity Fund - Regular Plan - Growth</t>
  </si>
  <si>
    <t>INF205K01353</t>
  </si>
  <si>
    <t>INF205K01346</t>
  </si>
  <si>
    <t>Invesco India PSU Equity Fund - Regular Plan - IDCW (Payout / Reinvestment)</t>
  </si>
  <si>
    <t>INF205KA1965</t>
  </si>
  <si>
    <t>Invesco India Technology Fund - Direct Plan - Growth</t>
  </si>
  <si>
    <t>INF205KA1973</t>
  </si>
  <si>
    <t>INF205KA1981</t>
  </si>
  <si>
    <t>Invesco India Technology Fund - Direct Plan - IDCW</t>
  </si>
  <si>
    <t>INF205KA1932</t>
  </si>
  <si>
    <t>Invesco India Technology Fund - Regular Plan - Growth</t>
  </si>
  <si>
    <t>INF205KA1940</t>
  </si>
  <si>
    <t>INF205KA1957</t>
  </si>
  <si>
    <t>Invesco India Technology Fund - Regular Plan - IDCW</t>
  </si>
  <si>
    <t>INF00XX01BU6</t>
  </si>
  <si>
    <t>ITI Banking and Financial Services Fund - Direct Plan - Growth Option</t>
  </si>
  <si>
    <t>INF00XX01BV4</t>
  </si>
  <si>
    <t>INF00XX01BW2</t>
  </si>
  <si>
    <t>ITI Banking and Financial Services Fund - Direct Plan - IDCW Option</t>
  </si>
  <si>
    <t>INF00XX01BS0</t>
  </si>
  <si>
    <t>INF00XX01BT8</t>
  </si>
  <si>
    <t>ITI Banking and Financial Services Fund - Regular Plan - IDCW Option</t>
  </si>
  <si>
    <t>INF00XX01BR2</t>
  </si>
  <si>
    <t>ITI Banking and Financial Services Fund -Regular Plan - Growth Option</t>
  </si>
  <si>
    <t>INF00XX01DG1</t>
  </si>
  <si>
    <t>ITI Bharat Consumption Fund - Direct Plan - Growth</t>
  </si>
  <si>
    <t>INF00XX01DH9</t>
  </si>
  <si>
    <t>INF00XX01DI7</t>
  </si>
  <si>
    <t>ITI Bharat Consumption Fund - Direct Plan - IDCW Option</t>
  </si>
  <si>
    <t>INF00XX01DE6</t>
  </si>
  <si>
    <t>INF00XX01DF3</t>
  </si>
  <si>
    <t>ITI Bharat Consumption Fund - Regular Plan - IDCW Option</t>
  </si>
  <si>
    <t>INF00XX01DD8</t>
  </si>
  <si>
    <t>ITI Bharat Consumption Fund - Regular Plan Plan - Growth</t>
  </si>
  <si>
    <t>INF00XX01DM9</t>
  </si>
  <si>
    <t>ITI Business Cycle Fund- Direct Plan- Growth</t>
  </si>
  <si>
    <t>INF00XX01DN7</t>
  </si>
  <si>
    <t>INF00XX01DO5</t>
  </si>
  <si>
    <t>ITI Business Cycle Fund- Direct Plan-IDCW</t>
  </si>
  <si>
    <t>INF00XX01DJ5</t>
  </si>
  <si>
    <t>ITI Business Cycle Fund- Regular Plan- Growth</t>
  </si>
  <si>
    <t>INF00XX01DK3</t>
  </si>
  <si>
    <t>INF00XX01DL1</t>
  </si>
  <si>
    <t>ITI Business Cycle Fund- Regular Plan- IDCW</t>
  </si>
  <si>
    <t>INF00XX01BO9</t>
  </si>
  <si>
    <t>ITI Pharma and Healthcare Fund - Direct Plan - Growth Option</t>
  </si>
  <si>
    <t>INF00XX01BP6</t>
  </si>
  <si>
    <t>INF00XX01BQ4</t>
  </si>
  <si>
    <t>ITI Pharma and Healthcare Fund - Direct Plan - IDCW Option</t>
  </si>
  <si>
    <t>INF00XX01BL5</t>
  </si>
  <si>
    <t>ITI Pharma and Healthcare Fund - Regular Plan - Growth Option</t>
  </si>
  <si>
    <t>INF00XX01BM3</t>
  </si>
  <si>
    <t>INF00XX01BN1</t>
  </si>
  <si>
    <t>ITI Pharma and Healthcare Fund - Regular Plan - IDCW Option</t>
  </si>
  <si>
    <t>INF22M001168</t>
  </si>
  <si>
    <t>JioBlackRock Sector Rotation Fund - Direct Plan - Growth Option</t>
  </si>
  <si>
    <t>INF174KA1XA4</t>
  </si>
  <si>
    <t>Kotak Active Momentum Fund - Direct Plan - Growth option</t>
  </si>
  <si>
    <t>INF174KA1XB2</t>
  </si>
  <si>
    <t>INF174KA1XC0</t>
  </si>
  <si>
    <t>Kotak Active Momentum Fund - Direct Plan - IDCW - Payout and Reinvestment</t>
  </si>
  <si>
    <t>INF174KA1XD8</t>
  </si>
  <si>
    <t>Kotak Active Momentum Fund - Regular Plan - Growth</t>
  </si>
  <si>
    <t>INF174KA1XE6</t>
  </si>
  <si>
    <t>INF174KA1XF3</t>
  </si>
  <si>
    <t>Kotak Active Momentum Fund - Regular Plan - IDCW - Payout &amp; Reinvestment</t>
  </si>
  <si>
    <t>INF174KA1MD1</t>
  </si>
  <si>
    <t>Kotak Banking &amp; Financial Services Fund - Direct Plan - Growth</t>
  </si>
  <si>
    <t>INF174KA1ME9</t>
  </si>
  <si>
    <t>INF174KA1MF6</t>
  </si>
  <si>
    <t>Kotak Banking &amp; Financial Services Fund - Direct Plan - IDCW Payout</t>
  </si>
  <si>
    <t>INF174KA1MA7</t>
  </si>
  <si>
    <t>Kotak Banking &amp; Financial Services Fund - Regular Plan - Growth</t>
  </si>
  <si>
    <t>INF174KA1MB5</t>
  </si>
  <si>
    <t>INF174KA1MC3</t>
  </si>
  <si>
    <t>Kotak Banking &amp; Financial Services Fund - Regular Plan - IDCW Payout</t>
  </si>
  <si>
    <t>INF174KA1JN6</t>
  </si>
  <si>
    <t>Kotak Business Cycle - Direct Plan - Growth</t>
  </si>
  <si>
    <t>INF174KA1JO4</t>
  </si>
  <si>
    <t>INF174KA1JP1</t>
  </si>
  <si>
    <t>Kotak Business Cycle Fund-Direct Plan-IDCW option</t>
  </si>
  <si>
    <t>INF174KA1JK2</t>
  </si>
  <si>
    <t>Kotak Business Cycle Fund-Regular Plan--Growth</t>
  </si>
  <si>
    <t>INF174KA1JL0</t>
  </si>
  <si>
    <t>INF174KA1JM8</t>
  </si>
  <si>
    <t>Kotak Business Cycle Fund-Regular Plan-IDCW option</t>
  </si>
  <si>
    <t>INF174KA1PP8</t>
  </si>
  <si>
    <t>Kotak Consumption Fund - Direct plan - Growth Option</t>
  </si>
  <si>
    <t>INF174KA1PQ6</t>
  </si>
  <si>
    <t>INF174KA1PR4</t>
  </si>
  <si>
    <t>Kotak Consumption Fund - Direct plan - IDCW Option</t>
  </si>
  <si>
    <t>INF174KA1PM5</t>
  </si>
  <si>
    <t>Kotak Consumption Fund - Regular plan - Growth Option</t>
  </si>
  <si>
    <t>INF174KA1PN3</t>
  </si>
  <si>
    <t>INF174KA1PO1</t>
  </si>
  <si>
    <t>Kotak Consumption Fund - Regular plan - IDCW Option</t>
  </si>
  <si>
    <t>INF174KA1VX0</t>
  </si>
  <si>
    <t>Kotak Energy Opportunities Fund-Direct-Growth</t>
  </si>
  <si>
    <t>INF174KA1VY8</t>
  </si>
  <si>
    <t>INF174KA1VZ5</t>
  </si>
  <si>
    <t>Kotak Energy Opportunities Fund-Direct-IDCW-Payout &amp; Reinvestment</t>
  </si>
  <si>
    <t>INF174KA1WA6</t>
  </si>
  <si>
    <t>Kotak Energy Opportunities Fund-Regular-Growth</t>
  </si>
  <si>
    <t>INF174KA1WB4</t>
  </si>
  <si>
    <t>INF174KA1WC2</t>
  </si>
  <si>
    <t>Kotak Energy Opportunities Fund-Regular-IDCW-Payout &amp; Reinvestment</t>
  </si>
  <si>
    <t>INF174KA1FI4</t>
  </si>
  <si>
    <t>Kotak ESG Exclusionary Strategy Fund - Direct Plan - Growth Option</t>
  </si>
  <si>
    <t>INF174KA1FH6</t>
  </si>
  <si>
    <t>INF174KA1FJ2</t>
  </si>
  <si>
    <t>Kotak ESG Exclusionary Strategy Fund - Direct Plan - Payout of Income Distribution cum capital withdrawal option</t>
  </si>
  <si>
    <t>INF174KA1FF0</t>
  </si>
  <si>
    <t>Kotak ESG Exclusionary Strategy Fund - Regular Plan - Growth Option</t>
  </si>
  <si>
    <t>INF174KA1FE3</t>
  </si>
  <si>
    <t>INF174KA1FG8</t>
  </si>
  <si>
    <t>Kotak ESG Exclusionary Strategy Fund - Regular Plan - Payout of Income Distribution cum capital withdrawal option</t>
  </si>
  <si>
    <t>INF174KA1PZ7</t>
  </si>
  <si>
    <t>Kotak Healthcare Fund - Direct Plan - Growth Option</t>
  </si>
  <si>
    <t>INF174KA1QA8</t>
  </si>
  <si>
    <t>INF174KA1QB6</t>
  </si>
  <si>
    <t>Kotak Healthcare Fund - Direct Plan - IDCW Option</t>
  </si>
  <si>
    <t>INF174KA1PW4</t>
  </si>
  <si>
    <t>Kotak Healthcare Fund - Regular Plan - Growth Option</t>
  </si>
  <si>
    <t>INF174KA1PX2</t>
  </si>
  <si>
    <t>INF174KA1PY0</t>
  </si>
  <si>
    <t>Kotak Healthcare Fund - Regular Plan - IDCW Option</t>
  </si>
  <si>
    <t>INF178L01095</t>
  </si>
  <si>
    <t>Kotak Infrastructure &amp; Economic Reform Fund - Standard Plan-Growth</t>
  </si>
  <si>
    <t>INF178L01079</t>
  </si>
  <si>
    <t>INF178L01087</t>
  </si>
  <si>
    <t>Kotak Infrastructure &amp; Economic Reform Fund - Standard Plan-Payout of Income Distribution cum capital withdrawal option</t>
  </si>
  <si>
    <t>INF178L01AL9</t>
  </si>
  <si>
    <t>Kotak Infrastructure &amp; Economic Reform Fund- Direct Plan- Growth Option</t>
  </si>
  <si>
    <t>INF178L01AK1</t>
  </si>
  <si>
    <t>INF178L01AJ3</t>
  </si>
  <si>
    <t>Kotak Infrastructure &amp; Economic Reform Fund- Direct Plan- Payout of Income Distribution cum capital withdrawal option</t>
  </si>
  <si>
    <t>INF174KA1IF4</t>
  </si>
  <si>
    <t>Kotak Manufacture in India Fund - Direct Plan Growth</t>
  </si>
  <si>
    <t>INF174KA1IG2</t>
  </si>
  <si>
    <t>INF174KA1IH0</t>
  </si>
  <si>
    <t>Kotak Manufacture in India Fund - Direct Plan IDCW Option</t>
  </si>
  <si>
    <t>INF174KA1IC1</t>
  </si>
  <si>
    <t>Kotak Manufacture in India Fund - Regular Plan Growth</t>
  </si>
  <si>
    <t>INF174KA1ID9</t>
  </si>
  <si>
    <t>INF174KA1IE7</t>
  </si>
  <si>
    <t>Kotak Manufacture in India Fund - Regular Plan IDCW Option</t>
  </si>
  <si>
    <t>INF174KA1TG9</t>
  </si>
  <si>
    <t>Kotak MNC Fund-Direct Plan-Growth</t>
  </si>
  <si>
    <t>INF174KA1TH7</t>
  </si>
  <si>
    <t>INF174KA1TI5</t>
  </si>
  <si>
    <t>Kotak MNC Fund-Direct Plan-IDCW Option</t>
  </si>
  <si>
    <t>INF174KA1TJ3</t>
  </si>
  <si>
    <t>Kotak MNC Fund-Regular Plan- Growth</t>
  </si>
  <si>
    <t>INF174KA1TK1</t>
  </si>
  <si>
    <t>INF174KA1TL9</t>
  </si>
  <si>
    <t>KotaK MNC Fund-Regular Plan-IDCW OPTION</t>
  </si>
  <si>
    <t>INF174KA1EZ1</t>
  </si>
  <si>
    <t>Kotak Pioneer Fund- Direct Plan- Growth Option</t>
  </si>
  <si>
    <t>INF174KA1EW8</t>
  </si>
  <si>
    <t>Kotak Pioneer Fund- Regular Plan- Growth Option</t>
  </si>
  <si>
    <t>INF174KA1EU2</t>
  </si>
  <si>
    <t>INF174KA1EV0</t>
  </si>
  <si>
    <t>Kotak Pioneer Fund- Regular Plan- Reinvestment of Income Distribution cum capital withdrawal option</t>
  </si>
  <si>
    <t>INF174KA1EX6</t>
  </si>
  <si>
    <t>INF174KA1EY4</t>
  </si>
  <si>
    <t>Kotak Pioneer Fund-Direct Plan-Reinvestment of Income Distribution cum capital withdrawal option</t>
  </si>
  <si>
    <t>INF174KA1OL0</t>
  </si>
  <si>
    <t>Kotak Quant Fund - Direct Plan - Growth Option</t>
  </si>
  <si>
    <t>INF174KA1OM8</t>
  </si>
  <si>
    <t>INF174KA1ON6</t>
  </si>
  <si>
    <t>Kotak Quant Fund - Direct plan - IDCW Payout</t>
  </si>
  <si>
    <t>INF174KA1OI6</t>
  </si>
  <si>
    <t>Kotak Quant Fund - Regular Plan - Growth Option</t>
  </si>
  <si>
    <t>INF174KA1OJ4</t>
  </si>
  <si>
    <t>INF174KA1OK2</t>
  </si>
  <si>
    <t>Kotak Quant Fund - Regular Plan - IDCW Payout</t>
  </si>
  <si>
    <t>INF174KA1XW8</t>
  </si>
  <si>
    <t>Kotak Rural Opportunities Fund - Direct Plan - Growth</t>
  </si>
  <si>
    <t>INF174KA1XX6</t>
  </si>
  <si>
    <t>INF174KA1XY4</t>
  </si>
  <si>
    <t>Kotak Rural Opportunities Fund - Direct Plan - IDCW Divdend - Payouout &amp; Reinvestment</t>
  </si>
  <si>
    <t>INF174KA1XZ1</t>
  </si>
  <si>
    <t>Kotak Rural Opportunities Fund - Regular Plan - Growth</t>
  </si>
  <si>
    <t>INF174KA1YA2</t>
  </si>
  <si>
    <t>INF174KA1YB0</t>
  </si>
  <si>
    <t>Kotak Rural Opportunities Fund - Regular Plan - IDCW Dividend - Payout &amp; Reinvestment</t>
  </si>
  <si>
    <t>INF174KA1YV8</t>
  </si>
  <si>
    <t>Kotak Services Fund - Direct - Growth</t>
  </si>
  <si>
    <t>INF174KA1YW6</t>
  </si>
  <si>
    <t>INF174KA1YX4</t>
  </si>
  <si>
    <t>Kotak Services Fund - Direct - IDCW</t>
  </si>
  <si>
    <t>INF174KA1YY2</t>
  </si>
  <si>
    <t>Kotak Services Fund - Regular - Growth</t>
  </si>
  <si>
    <t>INF174KA1YZ9</t>
  </si>
  <si>
    <t>INF174KA1ZA9</t>
  </si>
  <si>
    <t>Kotak Services Fund - Regular - IDCW</t>
  </si>
  <si>
    <t>INF174KA1SF3</t>
  </si>
  <si>
    <t>Kotak Special Opportunities Fund - Direct Plan - Growth Option</t>
  </si>
  <si>
    <t>INF174KA1SG1</t>
  </si>
  <si>
    <t>Kotak Special Opportunities Fund - Direct Plan - IDCW Payout Option</t>
  </si>
  <si>
    <t>INF174KA1SC0</t>
  </si>
  <si>
    <t>Kotak Special Opportunities Fund - Regular Plan - Growth Option</t>
  </si>
  <si>
    <t>INF174KA1SD8</t>
  </si>
  <si>
    <t>INF174KA1SE6</t>
  </si>
  <si>
    <t>Kotak Special Opportunities Fund - Regular Plan - IDCW Option</t>
  </si>
  <si>
    <t>INF174KA1QZ5</t>
  </si>
  <si>
    <t>Kotak Technology Fund - Direct Plan - Growth Option</t>
  </si>
  <si>
    <t>INF174KA1RA6</t>
  </si>
  <si>
    <t>INF174KA1RB4</t>
  </si>
  <si>
    <t>Kotak Technology Fund - Direct Plan - IDCW Option</t>
  </si>
  <si>
    <t>INF174KA1QW2</t>
  </si>
  <si>
    <t>Kotak Technology Fund - Regular Plan - Growth Option</t>
  </si>
  <si>
    <t>INF174KA1QX0</t>
  </si>
  <si>
    <t>INF174KA1QY8</t>
  </si>
  <si>
    <t>Kotak Technology Fund - Regular Plan - IDCW Option</t>
  </si>
  <si>
    <t>INF174KA1TT2</t>
  </si>
  <si>
    <t>INF174KA1TU0</t>
  </si>
  <si>
    <t>Kotak Transportation &amp; Logistics Fund-Direct -IDCW-PAYOUT &amp; REINVESTMENT</t>
  </si>
  <si>
    <t>INF174KA1TS4</t>
  </si>
  <si>
    <t>Kotak Transportation &amp; Logistics Fund-Direct Growth</t>
  </si>
  <si>
    <t>INF174KA1TV8</t>
  </si>
  <si>
    <t>Kotak Transportation &amp; Logistics Fund-Regular-Growth</t>
  </si>
  <si>
    <t>INF174KA1TW6</t>
  </si>
  <si>
    <t>INF174KA1TX4</t>
  </si>
  <si>
    <t>Kotak Transportation &amp; Logistics Fund-Regular-IDCW Payout &amp; Reinvestment</t>
  </si>
  <si>
    <t>INF767K01NK6</t>
  </si>
  <si>
    <t>LIC MF Banking and Financial Services Fund-Direct Plan-Growth</t>
  </si>
  <si>
    <t>INF767K01NJ8</t>
  </si>
  <si>
    <t>INF767K01NL4</t>
  </si>
  <si>
    <t>LIC MF Banking and Financial Services Fund-Direct Plan-IDCW</t>
  </si>
  <si>
    <t>INF767K01NH2</t>
  </si>
  <si>
    <t>LIC MF Banking and Financial Services Fund-Regular Plan-Growth</t>
  </si>
  <si>
    <t>INF767K01NG4</t>
  </si>
  <si>
    <t>INF767K01NI0</t>
  </si>
  <si>
    <t>LIC MF Banking and Financial Services Fund-Regular Plan-IDCW</t>
  </si>
  <si>
    <t>INF767K01SD0</t>
  </si>
  <si>
    <t>LIC MF Consumption Fund-Direct Plan-Growth</t>
  </si>
  <si>
    <t>INF767K01SF5</t>
  </si>
  <si>
    <t>INF767K01SE8</t>
  </si>
  <si>
    <t>LIC MF Consumption Fund-Direct Plan-IDCW</t>
  </si>
  <si>
    <t>INF767K01SA6</t>
  </si>
  <si>
    <t>LIC MF Consumption Fund-Regular Plan-Growth</t>
  </si>
  <si>
    <t>INF767K01SC2</t>
  </si>
  <si>
    <t>INF767K01SB4</t>
  </si>
  <si>
    <t>LIC MF Consumption Fund-Regular Plan-IDCW</t>
  </si>
  <si>
    <t>INF397L01LK4</t>
  </si>
  <si>
    <t>LIC MF Healthcare Fund-Direct Plan-Growth</t>
  </si>
  <si>
    <t>INF397L01LH0</t>
  </si>
  <si>
    <t>INF397L01LI8</t>
  </si>
  <si>
    <t>LIC MF Healthcare Fund-Direct Plan-IDCW</t>
  </si>
  <si>
    <t>INF397L01LG2</t>
  </si>
  <si>
    <t>LIC MF Healthcare Fund-Regular Plan-Growth</t>
  </si>
  <si>
    <t>INF397L01LD9</t>
  </si>
  <si>
    <t>INF397L01LE7</t>
  </si>
  <si>
    <t>LIC MF Healthcare Fund-Regular Plan-IDCW</t>
  </si>
  <si>
    <t>INF767K01GW5</t>
  </si>
  <si>
    <t>LIC MF Infrastructure Fund-Direct Plan-Growth</t>
  </si>
  <si>
    <t>INF767K01GV7</t>
  </si>
  <si>
    <t>INF767K01GX3</t>
  </si>
  <si>
    <t>LIC MF Infrastructure Fund-Direct Plan-IDCW</t>
  </si>
  <si>
    <t>INF767K01501</t>
  </si>
  <si>
    <t>LIC MF Infrastructure Fund-Regular Plan-Growth</t>
  </si>
  <si>
    <t>INF767K01485</t>
  </si>
  <si>
    <t>INF767K01493</t>
  </si>
  <si>
    <t>LIC MF Infrastructure Fund-Regular Plan-IDCW</t>
  </si>
  <si>
    <t>INF767K01RR2</t>
  </si>
  <si>
    <t>LIC MF Manufacturing Fund-Direct Plan-Growth</t>
  </si>
  <si>
    <t>INF767K01RT8</t>
  </si>
  <si>
    <t>INF767K01RS0</t>
  </si>
  <si>
    <t>LIC MF Manufacturing Fund-Direct Plan-IDCW</t>
  </si>
  <si>
    <t>INF767K01RO9</t>
  </si>
  <si>
    <t>LIC MF Manufacturing Fund-Regular Plan-Growth</t>
  </si>
  <si>
    <t>INF767K01RQ4</t>
  </si>
  <si>
    <t>INF767K01RP6</t>
  </si>
  <si>
    <t>LIC MF Manufacturing Fund-Regular Plan-IDCW</t>
  </si>
  <si>
    <t>INF767K01SJ7</t>
  </si>
  <si>
    <t>LIC MF Technology Fund-Direct Plan-Growth</t>
  </si>
  <si>
    <t>INF767K01SL3</t>
  </si>
  <si>
    <t>INF767K01SK5</t>
  </si>
  <si>
    <t>LIC MF Technology Fund-Direct Plan-IDCW</t>
  </si>
  <si>
    <t>INF767K01SG3</t>
  </si>
  <si>
    <t>LIC MF Technology Fund-Regular Plan-Growth</t>
  </si>
  <si>
    <t>INF767K01SI9</t>
  </si>
  <si>
    <t>INF767K01SH1</t>
  </si>
  <si>
    <t>LIC MF Technology Fund-Regular Plan-IDCW</t>
  </si>
  <si>
    <t>INF174V01BQ4</t>
  </si>
  <si>
    <t>Mahindra Manulife Business Cycle Fund - Direct Plan - Growth</t>
  </si>
  <si>
    <t>INF174V01BR2</t>
  </si>
  <si>
    <t>INF174V01BS0</t>
  </si>
  <si>
    <t>Mahindra Manulife Business Cycle Fund - Direct Plan - IDCW</t>
  </si>
  <si>
    <t>INF174V01BO9</t>
  </si>
  <si>
    <t>INF174V01BP6</t>
  </si>
  <si>
    <t>Mahindra Manulife Business Cycle Fund - Regular Plan - IDCW</t>
  </si>
  <si>
    <t>INF174V01BN1</t>
  </si>
  <si>
    <t>Mahindra Manulife Business Cycle Fund-  Regular Plan - Growth</t>
  </si>
  <si>
    <t>INF174V01689</t>
  </si>
  <si>
    <t>INF174V01671</t>
  </si>
  <si>
    <t>Mahindra Manulife Consumption Fund - Direct Plan - IDCW</t>
  </si>
  <si>
    <t>INF174V01663</t>
  </si>
  <si>
    <t>Mahindra Manulife Consumption Fund - Direct Plan -Growth</t>
  </si>
  <si>
    <t>INF174V01655</t>
  </si>
  <si>
    <t>INF174V01648</t>
  </si>
  <si>
    <t>Mahindra Manulife Consumption Fund - Regular Plan - IDCW</t>
  </si>
  <si>
    <t>INF174V01630</t>
  </si>
  <si>
    <t>Mahindra Manulife Consumption Fund- Regular Plan - Growth</t>
  </si>
  <si>
    <t>INF174V01DA4</t>
  </si>
  <si>
    <t>Mahindra Manulife Innovation Opportunities Fund - Direct - Growth</t>
  </si>
  <si>
    <t>INF174V01DC0</t>
  </si>
  <si>
    <t>INF174V01DB2</t>
  </si>
  <si>
    <t>Mahindra Manulife Innovation Opportunities Fund - Direct - IDCW</t>
  </si>
  <si>
    <t>INF174V01CX8</t>
  </si>
  <si>
    <t>Mahindra Manulife Innovation Opportunities Fund - Regular - Growth</t>
  </si>
  <si>
    <t>INF174V01CZ3</t>
  </si>
  <si>
    <t>INF174V01CY6</t>
  </si>
  <si>
    <t>Mahindra Manulife Innovation Opportunities Fund - Regular - IDCW</t>
  </si>
  <si>
    <t>INF174V01CC2</t>
  </si>
  <si>
    <t>Mahindra Manulife Manufacturing Fund - Direct Plan - Growth</t>
  </si>
  <si>
    <t>INF174V01CD0</t>
  </si>
  <si>
    <t>INF174V01CE8</t>
  </si>
  <si>
    <t>Mahindra Manulife Manufacturing Fund - Direct Plan - IDCW</t>
  </si>
  <si>
    <t>INF174V01BZ5</t>
  </si>
  <si>
    <t>Mahindra Manulife Manufacturing Fund - Regular Plan - Growth</t>
  </si>
  <si>
    <t>INF174V01CA6</t>
  </si>
  <si>
    <t>INF174V01CB4</t>
  </si>
  <si>
    <t>Mahindra Manulife Manufacturing Fund - Regular Plan - IDCW</t>
  </si>
  <si>
    <t>INF174V01CO7</t>
  </si>
  <si>
    <t>Mahindra Manulife Banking &amp; Financial Services Fund - Direct - Growth</t>
  </si>
  <si>
    <t>INF174V01CQ2</t>
  </si>
  <si>
    <t>INF174V01CP4</t>
  </si>
  <si>
    <t>Mahindra Manulife Banking &amp; Financial Services Fund - Direct - IDCW</t>
  </si>
  <si>
    <t>INF174V01CL3</t>
  </si>
  <si>
    <t>Mahindra Manulife Banking &amp; Financial Services Fund - Regular - Growth</t>
  </si>
  <si>
    <t>INF174V01CN9</t>
  </si>
  <si>
    <t>INF174V01CM1</t>
  </si>
  <si>
    <t>Mahindra Manulife Banking &amp; Financial Services Fund - Regular - IDCW</t>
  </si>
  <si>
    <t>INF769K01GW1</t>
  </si>
  <si>
    <t>INF769K01GY7</t>
  </si>
  <si>
    <t>Mirae Asset Banking and Financial Services Fund Direct  IDCW</t>
  </si>
  <si>
    <t>INF769K01GX9</t>
  </si>
  <si>
    <t>Mirae Asset Banking and Financial Services Fund Direct Growth</t>
  </si>
  <si>
    <t>INF769K01GU5</t>
  </si>
  <si>
    <t>Mirae Asset Banking and Financial Services Fund Regular Growth</t>
  </si>
  <si>
    <t>INF769K01GT7</t>
  </si>
  <si>
    <t>INF769K01GV3</t>
  </si>
  <si>
    <t>Mirae Asset Banking and Financial Services Fund Regular IDCW</t>
  </si>
  <si>
    <t>INF769K01BL5</t>
  </si>
  <si>
    <t>Mirae Asset Great Consumer Fund - Direct Plan - Growth</t>
  </si>
  <si>
    <t>INF769K01135</t>
  </si>
  <si>
    <t>Mirae Asset Great Consumer Fund - Regular Plan - Growth option</t>
  </si>
  <si>
    <t>INF769K01BM3</t>
  </si>
  <si>
    <t>INF769K01BN1</t>
  </si>
  <si>
    <t>Mirae Asset Great Consumer Fund Direct IDCW</t>
  </si>
  <si>
    <t>INF769K01150</t>
  </si>
  <si>
    <t>INF769K01143</t>
  </si>
  <si>
    <t>Mirae Asset Great Consumer Fund Regular IDCW</t>
  </si>
  <si>
    <t>INF769K01EA2</t>
  </si>
  <si>
    <t>Mirae Asset Healthcare Fund -Regular Growth</t>
  </si>
  <si>
    <t>INF769K01ED6</t>
  </si>
  <si>
    <t>Mirae Asset Healthcare Fund Direct Growth</t>
  </si>
  <si>
    <t>INF769K01EE4</t>
  </si>
  <si>
    <t>INF769K01EF1</t>
  </si>
  <si>
    <t>Mirae Asset Healthcare Fund Direct IDCW</t>
  </si>
  <si>
    <t>INF769K01EB0</t>
  </si>
  <si>
    <t>INF769K01EC8</t>
  </si>
  <si>
    <t>Mirae Asset Healthcare Fund Regular IDCW</t>
  </si>
  <si>
    <t>INF769K01PV4</t>
  </si>
  <si>
    <t>Mirae Asset Infrastructure Fund - Direct Plan - Growth</t>
  </si>
  <si>
    <t>INF769K01PX0</t>
  </si>
  <si>
    <t>INF769K01PW2</t>
  </si>
  <si>
    <t>Mirae Asset Infrastructure Fund - Direct Plan - IDCW</t>
  </si>
  <si>
    <t>INF769K01PS0</t>
  </si>
  <si>
    <t>Mirae Asset Infrastructure Fund - Regular Plan - Growth</t>
  </si>
  <si>
    <t>INF769K01PU6</t>
  </si>
  <si>
    <t>INF769K01PT8</t>
  </si>
  <si>
    <t>Mirae Asset Infrastructure Fund - Regular Plan - IDCW</t>
  </si>
  <si>
    <t>INF247L01ET7</t>
  </si>
  <si>
    <t>INF247L01EU5</t>
  </si>
  <si>
    <t>Motilal Oswal Active Momentum Fund - Regular- IDCW</t>
  </si>
  <si>
    <t>INF247L01EP5</t>
  </si>
  <si>
    <t>Motilal Oswal Active Momentum Fund- Direct-Growth</t>
  </si>
  <si>
    <t>INF247L01EQ3</t>
  </si>
  <si>
    <t>INF247L01ER1</t>
  </si>
  <si>
    <t>Motilal Oswal Active Momentum Fund- Direct-IDCW</t>
  </si>
  <si>
    <t>INF247L01ES9</t>
  </si>
  <si>
    <t>Motilal Oswal Active Momentum Fund- Regular- Growth</t>
  </si>
  <si>
    <t>INF247L01DG6</t>
  </si>
  <si>
    <t>Motilal Oswal Business Cycle Fund - Direct Plan- Growth</t>
  </si>
  <si>
    <t>INF247L01DH4</t>
  </si>
  <si>
    <t>INF247L01DI2</t>
  </si>
  <si>
    <t>Motilal Oswal Business Cycle Fund - Direct Plan- IDCW</t>
  </si>
  <si>
    <t>INF247L01DD3</t>
  </si>
  <si>
    <t>Motilal Oswal Business Cycle Fund-Regular Plan-Growth</t>
  </si>
  <si>
    <t>INF247L01DE1</t>
  </si>
  <si>
    <t>INF247L01DF8</t>
  </si>
  <si>
    <t>Motilal Oswal Business Cycle Fund-Regular Plan-IDCW</t>
  </si>
  <si>
    <t>INF247L01GA2</t>
  </si>
  <si>
    <t>Motilal Oswal Consumption Fund-Direct-Growth</t>
  </si>
  <si>
    <t>INF247L01GB0</t>
  </si>
  <si>
    <t>INF247L01GC8</t>
  </si>
  <si>
    <t>Motilal Oswal Consumption Fund-Direct-IDCW</t>
  </si>
  <si>
    <t>INF247L01GD6</t>
  </si>
  <si>
    <t>Motilal Oswal Consumption Fund-Regular-Growth</t>
  </si>
  <si>
    <t>INF247L01GE4</t>
  </si>
  <si>
    <t>INF247L01GF1</t>
  </si>
  <si>
    <t>Motilal Oswal Consumption Fund-Regular-IDCW</t>
  </si>
  <si>
    <t>INF247L01DN2</t>
  </si>
  <si>
    <t>Motilal Oswal Digital India Fund - Direct Plan - Growth</t>
  </si>
  <si>
    <t>INF247L01DO0</t>
  </si>
  <si>
    <t>INF247L01DP7</t>
  </si>
  <si>
    <t>Motilal Oswal Digital India Fund - Direct Plan- IDCW</t>
  </si>
  <si>
    <t>INF247L01DR3</t>
  </si>
  <si>
    <t>INF247L01DS1</t>
  </si>
  <si>
    <t>Motilal Oswal Digital India Fund - Regular Plan - IDCW</t>
  </si>
  <si>
    <t>INF247L01DQ5</t>
  </si>
  <si>
    <t>Motilal Oswal Digital India Fund - Regular Plan- Growth</t>
  </si>
  <si>
    <t>INF247L01GN5</t>
  </si>
  <si>
    <t>Motilal Oswal Financial Services Fund- Direct Growth</t>
  </si>
  <si>
    <t>INF247L01GO3</t>
  </si>
  <si>
    <t>INF247L01GP0</t>
  </si>
  <si>
    <t>Motilal Oswal Financial Services Fund- Direct- IDCW</t>
  </si>
  <si>
    <t>INF247L01GQ8</t>
  </si>
  <si>
    <t>Motilal Oswal Financial Services Fund- Regular-Growth</t>
  </si>
  <si>
    <t>INF247L01GR6</t>
  </si>
  <si>
    <t>INF247L01GS4</t>
  </si>
  <si>
    <t>Motilal Oswal Financial Services Fund- Regular-IDCW-</t>
  </si>
  <si>
    <t>INF247L01EW1</t>
  </si>
  <si>
    <t>Motilal Oswal Infrastructure Fund-Direct-Growth</t>
  </si>
  <si>
    <t>INF247L01EX9</t>
  </si>
  <si>
    <t>INF247L01EY7</t>
  </si>
  <si>
    <t>Motilal Oswal Infrastructure Fund-Direct-IDCW</t>
  </si>
  <si>
    <t>INF247L01EZ4</t>
  </si>
  <si>
    <t>Motilal Oswal Infrastructure Fund-Regular-Growth</t>
  </si>
  <si>
    <t>INF247L01FA4</t>
  </si>
  <si>
    <t>INF247L01FB2</t>
  </si>
  <si>
    <t>Motilal Oswal Infrastructure Fund-Regular-IDCW</t>
  </si>
  <si>
    <t>INF247L01EJ8</t>
  </si>
  <si>
    <t>Motilal Oswal Innovation Opportunities Fund - Direct Plan- Growth</t>
  </si>
  <si>
    <t>INF247L01EK6</t>
  </si>
  <si>
    <t>INF247L01EL4</t>
  </si>
  <si>
    <t>Motilal Oswal Innovation Opportunities Fund - Direct Plan- IDCW</t>
  </si>
  <si>
    <t>INF247L01EM2</t>
  </si>
  <si>
    <t>Motilal Oswal Innovation Opportunities Fund- Regular Plan- Growth</t>
  </si>
  <si>
    <t>INF247L01EN0</t>
  </si>
  <si>
    <t>INF247L01EO8</t>
  </si>
  <si>
    <t>Motilal Oswal Innovation Opportunities Fund- Regular Plan- IDCW</t>
  </si>
  <si>
    <t>INF247L01DB7</t>
  </si>
  <si>
    <t>INF247L01DC5</t>
  </si>
  <si>
    <t>Motilal Oswal Manufacturing Fund - Direct Plan - IDCW</t>
  </si>
  <si>
    <t>INF247L01DA9</t>
  </si>
  <si>
    <t>Motilal Oswal Manufacturing Fund - Direct Plan- Growth</t>
  </si>
  <si>
    <t>INF247L01CY1</t>
  </si>
  <si>
    <t>INF247L01CZ8</t>
  </si>
  <si>
    <t>Motilal Oswal Manufacturing Fund - Regular Plan - IDCW</t>
  </si>
  <si>
    <t>INF247L01CX3</t>
  </si>
  <si>
    <t>Motilal Owsal Manufacturing Fund - Regular Plan - Growth</t>
  </si>
  <si>
    <t>INF247L01CS3</t>
  </si>
  <si>
    <t>Motilal Oswal Quant Fund - Direct - Growth</t>
  </si>
  <si>
    <t>INF247L01CT1</t>
  </si>
  <si>
    <t>INF247L01CU9</t>
  </si>
  <si>
    <t>Motilal Oswal Quant Fund - Direct - IDCW</t>
  </si>
  <si>
    <t>INF247L01CP9</t>
  </si>
  <si>
    <t>Motilal Oswal Quant Fund - Regular - Growth</t>
  </si>
  <si>
    <t>INF247L01CQ7</t>
  </si>
  <si>
    <t>INF247L01CR5</t>
  </si>
  <si>
    <t>Motilal Oswal Quant Fund - Regular - IDCW</t>
  </si>
  <si>
    <t>INF247L01FE6</t>
  </si>
  <si>
    <t>Motilal Oswal Services Fund - Direct Plan - Growth</t>
  </si>
  <si>
    <t>INF247L01FI7</t>
  </si>
  <si>
    <t>INF247L01FF3</t>
  </si>
  <si>
    <t>Motilal Oswal Services Fund - Direct Plan - IDCW</t>
  </si>
  <si>
    <t>INF247L01FG1</t>
  </si>
  <si>
    <t>Motilal Oswal Services Fund - Regular Plan - Growth</t>
  </si>
  <si>
    <t>INF247L01FJ5</t>
  </si>
  <si>
    <t>INF247L01FH9</t>
  </si>
  <si>
    <t>Motilal Oswal Services Fund - Regular Plan - IDCW</t>
  </si>
  <si>
    <t>INF247L01FS6</t>
  </si>
  <si>
    <t>Motilal Oswal Special Opportunities Fund - Direct - Growth</t>
  </si>
  <si>
    <t>INF247L01FT4</t>
  </si>
  <si>
    <t>INF247L01FU2</t>
  </si>
  <si>
    <t>Motilal Oswal Special Opportunities Fund - Direct- IDCW</t>
  </si>
  <si>
    <t>INF247L01FW8</t>
  </si>
  <si>
    <t>INF247L01FX6</t>
  </si>
  <si>
    <t>Motilal Oswal Special Opportunities Fund-Regular Plan- IDCW</t>
  </si>
  <si>
    <t>INF247L01FV0</t>
  </si>
  <si>
    <t>Motilal Oswal Special Opportunities Fund-Regular Plan-Growth</t>
  </si>
  <si>
    <t>INF204KC1EH1</t>
  </si>
  <si>
    <t>Nippon India Active Momentum Fund - Regular Plan- Growth Option</t>
  </si>
  <si>
    <t>INF204KC1EL3</t>
  </si>
  <si>
    <t>INF204KC1EM1</t>
  </si>
  <si>
    <t>Nippon India Active Momentum Fund- Direct Plan IDCW Option</t>
  </si>
  <si>
    <t>INF204KC1EI9</t>
  </si>
  <si>
    <t>INF204KC1EJ7</t>
  </si>
  <si>
    <t>Nippon India Active Momentum Fund- Regular Plan- IDCW Option</t>
  </si>
  <si>
    <t>INF204KC1EK5</t>
  </si>
  <si>
    <t>Nippon India Active Momentum Fund-Direct Plan - Growth Option</t>
  </si>
  <si>
    <t>INF204K01D22</t>
  </si>
  <si>
    <t>Nippon India Banking &amp; Financial Services Fund - Direct Plan Growth Plan - Bonus Option</t>
  </si>
  <si>
    <t>INF204K01XO1</t>
  </si>
  <si>
    <t>Nippon India Banking &amp; Financial Services Fund - Direct Plan Growth Plan - Growth Option</t>
  </si>
  <si>
    <t>INF204K01893</t>
  </si>
  <si>
    <t>INF204K01901</t>
  </si>
  <si>
    <t>Nippon India Banking &amp; Financial Services Fund - IDCW Option</t>
  </si>
  <si>
    <t>INF204K01XM5</t>
  </si>
  <si>
    <t>INF204K01XN3</t>
  </si>
  <si>
    <t>Nippon India Banking &amp; Financial Services Fund- DIRECT Plan - IDCW Option</t>
  </si>
  <si>
    <t>INF204K01919</t>
  </si>
  <si>
    <t>Nippon India Banking &amp; Financial Services Fund-Growth Plan-Bonus Option</t>
  </si>
  <si>
    <t>INF204K01927</t>
  </si>
  <si>
    <t>Nippon India Banking &amp; Financial Services Fund-Growth Plan-Growth Option</t>
  </si>
  <si>
    <t>INF204K01G37</t>
  </si>
  <si>
    <t>INF204K01G45</t>
  </si>
  <si>
    <t>NIPPON INDIA CONSUMPTION FUND - DIRECT Plan - IDCW Option</t>
  </si>
  <si>
    <t>INF204K01G29</t>
  </si>
  <si>
    <t>Nippon India Consumption Fund - Direct Plan Growth Plan - Bonus</t>
  </si>
  <si>
    <t>INF204K01G52</t>
  </si>
  <si>
    <t>Nippon India Consumption Fund - Direct Plan Growth Plan - Growth Option</t>
  </si>
  <si>
    <t>INF204K01AN1</t>
  </si>
  <si>
    <t>INF204K01AO9</t>
  </si>
  <si>
    <t>NIPPON INDIA CONSUMPTION FUND - IDCW Option</t>
  </si>
  <si>
    <t>INF204K01AP6</t>
  </si>
  <si>
    <t>Nippon India Consumption Fund-Growth Plan-Bonus Option</t>
  </si>
  <si>
    <t>INF204K01AQ4</t>
  </si>
  <si>
    <t>Nippon India Consumption Fund-Growth Plan-Growth Option</t>
  </si>
  <si>
    <t>INF204KC1BO3</t>
  </si>
  <si>
    <t>Nippon India Innovation Fund-Direct Plan-Growth Option</t>
  </si>
  <si>
    <t>INF204KC1BP0</t>
  </si>
  <si>
    <t>INF204KC1BQ8</t>
  </si>
  <si>
    <t>Nippon India Innovation Fund-Direct Plan-IDCW Option</t>
  </si>
  <si>
    <t>INF204KC1BL9</t>
  </si>
  <si>
    <t>Nippon India Innovation Fund-Regular Plan-Growth Option</t>
  </si>
  <si>
    <t>INF204KC1BM7</t>
  </si>
  <si>
    <t>INF204KC1BN5</t>
  </si>
  <si>
    <t>Nippon India Innovation Fund-Regular Plan-IDCW Option</t>
  </si>
  <si>
    <t>INF204KA1SM3</t>
  </si>
  <si>
    <t>NIPPON INDIA - JAPAN EQUITY FUND - DIRECT Plan - IDCW Option</t>
  </si>
  <si>
    <t>INF204KA1SL5</t>
  </si>
  <si>
    <t>NIPPON INDIA - JAPAN EQUITY FUND - IDCW Option</t>
  </si>
  <si>
    <t>INF204KA1SK7</t>
  </si>
  <si>
    <t>Nippon India Japan Equity Fund- Direct Plan- Growth Plan- Bonus Option</t>
  </si>
  <si>
    <t>INF204KA1SI1</t>
  </si>
  <si>
    <t>Nippon India Japan Equity Fund- Direct Plan- Growth Plan- Growth Option</t>
  </si>
  <si>
    <t>INF204KA1SJ9</t>
  </si>
  <si>
    <t>Nippon India Japan Equity Fund- Growth Plan- Bonus Option</t>
  </si>
  <si>
    <t>INF204KA1SH3</t>
  </si>
  <si>
    <t>Nippon India Japan Equity Fund- Growth Plan- Growth Option</t>
  </si>
  <si>
    <t>INF204KC1FR7</t>
  </si>
  <si>
    <t>Nippon India MNC Fund- Direct Plan- Growth Option</t>
  </si>
  <si>
    <t>INF204KC1FS5</t>
  </si>
  <si>
    <t>INF204KC1FT3</t>
  </si>
  <si>
    <t>Nippon India MNC Fund- Direct Plan-IDCW Payout</t>
  </si>
  <si>
    <t>INF204KC1FP1</t>
  </si>
  <si>
    <t>INF204KC1FQ9</t>
  </si>
  <si>
    <t>Nippon India MNC Fund- Regular Plan- IDCW Payout</t>
  </si>
  <si>
    <t>INF204KC1FO4</t>
  </si>
  <si>
    <t>Nippon India MNC Fund- Regular Plan-Growth Option</t>
  </si>
  <si>
    <t>INF204K01I35</t>
  </si>
  <si>
    <t>INF204K01I43</t>
  </si>
  <si>
    <t>NIPPON INDIA PHARMA FUND - DIRECT Plan - IDCW Option</t>
  </si>
  <si>
    <t>INF204K01I27</t>
  </si>
  <si>
    <t>Nippon India Pharma Fund - Direct Plan Growth Plan - Bonus Option</t>
  </si>
  <si>
    <t>INF204K01I50</t>
  </si>
  <si>
    <t>Nippon India Pharma Fund - Direct Plan Growth Plan - Growth Option</t>
  </si>
  <si>
    <t>INF204K01935</t>
  </si>
  <si>
    <t>INF204K01943</t>
  </si>
  <si>
    <t>NIPPON INDIA PHARMA FUND - IDCW Option</t>
  </si>
  <si>
    <t>INF204K01950</t>
  </si>
  <si>
    <t>Nippon India Pharma Fund-Growth Plan-Bonus Option</t>
  </si>
  <si>
    <t>INF204K01968</t>
  </si>
  <si>
    <t>Nippon India Pharma Fund-Growth Plan-Growth Option</t>
  </si>
  <si>
    <t>INF204K01I76</t>
  </si>
  <si>
    <t>INF204K01I84</t>
  </si>
  <si>
    <t>NIPPON INDIA POWER &amp; INFRA FUND - DIRECT Plan - IDCW Option</t>
  </si>
  <si>
    <t>INF204K01I68</t>
  </si>
  <si>
    <t>Nippon India Power &amp; Infra Fund - Direct Plan Growth Plan - Bonus Option</t>
  </si>
  <si>
    <t>INF204K01I92</t>
  </si>
  <si>
    <t>Nippon India Power &amp; Infra Fund - Direct Plan Growth Plan - Growth Option</t>
  </si>
  <si>
    <t>INF204K01AB6</t>
  </si>
  <si>
    <t>INF204K01AC4</t>
  </si>
  <si>
    <t>NIPPON INDIA POWER &amp; INFRA FUND - IDCW Option</t>
  </si>
  <si>
    <t>INF204K01AE0</t>
  </si>
  <si>
    <t>Nippon India Power &amp; Infra Fund-Growth Plan -Growth Option</t>
  </si>
  <si>
    <t>INF204K01AD2</t>
  </si>
  <si>
    <t>Nippon India Power &amp; Infra Fund-Growth Plan-Bonus Option</t>
  </si>
  <si>
    <t>INF204K01J18</t>
  </si>
  <si>
    <t>INF204K01J26</t>
  </si>
  <si>
    <t>NIPPON INDIA QUANT FUND - DIRECT Plan - IDCW Option</t>
  </si>
  <si>
    <t>INF204K01J00</t>
  </si>
  <si>
    <t>Nippon India Quant Fund - Direct Plan Growth Plan - Bonus Option</t>
  </si>
  <si>
    <t>INF204K01J34</t>
  </si>
  <si>
    <t>Nippon India Quant Fund - Direct Plan Growth Plan - Growth Option</t>
  </si>
  <si>
    <t>INF204K01745</t>
  </si>
  <si>
    <t>INF204K01752</t>
  </si>
  <si>
    <t>NIPPON INDIA QUANT FUND - IDCW Option</t>
  </si>
  <si>
    <t>INF204K01760</t>
  </si>
  <si>
    <t>Nippon India Quant Fund -Growth Plan - Growth Option</t>
  </si>
  <si>
    <t>INF204K01737</t>
  </si>
  <si>
    <t>Nippon India Quant Fund -Growth Plan -Bonus Option</t>
  </si>
  <si>
    <t>INF204KC1303</t>
  </si>
  <si>
    <t>Nippon India Taiwan Equity Fund- Direct Plan- Growth Option</t>
  </si>
  <si>
    <t>INF204KC1311</t>
  </si>
  <si>
    <t>INF204KC1329</t>
  </si>
  <si>
    <t>Nippon India Taiwan Equity Fund- Direct Plan- IDCW option</t>
  </si>
  <si>
    <t>INF204KC1279</t>
  </si>
  <si>
    <t>Nippon India Taiwan Equity fund- Regular Plan- Growth Option</t>
  </si>
  <si>
    <t>INF204KC1287</t>
  </si>
  <si>
    <t>INF204KC1295</t>
  </si>
  <si>
    <t>Nippon India Taiwan Equity Fund- Regular Plan- IDCW option</t>
  </si>
  <si>
    <t>INF204KA16G3</t>
  </si>
  <si>
    <t>INF204KA17G1</t>
  </si>
  <si>
    <t>NIPPON INDIA - US EQUITY OPPORTUNITIES FUND - Direct Plan - IDCW Option</t>
  </si>
  <si>
    <t>INF204KA13G0</t>
  </si>
  <si>
    <t>INF204KA14G8</t>
  </si>
  <si>
    <t>NIPPON INDIA - US EQUITY OPPORTUNITIES FUND - IDCW Option</t>
  </si>
  <si>
    <t>INF204KA15G5</t>
  </si>
  <si>
    <t>Nippon India US Equity Opportunities Fund- Direct Plan- Growth Plan- Growth Option</t>
  </si>
  <si>
    <t>INF204KA12G2</t>
  </si>
  <si>
    <t>Nippon India US Equity Opportunities Fund- Growth Plan- Growth Option</t>
  </si>
  <si>
    <t>INF663L01Z45</t>
  </si>
  <si>
    <t>PGIM India Healthcare Fund - Direct Plan - Growth Option</t>
  </si>
  <si>
    <t>INF663L01Z60</t>
  </si>
  <si>
    <t>INF663L01Z78</t>
  </si>
  <si>
    <t>PGIM India Healthcare Fund - Direct Plan - IDCW Option</t>
  </si>
  <si>
    <t>INF663L01Z52</t>
  </si>
  <si>
    <t>PGIM India Healthcare Fund - Regular Plan - Growth Option</t>
  </si>
  <si>
    <t>INF663L01Z86</t>
  </si>
  <si>
    <t>INF663L01Z94</t>
  </si>
  <si>
    <t>PGIM India Healthcare Fund - Regular Plan - IDCW Option</t>
  </si>
  <si>
    <t>INF966L01BX0</t>
  </si>
  <si>
    <t>quant BFSI Fund - Growth Option - Direct Plan</t>
  </si>
  <si>
    <t>INF966L01CA6</t>
  </si>
  <si>
    <t>quant BFSI Fund - Growth Option - Regular Plan</t>
  </si>
  <si>
    <t>INF966L01BY8</t>
  </si>
  <si>
    <t>INF966L01BZ5</t>
  </si>
  <si>
    <t>quant BFSI Fund - IDCW Option - Direct Plan</t>
  </si>
  <si>
    <t>INF966L01CB4</t>
  </si>
  <si>
    <t>INF966L01CC2</t>
  </si>
  <si>
    <t>quant BFSI Fund - IDCW Option - Regular Plan</t>
  </si>
  <si>
    <t>INF966L01BR2</t>
  </si>
  <si>
    <t>quant Business Cycle Fund - Growth Option - Direct Plan</t>
  </si>
  <si>
    <t>INF966L01BU6</t>
  </si>
  <si>
    <t>quant Business Cycle Fund - Growth Option - Regular Plan</t>
  </si>
  <si>
    <t>INF966L01BS0</t>
  </si>
  <si>
    <t>INF966L01BT8</t>
  </si>
  <si>
    <t>quant Business Cycle Fund - IDCW Option - Direct Plan</t>
  </si>
  <si>
    <t>INF966L01BV4</t>
  </si>
  <si>
    <t>INF966L01BW2</t>
  </si>
  <si>
    <t>quant Business Cycle Fund - IDCW Option - Regular Plan</t>
  </si>
  <si>
    <t>INF966L01DF3</t>
  </si>
  <si>
    <t>quant Commodities Fund - Growth Option - Direct Plan</t>
  </si>
  <si>
    <t>INF966L01DC0</t>
  </si>
  <si>
    <t>quant Commodities Fund - Growth Option - Regular Plan</t>
  </si>
  <si>
    <t>INF966L01DG1</t>
  </si>
  <si>
    <t>INF966L01DH9</t>
  </si>
  <si>
    <t>quant Commodities Fund - IDCW Option - Direct Plan</t>
  </si>
  <si>
    <t>INF966L01DD8</t>
  </si>
  <si>
    <t>INF966L01DE6</t>
  </si>
  <si>
    <t>quant Commodities Fund - IDCW Option - Regular Plan</t>
  </si>
  <si>
    <t>INF966L01DN7</t>
  </si>
  <si>
    <t>quant Consumption Fund - Growth Option - Direct Plan</t>
  </si>
  <si>
    <t>INF966L01DI7</t>
  </si>
  <si>
    <t>quant Consumption Fund - Growth Option - Regular Plan</t>
  </si>
  <si>
    <t>INF966L01DO5</t>
  </si>
  <si>
    <t>INF966L01DP2</t>
  </si>
  <si>
    <t>quant Consumption Fund - IDCW Option - Direct Plan</t>
  </si>
  <si>
    <t>INF966L01DL1</t>
  </si>
  <si>
    <t>INF966L01DM9</t>
  </si>
  <si>
    <t>quant Consumption Fund - IDCW Option - Regular Plan</t>
  </si>
  <si>
    <t>INF966L01AD4</t>
  </si>
  <si>
    <t>quant ESG Integration Strategy Fund - Growth Option - Direct Plan</t>
  </si>
  <si>
    <t>INF966L01AB8</t>
  </si>
  <si>
    <t>quant ESG Integration Strategy Fund - Growth Option - Regular Plan</t>
  </si>
  <si>
    <t>INF966L01AE2</t>
  </si>
  <si>
    <t>INF966L01AG7</t>
  </si>
  <si>
    <t>quant ESG Integration Strategy Fund - IDCW Option - Direct Plan</t>
  </si>
  <si>
    <t>INF966L01AC6</t>
  </si>
  <si>
    <t>INF966L01AF9</t>
  </si>
  <si>
    <t>quant ESG Integration Strategy Fund - IDCW Option - Regular Plan</t>
  </si>
  <si>
    <t>INF966L01CD0</t>
  </si>
  <si>
    <t>quant Healthcare Fund - Growth Option - Direct Plan</t>
  </si>
  <si>
    <t>INF966L01CG3</t>
  </si>
  <si>
    <t>quant Healthcare Fund - Growth Option - Regular Plan</t>
  </si>
  <si>
    <t>INF966L01CE8</t>
  </si>
  <si>
    <t>INF966L01CF5</t>
  </si>
  <si>
    <t>quant Healthcare Fund - IDCW Option - Direct Plan</t>
  </si>
  <si>
    <t>INF966L01CH1</t>
  </si>
  <si>
    <t>INF966L01CI9</t>
  </si>
  <si>
    <t>quant Healthcare Fund - IDCW Option - Regular Plan</t>
  </si>
  <si>
    <t>INF966L01523</t>
  </si>
  <si>
    <t>quant Infrastructure Fund - Growth Option</t>
  </si>
  <si>
    <t>INF966L01721</t>
  </si>
  <si>
    <t>quant Infrastructure Fund - Growth Option-Direct Plan</t>
  </si>
  <si>
    <t>INF966L01705</t>
  </si>
  <si>
    <t>INF966L01713</t>
  </si>
  <si>
    <t>quant Infrastructure Fund - IDCW Option - Direct Plan</t>
  </si>
  <si>
    <t>INF966L01507</t>
  </si>
  <si>
    <t>INF966L01515</t>
  </si>
  <si>
    <t>quant Infrastructure Fund - IDCW Option - Regular Plan</t>
  </si>
  <si>
    <t>INF966L01CJ7</t>
  </si>
  <si>
    <t>quant Manufacturing Fund - Growth Option - Direct Plan</t>
  </si>
  <si>
    <t>INF966L01CN9</t>
  </si>
  <si>
    <t>quant Manufacturing Fund - Growth Option - Regular Plan</t>
  </si>
  <si>
    <t>INF966L01CK5</t>
  </si>
  <si>
    <t>INF966L01CL3</t>
  </si>
  <si>
    <t>quant Manufacturing Fund - IDCW Option - Direct Plan</t>
  </si>
  <si>
    <t>INF966L01CO7</t>
  </si>
  <si>
    <t>INF966L01CP4</t>
  </si>
  <si>
    <t>quant Manufacturing Fund - IDCW Option - Regular Plan</t>
  </si>
  <si>
    <t>INF966L01CZ3</t>
  </si>
  <si>
    <t>quant Momentum Fund - Growth Option - Direct Plan</t>
  </si>
  <si>
    <t>INF966L01CW0</t>
  </si>
  <si>
    <t>quant Momentum Fund - Growth Option - Regular Plan</t>
  </si>
  <si>
    <t>INF966L01DA4</t>
  </si>
  <si>
    <t>INF966L01DB2</t>
  </si>
  <si>
    <t>quant Momentum Fund - IDCW Option - Direct Plan</t>
  </si>
  <si>
    <t>INF966L01CX8</t>
  </si>
  <si>
    <t>INF966L01CY6</t>
  </si>
  <si>
    <t>quant Momentum Fund - IDCW Option - Regular Plan</t>
  </si>
  <si>
    <t>INF966L01DT4</t>
  </si>
  <si>
    <t>quant PSU Fund - Growth Option - Direct Plan</t>
  </si>
  <si>
    <t>INF966L01DQ0</t>
  </si>
  <si>
    <t>quant PSU Fund - Growth Option - Regular Plan</t>
  </si>
  <si>
    <t>INF966L01DU2</t>
  </si>
  <si>
    <t>INF966L01DV0</t>
  </si>
  <si>
    <t>quant PSU Fund - IDCW Option - Direct Plan</t>
  </si>
  <si>
    <t>INF966L01DR8</t>
  </si>
  <si>
    <t>INF966L01DS6</t>
  </si>
  <si>
    <t>quant PSU Fund - IDCW Option - Regular Plan</t>
  </si>
  <si>
    <t>INF966L01AK9</t>
  </si>
  <si>
    <t>quant Quantamental Fund - Growth Option - Direct Plan</t>
  </si>
  <si>
    <t>INF966L01AH5</t>
  </si>
  <si>
    <t>quant Quantamental Fund - Growth Option - Regular Plan</t>
  </si>
  <si>
    <t>INF966L01AL7</t>
  </si>
  <si>
    <t>INF966L01AM5</t>
  </si>
  <si>
    <t>quant Quantamental Fund - IDCW Option - Direct Plan</t>
  </si>
  <si>
    <t>INF966L01AI3</t>
  </si>
  <si>
    <t>INF966L01AJ1</t>
  </si>
  <si>
    <t>quant Quantamental Fund - IDCW Option - Regular Plan</t>
  </si>
  <si>
    <t>INF966L01CT6</t>
  </si>
  <si>
    <t>quant Teck Fund - Growth Option - Direct Plan</t>
  </si>
  <si>
    <t>INF966L01CQ2</t>
  </si>
  <si>
    <t>quant Teck Fund - Growth Option - Regular Plan</t>
  </si>
  <si>
    <t>INF966L01CU4</t>
  </si>
  <si>
    <t>INF966L01CV2</t>
  </si>
  <si>
    <t>quant Teck Fund - IDCW Option - Direct Plan</t>
  </si>
  <si>
    <t>INF966L01CR0</t>
  </si>
  <si>
    <t>INF966L01CS8</t>
  </si>
  <si>
    <t>quant Teck Fund - IDCW Option - Regular Plan</t>
  </si>
  <si>
    <t>INF082J01382</t>
  </si>
  <si>
    <t>QUANTUM ESG BEST IN CLASS STRATEGY FUND - DIRECT PLAN - GROWTH OPTION</t>
  </si>
  <si>
    <t>INF082J01390</t>
  </si>
  <si>
    <t>QUANTUM ESG BEST IN CLASS STRATEGY FUND - REGULAR PLAN - GROWTH OPTION</t>
  </si>
  <si>
    <t>INF082J01473</t>
  </si>
  <si>
    <t>Quantum Ethical Fund - Direct Plan Growth Option</t>
  </si>
  <si>
    <t>INF082J01481</t>
  </si>
  <si>
    <t>Quantum Ethical Fund - Regular Plan Growth Option</t>
  </si>
  <si>
    <t>INF0K1H01081</t>
  </si>
  <si>
    <t>Samco Active Momentum Fund - Direct Plan - Growth Option</t>
  </si>
  <si>
    <t>INF0K1H01073</t>
  </si>
  <si>
    <t>Samco Active Momentum Fund - Regular Plan - Growth Option</t>
  </si>
  <si>
    <t>INF0K1H01180</t>
  </si>
  <si>
    <t>Samco Special Opportunities Fund - Direct Plan - Growth</t>
  </si>
  <si>
    <t>INF0K1H01172</t>
  </si>
  <si>
    <t>Samco Special Opportunities Fund - Regular Plan - Growth</t>
  </si>
  <si>
    <t>INF200KB1183</t>
  </si>
  <si>
    <t>SBI Automotive Opportunities Fund - Direct Plan - Growth</t>
  </si>
  <si>
    <t>INF200KB1191</t>
  </si>
  <si>
    <t>INF200KB1209</t>
  </si>
  <si>
    <t>SBI Automotive Opportunities Fund - Direct Plan - Income Distribution Cum Capital Withdrawal Option</t>
  </si>
  <si>
    <t>INF200KB1159</t>
  </si>
  <si>
    <t>SBI Automotive Opportunities Fund - Regular Plan - Growth</t>
  </si>
  <si>
    <t>INF200KB1167</t>
  </si>
  <si>
    <t>INF200KB1175</t>
  </si>
  <si>
    <t>SBI Automotive Opportunities Fund - Regular Plan - Income Distribution Cum Capital Withdrawal Option</t>
  </si>
  <si>
    <t>INF200KA1507</t>
  </si>
  <si>
    <t>SBI BANKING &amp; FINANCIAL SERVICES FUND - DIRECT PLAN - GROWTH</t>
  </si>
  <si>
    <t>INF200KA1515</t>
  </si>
  <si>
    <t>INF200KA1523</t>
  </si>
  <si>
    <t>SBI Banking &amp; Financial Services Fund - Direct Plan - Income Distribution cum Capital Withdrawal Option (IDCW)</t>
  </si>
  <si>
    <t>INF200KA1473</t>
  </si>
  <si>
    <t>SBI BANKING &amp; FINANCIAL SERVICES FUND - REGULAR PLAN - GROWTH</t>
  </si>
  <si>
    <t>INF200KA1481</t>
  </si>
  <si>
    <t>INF200KA1499</t>
  </si>
  <si>
    <t>SBI Banking &amp; Financial Services Fund - Regular Plan - Income Distribution cum Capital Withdrawal Option (IDCW)</t>
  </si>
  <si>
    <t>INF200K01SB6</t>
  </si>
  <si>
    <t>SBI COMMA Fund - DIRECT PLAN - Growth</t>
  </si>
  <si>
    <t>INF200K01RZ7</t>
  </si>
  <si>
    <t>INF200K01SA8</t>
  </si>
  <si>
    <t>SBI Comma Fund - Direct Plan - Income Distribution cum Capital Withdrawal Option (IDCW)</t>
  </si>
  <si>
    <t>INF200K01339</t>
  </si>
  <si>
    <t>SBI COMMA Fund - REGULAR PLAN - Growth</t>
  </si>
  <si>
    <t>INF200K01313</t>
  </si>
  <si>
    <t>INF200K01321</t>
  </si>
  <si>
    <t>SBI Comma Fund - Regular Plan - Income Distribution cum Capital Withdrawal Option (IDCW)</t>
  </si>
  <si>
    <t>INF200K01RM5</t>
  </si>
  <si>
    <t>SBI CONSUMPTION OPPORTUNITIES FUND - DIRECT PLAN - GROWTH</t>
  </si>
  <si>
    <t>INF200K01RK9</t>
  </si>
  <si>
    <t>INF200K01RL7</t>
  </si>
  <si>
    <t>SBI Consumption Opportunities Fund - Direct Plan - Income Distribution cum Capital Withdrawal Option (IDCW)</t>
  </si>
  <si>
    <t>INF200K01VR6</t>
  </si>
  <si>
    <t>SBI CONSUMPTION OPPORTUNITIES FUND - REGULAR - GROWTH</t>
  </si>
  <si>
    <t>INF200K01404</t>
  </si>
  <si>
    <t>INF200K01412</t>
  </si>
  <si>
    <t>SBI Consumption Opportunities Fund - Regular Plan - Income Distribution cum Capital Withdrawal Option (IDCW)</t>
  </si>
  <si>
    <t>INF200KB1126</t>
  </si>
  <si>
    <t>SBI Energy Opportunities Fund - Direct Plan - Growth</t>
  </si>
  <si>
    <t>INF200KB1134</t>
  </si>
  <si>
    <t>INF200KB1142</t>
  </si>
  <si>
    <t>SBI Energy Opportunities Fund - Direct Plan - Income Distribution Cum Capital Withdrawal Option</t>
  </si>
  <si>
    <t>INF200KB1092</t>
  </si>
  <si>
    <t>SBI Energy Opportunities Fund - Regular Plan - Growth</t>
  </si>
  <si>
    <t>INF200KB1100</t>
  </si>
  <si>
    <t>INF200KB1118</t>
  </si>
  <si>
    <t>SBI Energy Opportunities Fund - Regular Plan - Income Distribution Cum Capital Withdrawal Option</t>
  </si>
  <si>
    <t>INF200KA1A71</t>
  </si>
  <si>
    <t>SBI Equity Minimum Variance Fund - Direct Plan - Growth</t>
  </si>
  <si>
    <t>INF200KA1A89</t>
  </si>
  <si>
    <t>INF200KA1A97</t>
  </si>
  <si>
    <t>SBI Equity Minimum Variance Fund - Direct Plan - Income Distribution cum Capital Withdrawal Option (IDCW)</t>
  </si>
  <si>
    <t>INF200KA1A48</t>
  </si>
  <si>
    <t>SBI Equity Minimum Variance Fund - Regular Plan - Growth</t>
  </si>
  <si>
    <t>INF200KA1A55</t>
  </si>
  <si>
    <t>INF200KA1A63</t>
  </si>
  <si>
    <t>SBI Equity Minimum Variance Fund - Regular Plan - Income Distribution cum Capital Withdrawal Option (IDCW)</t>
  </si>
  <si>
    <t>INF200K01SC4</t>
  </si>
  <si>
    <t>INF200K01SD2</t>
  </si>
  <si>
    <t>SBI ESG Exclusionary Strategy Fund - Direct Plan - Income Distribution cum Capital Withdrawal Option (IDCW)</t>
  </si>
  <si>
    <t>INF200K01SE0</t>
  </si>
  <si>
    <t>SBI ESG Exclusionary Strategy Fund - Direct Plan -Growth</t>
  </si>
  <si>
    <t>INF200K01214</t>
  </si>
  <si>
    <t>SBI ESG Exclusionary Strategy Fund - Regular Plan - Growth</t>
  </si>
  <si>
    <t>INF200K01198</t>
  </si>
  <si>
    <t>INF200K01206</t>
  </si>
  <si>
    <t>SBI ESG Exclusionary Strategy Fund - Regular Plan - Income Distribution cum Capital Withdrawal Option (IDCW)</t>
  </si>
  <si>
    <t>INF200K01UN7</t>
  </si>
  <si>
    <t>INF200K01UO5</t>
  </si>
  <si>
    <t>SBI Healthcare Opportunities Fund - Direct Plan - Income Distribution cum Capital Withdrawal Option (IDCW)</t>
  </si>
  <si>
    <t>INF200K01UP2</t>
  </si>
  <si>
    <t>SBI HEALTHCARE OPPORTUNITIES FUND - DIRECT PLAN -GROWTH</t>
  </si>
  <si>
    <t>INF200K01453</t>
  </si>
  <si>
    <t>INF200K01461</t>
  </si>
  <si>
    <t>SBI Healthcare Opportunities Fund - Regular Plan - Income Distribution cum Capital Withdrawal Option (IDCW)</t>
  </si>
  <si>
    <t>INF200K01446</t>
  </si>
  <si>
    <t>SBI HEALTHCARE OPPORTUNITIES FUND - REGULAR PLAN -GROWTH</t>
  </si>
  <si>
    <t>INF200K01RS2</t>
  </si>
  <si>
    <t>SBI INFRASTRUCTURE FUND -  DIRECT PLAN - GROWTH</t>
  </si>
  <si>
    <t>INF200K01CT2</t>
  </si>
  <si>
    <t>SBI INFRASTRUCTURE FUND -  REGULAR PLAN - GROWTH</t>
  </si>
  <si>
    <t>INF200K01RQ6</t>
  </si>
  <si>
    <t>INF200K01RR4</t>
  </si>
  <si>
    <t>SBI Infrastructure Fund - Direct Plan - Income Distribution cum Capital Withdrawal Option (IDCW)</t>
  </si>
  <si>
    <t>INF200K01CU0</t>
  </si>
  <si>
    <t>INF200K01CV8</t>
  </si>
  <si>
    <t>SBI Infrastructure Fund - Regular Plan - Income Distribution cum Capital Withdrawal Option (IDCW)</t>
  </si>
  <si>
    <t>INF200KB1324</t>
  </si>
  <si>
    <t>SBI Innovative Opportunities Fund - Direct Plan - Growth</t>
  </si>
  <si>
    <t>INF200KB1332</t>
  </si>
  <si>
    <t>INF200KB1340</t>
  </si>
  <si>
    <t>SBI Innovative Opportunities Fund - Direct Plan - Income Distribution Cum Capital Withdrawal Option</t>
  </si>
  <si>
    <t>INF200KB1290</t>
  </si>
  <si>
    <t>SBI Innovative Opportunities Fund - Regular Plan - Growth</t>
  </si>
  <si>
    <t>INF200KB1308</t>
  </si>
  <si>
    <t>INF200KB1316</t>
  </si>
  <si>
    <t>SBI Innovative Opportunities Fund - Regular Plan - Income Distribution Cum Capital Withdrawal Option</t>
  </si>
  <si>
    <t>INF200K01SL5</t>
  </si>
  <si>
    <t>INF200K01SM3</t>
  </si>
  <si>
    <t>SBI MNC Fund - Direct Plan - Income Distribution cum Capital Withdrawal Option (IDCW)</t>
  </si>
  <si>
    <t>INF200K01SN1</t>
  </si>
  <si>
    <t>SBI MNC FUND - DIRECT PLAN -GROWTH</t>
  </si>
  <si>
    <t>INF200K01255</t>
  </si>
  <si>
    <t>INF200K01263</t>
  </si>
  <si>
    <t>SBI MNC Fund - Regular Plan - Income Distribution cum Capital Withdrawal Option (IDCW)</t>
  </si>
  <si>
    <t>INF200K01271</t>
  </si>
  <si>
    <t>SBI MNC FUND - REGULAR PLAN -GROWTH</t>
  </si>
  <si>
    <t>INF200K01UY4</t>
  </si>
  <si>
    <t>SBI PSU Fund - DIRECT PLAN - GROWTH</t>
  </si>
  <si>
    <t>INF200K01UW8</t>
  </si>
  <si>
    <t>INF200K01UX6</t>
  </si>
  <si>
    <t>SBI PSU Fund - Direct Plan - Income Distribution cum Capital Withdrawal Option (IDCW)</t>
  </si>
  <si>
    <t>INF200K01BD8</t>
  </si>
  <si>
    <t>INF200K01BE6</t>
  </si>
  <si>
    <t>SBI PSU Fund - Regular Plan - Income Distribution cum Capital Withdrawal Option (IDCW)</t>
  </si>
  <si>
    <t>INF200K01BC0</t>
  </si>
  <si>
    <t>SBI PSU Fund - REGULAR PLAN -Growth</t>
  </si>
  <si>
    <t>INF200KB1AG6</t>
  </si>
  <si>
    <t>SBI Quality Fund - Direct Plan - Growth</t>
  </si>
  <si>
    <t>INF200KB1AH4</t>
  </si>
  <si>
    <t>INF200KB1AI2</t>
  </si>
  <si>
    <t>SBI Quality Fund - Direct Plan - Income Distribution Cum Capital Withdrawal</t>
  </si>
  <si>
    <t>INF200KB1AD3</t>
  </si>
  <si>
    <t>SBI Quality Fund - Regular Plan - Growth</t>
  </si>
  <si>
    <t>INF200KB1AE1</t>
  </si>
  <si>
    <t>INF200KB1AF8</t>
  </si>
  <si>
    <t>SBI Quality Fund - Regular Plan - Income Distribution Cum Capital Withdrawal</t>
  </si>
  <si>
    <t>INF200KB1506</t>
  </si>
  <si>
    <t>SBI Quant Fund- Direct Plan- Growth</t>
  </si>
  <si>
    <t>INF200KB1514</t>
  </si>
  <si>
    <t>INF200KB1522</t>
  </si>
  <si>
    <t>SBI Quant Fund- Direct Plan- Income Distribution cum Capital Withdrawal Option (IDCW)</t>
  </si>
  <si>
    <t>INF200KB1472</t>
  </si>
  <si>
    <t>SBI Quant Fund- Regular Plan- Growth</t>
  </si>
  <si>
    <t>INF200KB1480</t>
  </si>
  <si>
    <t>INF200KB1498</t>
  </si>
  <si>
    <t>SBI Quant Fund- Regular Plan- Income Distribution Cum Capital Withdrawal Option (IDCW)</t>
  </si>
  <si>
    <t>INF200K01RV6</t>
  </si>
  <si>
    <t>SBI TECHNOLOGY OPPORTUNITIES FUND - DIRECT PLAN - GROWTH</t>
  </si>
  <si>
    <t>INF200K01RT0</t>
  </si>
  <si>
    <t>INF200K01RU8</t>
  </si>
  <si>
    <t>SBI Technology Opportunities Fund - Direct Plan - Income Distribution cum Capital Withdrawal Option (IDCW)</t>
  </si>
  <si>
    <t>INF200K01VS4</t>
  </si>
  <si>
    <t>SBI TECHNOLOGY OPPORTUNITIES FUND - REGULAR PLAN - GROWTH</t>
  </si>
  <si>
    <t>INF200K01420</t>
  </si>
  <si>
    <t>INF200K01438</t>
  </si>
  <si>
    <t>SBI Technology Opportunities Fund - Regular Plan - Income Distribution cum Capital Withdrawal Option (IDCW)</t>
  </si>
  <si>
    <t>INF680P01455</t>
  </si>
  <si>
    <t>Shriram Multi Sector Rotation Fund - Direct Plan Growth Option</t>
  </si>
  <si>
    <t>INF680P01463</t>
  </si>
  <si>
    <t>Shriram Multi Sector Rotation Fund - Regular Plan Growth Option</t>
  </si>
  <si>
    <t>INF903JA1LQ6</t>
  </si>
  <si>
    <t>Sundaram Business Cycle Fund Direct Plan Growth</t>
  </si>
  <si>
    <t>INF903JA1LR4</t>
  </si>
  <si>
    <t>Sundaram Business Cycle Fund Direct Plan IDCW Payout</t>
  </si>
  <si>
    <t>INF903JA1LS2</t>
  </si>
  <si>
    <t>Sundaram Business Cycle Fund Direct Plan IDCW Reinvestment</t>
  </si>
  <si>
    <t>INF903JA1LN3</t>
  </si>
  <si>
    <t>Sundaram Business Cycle Fund Regular Plan Growth</t>
  </si>
  <si>
    <t>INF903JA1LO1</t>
  </si>
  <si>
    <t>Sundaram Business Cycle Fund Regular Plan IDCW Payout</t>
  </si>
  <si>
    <t>INF903JA1LP8</t>
  </si>
  <si>
    <t>Sundaram Business Cycle Fund Regular Plan IDCW Reinvestment</t>
  </si>
  <si>
    <t>INF903J01NH5</t>
  </si>
  <si>
    <t>Sundaram Consumption Fund (Formerly Known as Sundaram Rural and Consumption Fund Direct Plan - Growth)</t>
  </si>
  <si>
    <t>INF903J01579</t>
  </si>
  <si>
    <t>INF903J01587</t>
  </si>
  <si>
    <t>Sundaram Consumption Fund (Formerly Known as Sundaram Rural and Consumption Fund Institutional Plan - Income Distribution cum Capital Withdrawal (IDCW)</t>
  </si>
  <si>
    <t>INF903J01546</t>
  </si>
  <si>
    <t>INF903J01553</t>
  </si>
  <si>
    <t>Sundaram Consumption Fund (Formerly Known as Sundaram Rural and Consumption Fund Regular Plan - Income Distribution cum Capital Withdrawal (IDCW)</t>
  </si>
  <si>
    <t>INF903J01NF9</t>
  </si>
  <si>
    <t>INF903J01NG7</t>
  </si>
  <si>
    <t>Sundaram Consumption Fund (Formerly Known asSundaram Rural and Consumption Fund Direct Plan - Income Distribution cum Capital Withdrawal (IDCW)</t>
  </si>
  <si>
    <t>INF903J01561</t>
  </si>
  <si>
    <t>Sundaram Consumption Fund(Formerly Known as Sundaram Rural and Consumption Fund Regular Plan - Growth)</t>
  </si>
  <si>
    <t>INF903J01NB8</t>
  </si>
  <si>
    <t>Sundaram Financial Services Opportunities Fund Direct Plan - Growth</t>
  </si>
  <si>
    <t>INF903J01MZ9</t>
  </si>
  <si>
    <t>INF903J01NA0</t>
  </si>
  <si>
    <t>Sundaram Financial Services Opportunities Fund Direct Plan - Income Distribution cum Capital Withdrawal (IDCW)</t>
  </si>
  <si>
    <t>INF903J01652</t>
  </si>
  <si>
    <t>Sundaram Financial Services Opportunities Fund Institutional Plan - Growth</t>
  </si>
  <si>
    <t>INF903J01637</t>
  </si>
  <si>
    <t>INF903J01645</t>
  </si>
  <si>
    <t>Sundaram Financial Services Opportunities Fund Institutional Plan - Income Distribution cum Capital Withdrawal (IDCW)</t>
  </si>
  <si>
    <t>INF903J01629</t>
  </si>
  <si>
    <t>Sundaram Financial Services Opportunities Fund Regular Plan - Growth</t>
  </si>
  <si>
    <t>INF903J01603</t>
  </si>
  <si>
    <t>INF903J01611</t>
  </si>
  <si>
    <t>Sundaram Financial Services Opportunities Fund Regular Plan - Income Distribution cum Capital Withdrawal (IDCW)</t>
  </si>
  <si>
    <t>INF903J01F92</t>
  </si>
  <si>
    <t>Sundaram Infrastructure Advantage Fund Direct Plan - Growth</t>
  </si>
  <si>
    <t>INF903J01G00</t>
  </si>
  <si>
    <t>INF903J01G18</t>
  </si>
  <si>
    <t>Sundaram Infrastructure Advantage Fund Direct Plan - Income Distribution cum Capital Withdrawal (IDCW)</t>
  </si>
  <si>
    <t>INF903J01F68</t>
  </si>
  <si>
    <t>Sundaram Infrastructure Advantage Fund Regular Plan - Growth</t>
  </si>
  <si>
    <t>INF903J01F76</t>
  </si>
  <si>
    <t>INF903J01F84</t>
  </si>
  <si>
    <t>Sundaram Infrastructure Advantage Fund Regular Plan - Income Distribution cum Capital Withdrawal (IDCW)</t>
  </si>
  <si>
    <t>INF903JA1LV6</t>
  </si>
  <si>
    <t>Sundaram Multi-Factor Fund - Direct - Growth</t>
  </si>
  <si>
    <t>INF903JA1LU8</t>
  </si>
  <si>
    <t>Sundaram Multi-Factor Fund - Direct - IDCW Payout</t>
  </si>
  <si>
    <t>INF903JA1LT0</t>
  </si>
  <si>
    <t>Sundaram Multi-Factor Fund - Direct - IDCW Reinvestment</t>
  </si>
  <si>
    <t>INF903JA1LY0</t>
  </si>
  <si>
    <t>Sundaram Multi-Factor Fund - Regular - Growth</t>
  </si>
  <si>
    <t>INF903JA1LX2</t>
  </si>
  <si>
    <t>Sundaram Multi-Factor Fund - Regular - IDCW Payout</t>
  </si>
  <si>
    <t>INF903JA1LW4</t>
  </si>
  <si>
    <t>Sundaram Multi-Factor Fund - Regular - IDCW Reinvestment</t>
  </si>
  <si>
    <t>INF903JA1FA2</t>
  </si>
  <si>
    <t>Sundaram Services Fund Direct Plan - Growth</t>
  </si>
  <si>
    <t>INF903JA1FB0</t>
  </si>
  <si>
    <t xml:space="preserve">Sundaram Services Fund Direct Plan - Payout of Income Distribution cum Capital Withdrawal (IDCW) </t>
  </si>
  <si>
    <t>INF903JA1FC8</t>
  </si>
  <si>
    <t>INF903JA1EX7</t>
  </si>
  <si>
    <t>Sundaram Services Fund Regular Plan - Growth</t>
  </si>
  <si>
    <t>INF903JA1EY5</t>
  </si>
  <si>
    <t xml:space="preserve">Sundaram Services Fund Regular Plan - Payout of Income Distribution cum Capital Withdrawal (IDCW) </t>
  </si>
  <si>
    <t>INF903JA1EZ2</t>
  </si>
  <si>
    <t>INF277K01Z28</t>
  </si>
  <si>
    <t xml:space="preserve">TATA Banking &amp; Financial Services Fund Direct Plan - Payout of Income Distribution cum capital withdrawal option </t>
  </si>
  <si>
    <t>INF277K01Z36</t>
  </si>
  <si>
    <t xml:space="preserve">TATA Banking &amp; Financial Services Fund Direct Plan - Reinvestment of Income Distribution cum capital withdrawal option </t>
  </si>
  <si>
    <t>INF277K01Y94</t>
  </si>
  <si>
    <t xml:space="preserve">TATA Banking &amp; Financial Services Fund Regular Plan - Payout of Income Distribution cum capital withdrawal option </t>
  </si>
  <si>
    <t>INF277K01Z02</t>
  </si>
  <si>
    <t xml:space="preserve">TATA Banking &amp; Financial Services Fund Regular Plan - Reinvestment of Income Distribution cum capital withdrawal option </t>
  </si>
  <si>
    <t>INF277K01Z10</t>
  </si>
  <si>
    <t>Tata Banking And Financial Services Fund-Direct Plan-Growth</t>
  </si>
  <si>
    <t>INF277K01Y86</t>
  </si>
  <si>
    <t>Tata Banking And Financial Services Fund-Regular Plan-Growth</t>
  </si>
  <si>
    <t>INF277KA1166</t>
  </si>
  <si>
    <t>Tata Business Cycle Fund-Direct Plan-Growth</t>
  </si>
  <si>
    <t>INF277KA1174</t>
  </si>
  <si>
    <t>Tata Business Cycle Fund-Direct Plan-IDCW Payout</t>
  </si>
  <si>
    <t>INF277KA1182</t>
  </si>
  <si>
    <t>Tata Business Cycle Fund-Direct Plan-IDCW Reinvestment</t>
  </si>
  <si>
    <t>INF277KA1190</t>
  </si>
  <si>
    <t>Tata Business Cycle Fund-Regular Plan-Growth</t>
  </si>
  <si>
    <t>INF277KA1208</t>
  </si>
  <si>
    <t>Tata Business Cycle Fund-Regular Plan-IDCW Payout</t>
  </si>
  <si>
    <t>INF277KA1216</t>
  </si>
  <si>
    <t>Tata Business Cycle Fund-Regular Plan-IDCW Reinvestment</t>
  </si>
  <si>
    <t>INF277K01Z85</t>
  </si>
  <si>
    <t xml:space="preserve">TATA Digital India Fund Direct Plan - Payout of Income Distribution cum capital withdrawal option </t>
  </si>
  <si>
    <t>INF277K01Z93</t>
  </si>
  <si>
    <t xml:space="preserve">TATA Digital India Fund Direct Plan - Reinvestment of Income Distribution cum capital withdrawal option </t>
  </si>
  <si>
    <t>INF277K01Z51</t>
  </si>
  <si>
    <t xml:space="preserve">TATA Digital India Fund Regular Plan - Payout of Income Distribution cum capital withdrawal option </t>
  </si>
  <si>
    <t>INF277K01Z69</t>
  </si>
  <si>
    <t xml:space="preserve">TATA Digital India Fund Regular Plan - Reinvestment of Income Distribution cum capital withdrawal option </t>
  </si>
  <si>
    <t>INF277K01Z77</t>
  </si>
  <si>
    <t>Tata Digital India Fund-Direct Plan-Growth</t>
  </si>
  <si>
    <t>INF277K01Z44</t>
  </si>
  <si>
    <t>Tata Digital India Fund-Regular Plan-Growth</t>
  </si>
  <si>
    <t>INF277K01NG4</t>
  </si>
  <si>
    <t>Tata Ethical Fund -Direct Plan- Growth Option</t>
  </si>
  <si>
    <t>INF277K01NE9</t>
  </si>
  <si>
    <t>INF277K01NF6</t>
  </si>
  <si>
    <t>Tata Ethical Fund- Direct Plan - Payout of IDCW Option</t>
  </si>
  <si>
    <t>INF277K01EH1</t>
  </si>
  <si>
    <t>INF277K01949</t>
  </si>
  <si>
    <t>Tata Ethical Fund- Regular Plan - Payout of IDCW Option</t>
  </si>
  <si>
    <t>INF277K01956</t>
  </si>
  <si>
    <t>Tata Ethical Fund-Regular Plan - Growth Option</t>
  </si>
  <si>
    <t>INF277KA1497</t>
  </si>
  <si>
    <t>Tata Housing Opportunities Fund - Direct Plan - Growth</t>
  </si>
  <si>
    <t>INF277KA1513</t>
  </si>
  <si>
    <t>Tata Housing Opportunities Fund - Direct Plan - IDCW Payout</t>
  </si>
  <si>
    <t>INF277KA1505</t>
  </si>
  <si>
    <t>Tata Housing Opportunities Fund - Direct Plan - IDCW Reinvestment</t>
  </si>
  <si>
    <t>INF277KA1521</t>
  </si>
  <si>
    <t>Tata Housing Opportunities Fund - Regular Plan - Growth</t>
  </si>
  <si>
    <t>INF277KA1547</t>
  </si>
  <si>
    <t>Tata Housing Opportunities Fund - Regular Plan - IDCW Payout</t>
  </si>
  <si>
    <t>INF277KA1539</t>
  </si>
  <si>
    <t>Tata Housing Opportunities Fund - Regular Plan - IDCW Reinvestment</t>
  </si>
  <si>
    <t>INF277K014A4</t>
  </si>
  <si>
    <t xml:space="preserve">TATA India Consumer Fund Direct Plan - Payout of Income Distribution cum capital withdrawal option </t>
  </si>
  <si>
    <t>INF277K015A1</t>
  </si>
  <si>
    <t xml:space="preserve">TATA India Consumer Fund Direct Plan - Reinvestment of Income Distribution cum capital withdrawal option </t>
  </si>
  <si>
    <t>INF277K011A0</t>
  </si>
  <si>
    <t>TATA India Consumer Fund Regular Plan - Payout of Income Distribution cum capital withdrawal option</t>
  </si>
  <si>
    <t>INF277K012A8</t>
  </si>
  <si>
    <t xml:space="preserve">TATA India Consumer Fund Regular Plan - Reinvestment of Income Distribution cum capital withdrawal option </t>
  </si>
  <si>
    <t>INF277K013A6</t>
  </si>
  <si>
    <t>Tata India Consumer Fund-Direct Plan-Growth</t>
  </si>
  <si>
    <t>INF277K010A2</t>
  </si>
  <si>
    <t>Tata India Consumer Fund-Regular Plan-Growth</t>
  </si>
  <si>
    <t>INF277KA1CU2</t>
  </si>
  <si>
    <t>Tata India Innovation Fund- Direct Growth</t>
  </si>
  <si>
    <t>INF277KA1CW8</t>
  </si>
  <si>
    <t>Tata India Innovation Fund- Direct IDCW payout</t>
  </si>
  <si>
    <t>INF277KA1CV0</t>
  </si>
  <si>
    <t>Tata India Innovation Fund- Direct IDCW Reinvestment</t>
  </si>
  <si>
    <t>INF277KA1CR8</t>
  </si>
  <si>
    <t>Tata India Innovation Fund- Regular Growth</t>
  </si>
  <si>
    <t>INF277KA1CT4</t>
  </si>
  <si>
    <t>Tata India Innovation Fund- Regular IDCW payout</t>
  </si>
  <si>
    <t>INF277KA1CS6</t>
  </si>
  <si>
    <t>Tata India Innovation Fund- Regular IDCW Reinvestment</t>
  </si>
  <si>
    <t>INF277K010B0</t>
  </si>
  <si>
    <t xml:space="preserve">TATA India Pharma &amp; Health Care Fund Direct Plan - Payout of Income Distribution cum capital withdrawal option </t>
  </si>
  <si>
    <t>INF277K017A7</t>
  </si>
  <si>
    <t xml:space="preserve">TATA India Pharma &amp; Health Care Fund Regular Plan - Payout of Income Distribution cum capital withdrawal option </t>
  </si>
  <si>
    <t>INF277K011B8</t>
  </si>
  <si>
    <t>TATA India Pharma &amp; Healthcare Fund Direct Plan - Reinvestment of Income Distribution cum capital withdrawal option</t>
  </si>
  <si>
    <t>INF277K018A5</t>
  </si>
  <si>
    <t xml:space="preserve">TATA India Pharma &amp; Healthcare Fund Regular Plan - Reinvestment of Income Distribution cum capital withdrawal option </t>
  </si>
  <si>
    <t>INF277K019A3</t>
  </si>
  <si>
    <t>Tata India Pharma &amp; Healthcare Fund-Direct Plan-Growth</t>
  </si>
  <si>
    <t>INF277K016A9</t>
  </si>
  <si>
    <t>Tata India Pharma &amp; Healthcare Fund-Regular Plan-Growth</t>
  </si>
  <si>
    <t>INF277K01PQ8</t>
  </si>
  <si>
    <t>Tata Infrastructure Fund -Direct Plan -Growth Option</t>
  </si>
  <si>
    <t>INF277K01DY8</t>
  </si>
  <si>
    <t>INF277K01774</t>
  </si>
  <si>
    <t>TATA Infrastructure Fund Regular Plan - Payout of IDCW Option</t>
  </si>
  <si>
    <t>INF277K01PO3</t>
  </si>
  <si>
    <t>INF277K01PP0</t>
  </si>
  <si>
    <t>Tata Infrastructure Fund- Direct Plan - Payout of IDCW Option</t>
  </si>
  <si>
    <t>INF277K01782</t>
  </si>
  <si>
    <t>Tata Infrastructure Fund-Regular Plan- Growth Option</t>
  </si>
  <si>
    <t>INF277K015Y1</t>
  </si>
  <si>
    <t xml:space="preserve">TATA Quant Equity Fund Direct Plan - Payout of Income Distribution cum capital withdrawal option </t>
  </si>
  <si>
    <t>INF277K018Y5</t>
  </si>
  <si>
    <t xml:space="preserve">TATA Quant Equity Fund Regular Plan - Payout of Income Distribution cum capital withdrawal option </t>
  </si>
  <si>
    <t>INF277K014Y4</t>
  </si>
  <si>
    <t xml:space="preserve">TATA Quant Fund Direct Plan - Reinvestment of Income Distribution cum capital withdrawal option </t>
  </si>
  <si>
    <t>INF277K017Y7</t>
  </si>
  <si>
    <t xml:space="preserve">TATA Quant Fund Regular Plan - Reinvestment of Income Distribution cum capital withdrawal option </t>
  </si>
  <si>
    <t>INF277K013Y6</t>
  </si>
  <si>
    <t>Tata Quant Fund-Direct Plan-Growth</t>
  </si>
  <si>
    <t>INF277K016Y9</t>
  </si>
  <si>
    <t>Tata Quant Fund-Regular Plan-Growth</t>
  </si>
  <si>
    <t>INF277K016B7</t>
  </si>
  <si>
    <t xml:space="preserve">TATA Resources &amp; Energy Fund Direct Plan - Payout of Income Distribution cum capital withdrawal option </t>
  </si>
  <si>
    <t>INF277K017B5</t>
  </si>
  <si>
    <t xml:space="preserve">TATA Resources &amp; Energy Fund Direct Plan - Reinvestment of Income Distribution cum capital withdrawal option </t>
  </si>
  <si>
    <t>INF277K013B4</t>
  </si>
  <si>
    <t xml:space="preserve">TATA Resources &amp; Energy Fund Regular Plan - Payout of Income Distribution cum capital withdrawal option </t>
  </si>
  <si>
    <t>INF277K014B2</t>
  </si>
  <si>
    <t xml:space="preserve">TATA Resources &amp; Energy Fund Regular Plan - Reinvestment of Income Distribution cum capital withdrawal option </t>
  </si>
  <si>
    <t>INF277K015B9</t>
  </si>
  <si>
    <t>Tata Resources &amp; Energy Fund-Direct Plan-Growth</t>
  </si>
  <si>
    <t>INF277K012B6</t>
  </si>
  <si>
    <t>Tata Resources &amp; Energy Fund-Regular Plan-Growth</t>
  </si>
  <si>
    <t>INF044D01CN2</t>
  </si>
  <si>
    <t>Taurus Banking &amp; Financial Services Fund - Direct Plan - Growth</t>
  </si>
  <si>
    <t>INF044D01CO0</t>
  </si>
  <si>
    <t>INF044D01CP7</t>
  </si>
  <si>
    <t>Taurus Banking &amp; Financial Services Fund - Direct Plan - Payout of Income Distribution cum Capital Withdrawal option</t>
  </si>
  <si>
    <t>INF044D01BI4</t>
  </si>
  <si>
    <t>Taurus Banking &amp; Financial Services Fund - Regular Plan - Growth</t>
  </si>
  <si>
    <t>INF044D01BJ2</t>
  </si>
  <si>
    <t>INF044D01BK0</t>
  </si>
  <si>
    <t>Taurus Banking &amp; Financial Services Fund - Regular Plan - Payout of Income Distribution cum Capital Withdrawal option</t>
  </si>
  <si>
    <t>INF044D01823</t>
  </si>
  <si>
    <t>Taurus Ethical Fund -  Regular Plan - Bonus Option</t>
  </si>
  <si>
    <t>INF044D01CJ0</t>
  </si>
  <si>
    <t>Taurus Ethical Fund - Direct Plan - Growth</t>
  </si>
  <si>
    <t>INF044D01CK8</t>
  </si>
  <si>
    <t>INF044D01CL6</t>
  </si>
  <si>
    <t>Taurus Ethical Fund - Direct Plan - Payout of Income Distribution cum Capital Withdrawal option</t>
  </si>
  <si>
    <t>INF044D01864</t>
  </si>
  <si>
    <t>Taurus Ethical Fund - Regular Plan - Growth</t>
  </si>
  <si>
    <t>INF044D01831</t>
  </si>
  <si>
    <t>INF044D01849</t>
  </si>
  <si>
    <t>Taurus Ethical Fund - Regular Plan - Payout of Income Distribution cum Capital Withdrawal option</t>
  </si>
  <si>
    <t>INF044D01CM4</t>
  </si>
  <si>
    <t>Taurus Ethical Fund-Direct Plan-Bonus Option #</t>
  </si>
  <si>
    <t>INF044D01CD3</t>
  </si>
  <si>
    <t xml:space="preserve">Taurus Infrastructure Fund - Direct Plan - Growth </t>
  </si>
  <si>
    <t>INF044D01CE1</t>
  </si>
  <si>
    <t>INF044D01CF8</t>
  </si>
  <si>
    <t>Taurus Infrastructure Fund - Direct Plan - Payout of Income Distribution cum Capital Withdrawal option</t>
  </si>
  <si>
    <t>INF044D01906</t>
  </si>
  <si>
    <t>Taurus Infrastructure Fund - Regular Plan - Growth</t>
  </si>
  <si>
    <t>INF044D01872</t>
  </si>
  <si>
    <t>INF044D01880</t>
  </si>
  <si>
    <t>Taurus Infrastructure Fund - Regular Plan - Payout of Income Distribution cum Capital Withdrawal option</t>
  </si>
  <si>
    <t>INF2F0001214</t>
  </si>
  <si>
    <t>THE WEALTH COMPANY ETHICAL FUND DIRECT GROWTH</t>
  </si>
  <si>
    <t>INF2F0001206</t>
  </si>
  <si>
    <t>INF2F0001198</t>
  </si>
  <si>
    <t>THE WEALTH COMPANY ETHICAL FUND DIRECT IDCW</t>
  </si>
  <si>
    <t>INF2F0001248</t>
  </si>
  <si>
    <t>THE WEALTH COMPANY ETHICAL FUND REGULAR GROWTH</t>
  </si>
  <si>
    <t>INF2F0001230</t>
  </si>
  <si>
    <t>INF2F0001222</t>
  </si>
  <si>
    <t>THE WEALTH COMPANY ETHICAL FUND REGULAR IDCW</t>
  </si>
  <si>
    <t>INF582M01KG9</t>
  </si>
  <si>
    <t>Union Active Momentum Fund - Direct Plan - Growth Option</t>
  </si>
  <si>
    <t>INF582M01KH7</t>
  </si>
  <si>
    <t>INF582M01KI5</t>
  </si>
  <si>
    <t>Union Active Momentum Fund - Direct Plan - IDCW Option</t>
  </si>
  <si>
    <t>INF582M01KC8</t>
  </si>
  <si>
    <t>Union Active Momentum Fund - Regular Plan - Growth Option</t>
  </si>
  <si>
    <t>INF582M01KD6</t>
  </si>
  <si>
    <t>INF582M01KE4</t>
  </si>
  <si>
    <t>Union Active Momentum Fund - Regular Plan - IDCW Option</t>
  </si>
  <si>
    <t>INF582M01JQ0</t>
  </si>
  <si>
    <t>Union Business Cycle Fund - Direct Plan - Growth Option</t>
  </si>
  <si>
    <t>INF582M01JR8</t>
  </si>
  <si>
    <t>INF582M01JS6</t>
  </si>
  <si>
    <t>Union Business Cycle Fund - Direct Plan - IDCW Option</t>
  </si>
  <si>
    <t>INF582M01JM9</t>
  </si>
  <si>
    <t>Union Business Cycle Fund - Regular Plan - Growth Option</t>
  </si>
  <si>
    <t>INF582M01JN7</t>
  </si>
  <si>
    <t>INF582M01JO5</t>
  </si>
  <si>
    <t>Union Business Cycle Fund - Regular Plan - IDCW Option</t>
  </si>
  <si>
    <t>INF582M01MH3</t>
  </si>
  <si>
    <t>Union Consumption Fund - Direct Plan - Growth Option</t>
  </si>
  <si>
    <t>INF582M01MI1</t>
  </si>
  <si>
    <t>INF582M01MJ9</t>
  </si>
  <si>
    <t>Union Consumption Fund - Direct Plan - IDCW Option</t>
  </si>
  <si>
    <t>INF582M01MD2</t>
  </si>
  <si>
    <t>Union Consumption Fund - Regular Plan - Growth Option</t>
  </si>
  <si>
    <t>INF582M01ME0</t>
  </si>
  <si>
    <t>INF582M01MF7</t>
  </si>
  <si>
    <t>Union Consumption Fund - Regular Plan - IDCW Option</t>
  </si>
  <si>
    <t>INF582M01JE6</t>
  </si>
  <si>
    <t>Union Innovation &amp; Opportunities Fund - Direct Plan - Growth Option</t>
  </si>
  <si>
    <t>INF582M01JF3</t>
  </si>
  <si>
    <t>INF582M01JG1</t>
  </si>
  <si>
    <t>Union Innovation &amp; Opportunities Fund - Direct Plan - IDCW Option</t>
  </si>
  <si>
    <t>INF582M01JA4</t>
  </si>
  <si>
    <t>Union Innovation &amp; Opportunities Fund - Regular Plan - Growth Option</t>
  </si>
  <si>
    <t>INF582M01JB2</t>
  </si>
  <si>
    <t>INF582M01JC0</t>
  </si>
  <si>
    <t>Union Innovation &amp; Opportunities Fund - Regular Plan - IDCW Option</t>
  </si>
  <si>
    <t>INF789F01SN3</t>
  </si>
  <si>
    <t>UTI Banking and Financial Services Fund - Direct Plan - Growth Option</t>
  </si>
  <si>
    <t>INF789F01SL7</t>
  </si>
  <si>
    <t>INF789F01SM5</t>
  </si>
  <si>
    <t>UTI Banking and Financial Services Fund - Direct Plan - IDCW</t>
  </si>
  <si>
    <t>INF789F01372</t>
  </si>
  <si>
    <t>UTI Banking and Financial Services Fund - Regular Plan - Growth Option</t>
  </si>
  <si>
    <t>INF789F01356</t>
  </si>
  <si>
    <t>INF789F01364</t>
  </si>
  <si>
    <t>UTI Banking and Financial Services Fund - Regular Plan - IDCW</t>
  </si>
  <si>
    <t>INF789F01TO9</t>
  </si>
  <si>
    <t>UTI Healthcare Fund - Direct Plan - Growth Option</t>
  </si>
  <si>
    <t>INF789F01TM3</t>
  </si>
  <si>
    <t>INF789F01TN1</t>
  </si>
  <si>
    <t>UTI Healthcare Fund - Direct Plan - IDCW</t>
  </si>
  <si>
    <t>INF789F01695</t>
  </si>
  <si>
    <t>UTI Healthcare Fund - Regular Plan - Growth Option</t>
  </si>
  <si>
    <t>INF789F01679</t>
  </si>
  <si>
    <t>INF789F01687</t>
  </si>
  <si>
    <t>UTI Healthcare Fund - Regular Plan - IDCW</t>
  </si>
  <si>
    <t>INF789F01VF3</t>
  </si>
  <si>
    <t>UTI India Consumer Fund - Direct Plan - Growth Option</t>
  </si>
  <si>
    <t>INF789F01VG1</t>
  </si>
  <si>
    <t>INF789F01VH9</t>
  </si>
  <si>
    <t>UTI India Consumer Fund - Direct Plan - IDCW</t>
  </si>
  <si>
    <t>INF789F01CE6</t>
  </si>
  <si>
    <t>UTI India Consumer Fund - Regular Plan - Growth Option</t>
  </si>
  <si>
    <t>INF789F01CF3</t>
  </si>
  <si>
    <t>INF789F01CG1</t>
  </si>
  <si>
    <t>UTI India Consumer Fund - Regular Plan - IDCW</t>
  </si>
  <si>
    <t>INF789F01TS0</t>
  </si>
  <si>
    <t>INF789F01TT8</t>
  </si>
  <si>
    <t>UTI Infrastructure Fund - Direct Plan - IDCW</t>
  </si>
  <si>
    <t>INF789F01737</t>
  </si>
  <si>
    <t>INF789F01745</t>
  </si>
  <si>
    <t>UTI Infrastructure Fund - Regular Plan - IDCW</t>
  </si>
  <si>
    <t>INF789F01752</t>
  </si>
  <si>
    <t>UTI Infrastructure Fund-Growth Option</t>
  </si>
  <si>
    <t>INF789F01TU6</t>
  </si>
  <si>
    <t>UTI Infrastructure Fund-Growth Option- Direct</t>
  </si>
  <si>
    <t>INF789F01UD0</t>
  </si>
  <si>
    <t>UTI - MNC Fund - Growth Option - Direct</t>
  </si>
  <si>
    <t>INF789F01844</t>
  </si>
  <si>
    <t>UTI - MNC Fund - Regular Plan - Growth Option</t>
  </si>
  <si>
    <t>INF789F01UB4</t>
  </si>
  <si>
    <t>INF789F01UC2</t>
  </si>
  <si>
    <t>UTI MNC Fund - Direct Plan - IDCW</t>
  </si>
  <si>
    <t>INF789F01828</t>
  </si>
  <si>
    <t>INF789F01836</t>
  </si>
  <si>
    <t>UTI MNC Fund - Regular Plan - IDCW</t>
  </si>
  <si>
    <t>INF789F01SF9</t>
  </si>
  <si>
    <t>INF789F01SG7</t>
  </si>
  <si>
    <t>UTI Transportation and Logistics Fund - Direct Plan - IDCW</t>
  </si>
  <si>
    <t>INF789F01273</t>
  </si>
  <si>
    <t>INF789F01281</t>
  </si>
  <si>
    <t>UTI Transportation and Logistics Fund - Regular Plan - IDCW</t>
  </si>
  <si>
    <t>INF789F01299</t>
  </si>
  <si>
    <t>UTI-Transportation and Logistics  Fund-Growth Option</t>
  </si>
  <si>
    <t>INF789F01SH5</t>
  </si>
  <si>
    <t>UTI-Transportation and Logistics  Fund-Growth Option- Direct</t>
  </si>
  <si>
    <t>INF789F1AZA4</t>
  </si>
  <si>
    <t>UTI Innovation Fund - Direct Plan - Growth Option</t>
  </si>
  <si>
    <t>INF789F1AZB2</t>
  </si>
  <si>
    <t>UTI Innovation Fund - Direct Plan - Payout of IDCW Option</t>
  </si>
  <si>
    <t>INF789F1AYY7</t>
  </si>
  <si>
    <t>UTI Innovation Fund - Regular Plan - Growth Option</t>
  </si>
  <si>
    <t>INF789F1AYZ4</t>
  </si>
  <si>
    <t>UTI Innovation Fund - Regular Plan - Payout of IDCW Option</t>
  </si>
  <si>
    <t>INF789F1AA98</t>
  </si>
  <si>
    <t>UTI Quant Fund - Direct Plan - Growth Option</t>
  </si>
  <si>
    <t>INF789F1AA80</t>
  </si>
  <si>
    <t>UTI Quant Fund - Regular Plan - Growth Option</t>
  </si>
  <si>
    <t>INF03VN01860</t>
  </si>
  <si>
    <t>WhiteOak Capital Banking &amp; Financial Services Fund - Direct Growth</t>
  </si>
  <si>
    <t>INF03VN01852</t>
  </si>
  <si>
    <t>WhiteOak Capital Banking &amp; Financial Services Fund - Regular Growth</t>
  </si>
  <si>
    <t>INF03VN01AD3</t>
  </si>
  <si>
    <t>WhiteOak Capital Consumption Opportunities Fund Direct Plan Growth</t>
  </si>
  <si>
    <t>INF03VN01AE1</t>
  </si>
  <si>
    <t>WhiteOak Capital Consumption Opportunities Fund Regular Plan Growth</t>
  </si>
  <si>
    <t>INF03VN01936</t>
  </si>
  <si>
    <t>WhiteOak Capital Digital Bharat Fund Direct Plan Growth</t>
  </si>
  <si>
    <t>INF03VN01944</t>
  </si>
  <si>
    <t>WhiteOak Capital Digital Bharat Fund Regular Plan Growth</t>
  </si>
  <si>
    <t>INF03VN01951</t>
  </si>
  <si>
    <t>WhiteOak Capital ESG Best-In-Class Strategy Fund Direct Plan Growth</t>
  </si>
  <si>
    <t>INF03VN01969</t>
  </si>
  <si>
    <t>WhiteOak Capital ESG Best-In-Class Strategy Fund Regular Plan Growth</t>
  </si>
  <si>
    <t>INF03VN01886</t>
  </si>
  <si>
    <t>WhiteOak Capital Pharma and Heathcare Fund Direct Plan Growth</t>
  </si>
  <si>
    <t>INF03VN01878</t>
  </si>
  <si>
    <t>WhiteOak Capital Pharma and Heathcare Fund Regular Plan Growth</t>
  </si>
  <si>
    <t>INF03VN01977</t>
  </si>
  <si>
    <t>WhiteOak Capital Quality Equity Fund Direct Plan Growth</t>
  </si>
  <si>
    <t>INF03VN01985</t>
  </si>
  <si>
    <t>WhiteOak Capital Quality Equity Fund Regular Plan Growth</t>
  </si>
  <si>
    <t>INF03VN01902</t>
  </si>
  <si>
    <t>WhiteOak Capital Special Opportunities Fund - Direct Growth</t>
  </si>
  <si>
    <t>INF03VN01894</t>
  </si>
  <si>
    <t>WhiteOak Capital Special Opportunities Fund - Regular Growth</t>
  </si>
  <si>
    <t>INF2JJD01177</t>
  </si>
  <si>
    <t>Abakkus Small Cap Fund - Direct Plan - Growth</t>
  </si>
  <si>
    <t>INF2JJD01185</t>
  </si>
  <si>
    <t>Abakkus Small Cap Fund - Regular  Plan - Growth</t>
  </si>
  <si>
    <t>INF209K01EN2</t>
  </si>
  <si>
    <t>Aditya Birla Sun Life Small Cap Fund - GROWTH</t>
  </si>
  <si>
    <t>INF209K01WN4</t>
  </si>
  <si>
    <t>Aditya Birla Sun Life Small Cap Fund - Growth - Direct Plan</t>
  </si>
  <si>
    <t>INF209K01WM6</t>
  </si>
  <si>
    <t>Aditya Birla Sun Life Small Cap Fund -Direct - IDCW</t>
  </si>
  <si>
    <t>INF209K01EO0</t>
  </si>
  <si>
    <t>INF209K01EP7</t>
  </si>
  <si>
    <t>Aditya Birla Sun Life Small Cap Fund -Regular - IDCW</t>
  </si>
  <si>
    <t>INF846K01K35</t>
  </si>
  <si>
    <t>Axis Small Cap Fund - Direct Plan - Growth</t>
  </si>
  <si>
    <t>INF846K01K43</t>
  </si>
  <si>
    <t>INF846K01K50</t>
  </si>
  <si>
    <t>Axis Small Cap Fund - Direct Plan - IDCW</t>
  </si>
  <si>
    <t>INF846K01K01</t>
  </si>
  <si>
    <t>Axis Small Cap Fund - Regular Plan - Growth</t>
  </si>
  <si>
    <t>INF846K01K19</t>
  </si>
  <si>
    <t>INF846K01K27</t>
  </si>
  <si>
    <t>Axis Small Cap Fund - Regular Plan - IDCW</t>
  </si>
  <si>
    <t>INF0QA701BN2</t>
  </si>
  <si>
    <t>BAJAJ FINSERV SMALL CAP FUND - DIRECT - GROWTH</t>
  </si>
  <si>
    <t>INF0QA701BO0</t>
  </si>
  <si>
    <t>INF0QA701BP7</t>
  </si>
  <si>
    <t>BAJAJ FINSERV SMALL CAP FUND - DIRECT - IDCW</t>
  </si>
  <si>
    <t>INF0QA701BK8</t>
  </si>
  <si>
    <t>BAJAJ FINSERV SMALL CAP FUND - REGULAR - GROWTH</t>
  </si>
  <si>
    <t>INF0QA701BL6</t>
  </si>
  <si>
    <t>INF0QA701BM4</t>
  </si>
  <si>
    <t>BAJAJ FINSERV SMALL CAP FUND - REGULAR - IDCW</t>
  </si>
  <si>
    <t>INF194KB1AL4</t>
  </si>
  <si>
    <t>BANDHAN SMALL CAP FUND - DIRECT PLAN GROWTH</t>
  </si>
  <si>
    <t>INF194KB1AM2</t>
  </si>
  <si>
    <t>BANDHAN SMALL CAP FUND - DIRECT PLAN IDCW</t>
  </si>
  <si>
    <t>INF194KB1AJ8</t>
  </si>
  <si>
    <t>BANDHAN SMALL CAP FUND - REGULAR PLAN GROWTH</t>
  </si>
  <si>
    <t>INF194KB1AK6</t>
  </si>
  <si>
    <t>BANDHAN SMALL CAP FUND - REGULAR PLAN IDCW</t>
  </si>
  <si>
    <t>INF761K01EP7</t>
  </si>
  <si>
    <t>BANK OF INDIA Small Cap Fund Direct Plan Growth</t>
  </si>
  <si>
    <t>INF761K01EO0</t>
  </si>
  <si>
    <t>INF761K01ES1</t>
  </si>
  <si>
    <t>BANK OF INDIA Small Cap Fund Direct Plan IDCW</t>
  </si>
  <si>
    <t>INF761K01ER3</t>
  </si>
  <si>
    <t>BANK OF INDIA Small Cap Fund Regular Plan Growth</t>
  </si>
  <si>
    <t>INF761K01EQ5</t>
  </si>
  <si>
    <t>INF761K01ET9</t>
  </si>
  <si>
    <t>BANK OF INDIA Small Cap Fund Regular Plan IDCW</t>
  </si>
  <si>
    <t>INF251K01SR5</t>
  </si>
  <si>
    <t>Baroda BNP Paribas Small Cap Fund - Direct Plan - Growth option</t>
  </si>
  <si>
    <t>INF251K01SS3</t>
  </si>
  <si>
    <t>INF251K01ST1</t>
  </si>
  <si>
    <t>Baroda BNP Paribas Small Cap Fund - Direct Plan - IDCW option</t>
  </si>
  <si>
    <t>INF251K01SO2</t>
  </si>
  <si>
    <t>Baroda BNP Paribas Small Cap Fund - Regular Plan - Growth option</t>
  </si>
  <si>
    <t>INF251K01SP9</t>
  </si>
  <si>
    <t>INF251K01SQ7</t>
  </si>
  <si>
    <t>Baroda BNP Paribas Small Cap Fund - Regular Plan - IDCW option</t>
  </si>
  <si>
    <t>INF760K01JC6</t>
  </si>
  <si>
    <t>CANARA ROBECO SMALL CAP FUND - DIRECT PLAN - GROWTH OPTION</t>
  </si>
  <si>
    <t>INF760K01JD4</t>
  </si>
  <si>
    <t>INF760K01JE2</t>
  </si>
  <si>
    <t>CANARA ROBECO SMALL CAP FUND - DIRECT PLAN - IDCW (Payout/Reinvestment)</t>
  </si>
  <si>
    <t>INF760K01JF9</t>
  </si>
  <si>
    <t>CANARA ROBECO SMALL CAP FUND - REGULAR PLAN - GROWTH OPTION</t>
  </si>
  <si>
    <t>INF760K01JG7</t>
  </si>
  <si>
    <t>INF760K01JH5</t>
  </si>
  <si>
    <t>CANARA ROBECO SMALL CAP FUND - REGULAR PLAN - IDCW (Payout/Reinvestment)</t>
  </si>
  <si>
    <t>INF740K01QD1</t>
  </si>
  <si>
    <t>DSP Small Cap Fund - Direct Plan - Growth</t>
  </si>
  <si>
    <t>INF740K01QE9</t>
  </si>
  <si>
    <t>INF740K01QF6</t>
  </si>
  <si>
    <t>DSP Small Cap Fund - Direct Plan - IDCW</t>
  </si>
  <si>
    <t>INF740K01797</t>
  </si>
  <si>
    <t>DSP Small Cap Fund - Regular - Growth</t>
  </si>
  <si>
    <t>INF740K01805</t>
  </si>
  <si>
    <t>INF740K01AM6</t>
  </si>
  <si>
    <t>DSP Small Cap Fund - Regular - IDCW</t>
  </si>
  <si>
    <t>INF754K01JN6</t>
  </si>
  <si>
    <t>Edelweiss Small Cap Fund - Direct Plan - Growth</t>
  </si>
  <si>
    <t>INF754K01JO4</t>
  </si>
  <si>
    <t>INF754K01JP1</t>
  </si>
  <si>
    <t>Edelweiss Small Cap Fund - Direct Plan - IDCW Option</t>
  </si>
  <si>
    <t>INF754K01JJ4</t>
  </si>
  <si>
    <t>Edelweiss Small Cap Fund - Regular Plan - Growth</t>
  </si>
  <si>
    <t>INF754K01JK2</t>
  </si>
  <si>
    <t>INF754K01JL0</t>
  </si>
  <si>
    <t>Edelweiss Small Cap Fund - Regular Plan - IDCW Option</t>
  </si>
  <si>
    <t>INF090I01IQ4</t>
  </si>
  <si>
    <t>Franklin India Small Cap Fund - Direct - Growth</t>
  </si>
  <si>
    <t>INF090I01IO9</t>
  </si>
  <si>
    <t>INF090I01IP6</t>
  </si>
  <si>
    <t>Franklin India Small Cap Fund - Direct - IDCW</t>
  </si>
  <si>
    <t>INF090I01544</t>
  </si>
  <si>
    <t>INF090I01551</t>
  </si>
  <si>
    <t>Franklin India Small Cap Fund - IDCW</t>
  </si>
  <si>
    <t>INF090I01569</t>
  </si>
  <si>
    <t>Franklin India Small Cap Fund-Growth</t>
  </si>
  <si>
    <t>INF666M01NK6</t>
  </si>
  <si>
    <t>INF666M01NL4</t>
  </si>
  <si>
    <t>Groww Small Cap Fund - Direct-IDCW</t>
  </si>
  <si>
    <t>INF666M01NJ8</t>
  </si>
  <si>
    <t>Groww Small Cap Fund-Direct-Growth</t>
  </si>
  <si>
    <t>INF666M01NM2</t>
  </si>
  <si>
    <t>Groww Small Cap Fund-Regular-Growth</t>
  </si>
  <si>
    <t>INF666M01NN0</t>
  </si>
  <si>
    <t>INF666M01NO8</t>
  </si>
  <si>
    <t>Groww Small Cap Fund-Regular-IDCW</t>
  </si>
  <si>
    <t>INF179KA1RZ8</t>
  </si>
  <si>
    <t>HDFC Small Cap Fund - Growth Option</t>
  </si>
  <si>
    <t>INF179KA1RW5</t>
  </si>
  <si>
    <t>HDFC Small Cap Fund - Growth Option - Direct Plan</t>
  </si>
  <si>
    <t>INF179KA1SA9</t>
  </si>
  <si>
    <t>INF179KA1SB7</t>
  </si>
  <si>
    <t>HDFC Small Cap Fund - IDCW Option</t>
  </si>
  <si>
    <t>INF179KA1RX3</t>
  </si>
  <si>
    <t>INF179KA1RY1</t>
  </si>
  <si>
    <t>HDFC Small Cap Fund - IDCW Option - Direct Plan</t>
  </si>
  <si>
    <t>INF0R8701384</t>
  </si>
  <si>
    <t>Helios Small Cap Fund - Direct Plan - Growth Option</t>
  </si>
  <si>
    <t>INF0R8701392</t>
  </si>
  <si>
    <t>INF0R8701400</t>
  </si>
  <si>
    <t>Helios Small Cap Fund - Direct Plan - IDCW Option</t>
  </si>
  <si>
    <t>INF0R8701350</t>
  </si>
  <si>
    <t>Helios Small Cap Fund - Regular Plan - Growth Option</t>
  </si>
  <si>
    <t>INF0R8701368</t>
  </si>
  <si>
    <t>INF0R8701376</t>
  </si>
  <si>
    <t>Helios Small Cap Fund - Regular Plan - IDCW Option</t>
  </si>
  <si>
    <t>INF917K01QA1</t>
  </si>
  <si>
    <t>HSBC Small Cap Fund - Direct Growth</t>
  </si>
  <si>
    <t>INF917K01PZ0</t>
  </si>
  <si>
    <t>INF917K01XP5</t>
  </si>
  <si>
    <t>HSBC Small Cap Fund - Direct IDCW</t>
  </si>
  <si>
    <t>INF917K01QC7</t>
  </si>
  <si>
    <t>HSBC Small Cap Fund - Regular Growth</t>
  </si>
  <si>
    <t>INF917K01QB9</t>
  </si>
  <si>
    <t>INF917K01XQ3</t>
  </si>
  <si>
    <t>HSBC Small Cap Fund - Regular IDCW</t>
  </si>
  <si>
    <t>INF109K015M0</t>
  </si>
  <si>
    <t>ICICI Prudential Smallcap Fund - Direct Plan - Growth</t>
  </si>
  <si>
    <t>INF109K013M5</t>
  </si>
  <si>
    <t>INF109K014M3</t>
  </si>
  <si>
    <t>ICICI Prudential Smallcap Fund - Direct Plan - IDCW</t>
  </si>
  <si>
    <t>INF109K01BI0</t>
  </si>
  <si>
    <t>ICICI Prudential Smallcap Fund - Growth</t>
  </si>
  <si>
    <t>INF109K01FA8</t>
  </si>
  <si>
    <t>INF109K01BJ8</t>
  </si>
  <si>
    <t>ICICI Prudential Smallcap Fund - IDCW</t>
  </si>
  <si>
    <t>INF109K01BK6</t>
  </si>
  <si>
    <t>ICICI Prudential Smallcap Fund - Institutional Growth</t>
  </si>
  <si>
    <t>INF205K013T3</t>
  </si>
  <si>
    <t>Invesco India Smallcap Fund - Direct Plan - Growth</t>
  </si>
  <si>
    <t>INF205K012T5</t>
  </si>
  <si>
    <t>INF205K015T8</t>
  </si>
  <si>
    <t>Invesco India Smallcap Fund - Direct Plan - IDCW (Payout / Reinvestment)</t>
  </si>
  <si>
    <t>INF205K011T7</t>
  </si>
  <si>
    <t>Invesco India Smallcap Fund - Regular Plan - Growth</t>
  </si>
  <si>
    <t>INF205K010T9</t>
  </si>
  <si>
    <t>INF205K014T1</t>
  </si>
  <si>
    <t>Invesco India Smallcap Fund - Regular Plan - IDCW (Payout / Reinvestment)</t>
  </si>
  <si>
    <t>INF00XX01747</t>
  </si>
  <si>
    <t>ITI Small Cap Fund - Direct Plan - Growth Option</t>
  </si>
  <si>
    <t>INF00XX01754</t>
  </si>
  <si>
    <t>INF00XX01762</t>
  </si>
  <si>
    <t>ITI Small Cap Fund - Direct Plan - IDCW Option</t>
  </si>
  <si>
    <t>INF00XX01713</t>
  </si>
  <si>
    <t>ITI Small Cap Fund - Regular Plan - Growth Option</t>
  </si>
  <si>
    <t>INF00XX01721</t>
  </si>
  <si>
    <t>INF00XX01739</t>
  </si>
  <si>
    <t>ITI Small Cap Fund - Regular Plan - IDCW Option</t>
  </si>
  <si>
    <t>INF192K01NH3</t>
  </si>
  <si>
    <t>JM Small Cap Fund (Direct) - Growth Option</t>
  </si>
  <si>
    <t>INF192K01NI1</t>
  </si>
  <si>
    <t>INF192K01NJ9</t>
  </si>
  <si>
    <t>JM Small Cap Fund (Direct) - IDCW Option</t>
  </si>
  <si>
    <t>INF192K01NE0</t>
  </si>
  <si>
    <t>JM Small Cap Fund (Regular) - Growth Option</t>
  </si>
  <si>
    <t>INF192K01NF7</t>
  </si>
  <si>
    <t>INF192K01NG5</t>
  </si>
  <si>
    <t>JM Small Cap Fund (Regular) - IDCW Option</t>
  </si>
  <si>
    <t>INF174K01211</t>
  </si>
  <si>
    <t>Kotak-Small Cap Fund - Growth</t>
  </si>
  <si>
    <t>INF174K01KT2</t>
  </si>
  <si>
    <t>Kotak-Small Cap Fund - Growth - Direct</t>
  </si>
  <si>
    <t>INF174K01237</t>
  </si>
  <si>
    <t>INF174K01229</t>
  </si>
  <si>
    <t>Kotak-Small Cap Fund - Payout of Income Distribution cum capital withdrawal option</t>
  </si>
  <si>
    <t>INF174K01KU0</t>
  </si>
  <si>
    <t>INF174K01KV8</t>
  </si>
  <si>
    <t>Kotak-Small Cap Fund - Payout of Income Distribution cum capital withdrawal option - Direct</t>
  </si>
  <si>
    <t>INF397L01JS1</t>
  </si>
  <si>
    <t>LIC MF Small Cap Fund-Direct Plan-Growth</t>
  </si>
  <si>
    <t>INF397L01JP7</t>
  </si>
  <si>
    <t>INF397L01JQ5</t>
  </si>
  <si>
    <t>LIC MF Small Cap Fund-Direct Plan-IDCW</t>
  </si>
  <si>
    <t>INF397L01JW3</t>
  </si>
  <si>
    <t>LIC MF Small Cap Fund-Regular Plan-Growth</t>
  </si>
  <si>
    <t>INF397L01JT9</t>
  </si>
  <si>
    <t>INF397L01JU7</t>
  </si>
  <si>
    <t>LIC MF Small Cap Fund-Regular Plan-IDCW</t>
  </si>
  <si>
    <t>INF174V01BK7</t>
  </si>
  <si>
    <t>Mahindra Manulife Small Cap Fund - Direct Plan - Growth</t>
  </si>
  <si>
    <t>INF174V01BL5</t>
  </si>
  <si>
    <t>INF174V01BM3</t>
  </si>
  <si>
    <t>Mahindra Manulife Small Cap Fund - Direct Plan - IDCW</t>
  </si>
  <si>
    <t>INF174V01BH3</t>
  </si>
  <si>
    <t>Mahindra Manulife Small Cap Fund - Regular Plan - Growth</t>
  </si>
  <si>
    <t>INF174V01BI1</t>
  </si>
  <si>
    <t>INF174V01BJ9</t>
  </si>
  <si>
    <t>Mahindra Manulife Small Cap Fund - Regular Plan - IDCW</t>
  </si>
  <si>
    <t>INF769K01NJ4</t>
  </si>
  <si>
    <t>Mirae Asset Small Cap Fund - Direct Plan - Growth</t>
  </si>
  <si>
    <t>INF769K01NL0</t>
  </si>
  <si>
    <t>INF769K01NK2</t>
  </si>
  <si>
    <t>Mirae Asset Small Cap Fund - Direct Plan - IDCW</t>
  </si>
  <si>
    <t>INF769K01NG0</t>
  </si>
  <si>
    <t>Mirae Asset Small Cap Fund - Regular Plan - Growth</t>
  </si>
  <si>
    <t>INF769K01NI6</t>
  </si>
  <si>
    <t>INF769K01NH8</t>
  </si>
  <si>
    <t>Mirae Asset Small Cap Fund - Regular Plan - IDCW</t>
  </si>
  <si>
    <t>INF247L01BY3</t>
  </si>
  <si>
    <t>Motilal Oswal Small Cap Fund - Direct - Growth</t>
  </si>
  <si>
    <t>INF247L01BZ0</t>
  </si>
  <si>
    <t>INF247L01CA1</t>
  </si>
  <si>
    <t>Motilal Oswal Small Cap Fund - Direct IDCW</t>
  </si>
  <si>
    <t>INF247L01BV9</t>
  </si>
  <si>
    <t>Motilal Oswal Small Cap Fund - Regular - Growth</t>
  </si>
  <si>
    <t>INF247L01BW7</t>
  </si>
  <si>
    <t>INF247L01BX5</t>
  </si>
  <si>
    <t>Motilal Oswal Small Cap Fund - Regular - IDCW</t>
  </si>
  <si>
    <t>INF204K01J91</t>
  </si>
  <si>
    <t>INF204K01K07</t>
  </si>
  <si>
    <t>NIPPON INDIA SMALL CAP FUND - Direct Plan - IDCW Option</t>
  </si>
  <si>
    <t>INF204K01J83</t>
  </si>
  <si>
    <t>Nippon India Small Cap Fund - Direct Plan Growth Plan - Bonus Option</t>
  </si>
  <si>
    <t>INF204K01K15</t>
  </si>
  <si>
    <t>Nippon India Small Cap Fund - Direct Plan Growth Plan - Growth Option</t>
  </si>
  <si>
    <t>INF204K01HZ0</t>
  </si>
  <si>
    <t>Nippon India Small Cap Fund - Growth Plan - Bonus Option</t>
  </si>
  <si>
    <t>INF204K01HY3</t>
  </si>
  <si>
    <t>Nippon India Small Cap Fund - Growth Plan - Growth Option</t>
  </si>
  <si>
    <t>INF204K01IA1</t>
  </si>
  <si>
    <t>INF204K01IB9</t>
  </si>
  <si>
    <t>NIPPON INDIA SMALL CAP FUND - IDCW Option</t>
  </si>
  <si>
    <t>INF663L01W14</t>
  </si>
  <si>
    <t>INF663L01W22</t>
  </si>
  <si>
    <t>PGIM India Small Cap Fund - Direct Plan - IDCW Option</t>
  </si>
  <si>
    <t>INF663L01W06</t>
  </si>
  <si>
    <t>PGIM India Small Cap Fund - Direct Plan- Growth Option</t>
  </si>
  <si>
    <t>INF663L01W30</t>
  </si>
  <si>
    <t>PGIM India Small Cap Fund - Regular Plan - Growth Option</t>
  </si>
  <si>
    <t>INF663L01W48</t>
  </si>
  <si>
    <t>INF663L01W55</t>
  </si>
  <si>
    <t>PGIM India Small Cap Fund - Regular Plan - IDCW Option</t>
  </si>
  <si>
    <t>INF966L01AA0</t>
  </si>
  <si>
    <t>quant Small Cap Fund - Growth - Regular Plan</t>
  </si>
  <si>
    <t>INF966L01689</t>
  </si>
  <si>
    <t>quant Small Cap Fund - Growth Option - Direct Plan</t>
  </si>
  <si>
    <t>INF966L01663</t>
  </si>
  <si>
    <t>INF966L01671</t>
  </si>
  <si>
    <t>quant Small Cap Fund - IDCW Option - Direct Plan</t>
  </si>
  <si>
    <t>INF206A01022</t>
  </si>
  <si>
    <t>INF966L01044</t>
  </si>
  <si>
    <t>quant Small Cap Fund - IDCW Option - Regular Plan</t>
  </si>
  <si>
    <t>INF082J01432</t>
  </si>
  <si>
    <t>QUANTUM SMALL CAP FUND - DIRECT PLAN GROWTH OPTION</t>
  </si>
  <si>
    <t>INF082J01440</t>
  </si>
  <si>
    <t>QUANTUM SMALL CAP FUND - REGULAR PLAN GROWTH OPTION</t>
  </si>
  <si>
    <t>INF0K1H01297</t>
  </si>
  <si>
    <t>Samco Small Cap Fund - Direct Plan</t>
  </si>
  <si>
    <t>INF0K1H01305</t>
  </si>
  <si>
    <t>Samco Small Cap Fund - Regular Plan</t>
  </si>
  <si>
    <t>INF200K01T51</t>
  </si>
  <si>
    <t>SBI Small Cap Fund - Direct Plan - Growth</t>
  </si>
  <si>
    <t>INF200K01T69</t>
  </si>
  <si>
    <t>INF200K01T77</t>
  </si>
  <si>
    <t>SBI Small Cap Fund - Direct Plan - Income Distribution cum Capital Withdrawal Option (IDCW)</t>
  </si>
  <si>
    <t>INF200K01T28</t>
  </si>
  <si>
    <t>SBI Small Cap Fund - Regular Plan - Growth</t>
  </si>
  <si>
    <t>INF200K01T36</t>
  </si>
  <si>
    <t>INF200K01T44</t>
  </si>
  <si>
    <t>SBI Small Cap Fund - Regular Plan - Income Distribution cum Capital Withdrawal Option (IDCW)</t>
  </si>
  <si>
    <t>INF903J01NK9</t>
  </si>
  <si>
    <t>Sundaram Small Cap Fund Direct Plan - Growth</t>
  </si>
  <si>
    <t>INF903J01NI3</t>
  </si>
  <si>
    <t>INF903J01NJ1</t>
  </si>
  <si>
    <t>Sundaram Small Cap Fund Direct Plan - Income Distribution cum Capital Withdrawal (IDCW)</t>
  </si>
  <si>
    <t>INF903J01470</t>
  </si>
  <si>
    <t>Sundaram Small Cap Fund Regular Plan - Growth</t>
  </si>
  <si>
    <t>INF903J01454</t>
  </si>
  <si>
    <t>INF903J01462</t>
  </si>
  <si>
    <t>Sundaram Small Cap Fund Regular Plan - Income Distribution cum Capital Withdrawal (IDCW)</t>
  </si>
  <si>
    <t>INF277K012O9</t>
  </si>
  <si>
    <t xml:space="preserve">TATA Small Cap Fund Direct Plan - Reinvestment of Income Distribution cum capital withdrawal option </t>
  </si>
  <si>
    <t>INF277K016O0</t>
  </si>
  <si>
    <t xml:space="preserve">TATA Small Cap Fund Regular Plan - Reinvestment of Income Distribution cum capital withdrawal option </t>
  </si>
  <si>
    <t>INF277K011O1</t>
  </si>
  <si>
    <t>Tata Small Cap Fund-Direct Plan-Growth</t>
  </si>
  <si>
    <t>INF277K015O2</t>
  </si>
  <si>
    <t>Tata Small Cap Fund-Regular Plan-Growth</t>
  </si>
  <si>
    <t>INF277K013O7</t>
  </si>
  <si>
    <t xml:space="preserve">TATA SmallCap Fund - Direct Plan - Payout of Income Distribution cum capital withdrawal option </t>
  </si>
  <si>
    <t>INF277K017O8</t>
  </si>
  <si>
    <t xml:space="preserve">TATA SmallCap Fund Regular Plan - Payout of Income Distribution cum capital withdrawal option </t>
  </si>
  <si>
    <t>INF2F0001537</t>
  </si>
  <si>
    <t>The Wealth Company Small Cap Fund- Direct-Growth</t>
  </si>
  <si>
    <t>INF2F0001545</t>
  </si>
  <si>
    <t>INF2F0001552</t>
  </si>
  <si>
    <t>The Wealth Company Small Cap Fund- Direct-IDCW</t>
  </si>
  <si>
    <t>INF2F0001503</t>
  </si>
  <si>
    <t>The Wealth Company Small Cap Fund- Regular-Growth</t>
  </si>
  <si>
    <t>INF2F0001511</t>
  </si>
  <si>
    <t>INF2F0001529</t>
  </si>
  <si>
    <t>The Wealth Company Small Cap Fund- Regular-IDCW</t>
  </si>
  <si>
    <t>INF0GCD01800</t>
  </si>
  <si>
    <t>TRUSTMF SMALL CAP FUND -DIRECT PLAN-GROWTH</t>
  </si>
  <si>
    <t>INF0GCD01826</t>
  </si>
  <si>
    <t>INF0GCD01818</t>
  </si>
  <si>
    <t>TRUSTMF SMALL CAP FUND -DIRECT PLAN-IDCW</t>
  </si>
  <si>
    <t>INF0GCD01792</t>
  </si>
  <si>
    <t>INF0GCD01784</t>
  </si>
  <si>
    <t>TRUSTMF SMALL CAP FUND -REGULAR PLAN- IDCW</t>
  </si>
  <si>
    <t>INF0GCD01776</t>
  </si>
  <si>
    <t>TRUSTMF SMALL CAP FUND -REGULAR PLAN-GROWTH</t>
  </si>
  <si>
    <t>INF582M01BU9</t>
  </si>
  <si>
    <t>Union Small Cap Fund - Direct Plan - Growth Option</t>
  </si>
  <si>
    <t>INF582M01BW5</t>
  </si>
  <si>
    <t>INF582M01BV7</t>
  </si>
  <si>
    <t>Union Small Cap Fund - Direct Plan - IDCW Option</t>
  </si>
  <si>
    <t>INF582M01BY1</t>
  </si>
  <si>
    <t>Union Small Cap Fund - Regular Plan - Growth Option</t>
  </si>
  <si>
    <t>INF582M01CA9</t>
  </si>
  <si>
    <t>INF582M01BZ8</t>
  </si>
  <si>
    <t>Union Small Cap Fund - Regular Plan - IDCW Option</t>
  </si>
  <si>
    <t>INF789F1AUQ1</t>
  </si>
  <si>
    <t>UTI Small Cap Fund - Direct Plan - Growth Option</t>
  </si>
  <si>
    <t>INF789F1AUR9</t>
  </si>
  <si>
    <t>UTI Small Cap Fund - Direct Plan - IDCW (Payout)</t>
  </si>
  <si>
    <t>INF789F1AUO6</t>
  </si>
  <si>
    <t>UTI Small Cap Fund - Regular Plan - Growth Option</t>
  </si>
  <si>
    <t>INF789F1AUP3</t>
  </si>
  <si>
    <t>UTI Small Cap Fund - Regular Plan - IDCW (Payout)</t>
  </si>
  <si>
    <t>INF209K01WP9</t>
  </si>
  <si>
    <t>INF209K01WR5</t>
  </si>
  <si>
    <t>Aditya Birla Sun Life Value Fund - Direct - IDCW</t>
  </si>
  <si>
    <t>INF209K01WQ7</t>
  </si>
  <si>
    <t>Aditya Birla Sun Life Value Fund - Growth - Direct Plan</t>
  </si>
  <si>
    <t>INF209K01LF3</t>
  </si>
  <si>
    <t>Aditya Birla Sun Life Value Fund - Growth Option</t>
  </si>
  <si>
    <t>INF209K01LE6</t>
  </si>
  <si>
    <t>INF209K01LG1</t>
  </si>
  <si>
    <t>Aditya Birla Sun Life Value Fund - Regular - IDCW</t>
  </si>
  <si>
    <t>INF846K010C0</t>
  </si>
  <si>
    <t>Axis Value Fund - Direct Plan - Growth</t>
  </si>
  <si>
    <t>INF846K011C8</t>
  </si>
  <si>
    <t>INF846K012C6</t>
  </si>
  <si>
    <t>Axis Value Fund - Direct Plan - IDCW</t>
  </si>
  <si>
    <t>INF846K013C4</t>
  </si>
  <si>
    <t>Axis Value Fund - Regular Plan - Growth</t>
  </si>
  <si>
    <t>INF846K014C2</t>
  </si>
  <si>
    <t>INF846K015C9</t>
  </si>
  <si>
    <t>Axis Value Fund - Regular Plan - IDCW</t>
  </si>
  <si>
    <t>INF194K01Z85</t>
  </si>
  <si>
    <t>Bandhan Value Fund - Direct Plan - Growth</t>
  </si>
  <si>
    <t>INF194K01Z93</t>
  </si>
  <si>
    <t>INF194K010A2</t>
  </si>
  <si>
    <t>Bandhan Value Fund - Direct Plan - IDCW</t>
  </si>
  <si>
    <t>INF194K01342</t>
  </si>
  <si>
    <t>Bandhan Value Fund - Regular Plan - Growth</t>
  </si>
  <si>
    <t>INF194K01359</t>
  </si>
  <si>
    <t>INF194K01367</t>
  </si>
  <si>
    <t>Bandhan Value Fund - Regular Plan - IDCW</t>
  </si>
  <si>
    <t>INF251K01SD5</t>
  </si>
  <si>
    <t>Baroda BNP Paribas Value Fund - Direct Plan - Growth option</t>
  </si>
  <si>
    <t>INF251K01SE3</t>
  </si>
  <si>
    <t>INF251K01SF0</t>
  </si>
  <si>
    <t>Baroda BNP Paribas Value Fund - Direct Plan - IDCW option</t>
  </si>
  <si>
    <t>INF251K01SA1</t>
  </si>
  <si>
    <t>Baroda BNP Paribas Value Fund - Regular Plan - Growth option</t>
  </si>
  <si>
    <t>INF251K01SB9</t>
  </si>
  <si>
    <t>INF251K01SC7</t>
  </si>
  <si>
    <t>Baroda BNP Paribas Value Fund - Regular Plan - IDCW option</t>
  </si>
  <si>
    <t>INF760K01JW4</t>
  </si>
  <si>
    <t>Canara Robeco Value Fund - Direct Plan - Growth Option</t>
  </si>
  <si>
    <t>INF760K01JY0</t>
  </si>
  <si>
    <t>INF760K01JX2</t>
  </si>
  <si>
    <t>Canara Robeco Value Fund - Direct Plan - IDCW (Payout/Reinvestment)</t>
  </si>
  <si>
    <t>INF760K01JZ7</t>
  </si>
  <si>
    <t>Canara Robeco Value Fund - Regular Plan - Growth Option</t>
  </si>
  <si>
    <t>INF760K01KB6</t>
  </si>
  <si>
    <t>INF760K01KA8</t>
  </si>
  <si>
    <t>Canara Robeco Value Fund - Regular Plan - IDCW (Payout/Reinvestment)</t>
  </si>
  <si>
    <t>INF740KA1PP3</t>
  </si>
  <si>
    <t>DSP Value Fund - Direct Plan - Growth</t>
  </si>
  <si>
    <t>INF740KA1PQ1</t>
  </si>
  <si>
    <t>INF740KA1PR9</t>
  </si>
  <si>
    <t>DSP Value Fund - Direct Plan - IDCW</t>
  </si>
  <si>
    <t>INF740KA1PM0</t>
  </si>
  <si>
    <t>DSP Value Fund - Regular Plan - Growth</t>
  </si>
  <si>
    <t>INF740KA1PN8</t>
  </si>
  <si>
    <t>INF740KA1PO6</t>
  </si>
  <si>
    <t>DSP Value Fund - Regular Plan - IDCW</t>
  </si>
  <si>
    <t>INF090I01GY2</t>
  </si>
  <si>
    <t>Templeton India Value Fund - Direct - Growth</t>
  </si>
  <si>
    <t>INF090I01GW6</t>
  </si>
  <si>
    <t>INF090I01GX4</t>
  </si>
  <si>
    <t xml:space="preserve">Templeton India Value Fund - Direct - IDCW </t>
  </si>
  <si>
    <t>INF090I01296</t>
  </si>
  <si>
    <t>Templeton India Value Fund - Growth Plan</t>
  </si>
  <si>
    <t>INF090I01270</t>
  </si>
  <si>
    <t>INF090I01288</t>
  </si>
  <si>
    <t xml:space="preserve">Templeton India Value Fund - IDCW </t>
  </si>
  <si>
    <t>INF666M01BE4</t>
  </si>
  <si>
    <t>Groww Value Fund (formerly known as Indiabulls Value Fund) - Direct Plan - Growth Option</t>
  </si>
  <si>
    <t>INF666M01BH7</t>
  </si>
  <si>
    <t>Groww Value Fund (formerly known as Indiabulls Value Fund) - Regular Plan - Growth Option</t>
  </si>
  <si>
    <t>INF666M01BF1</t>
  </si>
  <si>
    <t>INF666M01BG9</t>
  </si>
  <si>
    <t>Groww Value Fund (formerly known as Indiabulls Value Fund)- Direct Plan- - Income Distribution cum capital withdrawal Option (Payout &amp; Reinvestment)</t>
  </si>
  <si>
    <t>INF666M01DC4</t>
  </si>
  <si>
    <t>INF666M01DD2</t>
  </si>
  <si>
    <t>Groww Value Fund (formerly known as Indiabulls Value Fund)- Direct Plan- Half Yearly - Income Distribution cum capital withdrawal Option (Payout &amp; Reinvestment)</t>
  </si>
  <si>
    <t>INF666M01CY0</t>
  </si>
  <si>
    <t>INF666M01CZ7</t>
  </si>
  <si>
    <t>Groww Value Fund (formerly known as Indiabulls Value Fund)- Direct Plan- Monthly - Income Distribution cum capital withdrawal Option (Payout &amp; Reinvestment)</t>
  </si>
  <si>
    <t>INF666M01DA8</t>
  </si>
  <si>
    <t>INF666M01DB6</t>
  </si>
  <si>
    <t>Groww Value Fund (formerly known as Indiabulls Value Fund)- Direct Plan- Quarterly - Income Distribution cum capital withdrawal Option (Payout &amp; Reinvestment)</t>
  </si>
  <si>
    <t>INF666M01BI5</t>
  </si>
  <si>
    <t>INF666M01BJ3</t>
  </si>
  <si>
    <t>Groww Value Fund (formerly known as Indiabulls Value Fund)- Regular Plan - Income Distribution cum capital withdrawal Option (Payout &amp; Reinvestment)</t>
  </si>
  <si>
    <t>INF666M01DI1</t>
  </si>
  <si>
    <t>INF666M01DJ9</t>
  </si>
  <si>
    <t>Groww Value Fund (formerly known as Indiabulls Value Fund)- Regular Plan- Half Yearly -Income Distribution cum capital withdrawal Option (Payout &amp; Reinvestment)</t>
  </si>
  <si>
    <t>INF666M01DE0</t>
  </si>
  <si>
    <t>INF666M01DF7</t>
  </si>
  <si>
    <t>Groww Value Fund (formerly known as Indiabulls Value Fund)- Regular Plan- Monthly - Income Distribution cum capital withdrawal Option (Payout &amp; Reinvestment.</t>
  </si>
  <si>
    <t>INF666M01DG5</t>
  </si>
  <si>
    <t>INF666M01DH3</t>
  </si>
  <si>
    <t>Groww Value Fund (formerly known as Indiabulls Value Fund)- Regular Plan- Quarterly - Income Distribution cum capital withdrawal Option (Payout &amp; Reinvestment)</t>
  </si>
  <si>
    <t>INF179K01VC4</t>
  </si>
  <si>
    <t>HDFC Value Fund - Growth Option - Direct Plan</t>
  </si>
  <si>
    <t>INF179K01426</t>
  </si>
  <si>
    <t>HDFC Value Fund - Growth Plan</t>
  </si>
  <si>
    <t>INF179K01VA8</t>
  </si>
  <si>
    <t>INF179K01VB6</t>
  </si>
  <si>
    <t>HDFC Value Fund - IDCW Option - Direct Plan</t>
  </si>
  <si>
    <t>INF179K01400</t>
  </si>
  <si>
    <t>INF179K01418</t>
  </si>
  <si>
    <t>HDFC Value Fund - IDCW Plan</t>
  </si>
  <si>
    <t>INF917K01HD4</t>
  </si>
  <si>
    <t>HSBC Value Fund - Direct Growth</t>
  </si>
  <si>
    <t>INF917K01HC6</t>
  </si>
  <si>
    <t>INF917K01HB8</t>
  </si>
  <si>
    <t>HSBC Value Fund - Direct IDCW</t>
  </si>
  <si>
    <t>INF677K01023</t>
  </si>
  <si>
    <t>HSBC Value Fund - Regular Growth</t>
  </si>
  <si>
    <t>INF677K01213</t>
  </si>
  <si>
    <t>INF677K01015</t>
  </si>
  <si>
    <t>HSBC Value Fund - Regular IDCW</t>
  </si>
  <si>
    <t>INF109K012K1</t>
  </si>
  <si>
    <t>ICICI Prudential Value Fund (erstwhile Value Discovery Fund) - Direct Plan - Growth</t>
  </si>
  <si>
    <t>INF109K011K3</t>
  </si>
  <si>
    <t>INF109K010K5</t>
  </si>
  <si>
    <t>ICICI Prudential Value Fund (erstwhile Value Discovery Fund) - Direct Plan - IDCW</t>
  </si>
  <si>
    <t>INF109K01AF8</t>
  </si>
  <si>
    <t>ICICI Prudential Value Fund (erstwhile Value Discovery Fund) - Growth</t>
  </si>
  <si>
    <t>INF109K01EC7</t>
  </si>
  <si>
    <t>INF109K01AD3</t>
  </si>
  <si>
    <t>ICICI Prudential Value Fund (erstwhile Value Discovery Fund) - IDCW</t>
  </si>
  <si>
    <t>INF00XX01AQ6</t>
  </si>
  <si>
    <t>ITI Value Fund - Direct Plan - Growth Option</t>
  </si>
  <si>
    <t>INF00XX01AR4</t>
  </si>
  <si>
    <t>INF00XX01AS2</t>
  </si>
  <si>
    <t>ITI Value Fund - Direct Plan - IDCW Option</t>
  </si>
  <si>
    <t>INF00XX01AN3</t>
  </si>
  <si>
    <t>ITI Value Fund - Regular Plan - Growth Option</t>
  </si>
  <si>
    <t>INF00XX01AO1</t>
  </si>
  <si>
    <t>INF00XX01AP8</t>
  </si>
  <si>
    <t>ITI Value Fund - Regular Plan - IDCW Option</t>
  </si>
  <si>
    <t>INF192K01BT3</t>
  </si>
  <si>
    <t>JM Value Fund (Direct) - Growth Option</t>
  </si>
  <si>
    <t>INF192K01BR7</t>
  </si>
  <si>
    <t>INF192K01BS5</t>
  </si>
  <si>
    <t>JM Value Fund (Direct) - IDCW</t>
  </si>
  <si>
    <t>INF137A01037</t>
  </si>
  <si>
    <t>JM Value Fund (Regular) - Growth Option</t>
  </si>
  <si>
    <t>INF137A01011</t>
  </si>
  <si>
    <t>INF137A01029</t>
  </si>
  <si>
    <t>JM Value Fund (Regular) - IDCW</t>
  </si>
  <si>
    <t>INF397L01KU5</t>
  </si>
  <si>
    <t>LIC MF Value Fund-Direct Plan-Growth</t>
  </si>
  <si>
    <t>INF397L01KR1</t>
  </si>
  <si>
    <t>LIC MF Value Fund-Direct Plan-IDCW</t>
  </si>
  <si>
    <t>INF397L01KQ3</t>
  </si>
  <si>
    <t>LIC MF Value Fund-Regular Plan-Growth</t>
  </si>
  <si>
    <t>INF397L01KN0</t>
  </si>
  <si>
    <t>LIC MF Value Fund-Regular Plan-IDCW</t>
  </si>
  <si>
    <t>INF174V01CI9</t>
  </si>
  <si>
    <t>Mahindra Manulife Value Fund - Direct Plan - Growth</t>
  </si>
  <si>
    <t>INF174V01CJ7</t>
  </si>
  <si>
    <t>INF174V01CK5</t>
  </si>
  <si>
    <t>Mahindra Manulife Value Fund - Direct Plan - IDCW</t>
  </si>
  <si>
    <t>INF174V01CF5</t>
  </si>
  <si>
    <t>Mahindra Manulife Value Fund - Regular Plan - Growth</t>
  </si>
  <si>
    <t>INF174V01CH1</t>
  </si>
  <si>
    <t>INF174V01CG3</t>
  </si>
  <si>
    <t>Mahindra Manulife Value Fund - Regular Plan - IDCW</t>
  </si>
  <si>
    <t>INF204K01K23</t>
  </si>
  <si>
    <t>INF204K01K31</t>
  </si>
  <si>
    <t>NIPPON INDIA VALUE FUND - DIRECT Plan - IDCW Option</t>
  </si>
  <si>
    <t>INF204K01K49</t>
  </si>
  <si>
    <t>Nippon India Value Fund - Direct Plan Growth Plan</t>
  </si>
  <si>
    <t>INF204K01GC1</t>
  </si>
  <si>
    <t>INF204K01GD9</t>
  </si>
  <si>
    <t>NIPPON INDIA VALUE FUND - IDCW Option</t>
  </si>
  <si>
    <t>INF204K01GB3</t>
  </si>
  <si>
    <t>Nippon India Value Fund- Growth Plan</t>
  </si>
  <si>
    <t>INF966L01AN3</t>
  </si>
  <si>
    <t>Quant Value Fund - Growth Option  - Direct Plan</t>
  </si>
  <si>
    <t>INF966L01AQ6</t>
  </si>
  <si>
    <t>Quant Value Fund - Growth Option - Regular Plan</t>
  </si>
  <si>
    <t>INF966L01AO1</t>
  </si>
  <si>
    <t>INF966L01AP8</t>
  </si>
  <si>
    <t>Quant Value Fund - IDCW Option - Direct Plan</t>
  </si>
  <si>
    <t>INF966L01AR4</t>
  </si>
  <si>
    <t>INF966L01AS2</t>
  </si>
  <si>
    <t>Quant Value Fund - IDCW Option- Regular Plan</t>
  </si>
  <si>
    <t>INF082J01036</t>
  </si>
  <si>
    <t>Quantum Value Fund - Direct Plan Growth Option</t>
  </si>
  <si>
    <t>INF082J01044</t>
  </si>
  <si>
    <t>INF082J01051</t>
  </si>
  <si>
    <t>Quantum Value Fund - Direct Plan IDCW</t>
  </si>
  <si>
    <t>INF082J01242</t>
  </si>
  <si>
    <t>Quantum Value Fund - Regular Plan Growth Option</t>
  </si>
  <si>
    <t>INF082J01259</t>
  </si>
  <si>
    <t>INF082J01267</t>
  </si>
  <si>
    <t>Quantum Value Fund - Regular Plan IDCW</t>
  </si>
  <si>
    <t>INF903J01NN3</t>
  </si>
  <si>
    <t>Sundaram Value Fund Direct Plan - Growth</t>
  </si>
  <si>
    <t>INF903J01NL7</t>
  </si>
  <si>
    <t>INF903J01NM5</t>
  </si>
  <si>
    <t>Sundaram Value Fund Direct Plan - Income Distribution cum Capital Withdrawal (IDCW)</t>
  </si>
  <si>
    <t>INF903J01538</t>
  </si>
  <si>
    <t>Sundaram Value Fund Regular Plan - Growth</t>
  </si>
  <si>
    <t>INF903J01512</t>
  </si>
  <si>
    <t>INF903J01520</t>
  </si>
  <si>
    <t>Sundaram Value Fund Regular Plan - Income Distribution cum Capital Withdrawal (IDCW)</t>
  </si>
  <si>
    <t>INF277K01DI1</t>
  </si>
  <si>
    <t>INF277K01436</t>
  </si>
  <si>
    <t>Tata Value Fund - Regular Plan - Payout of IDCW-Option A(5%)</t>
  </si>
  <si>
    <t>INF277K01451</t>
  </si>
  <si>
    <t>Tata Value Fund - Regular Plan -Growth Option</t>
  </si>
  <si>
    <t>INF277K01ND1</t>
  </si>
  <si>
    <t>Tata Value Fund -Direct Plan Growth Option</t>
  </si>
  <si>
    <t>INF277K01DJ9</t>
  </si>
  <si>
    <t>INF277K01444</t>
  </si>
  <si>
    <t>Tata Value Fund Regular Plan - Payout of IDCW-Option B(10%)</t>
  </si>
  <si>
    <t>INF277K01NB5</t>
  </si>
  <si>
    <t>INF277K01NC3</t>
  </si>
  <si>
    <t>Tata Value Fund- Direct Plan - Payout of IDCW -Option B(10%)</t>
  </si>
  <si>
    <t>INF277K01MZ6</t>
  </si>
  <si>
    <t>INF277K01NA7</t>
  </si>
  <si>
    <t>Tata Value Fund- Direct Plan -Payout of IDCW-Option A(5%)</t>
  </si>
  <si>
    <t>INF582M01EK4</t>
  </si>
  <si>
    <t>Union Value Fund - Direct Plan - Growth Option</t>
  </si>
  <si>
    <t>INF582M01EM0</t>
  </si>
  <si>
    <t>INF582M01EL2</t>
  </si>
  <si>
    <t>Union Value Fund - Direct Plan - IDCW Option</t>
  </si>
  <si>
    <t>INF582M01EO6</t>
  </si>
  <si>
    <t>Union Value Fund - Regular Plan - Growth Option</t>
  </si>
  <si>
    <t>INF582M01EQ1</t>
  </si>
  <si>
    <t>INF582M01EP3</t>
  </si>
  <si>
    <t>Union Value Fund - Regular Plan - IDCW Option</t>
  </si>
  <si>
    <t>INF789F01VB2</t>
  </si>
  <si>
    <t>UTI Value Fund - Direct Plan - Growth Option</t>
  </si>
  <si>
    <t>INF789F01UZ3</t>
  </si>
  <si>
    <t>INF789F01VA4</t>
  </si>
  <si>
    <t>UTI Value Fund - Direct Plan - IDCW</t>
  </si>
  <si>
    <t>INF789F01AG5</t>
  </si>
  <si>
    <t>UTI Value Fund - Regular Plan - Growth Option</t>
  </si>
  <si>
    <t>INF789F01AE0</t>
  </si>
  <si>
    <t>INF789F01AF7</t>
  </si>
  <si>
    <t>UTI Value Fund - Regular Plan - IDCW</t>
  </si>
  <si>
    <t>INF109K019C3</t>
  </si>
  <si>
    <t>INF109K010D0</t>
  </si>
  <si>
    <t>ICICI Prudential Gilt Fund Investment Plan PF Option - Direct Plan - Half Yearly Dividend</t>
  </si>
  <si>
    <t>INF109K011D8</t>
  </si>
  <si>
    <t>ICICI Prudential Gilt Fund Investment Plan PF Option - Direct Plan -Growth Option</t>
  </si>
  <si>
    <t>INF109K01JS2</t>
  </si>
  <si>
    <t>ICICI Prudential Gilt Fund Investment Plan PF Option - Growth</t>
  </si>
  <si>
    <t>INF109K01I15</t>
  </si>
  <si>
    <t>INF109K01I07</t>
  </si>
  <si>
    <t>ICICI Prudential Gilt Fund Investment Plan PF Option - Half Yearly Dividend</t>
  </si>
  <si>
    <t>INF109KA1C31</t>
  </si>
  <si>
    <t>ICICI Prudential Gilt Investment PF Option - Bonus</t>
  </si>
  <si>
    <t>INF109KA1C23</t>
  </si>
  <si>
    <t>ICICI Prudential Gilt Investment PF Option - Direct Plan Bonus</t>
  </si>
  <si>
    <t>INF109K017D5</t>
  </si>
  <si>
    <t>INF109K018D3</t>
  </si>
  <si>
    <t>ICICI Prudential Gilt Fund Treasury Plan PF Option - Direct Plan - Half Yearly Dividend</t>
  </si>
  <si>
    <t>INF109K019D1</t>
  </si>
  <si>
    <t>INF109K010E8</t>
  </si>
  <si>
    <t>ICICI Prudential Gilt Fund Treasury Plan PF Option - Direct Plan - Quarterly Dividend</t>
  </si>
  <si>
    <t>INF109K011E6</t>
  </si>
  <si>
    <t>ICICI Prudential Gilt Fund Treasury Plan PF Option - Direct Plan -Growth Option</t>
  </si>
  <si>
    <t>INF109K01KA8</t>
  </si>
  <si>
    <t>ICICI Prudential Gilt Fund Treasury Plan PF Option - Growth</t>
  </si>
  <si>
    <t>INF109K01I56</t>
  </si>
  <si>
    <t>INF109K01I31</t>
  </si>
  <si>
    <t>ICICI Prudential Gilt Fund Treasury Plan PF Option - Half Yearly Dividend</t>
  </si>
  <si>
    <t>INF109K01I49</t>
  </si>
  <si>
    <t>INF109K01I23</t>
  </si>
  <si>
    <t>ICICI Prudential Gilt Fund Treasury Plan PF Option - Quarterly Dividend</t>
  </si>
  <si>
    <t>INF109KA1C56</t>
  </si>
  <si>
    <t>ICICI Prudential Gilt Treasury PF Option - Bonus</t>
  </si>
  <si>
    <t>INF109K01DZ0</t>
  </si>
  <si>
    <t>INF109K01AO0</t>
  </si>
  <si>
    <t>ICICI Prudential Blended Plan A -  Dividend</t>
  </si>
  <si>
    <t>INF109KA1B65</t>
  </si>
  <si>
    <t>ICICI Prudential Blended Plan A - Direct Plan Bonus</t>
  </si>
  <si>
    <t>INF109K01AP7</t>
  </si>
  <si>
    <t>ICICI Prudential Blended Plan A - Growth</t>
  </si>
  <si>
    <t>INF109K013C6</t>
  </si>
  <si>
    <t>INF109K014C4</t>
  </si>
  <si>
    <t>ICICI Prudential Blended Plan A-Direct Plan -  Dividend</t>
  </si>
  <si>
    <t>INF109K015C1</t>
  </si>
  <si>
    <t>ICICI Prudential Blended Plan A-Direct Plan -  Growth</t>
  </si>
  <si>
    <t>INF209K01ZC0</t>
  </si>
  <si>
    <t>Aditya Birla Sun Life Equity Hybrid'95 Fund - Direct Plan-Growth</t>
  </si>
  <si>
    <t>INF209K01BT5</t>
  </si>
  <si>
    <t>Aditya Birla Sun Life Equity Hybrid'95 Fund - Regular Plan-Growth</t>
  </si>
  <si>
    <t>INF209KA1LH3</t>
  </si>
  <si>
    <t>INF209K01ZB2</t>
  </si>
  <si>
    <t>Aditya Birla Sun Life Equity Hybrid'95 Fund -DIRECT - IDCW</t>
  </si>
  <si>
    <t>INF209K01BS7</t>
  </si>
  <si>
    <t>INF209K01EE1</t>
  </si>
  <si>
    <t>Aditya Birla Sun Life Equity Hybrid'95 Fund -Regular - IDCW</t>
  </si>
  <si>
    <t>INF846K01E25</t>
  </si>
  <si>
    <t>Axis Aggressive Hybrid Fund - Direct Plan - Growth Option</t>
  </si>
  <si>
    <t>INF846K01E33</t>
  </si>
  <si>
    <t>INF846K01E41</t>
  </si>
  <si>
    <t>Axis Aggressive Hybrid Fund - Direct Plan - Monthly IDCW</t>
  </si>
  <si>
    <t>INF846K01E58</t>
  </si>
  <si>
    <t>INF846K01E66</t>
  </si>
  <si>
    <t>Axis Aggressive Hybrid Fund - Direct Plan - Quarterly IDCW</t>
  </si>
  <si>
    <t>INF846K01E09</t>
  </si>
  <si>
    <t>INF846K01E17</t>
  </si>
  <si>
    <t>Axis Aggressive Hybrid Fund - Direct Plan - Regular IDCW</t>
  </si>
  <si>
    <t>INF846K01E90</t>
  </si>
  <si>
    <t>Axis Aggressive Hybrid Fund - Regular Plan - Growth Option</t>
  </si>
  <si>
    <t>INF846K01F08</t>
  </si>
  <si>
    <t>INF846K01F16</t>
  </si>
  <si>
    <t>Axis Aggressive Hybrid Fund - Regular Plan - Monthly IDCW</t>
  </si>
  <si>
    <t>INF846K01F24</t>
  </si>
  <si>
    <t>INF846K01F32</t>
  </si>
  <si>
    <t>Axis Aggressive Hybrid Fund - Regular Plan - Quarterly IDCW</t>
  </si>
  <si>
    <t>INF846K01E74</t>
  </si>
  <si>
    <t>INF846K01E82</t>
  </si>
  <si>
    <t>Axis Aggressive Hybrid Fund - Regular Plan - Regular IDCW</t>
  </si>
  <si>
    <t>INF194KA1U56</t>
  </si>
  <si>
    <t>Bandhan Aggressive Hybrid Fund-Direct Plan Growth</t>
  </si>
  <si>
    <t>INF194KA1U64</t>
  </si>
  <si>
    <t>INF194KA1U72</t>
  </si>
  <si>
    <t>Bandhan Aggressive Hybrid Fund-Direct Plan IDCW</t>
  </si>
  <si>
    <t>INF194KA1U15</t>
  </si>
  <si>
    <t>Bandhan Aggressive Hybrid Fund-Regular Plan Growth</t>
  </si>
  <si>
    <t>INF194KA1U23</t>
  </si>
  <si>
    <t>INF194KA1U31</t>
  </si>
  <si>
    <t>Bandhan Aggressive Hybrid Fund-Regular Plan IDCW</t>
  </si>
  <si>
    <t>INF761K01DM6</t>
  </si>
  <si>
    <t>BANK OF INDIA MID &amp; SMALL CAP EQUITY &amp; DEBT FUND - DIRECT PLAN GROWTH</t>
  </si>
  <si>
    <t>INF761K01DN4</t>
  </si>
  <si>
    <t>INF761K01DO2</t>
  </si>
  <si>
    <t>BANK OF INDIA MID &amp; SMALL CAP EQUITY &amp; DEBT FUND - DIRECT PLAN IDCW</t>
  </si>
  <si>
    <t>INF761K01DP9</t>
  </si>
  <si>
    <t>BANK OF INDIA MID &amp; SMALL CAP EQUITY &amp; DEBT FUND - REGULAR  PLAN  GROWTH</t>
  </si>
  <si>
    <t>INF761K01DQ7</t>
  </si>
  <si>
    <t>INF761K01DR5</t>
  </si>
  <si>
    <t>BANK OF INDIA MID &amp; SMALL CAP EQUITY &amp; DEBT FUND - REGULAR  PLAN IDCW</t>
  </si>
  <si>
    <t>INF251K01PB5</t>
  </si>
  <si>
    <t>INF251K01PA7</t>
  </si>
  <si>
    <t>Baroda BNP Paribas Aggressive Hybrid Fund -DIRECT PLAN- IDCW OPTION</t>
  </si>
  <si>
    <t>INF251K01OZ7</t>
  </si>
  <si>
    <t>Baroda BNP Paribas Aggressive Hybrid Fund- DIRECT PLAN - GROWTH OPTION</t>
  </si>
  <si>
    <t>INF251K01OY0</t>
  </si>
  <si>
    <t>INF251K01OX2</t>
  </si>
  <si>
    <t>Baroda BNP Paribas Aggressive Hybrid Fund- REGULAR PLAN- IDCW OPTION</t>
  </si>
  <si>
    <t>INF251K01OW4</t>
  </si>
  <si>
    <t>Baroda BNP Paribas Aggressive Hybrid Fund- REGULAT PLAN -GROWTH OPTION</t>
  </si>
  <si>
    <t>INF760K01EZ8</t>
  </si>
  <si>
    <t>CANARA ROBECO EQUITY HYBRID FUND - DIRECT PLAN - GROWTH OPTION</t>
  </si>
  <si>
    <t>INF760K01EX3</t>
  </si>
  <si>
    <t>INF760K01EY1</t>
  </si>
  <si>
    <t>CANARA ROBECO EQUITY HYBRID FUND - DIRECT PLAN - MONTHLY IDCW (Payout/Reinvestment)</t>
  </si>
  <si>
    <t>INF760K01050</t>
  </si>
  <si>
    <t>CANARA ROBECO EQUITY HYBRID FUND - REGULAR PLAN - GROWTH OPTION</t>
  </si>
  <si>
    <t>INF760K01068</t>
  </si>
  <si>
    <t>INF760K01076</t>
  </si>
  <si>
    <t>CANARA ROBECO EQUITY HYBRID FUND - REGULAR PLAN - MONTHLY IDCW (Payout/Reinvestment)</t>
  </si>
  <si>
    <t>INF740K01NY4</t>
  </si>
  <si>
    <t>DSP Aggressive Hybrid Fund - Direct Plan - Growth</t>
  </si>
  <si>
    <t>INF740K01NZ1</t>
  </si>
  <si>
    <t>INF740K01OA2</t>
  </si>
  <si>
    <t>DSP Aggressive Hybrid Fund - Direct Plan - IDCW</t>
  </si>
  <si>
    <t>INF740K01318</t>
  </si>
  <si>
    <t>DSP Aggressive Hybrid Fund- Regular Plan - Growth</t>
  </si>
  <si>
    <t>INF740K01326</t>
  </si>
  <si>
    <t>INF740K01334</t>
  </si>
  <si>
    <t>DSP Aggressive Hybrid Fund- Regular Plan - IDCW</t>
  </si>
  <si>
    <t>INF754K01CB6</t>
  </si>
  <si>
    <t>INF754K01CC4</t>
  </si>
  <si>
    <t>Edelweiss Aggressive Hybrid Fund  - Direct Plan - IDCW Option</t>
  </si>
  <si>
    <t>INF754K01137</t>
  </si>
  <si>
    <t>INF754K01145</t>
  </si>
  <si>
    <t>Edelweiss Aggressive Hybrid Fund  - Plan B - IDCW Option</t>
  </si>
  <si>
    <t>INF754K01202</t>
  </si>
  <si>
    <t>Edelweiss Aggressive Hybrid Fund - Regular Plan - Growth Option</t>
  </si>
  <si>
    <t>INF754K01178</t>
  </si>
  <si>
    <t>INF754K01186</t>
  </si>
  <si>
    <t>Edelweiss Aggressive Hybrid Fund - Regular Plan - IDCW Option</t>
  </si>
  <si>
    <t>INF754K01160</t>
  </si>
  <si>
    <t>Edelweiss Aggressive Hybrid Fund- Plan B-Growth Option</t>
  </si>
  <si>
    <t>INF754K01CE0</t>
  </si>
  <si>
    <t>Edelweiss Aggressive Hybrid Fund-Direct Plan-Growth Option</t>
  </si>
  <si>
    <t>INF090I01FZ1</t>
  </si>
  <si>
    <t>Franklin India Aggressive Hybrid Fund - Direct - Growth</t>
  </si>
  <si>
    <t>INF090I01GA2</t>
  </si>
  <si>
    <t>INF090I01GB0</t>
  </si>
  <si>
    <t>Franklin India Aggressive Hybrid Fund - Direct - IDCW</t>
  </si>
  <si>
    <t>INF090I01817</t>
  </si>
  <si>
    <t>Franklin India Aggressive Hybrid Fund - Growth Plan</t>
  </si>
  <si>
    <t>INF090I01825</t>
  </si>
  <si>
    <t>INF090I01833</t>
  </si>
  <si>
    <t>Franklin India Aggressive Hybrid Fund - IDCW</t>
  </si>
  <si>
    <t>INF666M01FA3</t>
  </si>
  <si>
    <t>Groww Aggressive Hybrid Fund (formerly known as Indiabulls Equity Hybrid Fund) - Direct Plan - Growth option</t>
  </si>
  <si>
    <t>INF666M01FJ4</t>
  </si>
  <si>
    <t>Groww Aggressive Hybrid Fund (formerly known as Indiabulls Equity Hybrid Fund) - Regular Plan - Growth option</t>
  </si>
  <si>
    <t>INF666M01FB1</t>
  </si>
  <si>
    <t>INF666M01FC9</t>
  </si>
  <si>
    <t>Groww Aggressive Hybrid Fund (formerly known as Indiabulls Equity Hybrid Fund)- Direct Plan- - Income Distribution cum capital withdrawal Option (Payout &amp; Reinvestment)</t>
  </si>
  <si>
    <t>INF666M01FH8</t>
  </si>
  <si>
    <t>INF666M01FI6</t>
  </si>
  <si>
    <t>Groww Aggressive Hybrid Fund (formerly known as Indiabulls Equity Hybrid Fund)- Direct Plan- Half Yearly - Income Distribution cum capital withdrawal Option (Payout &amp; Reinvestment)</t>
  </si>
  <si>
    <t>INF666M01FD7</t>
  </si>
  <si>
    <t>INF666M01FE5</t>
  </si>
  <si>
    <t>Groww Aggressive Hybrid Fund (formerly known as Indiabulls Equity Hybrid Fund)- Direct Plan- Monthly - Income Distribution cum capital withdrawal Option (Payout &amp; Reinvestment)</t>
  </si>
  <si>
    <t>INF666M01FF2</t>
  </si>
  <si>
    <t>INF666M01FG0</t>
  </si>
  <si>
    <t>Groww Aggressive Hybrid Fund (formerly known as Indiabulls Equity Hybrid Fund)- Direct Plan- Quarterly - Income Distribution cum capital withdrawal Option (Payout &amp; Reinvestment)</t>
  </si>
  <si>
    <t>INF666M01FK2</t>
  </si>
  <si>
    <t>INF666M01FL0</t>
  </si>
  <si>
    <t>Groww Aggressive Hybrid Fund (formerly known as Indiabulls Equity Hybrid Fund)- Regular Plan- - Income Distribution cum capital withdrawal Option (Payout &amp; Reinvestment)</t>
  </si>
  <si>
    <t>INF666M01FQ9</t>
  </si>
  <si>
    <t>INF666M01FR7</t>
  </si>
  <si>
    <t>Groww Aggressive Hybrid Fund (formerly known as Indiabulls Equity Hybrid Fund)- Regular Plan- Half Yearly - Income Distribution cum capital withdrawal Option (Payout &amp; Reinvestment)</t>
  </si>
  <si>
    <t>INF666M01FM8</t>
  </si>
  <si>
    <t>INF666M01FN6</t>
  </si>
  <si>
    <t>Groww Aggressive Hybrid Fund (formerly known as Indiabulls Equity Hybrid Fund)- Regular Plan- Monthly - Income Distribution cum capital withdrawal Option (Payout &amp; Reinvestment.</t>
  </si>
  <si>
    <t>INF666M01FO4</t>
  </si>
  <si>
    <t>INF666M01FP1</t>
  </si>
  <si>
    <t>Groww Aggressive Hybrid Fund (formerly known as Indiabulls Equity Hybrid Fund)- Regular Plan- Quarterly - Income Distribution cum capital withdrawal Option (Payout &amp; Reinvestment)</t>
  </si>
  <si>
    <t>INF179K01XZ1</t>
  </si>
  <si>
    <t>HDFC Hybrid Equity Fund - Growth Option - Direct Plan</t>
  </si>
  <si>
    <t>INF179K01AS4</t>
  </si>
  <si>
    <t>HDFC Hybrid Equity Fund - Growth Plan</t>
  </si>
  <si>
    <t>INF179K01XX6</t>
  </si>
  <si>
    <t>INF179K01XY4</t>
  </si>
  <si>
    <t>HDFC Hybrid Equity Fund - IDCW Option - Direct Plan</t>
  </si>
  <si>
    <t>INF179K01AQ8</t>
  </si>
  <si>
    <t>INF179K01AR6</t>
  </si>
  <si>
    <t>HDFC Hybrid Equity Fund - IDCW Plan</t>
  </si>
  <si>
    <t>INF917K01TY5</t>
  </si>
  <si>
    <t>INF917K01TX7</t>
  </si>
  <si>
    <t>HSBC Aggressive Hybrid Fund - Direct Annual IDCW</t>
  </si>
  <si>
    <t>INF917K01LE4</t>
  </si>
  <si>
    <t>HSBC Aggressive Hybrid Fund - Direct Growth</t>
  </si>
  <si>
    <t>INF917K01E45</t>
  </si>
  <si>
    <t>INF917K01LD6</t>
  </si>
  <si>
    <t>HSBC Aggressive Hybrid Fund - Direct IDCW</t>
  </si>
  <si>
    <t>INF917K01TW9</t>
  </si>
  <si>
    <t>INF917K01TV1</t>
  </si>
  <si>
    <t>HSBC Aggressive Hybrid Fund - Regular Annual IDCW</t>
  </si>
  <si>
    <t>INF917K01LB0</t>
  </si>
  <si>
    <t>HSBC Aggressive Hybrid Fund - Regular Growth</t>
  </si>
  <si>
    <t>INF917K01KZ1</t>
  </si>
  <si>
    <t>INF917K01LA2</t>
  </si>
  <si>
    <t>HSBC Aggressive Hybrid Fund - Regular IDCW</t>
  </si>
  <si>
    <t>INF109KB1QK6</t>
  </si>
  <si>
    <t>INF109KB1QJ8</t>
  </si>
  <si>
    <t>ICICI Prudential Equity &amp; Debt Fund - Annual IDCW</t>
  </si>
  <si>
    <t>INF109KB1QM2</t>
  </si>
  <si>
    <t>INF109KB1QL4</t>
  </si>
  <si>
    <t>ICICI Prudential Equity &amp; Debt Fund - Direct Plan - Annual IDCW</t>
  </si>
  <si>
    <t>INF109K01Y07</t>
  </si>
  <si>
    <t>ICICI Prudential Equity &amp; Debt Fund - Direct Plan - Growth</t>
  </si>
  <si>
    <t>INF109KA1Y19</t>
  </si>
  <si>
    <t>INF109KA1Y01</t>
  </si>
  <si>
    <t>ICICI Prudential Equity &amp; Debt Fund - Direct Plan - Half Yearly IDCW</t>
  </si>
  <si>
    <t>INF109K01X81</t>
  </si>
  <si>
    <t>INF109K01X99</t>
  </si>
  <si>
    <t>ICICI Prudential Equity &amp; Debt Fund - Direct Plan - Monthly IDCW</t>
  </si>
  <si>
    <t>INF109K01480</t>
  </si>
  <si>
    <t>ICICI Prudential Equity &amp; Debt Fund - Growth</t>
  </si>
  <si>
    <t>INF109KA1X93</t>
  </si>
  <si>
    <t>INF109KA1X85</t>
  </si>
  <si>
    <t>ICICI Prudential Equity &amp; Debt Fund - Half Yearly IDCW</t>
  </si>
  <si>
    <t>INF109K01DX5</t>
  </si>
  <si>
    <t>INF109K01498</t>
  </si>
  <si>
    <t>ICICI Prudential Equity &amp; Debt Fund - Monthly IDCW</t>
  </si>
  <si>
    <t>INF205K014Q7</t>
  </si>
  <si>
    <t>Invesco India Aggressive Hybrid Fund - Direct Plan - Growth</t>
  </si>
  <si>
    <t>INF205K013Q9</t>
  </si>
  <si>
    <t>INF205K015Q4</t>
  </si>
  <si>
    <t>Invesco India Aggressive Hybrid Fund - Direct Plan - IDCW (Payout / Reinvestment)</t>
  </si>
  <si>
    <t>INF205K011Q3</t>
  </si>
  <si>
    <t>Invesco India Aggressive Hybrid Fund - Regular Plan - Growth</t>
  </si>
  <si>
    <t>INF205K010Q5</t>
  </si>
  <si>
    <t>INF205K012Q1</t>
  </si>
  <si>
    <t>Invesco India Aggressive Hybrid Fund - Regular Plan - IDCW (Payout / Reinvestment)</t>
  </si>
  <si>
    <t>INF192K01HB8</t>
  </si>
  <si>
    <t>JM Aggressive Hybrid Fund (Direct) - Annual Bonus Option</t>
  </si>
  <si>
    <t>INF192K01HJ1</t>
  </si>
  <si>
    <t>INF192K01HK9</t>
  </si>
  <si>
    <t>JM Aggressive Hybrid Fund (Direct) - Annual IDCW</t>
  </si>
  <si>
    <t>INF192K01GP0</t>
  </si>
  <si>
    <t>JM Aggressive Hybrid Fund (Direct) - Bonus Option - Principal Units</t>
  </si>
  <si>
    <t>INF192K01BQ9</t>
  </si>
  <si>
    <t>JM Aggressive Hybrid Fund (Direct) - Growth Option</t>
  </si>
  <si>
    <t>INF192K01HV6</t>
  </si>
  <si>
    <t>JM Aggressive Hybrid Fund (Direct) - Half Yearly Bonus Option - Principal Units</t>
  </si>
  <si>
    <t>INF192K01HH5</t>
  </si>
  <si>
    <t>INF192K01HI3</t>
  </si>
  <si>
    <t>JM Aggressive Hybrid Fund (Direct) - Half Yearly IDCW</t>
  </si>
  <si>
    <t>INF192K01BO4</t>
  </si>
  <si>
    <t>INF192K01BP1</t>
  </si>
  <si>
    <t>JM Aggressive Hybrid Fund (Direct) - IDCW</t>
  </si>
  <si>
    <t>INF192K01HN3</t>
  </si>
  <si>
    <t>INF192K01HO1</t>
  </si>
  <si>
    <t>JM Aggressive Hybrid Fund (Direct) - Monthly IDCW</t>
  </si>
  <si>
    <t>INF192K01HZ7</t>
  </si>
  <si>
    <t>JM Aggressive Hybrid Fund (Direct) - Quarterly Bonus Option - Principal Units</t>
  </si>
  <si>
    <t>INF192K01HR4</t>
  </si>
  <si>
    <t>INF192K01HS2</t>
  </si>
  <si>
    <t>JM Aggressive Hybrid Fund (Direct) - Quarterly IDCW</t>
  </si>
  <si>
    <t>INF192K01GZ9</t>
  </si>
  <si>
    <t>JM Aggressive Hybrid Fund (Regular) - Annual Bonus Option - Principal Units</t>
  </si>
  <si>
    <t>INF192K01HF9</t>
  </si>
  <si>
    <t>INF192K01HG7</t>
  </si>
  <si>
    <t>JM Aggressive Hybrid Fund (Regular) - Annual IDCW</t>
  </si>
  <si>
    <t>INF192K01GN5</t>
  </si>
  <si>
    <t>JM Aggressive Hybrid Fund (Regular) - Bonus Option - Principal Units</t>
  </si>
  <si>
    <t>INF192K01HT0</t>
  </si>
  <si>
    <t>JM Aggressive Hybrid Fund (Regular) - Half Yearly Bonus Option - Principal Units</t>
  </si>
  <si>
    <t>INF192K01HD4</t>
  </si>
  <si>
    <t>INF192K01HE2</t>
  </si>
  <si>
    <t>JM Aggressive Hybrid Fund (Regular) - Half Yearly IDCW</t>
  </si>
  <si>
    <t>INF192K01528</t>
  </si>
  <si>
    <t>INF192K01536</t>
  </si>
  <si>
    <t>JM Aggressive Hybrid Fund (Regular) - IDCW</t>
  </si>
  <si>
    <t>INF192K01HL7</t>
  </si>
  <si>
    <t>INF192K01HM5</t>
  </si>
  <si>
    <t>JM Aggressive Hybrid Fund (Regular) - Monthly IDCW</t>
  </si>
  <si>
    <t>INF192K01HX2</t>
  </si>
  <si>
    <t>JM Aggressive Hybrid Fund (Regular) - Quarterly Bonus Option - Principal Units</t>
  </si>
  <si>
    <t>INF192K01HP8</t>
  </si>
  <si>
    <t>INF192K01HQ6</t>
  </si>
  <si>
    <t>JM Aggressive Hybrid Fund (Regular) - Quarterly IDCW</t>
  </si>
  <si>
    <t>INF192K01544</t>
  </si>
  <si>
    <t>JM Aggressive Hybrid Fund (Regular) -Growth Option</t>
  </si>
  <si>
    <t>INF174K01LL7</t>
  </si>
  <si>
    <t>INF174K01LM5</t>
  </si>
  <si>
    <t>Kotak Aggressive Hybrid Fund - Direct Plan - IDCW - Payout &amp; Reinvestment of Income Distribution cum  capital withdrawal option</t>
  </si>
  <si>
    <t>INF174K01F00</t>
  </si>
  <si>
    <t>Kotak Aggressive Hybrid Fund - Direct Plan -Growth</t>
  </si>
  <si>
    <t>INF174K01450</t>
  </si>
  <si>
    <t>INF174K01443</t>
  </si>
  <si>
    <t>Kotak Aggressive Hybrid Fund - Regular Plan - IDCW - Payout &amp; Reinvestment of Income Distribution cum capital withdrawal option</t>
  </si>
  <si>
    <t>INF174K01E92</t>
  </si>
  <si>
    <t>Kotak Aggressive Hybrid Fund - Regular Plan -Growth</t>
  </si>
  <si>
    <t>INF767K01ED0</t>
  </si>
  <si>
    <t>LIC MF Aggressive Hybrid Fund-Direct Plan-Growth</t>
  </si>
  <si>
    <t>INF767K01EC2</t>
  </si>
  <si>
    <t>INF767K01EE8</t>
  </si>
  <si>
    <t>LIC MF Aggressive Hybrid Fund-Direct Plan-IDCW</t>
  </si>
  <si>
    <t>INF767K01030</t>
  </si>
  <si>
    <t>LIC MF Aggressive Hybrid Fund-Regular Plan-Growth</t>
  </si>
  <si>
    <t>INF767K01022</t>
  </si>
  <si>
    <t>INF767K01014</t>
  </si>
  <si>
    <t>LIC MF Aggressive Hybrid Fund-Regular Plan-IDCW</t>
  </si>
  <si>
    <t>INF174V01804</t>
  </si>
  <si>
    <t>INF174V01796</t>
  </si>
  <si>
    <t>Mahindra Manulife Aggressive Hybrid Fund - Direct Plan - Monthly IDCW</t>
  </si>
  <si>
    <t>INF174V01788</t>
  </si>
  <si>
    <t>Mahindra Manulife Aggressive Hybrid Fund - Direct Plan -Growth</t>
  </si>
  <si>
    <t>INF174V01754</t>
  </si>
  <si>
    <t>Mahindra Manulife Aggressive Hybrid Fund - Regular Plan - Growth</t>
  </si>
  <si>
    <t>INF174V01770</t>
  </si>
  <si>
    <t>INF174V01762</t>
  </si>
  <si>
    <t>Mahindra Manulife Aggressive Hybrid Fund - Regular Plan - Monthly IDCW</t>
  </si>
  <si>
    <t>INF769K01DH9</t>
  </si>
  <si>
    <t>Mirae Asset Aggressive Hybrid Fund - Direct Plan - Growth</t>
  </si>
  <si>
    <t>INF769K01DI7</t>
  </si>
  <si>
    <t>INF769K01DJ5</t>
  </si>
  <si>
    <t>Mirae Asset Aggressive Hybrid Fund - Direct Plan - IDCW</t>
  </si>
  <si>
    <t>INF769K01DE6</t>
  </si>
  <si>
    <t>Mirae Asset Aggressive Hybrid Fund - Regular Plan - Growth</t>
  </si>
  <si>
    <t>INF769K01DF3</t>
  </si>
  <si>
    <t>INF769K01DG1</t>
  </si>
  <si>
    <t>Mirae Asset Aggressive Hybrid Fund - Regular Plan - IDCW</t>
  </si>
  <si>
    <t>INF959L01CX3</t>
  </si>
  <si>
    <t>Navi Aggressive Hybrid Fund - Direct Plan - Growth</t>
  </si>
  <si>
    <t>INF959L01DG6</t>
  </si>
  <si>
    <t>INF959L01DH4</t>
  </si>
  <si>
    <t>Navi Aggressive Hybrid Fund - Direct Plan Annual IDCW</t>
  </si>
  <si>
    <t>INF959L01DE1</t>
  </si>
  <si>
    <t>INF959L01DF8</t>
  </si>
  <si>
    <t>Navi Aggressive Hybrid Fund - Direct Plan Half Yearly IDCW</t>
  </si>
  <si>
    <t>INF959L01DA9</t>
  </si>
  <si>
    <t>INF959L01DB7</t>
  </si>
  <si>
    <t>Navi Aggressive Hybrid Fund - Direct Plan Monthly IDCW</t>
  </si>
  <si>
    <t>INF959L01CY1</t>
  </si>
  <si>
    <t>INF959L01CZ8</t>
  </si>
  <si>
    <t>Navi Aggressive Hybrid Fund - Direct Plan Normal IDCW</t>
  </si>
  <si>
    <t>INF959L01DC5</t>
  </si>
  <si>
    <t>INF959L01DD3</t>
  </si>
  <si>
    <t>Navi Aggressive Hybrid Fund - Direct Plan Quarterly IDCW</t>
  </si>
  <si>
    <t>INF959L01DI2</t>
  </si>
  <si>
    <t>Navi Aggressive Hybrid Fund - Regular Plan - Growth</t>
  </si>
  <si>
    <t>INF959L01DR3</t>
  </si>
  <si>
    <t>INF959L01DS1</t>
  </si>
  <si>
    <t>Navi Aggressive Hybrid Fund - Regular Plan Annual IDCW</t>
  </si>
  <si>
    <t>INF959L01DP7</t>
  </si>
  <si>
    <t>INF959L01DQ5</t>
  </si>
  <si>
    <t>Navi Aggressive Hybrid Fund - Regular Plan Half Yearly IDCW</t>
  </si>
  <si>
    <t>INF959L01DL6</t>
  </si>
  <si>
    <t>INF959L01DM4</t>
  </si>
  <si>
    <t>Navi Aggressive Hybrid Fund - Regular Plan Monthly IDCW</t>
  </si>
  <si>
    <t>INF959L01DJ0</t>
  </si>
  <si>
    <t>INF959L01DK8</t>
  </si>
  <si>
    <t>Navi Aggressive Hybrid Fund - Regular Plan Normal IDCW</t>
  </si>
  <si>
    <t>INF959L01DN2</t>
  </si>
  <si>
    <t>INF959L01DO0</t>
  </si>
  <si>
    <t>Navi Aggressive Hybrid Fund - Regular Plan Quarterly IDCW</t>
  </si>
  <si>
    <t>INF204KB13T1</t>
  </si>
  <si>
    <t>Nippon India Aggressive  Hybrid Fund - Segregated Portfolio 2 - Direct Plan - Growth Plan</t>
  </si>
  <si>
    <t>INF204K01B08</t>
  </si>
  <si>
    <t>Nippon India Aggressive Hybrid Fund  - Direct Plan Growth Plan</t>
  </si>
  <si>
    <t>INF204KB19F7</t>
  </si>
  <si>
    <t>INF204KB10G4</t>
  </si>
  <si>
    <t>NIPPON INDIA AGGRESSIVE HYBRID FUND -  SEGREGATED PORTFOLIO 1 - Direct Plan - IDCW Option</t>
  </si>
  <si>
    <t>INF204KB11G2</t>
  </si>
  <si>
    <t>INF204KB12G0</t>
  </si>
  <si>
    <t>NIPPON INDIA AGGRESSIVE HYBRID FUND -  SEGREGATED PORTFOLIO 1 - Direct Plan - MONTHLY IDCW Option</t>
  </si>
  <si>
    <t>INF204KB17F1</t>
  </si>
  <si>
    <t>INF204KB18F9</t>
  </si>
  <si>
    <t>NIPPON INDIA AGGRESSIVE HYBRID FUND -  SEGREGATED PORTFOLIO 1 - Direct Plan - QUARTERLY IDCW Option</t>
  </si>
  <si>
    <t>INF204KB16G1</t>
  </si>
  <si>
    <t>INF204KB17G9</t>
  </si>
  <si>
    <t>NIPPON INDIA AGGRESSIVE HYBRID FUND -  SEGREGATED PORTFOLIO 1 - IDCW Option</t>
  </si>
  <si>
    <t>INF204KB18G7</t>
  </si>
  <si>
    <t>INF204KB19G5</t>
  </si>
  <si>
    <t>NIPPON INDIA AGGRESSIVE HYBRID FUND -  SEGREGATED PORTFOLIO 1 - MONTHLY IDCW Option</t>
  </si>
  <si>
    <t>INF204KB14G6</t>
  </si>
  <si>
    <t>INF204KB15G3</t>
  </si>
  <si>
    <t>NIPPON INDIA AGGRESSIVE HYBRID FUND -  SEGREGATED PORTFOLIO 1 - QUARTERLY IDCW Option</t>
  </si>
  <si>
    <t>INF204KB16T4</t>
  </si>
  <si>
    <t>INF204KB17T2</t>
  </si>
  <si>
    <t>NIPPON INDIA AGGRESSIVE HYBRID FUND -  SEGREGATED PORTFOLIO 2 - DIRECT Plan - IDCW Option</t>
  </si>
  <si>
    <t>INF204KB18T0</t>
  </si>
  <si>
    <t>INF204KB19T8</t>
  </si>
  <si>
    <t>NIPPON INDIA AGGRESSIVE HYBRID FUND -  SEGREGATED PORTFOLIO 2 - DIRECT Plan - MONTHLY IDCW Option</t>
  </si>
  <si>
    <t>INF204KB14T9</t>
  </si>
  <si>
    <t>INF204KB15T6</t>
  </si>
  <si>
    <t>NIPPON INDIA AGGRESSIVE HYBRID FUND -  SEGREGATED PORTFOLIO 2 - DIRECT Plan - QUARTERLY IDCW Option</t>
  </si>
  <si>
    <t>INF204KB13U9</t>
  </si>
  <si>
    <t>INF204KB14U7</t>
  </si>
  <si>
    <t>NIPPON INDIA AGGRESSIVE HYBRID FUND -  SEGREGATED PORTFOLIO 2 - IDCW Option</t>
  </si>
  <si>
    <t>INF204KB15U4</t>
  </si>
  <si>
    <t>INF204KB16U2</t>
  </si>
  <si>
    <t>NIPPON INDIA AGGRESSIVE HYBRID FUND -  SEGREGATED PORTFOLIO 2 - MONTHLY IDCW Option</t>
  </si>
  <si>
    <t>INF204KB11U3</t>
  </si>
  <si>
    <t>INF204KB12U1</t>
  </si>
  <si>
    <t>NIPPON INDIA AGGRESSIVE HYBRID FUND -  SEGREGATED PORTFOLIO 2 - QUARTERLY IDCW Option</t>
  </si>
  <si>
    <t>INF204K01B16</t>
  </si>
  <si>
    <t>INF204K01B24</t>
  </si>
  <si>
    <t>NIPPON INDIA AGGRESSIVE HYBRID FUND - DIRECT Plan - IDCW Option</t>
  </si>
  <si>
    <t>INF204KB1BD7</t>
  </si>
  <si>
    <t>INF204KB1BE5</t>
  </si>
  <si>
    <t>NIPPON INDIA AGGRESSIVE HYBRID FUND - DIRECT Plan - MONTHLY IDCW Option</t>
  </si>
  <si>
    <t>INF204K011R2</t>
  </si>
  <si>
    <t>INF204K012R0</t>
  </si>
  <si>
    <t>NIPPON INDIA AGGRESSIVE HYBRID FUND - DIRECT Plan - QUARTERLY IDCW Option</t>
  </si>
  <si>
    <t>INF204K01FW1</t>
  </si>
  <si>
    <t>Nippon India Aggressive Hybrid Fund - Growth Plan</t>
  </si>
  <si>
    <t>INF204K01FX9</t>
  </si>
  <si>
    <t>INF204K01FY7</t>
  </si>
  <si>
    <t>NIPPON INDIA AGGRESSIVE HYBRID FUND - IDCW Option</t>
  </si>
  <si>
    <t>INF204KB1BF2</t>
  </si>
  <si>
    <t>INF204KB1BG0</t>
  </si>
  <si>
    <t>NIPPON INDIA AGGRESSIVE HYBRID FUND - MONTHLY IDCW Option</t>
  </si>
  <si>
    <t>INF204K013R8</t>
  </si>
  <si>
    <t>INF204K014R6</t>
  </si>
  <si>
    <t>NIPPON INDIA AGGRESSIVE HYBRID FUND - QUARTERLY IDCW Option</t>
  </si>
  <si>
    <t>INF204KB16F3</t>
  </si>
  <si>
    <t>Nippon India Aggressive Hybrid Fund - Segregated Portfolio 1 - Direct Plan - Growth Plan</t>
  </si>
  <si>
    <t>INF204KB13G8</t>
  </si>
  <si>
    <t>Nippon India Aggressive Hybrid Fund - Segregated Portfolio 1 - Growth Plan</t>
  </si>
  <si>
    <t>INF204KB10U5</t>
  </si>
  <si>
    <t>Nippon India Aggressive Hybrid Fund - Segregated Portfolio 2 - Growth Plan</t>
  </si>
  <si>
    <t>INF223J01903</t>
  </si>
  <si>
    <t>PGIM India Aggressive Hybrid Equity Fund - BONUS OPTION</t>
  </si>
  <si>
    <t>INF663L01ZC6</t>
  </si>
  <si>
    <t>INF663L01ZD4</t>
  </si>
  <si>
    <t>PGIM India Aggressive Hybrid Equity Fund - Direct Plan - Annual Dividend Option</t>
  </si>
  <si>
    <t>INF663L01GY0</t>
  </si>
  <si>
    <t>INF663L01GZ7</t>
  </si>
  <si>
    <t>PGIM India Aggressive Hybrid Equity Fund - Direct Plan - Dividend</t>
  </si>
  <si>
    <t>INF663L01GX2</t>
  </si>
  <si>
    <t>PGIM India Aggressive Hybrid Equity Fund - Direct Plan - Growth</t>
  </si>
  <si>
    <t>INF663L01HA8</t>
  </si>
  <si>
    <t>INF663L01HB6</t>
  </si>
  <si>
    <t>PGIM India Aggressive Hybrid Equity Fund - Dividend Option</t>
  </si>
  <si>
    <t>INF663L01HC4</t>
  </si>
  <si>
    <t>PGIM India Aggressive Hybrid Equity Fund - Growth Option</t>
  </si>
  <si>
    <t>INF663L01ZA0</t>
  </si>
  <si>
    <t>INF663L01ZB8</t>
  </si>
  <si>
    <t>PGIM India Aggressive Hybrid Equity Fund - Regular Plan - Annual Dividend Option</t>
  </si>
  <si>
    <t>INF223J01309</t>
  </si>
  <si>
    <t>PGIM India Aggressive Hybrid Equity Fund Wealth Plan- Dividend Option</t>
  </si>
  <si>
    <t>INF223J01325</t>
  </si>
  <si>
    <t>PGIM India Aggressive Hybrid Equity Fund Wealth Plan- Growth Option</t>
  </si>
  <si>
    <t>INF663L01OA4</t>
  </si>
  <si>
    <t>INF663L01OB2</t>
  </si>
  <si>
    <t>PGIM India Aggressive Hybrid Equity Fund-Direct Plan-Monthly Dividend Option</t>
  </si>
  <si>
    <t>INF663L01OE6</t>
  </si>
  <si>
    <t>INF663L01OF3</t>
  </si>
  <si>
    <t>PGIM India Aggressive Hybrid Equity Fund-Direct Plan-Quarterly Divdend Option</t>
  </si>
  <si>
    <t>INF663L01NY6</t>
  </si>
  <si>
    <t>INF663L01NZ3</t>
  </si>
  <si>
    <t>PGIM India Aggressive Hybrid Equity Fund-Monthly Dividend Option</t>
  </si>
  <si>
    <t>INF663L01OC0</t>
  </si>
  <si>
    <t>INF663L01OD8</t>
  </si>
  <si>
    <t>PGIM India Aggressive Hybrid Equity Fund-Quarterly Dividend Option</t>
  </si>
  <si>
    <t>INF966L01267</t>
  </si>
  <si>
    <t>quant Aggressive Hybrid Fund - Growth Option - Regular Plan</t>
  </si>
  <si>
    <t>INF966L01556</t>
  </si>
  <si>
    <t>quant Aggressive Hybrid Fund-Growth Option-Direct Plan</t>
  </si>
  <si>
    <t>INF966L01242</t>
  </si>
  <si>
    <t>INF966L01259</t>
  </si>
  <si>
    <t>quant Aggressive Hybrid Fund-IDCW Option - Regular Plan</t>
  </si>
  <si>
    <t>INF966L01531</t>
  </si>
  <si>
    <t>INF966L01549</t>
  </si>
  <si>
    <t>quant Aggressive Hybrid Fund-IDCW Option-Direct Plan</t>
  </si>
  <si>
    <t>INF200K01RY0</t>
  </si>
  <si>
    <t>SBI EQUITY HYBRID FUND - DIRECT PLAN - Growth</t>
  </si>
  <si>
    <t>INF200K01RW4</t>
  </si>
  <si>
    <t>INF200K01RX2</t>
  </si>
  <si>
    <t>SBI Equity Hybrid Fund - Direct Plan - Income Distribution cum Capital Withdrawal Option (IDCW)</t>
  </si>
  <si>
    <t>INF200K01115</t>
  </si>
  <si>
    <t>INF200K01123</t>
  </si>
  <si>
    <t>SBI Equity Hybrid Fund - Regular Plan - Income Distribution cum Capital Withdrawal Option (IDCW)</t>
  </si>
  <si>
    <t>INF200K01107</t>
  </si>
  <si>
    <t>SBI EQUITY HYBRID FUND - REGULAR PLAN -Growth</t>
  </si>
  <si>
    <t>INF680P01042</t>
  </si>
  <si>
    <t>Shriram Aggressive Hybrid Fund- Direct Growth</t>
  </si>
  <si>
    <t>INF680P01059</t>
  </si>
  <si>
    <t>INF680P01067</t>
  </si>
  <si>
    <t>Shriram Aggressive Hybrid Fund- Direct- IDCW</t>
  </si>
  <si>
    <t>INF680P01018</t>
  </si>
  <si>
    <t>Shriram Aggressive Hybrid Fund- Regular Growth</t>
  </si>
  <si>
    <t>INF680P01026</t>
  </si>
  <si>
    <t>INF680P01034</t>
  </si>
  <si>
    <t>Shriram Aggressive Hybrid Fund- Regular-IDCW</t>
  </si>
  <si>
    <t>INF173K01FE6</t>
  </si>
  <si>
    <t>Sundaram Aggressive Hybrid Fund (Formerly Known as Principal Hybrid Equity Fund)- Direct Plan - Growth Option</t>
  </si>
  <si>
    <t>INF173K01CI4</t>
  </si>
  <si>
    <t>INF173K01CJ2</t>
  </si>
  <si>
    <t>Sundaram Aggressive Hybrid Fund (Formerly Known as Principal Hybrid Equity Fund)- Monthly Income Distribution CUM Capital Withdrawal</t>
  </si>
  <si>
    <t>INF173K01CL8</t>
  </si>
  <si>
    <t>Sundaram Aggressive Hybrid Fund (Formerly Known as Principal Hybrid Equity Fund)-Growth</t>
  </si>
  <si>
    <t>INF173K01FB2</t>
  </si>
  <si>
    <t>INF173K01FC0</t>
  </si>
  <si>
    <t>Sundaram Aggressive Hybrid Fund(Formerly Known as Principal Hybrid Equity Fund)-Direct Plan - Monthly Income Distribution CUM Capital Withdrawal Option</t>
  </si>
  <si>
    <t>INF277K01MN2</t>
  </si>
  <si>
    <t>Tata Aggressive Hybrid Fund -Direct Plan- Growth Option</t>
  </si>
  <si>
    <t>INF277K01MO0</t>
  </si>
  <si>
    <t>INF277K01MP7</t>
  </si>
  <si>
    <t>Tata Aggressive Hybrid Fund- Direct Plan - Monthly Payout of IDCW Option</t>
  </si>
  <si>
    <t>INF277K01ML6</t>
  </si>
  <si>
    <t>INF277K01MM4</t>
  </si>
  <si>
    <t>Tata Aggressive Hybrid Fund- Direct Plan - Periodic Payout of IDCW Option</t>
  </si>
  <si>
    <t>INF277K01303</t>
  </si>
  <si>
    <t>Tata Aggressive Hybrid Fund- Regular Plan - Growth Option</t>
  </si>
  <si>
    <t>INF277K01CS2</t>
  </si>
  <si>
    <t>INF277K01CW4</t>
  </si>
  <si>
    <t>Tata Aggressive Hybrid Fund- Regular Plan - Monthly Payout of IDCW Option</t>
  </si>
  <si>
    <t>INF277K01DB6</t>
  </si>
  <si>
    <t>INF277K01295</t>
  </si>
  <si>
    <t>Tata Aggressive Hybrid Fund- Regular Plan - Periodic Payout of IDCW Option</t>
  </si>
  <si>
    <t>INF582M01GY0</t>
  </si>
  <si>
    <t>Union Aggressive Hybrid Fund - Direct Plan - Growth Option</t>
  </si>
  <si>
    <t>INF582M01HA8</t>
  </si>
  <si>
    <t>INF582M01GZ7</t>
  </si>
  <si>
    <t>Union Aggressive Hybrid Fund - Direct Plan - IDCW Option</t>
  </si>
  <si>
    <t>INF582M01HC4</t>
  </si>
  <si>
    <t>Union Aggressive Hybrid Fund - Regular Plan - Growth Option</t>
  </si>
  <si>
    <t>INF582M01HE0</t>
  </si>
  <si>
    <t>INF582M01HD2</t>
  </si>
  <si>
    <t>Union Aggressive Hybrid Fund - Regular Plan - IDCW Option</t>
  </si>
  <si>
    <t>INF789F01SI3</t>
  </si>
  <si>
    <t>INF789F01SJ1</t>
  </si>
  <si>
    <t>UTI Aggressive Hybrid Fund - Direct Plan - IDCW</t>
  </si>
  <si>
    <t>INF789F01323</t>
  </si>
  <si>
    <t>UTI Aggressive Hybrid Fund - Regular Plan - Growth</t>
  </si>
  <si>
    <t>INF789F01307</t>
  </si>
  <si>
    <t>INF789F01315</t>
  </si>
  <si>
    <t>UTI Aggressive Hybrid Fund - Regular Plan - IDCW</t>
  </si>
  <si>
    <t>INF789F01SK9</t>
  </si>
  <si>
    <t>UTI Aggressive Hybrid Fund -Direct Plan - Growth</t>
  </si>
  <si>
    <t>INF209K01VP1</t>
  </si>
  <si>
    <t>Aditya Birla Sun Life Arbitrage Fund - Growth - Direct Plan</t>
  </si>
  <si>
    <t>INF209K01264</t>
  </si>
  <si>
    <t>Aditya BIRLA SUN LIFE ARBITRAGE FUND - REGULAR PLAN - GROWTH</t>
  </si>
  <si>
    <t>INF209K01P80</t>
  </si>
  <si>
    <t>INF209K01VQ9</t>
  </si>
  <si>
    <t>Aditya Birla Sun Life Arbitrage Fund-DIRECT - IDCW</t>
  </si>
  <si>
    <t>INF209K01256</t>
  </si>
  <si>
    <t>INF209K01CI6</t>
  </si>
  <si>
    <t>Aditya Birla Sun Life Arbitrage Fund-Regular - IDCW</t>
  </si>
  <si>
    <t>INF846K01PZ1</t>
  </si>
  <si>
    <t>Axis Arbitrage Fund - Direct Plan - Growth</t>
  </si>
  <si>
    <t>INF846K01QA2</t>
  </si>
  <si>
    <t>INF846K01QB0</t>
  </si>
  <si>
    <t>Axis Arbitrage Fund - Direct Plan - Monthly IDCW</t>
  </si>
  <si>
    <t>INF846K01QC8</t>
  </si>
  <si>
    <t>Axis Arbitrage Fund - Regular Plan - Growth</t>
  </si>
  <si>
    <t>INF846K01QD6</t>
  </si>
  <si>
    <t>INF846K01QE4</t>
  </si>
  <si>
    <t>Axis Arbitrage Fund - Regular Plan - Monthly IDCW</t>
  </si>
  <si>
    <t>INF0QA701532</t>
  </si>
  <si>
    <t>INF0QA701540</t>
  </si>
  <si>
    <t>Bajaj Finserv Arbitrage Fund- Direct Plan-IDCW</t>
  </si>
  <si>
    <t>INF0QA701490</t>
  </si>
  <si>
    <t>Bajaj Finserv Arbitrage Fund- Regular Plan-Growth</t>
  </si>
  <si>
    <t>INF0QA701524</t>
  </si>
  <si>
    <t>Bajaj Finserv Arbitrage Fund-Direct Plan-Growth</t>
  </si>
  <si>
    <t>INF0QA701508</t>
  </si>
  <si>
    <t>INF0QA701516</t>
  </si>
  <si>
    <t>Bajaj Finserv Arbitrage Fund-Regular Plan-IDCW</t>
  </si>
  <si>
    <t>INF194K01623</t>
  </si>
  <si>
    <t>INF194K01631</t>
  </si>
  <si>
    <t>BANDHAN Arbitrage Fund - Plan B - Dividend</t>
  </si>
  <si>
    <t>INF194K01615</t>
  </si>
  <si>
    <t>BANDHAN Arbitrage Fund - Plan B - Growth</t>
  </si>
  <si>
    <t>INF194KA1YD2</t>
  </si>
  <si>
    <t>INF194KA1YE0</t>
  </si>
  <si>
    <t>BANDHAN Arbitrage Fund - Regular Plan - Annual IDCW</t>
  </si>
  <si>
    <t>INF194K01649</t>
  </si>
  <si>
    <t>BANDHAN Arbitrage Fund - Regular Plan - Growth</t>
  </si>
  <si>
    <t>INF194K01656</t>
  </si>
  <si>
    <t>INF194K01664</t>
  </si>
  <si>
    <t>BANDHAN Arbitrage Fund - Regular Plan - Monthly IDCW</t>
  </si>
  <si>
    <t>INF194K01Y60</t>
  </si>
  <si>
    <t>BANDHAN Arbitrage Fund-Direct Plan- Growth</t>
  </si>
  <si>
    <t>INF194KA1YG5</t>
  </si>
  <si>
    <t>INF194KA1YH3</t>
  </si>
  <si>
    <t>BANDHAN Arbitrage Fund-Direct Plan-Annual IDCW</t>
  </si>
  <si>
    <t>INF194K01Y78</t>
  </si>
  <si>
    <t>INF194K01Y86</t>
  </si>
  <si>
    <t>BANDHAN Arbitrage Fund-Direct Plan-Monthly IDCW</t>
  </si>
  <si>
    <t>INF761K01EI2</t>
  </si>
  <si>
    <t>INF761K01EJ0</t>
  </si>
  <si>
    <t>BANK OF INDIA Arbitrage Fund Direct Plan Annual IDCW</t>
  </si>
  <si>
    <t>INF761K01ED3</t>
  </si>
  <si>
    <t>BANK OF INDIA Arbitrage Fund Direct Plan Growth</t>
  </si>
  <si>
    <t>INF761K01EE1</t>
  </si>
  <si>
    <t>INF761K01EF8</t>
  </si>
  <si>
    <t>BANK OF INDIA Arbitrage Fund Direct Plan Monthly IDCW</t>
  </si>
  <si>
    <t>INF761K01EG6</t>
  </si>
  <si>
    <t>INF761K01EH4</t>
  </si>
  <si>
    <t>BANK OF INDIA Arbitrage Fund Direct Plan Quarterly IDCW</t>
  </si>
  <si>
    <t>INF761K01DW5</t>
  </si>
  <si>
    <t>BANK OF INDIA Arbitrage Fund Regular Growth</t>
  </si>
  <si>
    <t>INF761K01EB7</t>
  </si>
  <si>
    <t>INF761K01EC5</t>
  </si>
  <si>
    <t>BANK OF INDIA Arbitrage Fund Regular Plan IDCW Annual IDCW</t>
  </si>
  <si>
    <t>INF761K01DX3</t>
  </si>
  <si>
    <t>INF761K01DY1</t>
  </si>
  <si>
    <t>BANK OF INDIA Arbitrage Fund Regular Plan IDCW Monthly IDCW</t>
  </si>
  <si>
    <t>INF761K01DZ8</t>
  </si>
  <si>
    <t>INF761K01EA9</t>
  </si>
  <si>
    <t>BANK OF INDIA Arbitrage Fund Regular Plan IDCW Quarterly IDCW</t>
  </si>
  <si>
    <t>INF251K01OV6</t>
  </si>
  <si>
    <t>INF251K01OU8</t>
  </si>
  <si>
    <t>BARODA BNP PARIBAS ARBITRAGE FUND -DIRECT PLAN - ADHOC IDCW OPTION</t>
  </si>
  <si>
    <t>INF251K01PF6</t>
  </si>
  <si>
    <t>INF251K01PE9</t>
  </si>
  <si>
    <t>BARODA BNP PARIBAS ARBITRAGE FUND DIRECT PLAN MONTHLY IDCW Option</t>
  </si>
  <si>
    <t>INF251K01PJ8</t>
  </si>
  <si>
    <t>INF251K01PI0</t>
  </si>
  <si>
    <t>BARODA BNP PARIBAS ARBITRAGE FUND DIRECT PLAN QUARTERLY IDCW Option</t>
  </si>
  <si>
    <t>INF251K01PD1</t>
  </si>
  <si>
    <t>INF251K01PC3</t>
  </si>
  <si>
    <t>BARODA BNP PARIBAS ARBITRAGE FUND REGULAR PLAN MONTHLY IDCW Option</t>
  </si>
  <si>
    <t>INF251K01PH2</t>
  </si>
  <si>
    <t>INF251K01PG4</t>
  </si>
  <si>
    <t>BARODA BNP PARIBAS ARBITRAGE FUND REGULAR PLAN QUARTERLY IDCW Option</t>
  </si>
  <si>
    <t>INF251K01ON3</t>
  </si>
  <si>
    <t>BARODA BNP PARIBAS ARBITRAGE FUND- REGULAR PLAN- GROWTH OPTION</t>
  </si>
  <si>
    <t>INF251K01OT0</t>
  </si>
  <si>
    <t>BARODA BNP PARIBAS ARBITRAGE FUND-DIRECT PLAN-GROWTH OPTION</t>
  </si>
  <si>
    <t>INF251K01OP8</t>
  </si>
  <si>
    <t>INF251K01OO1</t>
  </si>
  <si>
    <t>BARODA BNP PARIBAS ARBITRAGE FUND-REGULAR PLAN- ADHOC IDCW OPTION</t>
  </si>
  <si>
    <t>INF226401117</t>
  </si>
  <si>
    <t>Capitalmind Arbitrage Fund-Direct-Growth</t>
  </si>
  <si>
    <t>INF226401125</t>
  </si>
  <si>
    <t>INF226401133</t>
  </si>
  <si>
    <t>Capitalmind Arbitrage Fund-Direct-IDCW</t>
  </si>
  <si>
    <t>INF226401141</t>
  </si>
  <si>
    <t>Capitalmind Arbitrage Fund-regular-Growth</t>
  </si>
  <si>
    <t>INF226401158</t>
  </si>
  <si>
    <t>INF226401166</t>
  </si>
  <si>
    <t>Capitalmind Arbitrage Fund-Regular-IDCW</t>
  </si>
  <si>
    <t>INF740KA1DN4</t>
  </si>
  <si>
    <t>DSP Arbitrage Fund - Direct - Growth</t>
  </si>
  <si>
    <t>INF740KA1DO2</t>
  </si>
  <si>
    <t>INF740KA1DP9</t>
  </si>
  <si>
    <t>DSP Arbitrage Fund - Direct - IDCW</t>
  </si>
  <si>
    <t>INF740KA1DQ7</t>
  </si>
  <si>
    <t>INF740KA1DR5</t>
  </si>
  <si>
    <t>DSP Arbitrage Fund - Direct - IDCW - Monthly</t>
  </si>
  <si>
    <t>INF740KA1DI4</t>
  </si>
  <si>
    <t>DSP Arbitrage Fund - Regular - Growth</t>
  </si>
  <si>
    <t>INF740KA1DJ2</t>
  </si>
  <si>
    <t>INF740KA1DK0</t>
  </si>
  <si>
    <t>DSP Arbitrage Fund - Regular - IDCW</t>
  </si>
  <si>
    <t>INF740KA1DL8</t>
  </si>
  <si>
    <t>INF740KA1DM6</t>
  </si>
  <si>
    <t>DSP Arbitrage Fund - Regular - IDCW - Monthly</t>
  </si>
  <si>
    <t>INF754K01EB2</t>
  </si>
  <si>
    <t>INF754K01EC0</t>
  </si>
  <si>
    <t>Edelweiss Arbitrage Fund - Direct Plan - IDCW Option</t>
  </si>
  <si>
    <t>INF754K01HW1</t>
  </si>
  <si>
    <t>INF754K01HX9</t>
  </si>
  <si>
    <t>Edelweiss Arbitrage Fund - Monthly  Direct Plan - IDCW Option</t>
  </si>
  <si>
    <t>INF754K01HT7</t>
  </si>
  <si>
    <t>INF754K01HU5</t>
  </si>
  <si>
    <t>Edelweiss Arbitrage Fund - Monthly  Regular Plan - IDCW Option</t>
  </si>
  <si>
    <t>INF754K01EG1</t>
  </si>
  <si>
    <t>INF754K01EH9</t>
  </si>
  <si>
    <t>Edelweiss Arbitrage Fund - Regular Plan - IDCW Option</t>
  </si>
  <si>
    <t>INF754K01EA4</t>
  </si>
  <si>
    <t>Edelweiss Arbitrage Fund- Direct Plan- Growth Option</t>
  </si>
  <si>
    <t>INF754K01EJ5</t>
  </si>
  <si>
    <t>Edelweiss Arbitrage Fund- Regular Plan -Bonus Option</t>
  </si>
  <si>
    <t>INF754K01EF3</t>
  </si>
  <si>
    <t>Edelweiss Arbitrage Fund- Regular Plan- Growth Option</t>
  </si>
  <si>
    <t>INF090I01XS9</t>
  </si>
  <si>
    <t>Franklin India Arbitrage Fund - Direct - Growth</t>
  </si>
  <si>
    <t>INF090I01XU5</t>
  </si>
  <si>
    <t>INF090I01XT7</t>
  </si>
  <si>
    <t>Franklin India Arbitrage Fund - Direct - IDCW</t>
  </si>
  <si>
    <t>INF090I01XP5</t>
  </si>
  <si>
    <t>Franklin India Arbitrage Fund - Growth</t>
  </si>
  <si>
    <t>INF090I01XR1</t>
  </si>
  <si>
    <t>INF090I01XQ3</t>
  </si>
  <si>
    <t>Franklin India Arbitrage Fund - IDCW</t>
  </si>
  <si>
    <t>INF179K01343</t>
  </si>
  <si>
    <t>INF179KA1KT6</t>
  </si>
  <si>
    <t>INF179KA1KS8</t>
  </si>
  <si>
    <t>INF179KA1KR0</t>
  </si>
  <si>
    <t>INF179KA1KO7</t>
  </si>
  <si>
    <t>INF179KA1KN9</t>
  </si>
  <si>
    <t>INF0R8701442</t>
  </si>
  <si>
    <t>Helios Arbitrage Fund - Direct Growth</t>
  </si>
  <si>
    <t>INF0R8701459</t>
  </si>
  <si>
    <t>INF0R8701467</t>
  </si>
  <si>
    <t>Helios Arbitrage Fund - Direct IDCW</t>
  </si>
  <si>
    <t>INF0R8701418</t>
  </si>
  <si>
    <t>Helios Arbitrage Fund - Regular Growth</t>
  </si>
  <si>
    <t>INF0R8701426</t>
  </si>
  <si>
    <t>INF0R8701434</t>
  </si>
  <si>
    <t>Helios Arbitrage Fund - Regular IDCW</t>
  </si>
  <si>
    <t>INF917K01QR5</t>
  </si>
  <si>
    <t>HSBC Arbitrage Fund - Direct Growth</t>
  </si>
  <si>
    <t>INF917K01QT1</t>
  </si>
  <si>
    <t>INF917K01QS3</t>
  </si>
  <si>
    <t>HSBC Arbitrage Fund - Direct Monthly IDCW</t>
  </si>
  <si>
    <t>INF917K01QV7</t>
  </si>
  <si>
    <t>INF917K01QU9</t>
  </si>
  <si>
    <t>HSBC Arbitrage Fund - Direct Quarterly IDCW</t>
  </si>
  <si>
    <t>INF917K01QL8</t>
  </si>
  <si>
    <t>HSBC Arbitrage Fund - Regular Growth</t>
  </si>
  <si>
    <t>INF917K01QN4</t>
  </si>
  <si>
    <t>INF917K01QM6</t>
  </si>
  <si>
    <t>HSBC Arbitrage Fund - Regular Monthly IDCW</t>
  </si>
  <si>
    <t>INF917K01QP9</t>
  </si>
  <si>
    <t>INF917K01QO2</t>
  </si>
  <si>
    <t>HSBC Arbitrage Fund - Regular Quarterly IDCW</t>
  </si>
  <si>
    <t>INF109K01BD1</t>
  </si>
  <si>
    <t>ICICI Prudential Equity - Arbitrage Fund-Institutional Growth Option</t>
  </si>
  <si>
    <t>INF109KA1C15</t>
  </si>
  <si>
    <t>ICICI Prudential Equity Arbitrage Fund - Bonus</t>
  </si>
  <si>
    <t>INF109K016O4</t>
  </si>
  <si>
    <t>INF109K017O2</t>
  </si>
  <si>
    <t>INF109K015O6</t>
  </si>
  <si>
    <t>INF109KA1C07</t>
  </si>
  <si>
    <t>ICICI Prudential Equity Arbitrage Fund - Direct Plan Bonus</t>
  </si>
  <si>
    <t>INF109K01BF6</t>
  </si>
  <si>
    <t>INF109K01EF0</t>
  </si>
  <si>
    <t>INF109K01BE9</t>
  </si>
  <si>
    <t>INF205K01P68</t>
  </si>
  <si>
    <t>Invesco India Arbitrage Fund - Direct Plan - Annual Bonus</t>
  </si>
  <si>
    <t>Invesco India Arbitrage Fund - Direct Plan - Growth Option</t>
  </si>
  <si>
    <t>INF205K01KP2</t>
  </si>
  <si>
    <t>INF205K01KQ0</t>
  </si>
  <si>
    <t>Invesco India Arbitrage Fund - Direct Plan - IDCW (Payout / Reinvestment)</t>
  </si>
  <si>
    <t>INF205K01122</t>
  </si>
  <si>
    <t>Invesco India Arbitrage Fund - Regular Plan - Growth Option</t>
  </si>
  <si>
    <t>INF205K01148</t>
  </si>
  <si>
    <t>INF205K01130</t>
  </si>
  <si>
    <t>Invesco India Arbitrage Fund - Regular Plan - IDCW (Payout / Reinvestment)</t>
  </si>
  <si>
    <t>INF00XX01440</t>
  </si>
  <si>
    <t>ITI Arbitrage Fund - Direct Plan - Growth Option</t>
  </si>
  <si>
    <t>INF00XX01457</t>
  </si>
  <si>
    <t>INF00XX01465</t>
  </si>
  <si>
    <t>ITI Arbitrage Fund - Direct Plan - IDCW Option</t>
  </si>
  <si>
    <t>INF00XX01416</t>
  </si>
  <si>
    <t>ITI Arbitrage Fund - Regular Plan - Growth Option</t>
  </si>
  <si>
    <t>INF00XX01424</t>
  </si>
  <si>
    <t>INF00XX01432</t>
  </si>
  <si>
    <t>ITI Arbitrage Fund - Regular Plan - IDCW Option</t>
  </si>
  <si>
    <t>INF22M001101</t>
  </si>
  <si>
    <t>JioBlackRock Arbitrage Fund - Direct Plan - Growth Option</t>
  </si>
  <si>
    <t>INF192K01GX4</t>
  </si>
  <si>
    <t>JM Arbitrage Fund (Direct) - Annual Bonus Option - Principal Units</t>
  </si>
  <si>
    <t>INF192K01KY4</t>
  </si>
  <si>
    <t>INF192K01KZ1</t>
  </si>
  <si>
    <t>JM Arbitrage Fund (Direct) - Annual IDCW</t>
  </si>
  <si>
    <t>INF192K01GL9</t>
  </si>
  <si>
    <t>JM Arbitrage Fund (Direct) - Bonus Option - Principal Units</t>
  </si>
  <si>
    <t>INF192K01BN6</t>
  </si>
  <si>
    <t>JM Arbitrage Fund (Direct) - Growth Option</t>
  </si>
  <si>
    <t>INF192K01ID2</t>
  </si>
  <si>
    <t>JM Arbitrage Fund (Direct) - Half Yearly Bonus Option - Principal Units</t>
  </si>
  <si>
    <t>INF192K01KU2</t>
  </si>
  <si>
    <t>INF192K01KV0</t>
  </si>
  <si>
    <t>JM Arbitrage Fund (Direct) - Half Yearly IDCW</t>
  </si>
  <si>
    <t>INF192K01KM9</t>
  </si>
  <si>
    <t>INF192K01KN7</t>
  </si>
  <si>
    <t>JM Arbitrage Fund (Direct) - Monthly IDCW</t>
  </si>
  <si>
    <t>INF192K01IH3</t>
  </si>
  <si>
    <t>JM Arbitrage Fund (Direct) - Quarterly Bonus Option - Principal Units</t>
  </si>
  <si>
    <t>INF192K01KQ0</t>
  </si>
  <si>
    <t>INF192K01KR8</t>
  </si>
  <si>
    <t>JM Arbitrage Fund (Direct) - Quarterly IDCW</t>
  </si>
  <si>
    <t>INF192K01BL0</t>
  </si>
  <si>
    <t>INF192K01BM8</t>
  </si>
  <si>
    <t>JM Arbitrage Fund (Direct)- IDCW</t>
  </si>
  <si>
    <t>INF192K01GV8</t>
  </si>
  <si>
    <t>JM Arbitrage Fund (Regular) - Annual Bonus Option - Principal Units</t>
  </si>
  <si>
    <t>INF192K01KW8</t>
  </si>
  <si>
    <t>INF192K01KX6</t>
  </si>
  <si>
    <t>JM Arbitrage Fund (Regular) - Annual IDCW</t>
  </si>
  <si>
    <t>INF192K01GJ3</t>
  </si>
  <si>
    <t>JM Arbitrage Fund (Regular) - Bonus Option - Principal Units</t>
  </si>
  <si>
    <t>INF192K01510</t>
  </si>
  <si>
    <t>JM Arbitrage Fund (Regular) - Growth Option</t>
  </si>
  <si>
    <t>INF192K01IB6</t>
  </si>
  <si>
    <t>JM Arbitrage Fund (Regular) - Half Yearly Bonus Option - Principal Units</t>
  </si>
  <si>
    <t>INF192K01KS6</t>
  </si>
  <si>
    <t>INF192K01KT4</t>
  </si>
  <si>
    <t>JM Arbitrage Fund (Regular) - Half Yearly IDCW</t>
  </si>
  <si>
    <t>INF192K01494</t>
  </si>
  <si>
    <t>INF192K01502</t>
  </si>
  <si>
    <t xml:space="preserve">JM Arbitrage Fund (Regular) - IDCW </t>
  </si>
  <si>
    <t>INF192K01KK3</t>
  </si>
  <si>
    <t>INF192K01KL1</t>
  </si>
  <si>
    <t>JM Arbitrage Fund (Regular) - Monthly IDCW</t>
  </si>
  <si>
    <t>INF192K01IF7</t>
  </si>
  <si>
    <t>JM Arbitrage Fund (Regular) - Quarterly Bonus Option - Principal Units</t>
  </si>
  <si>
    <t>INF192K01KO5</t>
  </si>
  <si>
    <t>INF192K01KP2</t>
  </si>
  <si>
    <t>JM Arbitrage Fund (Regular) - Quarterly IDCW</t>
  </si>
  <si>
    <t>INF174K01LE2</t>
  </si>
  <si>
    <t>INF174K01LD4</t>
  </si>
  <si>
    <t>Kotak  Arbitrage Fund - Direct Plan - IDCW -Payout &amp;  Reinvestment of Income Distribution cum capital withdrawal option</t>
  </si>
  <si>
    <t>INF174K01LC6</t>
  </si>
  <si>
    <t>Kotak Arbitrage Fund - Direct Plan - Growth</t>
  </si>
  <si>
    <t>INF174K01302</t>
  </si>
  <si>
    <t>Kotak Arbitrage Fund - Regular Plan - Growth</t>
  </si>
  <si>
    <t>INF174K01328</t>
  </si>
  <si>
    <t>INF174K01310</t>
  </si>
  <si>
    <t>Kotak Arbitrage Fund - Regular Plan - IDCW - Payout &amp; Re-investment of Income Distribution cum capital withdrawal option</t>
  </si>
  <si>
    <t>INF767K01PP0</t>
  </si>
  <si>
    <t>LIC MF Arbitrage Fund-Direct Plan-Growth</t>
  </si>
  <si>
    <t>INF767K01PR6</t>
  </si>
  <si>
    <t>INF767K01PS4</t>
  </si>
  <si>
    <t>LIC MF Arbitrage Fund-Direct Plan-Monthly IDCW</t>
  </si>
  <si>
    <t>INF767K01PQ8</t>
  </si>
  <si>
    <t>LIC MF Arbitrage Fund-Direct Plan-Weekly IDCW</t>
  </si>
  <si>
    <t>INF767K01PL9</t>
  </si>
  <si>
    <t>LIC MF Arbitrage Fund-Regular Plan-Growth</t>
  </si>
  <si>
    <t>INF767K01PN5</t>
  </si>
  <si>
    <t>INF767K01PO3</t>
  </si>
  <si>
    <t>LIC MF Arbitrage Fund-Regular Plan-Monthly IDCW</t>
  </si>
  <si>
    <t>INF767K01PM7</t>
  </si>
  <si>
    <t>LIC MF Arbitrage Fund-Regular Plan-Weekly IDCW</t>
  </si>
  <si>
    <t>INF174V01AC6</t>
  </si>
  <si>
    <t>INF174V01AB8</t>
  </si>
  <si>
    <t>Mahindra Manulife Arbitrage Fund - Direct Plan - IDCW</t>
  </si>
  <si>
    <t>INF174V01AA0</t>
  </si>
  <si>
    <t>Mahindra Manulife Arbitrage Fund - Direct Plan -Growth</t>
  </si>
  <si>
    <t>INF174V01978</t>
  </si>
  <si>
    <t>Mahindra Manulife Arbitrage Fund - Regular Plan - Growth</t>
  </si>
  <si>
    <t>INF174V01994</t>
  </si>
  <si>
    <t>INF174V01986</t>
  </si>
  <si>
    <t>Mahindra Manulife Arbitrage Fund - Regular Plan - IDCW</t>
  </si>
  <si>
    <t>INF769K01FS1</t>
  </si>
  <si>
    <t>Mirae Asset Arbitrage Fund Direct Growth</t>
  </si>
  <si>
    <t>INF769K01FR3</t>
  </si>
  <si>
    <t>INF769K01FT9</t>
  </si>
  <si>
    <t>Mirae Asset Arbitrage Fund Direct IDCW</t>
  </si>
  <si>
    <t>INF769K01FP7</t>
  </si>
  <si>
    <t>Mirae Asset Arbitrage Fund Regular Growth</t>
  </si>
  <si>
    <t>INF769K01FO0</t>
  </si>
  <si>
    <t>INF769K01FQ5</t>
  </si>
  <si>
    <t>Mirae Asset Arbitrage Fund Regular IDCW</t>
  </si>
  <si>
    <t>INF247L01ED1</t>
  </si>
  <si>
    <t>Motilal Oswal Arbitrage Fund-Direct Plan-Growth</t>
  </si>
  <si>
    <t>INF247L01EE9</t>
  </si>
  <si>
    <t>INF247L01EF6</t>
  </si>
  <si>
    <t>Motilal Oswal Arbitrage Fund-Direct Plan-IDCW</t>
  </si>
  <si>
    <t>INF247L01EG4</t>
  </si>
  <si>
    <t>Motilal Oswal Arbitrage Fund-Regular Plan-Growth</t>
  </si>
  <si>
    <t>INF247L01EH2</t>
  </si>
  <si>
    <t>INF247L01EI0</t>
  </si>
  <si>
    <t>Motilal Oswal Arbitrage Fund-Regular Plan-IDCW</t>
  </si>
  <si>
    <t>INF204K01YA8</t>
  </si>
  <si>
    <t>INF204K01YB6</t>
  </si>
  <si>
    <t>NIPPON INDIA ARBITRAGE FUND - DIRECT Plan - IDCW Option</t>
  </si>
  <si>
    <t>INF204KA1MV7</t>
  </si>
  <si>
    <t>INF204KA1MW5</t>
  </si>
  <si>
    <t>NIPPON INDIA ARBITRAGE FUND - DIRECT Plan - MONTHLY IDCW Option</t>
  </si>
  <si>
    <t>INF204K01XZ7</t>
  </si>
  <si>
    <t>Nippon India Arbitrage Fund - Direct Plan Growth Plan - Growth Option</t>
  </si>
  <si>
    <t>INF204K01IY1</t>
  </si>
  <si>
    <t>Nippon India Arbitrage Fund - Growth Plan - Growth Option</t>
  </si>
  <si>
    <t>INF204K01IZ8</t>
  </si>
  <si>
    <t>INF204K01JA9</t>
  </si>
  <si>
    <t>NIPPON INDIA ARBITRAGE FUND - IDCW Option</t>
  </si>
  <si>
    <t>INF204KA1MT1</t>
  </si>
  <si>
    <t>INF204KA1MU9</t>
  </si>
  <si>
    <t>NIPPON INDIA ARBITRAGE FUND - MONTHLY IDCW Option</t>
  </si>
  <si>
    <t>INF0J8L01065</t>
  </si>
  <si>
    <t>NJ Arbitrage Fund - Direct Plan - Growth Option</t>
  </si>
  <si>
    <t>INF0J8L01057</t>
  </si>
  <si>
    <t>NJ Arbitrage Fund - Regular Plan - Growth Option</t>
  </si>
  <si>
    <t>INF0S5R01075</t>
  </si>
  <si>
    <t>INF0S5R01083</t>
  </si>
  <si>
    <t>Old Bridge Arbitrage Fund - Direct - IDCW</t>
  </si>
  <si>
    <t>INF0S5R01125</t>
  </si>
  <si>
    <t>Old Bridge Arbitrage Fund Direct Growth</t>
  </si>
  <si>
    <t>INF0S5R01091</t>
  </si>
  <si>
    <t>Old Bridge Arbitrage Fund Regular Growth</t>
  </si>
  <si>
    <t>INF0S5R01109</t>
  </si>
  <si>
    <t>INF0S5R01117</t>
  </si>
  <si>
    <t>Old Bridge Arbitrage Fund Regular IDCW</t>
  </si>
  <si>
    <t>INF223J012N9</t>
  </si>
  <si>
    <t>PGIM India Arbitrage Fund - Direct Plan - Annual Dividend</t>
  </si>
  <si>
    <t>INF223J013N7</t>
  </si>
  <si>
    <t>PGIM India Arbitrage Fund - Direct Plan - Growth</t>
  </si>
  <si>
    <t>INF663L01YU1</t>
  </si>
  <si>
    <t>INF663L01YV9</t>
  </si>
  <si>
    <t>PGIM India Arbitrage Fund - Direct Plan - Half yearly Dividend Option</t>
  </si>
  <si>
    <t>INF223J011N1</t>
  </si>
  <si>
    <t>INF223J016N0</t>
  </si>
  <si>
    <t>PGIM India Arbitrage Fund - Direct Plan - Monthly Dividend</t>
  </si>
  <si>
    <t>INF223J010N3</t>
  </si>
  <si>
    <t>INF223J015N2</t>
  </si>
  <si>
    <t>PGIM India Arbitrage Fund - Direct Plan - Quarterly Dividend</t>
  </si>
  <si>
    <t>INF223J019M6</t>
  </si>
  <si>
    <t>INF223J014N5</t>
  </si>
  <si>
    <t>PGIM India Arbitrage Fund - Direct Plan - Regular Dividend</t>
  </si>
  <si>
    <t>INF223J012M1</t>
  </si>
  <si>
    <t>INF223J016M2</t>
  </si>
  <si>
    <t>PGIM India Arbitrage Fund - Regular Plan - Annual Dividend</t>
  </si>
  <si>
    <t>INF223J019N4</t>
  </si>
  <si>
    <t>PGIM India Arbitrage Fund - Regular Plan - Growth</t>
  </si>
  <si>
    <t>INF223J011M3</t>
  </si>
  <si>
    <t>INF223J015M4</t>
  </si>
  <si>
    <t>PGIM India Arbitrage Fund - Regular Plan - Monthly Dividend</t>
  </si>
  <si>
    <t>INF223J010M5</t>
  </si>
  <si>
    <t>INF223J014M7</t>
  </si>
  <si>
    <t>PGIM India Arbitrage Fund - Regular Plan - Quarterly Dividend</t>
  </si>
  <si>
    <t>INF223J019L8</t>
  </si>
  <si>
    <t>INF223J013M9</t>
  </si>
  <si>
    <t>PGIM India Arbitrage Fund - Regular Plan - Regular Dividend</t>
  </si>
  <si>
    <t>INF879O01225</t>
  </si>
  <si>
    <t>Parag Parikh Arbitrage Fund - Direct Plan Growth</t>
  </si>
  <si>
    <t>INF879O01217</t>
  </si>
  <si>
    <t>Parag Parikh Arbitrage Fund - Regular Plan Growth</t>
  </si>
  <si>
    <t>INF966L01DW8</t>
  </si>
  <si>
    <t>quant Arbitrage Fund - Growth Option - Direct Plan</t>
  </si>
  <si>
    <t>INF966L01DZ1</t>
  </si>
  <si>
    <t>quant Arbitrage Fund - Growth Option - Regular Plan</t>
  </si>
  <si>
    <t>INF966L01DX6</t>
  </si>
  <si>
    <t>INF966L01DY4</t>
  </si>
  <si>
    <t>quant Arbitrage Fund - IDCW Option - Direct Plan</t>
  </si>
  <si>
    <t>INF966L01EA2</t>
  </si>
  <si>
    <t>INF966L01EB0</t>
  </si>
  <si>
    <t>quant Arbitrage Fund - IDCW Option - Regular Plan</t>
  </si>
  <si>
    <t>INF0K1H01214</t>
  </si>
  <si>
    <t>Samco Arbitrage Fund - Direct Plan - Growth</t>
  </si>
  <si>
    <t>INF0K1H01222</t>
  </si>
  <si>
    <t>Samco Arbitrage Fund - Regular Plan - Growth</t>
  </si>
  <si>
    <t>INF200K01QU0</t>
  </si>
  <si>
    <t>SBI Arbitrage Opportunities Fund - Direct Plan - Gr</t>
  </si>
  <si>
    <t>INF200K01QS4</t>
  </si>
  <si>
    <t>INF200K01QT2</t>
  </si>
  <si>
    <t>SBI Arbitrage Opportunities Fund - Direct Plan - Income Distribution cum Capital Withdrawal Option (IDCW)</t>
  </si>
  <si>
    <t>INF200K01156</t>
  </si>
  <si>
    <t>SBI Arbitrage Opportunities Fund - Regular Plan - Gr</t>
  </si>
  <si>
    <t>INF200K01131</t>
  </si>
  <si>
    <t>INF200K01149</t>
  </si>
  <si>
    <t>SBI Arbitrage Opportunities Fund - Regular Plan - Income Distribution cum Capital Withdrawal Option (IDCW)</t>
  </si>
  <si>
    <t>INF173K01NB6</t>
  </si>
  <si>
    <t>Sundaram Arbitrage Fund (Formerly Know as Principal Arbitrage Fund) - Regular Plan - Growth</t>
  </si>
  <si>
    <t>INF173K01MY0</t>
  </si>
  <si>
    <t>INF173K01NA8</t>
  </si>
  <si>
    <t>Sundaram Arbitrage Fund (Formerly Known as Principal Arbitrage Fund)- Regular Plan - Monthly Income Distribution CUM Capital Withdrawal</t>
  </si>
  <si>
    <t>INF173K01NF7</t>
  </si>
  <si>
    <t>Sundaram Arbitrage Fund (Formerly Known as Prinicpal Arbitrage Fund) - Direct Plan - Growth</t>
  </si>
  <si>
    <t>INF173K01NC4</t>
  </si>
  <si>
    <t>INF173K01NE0</t>
  </si>
  <si>
    <t>Sundaram Arbitrage Fund( Formerly Known as Principal Arbitrage Fund) - Direct Plan- Monthly Income Distribution CUM Capital Withdrawal</t>
  </si>
  <si>
    <t>INF277K018Q1</t>
  </si>
  <si>
    <t xml:space="preserve">TATA Arbitrage Fund Direct Plan - Monthly Payout of Income Distribution cum capital withdrawal option </t>
  </si>
  <si>
    <t>INF277K019Q9</t>
  </si>
  <si>
    <t>TATA Arbitrage Fund Direct Plan - Monthly Reinvestment of Income Distribution cum capital withdrawal option</t>
  </si>
  <si>
    <t>INF277K016Q5</t>
  </si>
  <si>
    <t xml:space="preserve">TATA Arbitrage Fund Regular Plan - Monthly Payout of Income Distribution cum capital withdrawal option </t>
  </si>
  <si>
    <t>INF277K010R6</t>
  </si>
  <si>
    <t xml:space="preserve">TATA Arbitrage Fund Regular Plan - Monthly Reinvestment of Income Distribution cum capital withdrawal option </t>
  </si>
  <si>
    <t>INF277K017Q3</t>
  </si>
  <si>
    <t>Tata Arbitrage Fund-Direct Plan-Growth</t>
  </si>
  <si>
    <t>INF277K015Q7</t>
  </si>
  <si>
    <t>Tata Arbitrage Fund-Regular Plan-Growth</t>
  </si>
  <si>
    <t>INF2F0001271</t>
  </si>
  <si>
    <t>THE WEALTH COMPANY ARBITRAGE FUND DIRECT GROWTH</t>
  </si>
  <si>
    <t>INF2F0001263</t>
  </si>
  <si>
    <t>INF2F0001255</t>
  </si>
  <si>
    <t>THE WEALTH COMPANY ARBITRAGE FUND DIRECT IDCW</t>
  </si>
  <si>
    <t>INF2F0001305</t>
  </si>
  <si>
    <t>THE WEALTH COMPANY ARBITRAGE FUND REGULAR GROWTH</t>
  </si>
  <si>
    <t>INF2F0001289</t>
  </si>
  <si>
    <t>INF2F0001297</t>
  </si>
  <si>
    <t>THE WEALTH COMPANY ARITRAGE FUND REGULAR IDCW</t>
  </si>
  <si>
    <t>INF0GCD01859</t>
  </si>
  <si>
    <t>TRUSTMF ARBITRAGE FUND -DIRECT PLAN-GROWTH</t>
  </si>
  <si>
    <t>INF0GCD01867</t>
  </si>
  <si>
    <t>TRUSTMF ARBITRAGE FUND -REGULAR PLAN-GROWTH</t>
  </si>
  <si>
    <t>INF582M01ES7</t>
  </si>
  <si>
    <t>Union Arbitrage Fund - Direct Plan - Growth Option</t>
  </si>
  <si>
    <t>INF582M01EU3</t>
  </si>
  <si>
    <t>INF582M01ET5</t>
  </si>
  <si>
    <t>Union Arbitrage Fund - Direct Plan - IDCW Option</t>
  </si>
  <si>
    <t>INF582M01EW9</t>
  </si>
  <si>
    <t>Union Arbitrage Fund - Regular Plan - Growth Option</t>
  </si>
  <si>
    <t>INF582M01EY5</t>
  </si>
  <si>
    <t>INF582M01EX7</t>
  </si>
  <si>
    <t>Union Arbitrage Fund - Regular Plan - IDCW Option</t>
  </si>
  <si>
    <t>INF789FB1RG6</t>
  </si>
  <si>
    <t>UTI Arbitrage Fund - Direct Plan - Growth Option</t>
  </si>
  <si>
    <t>INF789FB1RE1</t>
  </si>
  <si>
    <t>INF789FB1RF8</t>
  </si>
  <si>
    <t>UTI Arbitrage Fund - Direct Plan - IDCW</t>
  </si>
  <si>
    <t>INF789FB1RJ0</t>
  </si>
  <si>
    <t>UTI Arbitrage Fund - Regular Plan - Growth Option</t>
  </si>
  <si>
    <t>INF789FB1RH4</t>
  </si>
  <si>
    <t>INF789FB1RI2</t>
  </si>
  <si>
    <t>UTI Arbitrage Fund - Regular Plan - IDCW</t>
  </si>
  <si>
    <t>INF03VN01910</t>
  </si>
  <si>
    <t>WhiteOak Capital Arbitrage Fund Direct Plan Growth</t>
  </si>
  <si>
    <t>INF03VN01928</t>
  </si>
  <si>
    <t>WhiteOak Capital Arbitrage Fund Regular Plan Growth</t>
  </si>
  <si>
    <t>INF579M01AZ6</t>
  </si>
  <si>
    <t>INF579M01BA7</t>
  </si>
  <si>
    <t>360 ONE Balanced Hybrid Fund - Direct Plan - IDCW</t>
  </si>
  <si>
    <t>INF579M01AV5</t>
  </si>
  <si>
    <t>360 ONE Balanced Hybrid Fund - Regular Plan - Growth</t>
  </si>
  <si>
    <t>INF579M01AY9</t>
  </si>
  <si>
    <t>360 ONE Balanced Hybrid Fund- Direct Plan - Growth</t>
  </si>
  <si>
    <t>INF579M01AW3</t>
  </si>
  <si>
    <t>INF579M01AX1</t>
  </si>
  <si>
    <t>360 ONE Balanced Hyrbrid fund - Regular Plan - IDCW</t>
  </si>
  <si>
    <t>INF03VN01829</t>
  </si>
  <si>
    <t>WhiteOak Capital Balanced Hybrid Fund Direct Plan Growth</t>
  </si>
  <si>
    <t>INF03VN01811</t>
  </si>
  <si>
    <t>WhiteOak Capital Balanced Hybrid Fund Regular Plan Growth</t>
  </si>
  <si>
    <t>INF209K01R47</t>
  </si>
  <si>
    <t>Aditya Birla Sun Life Regular Savings Fund - DIRECT - MONTHLY IDCW</t>
  </si>
  <si>
    <t>INF209K01XH4</t>
  </si>
  <si>
    <t>Aditya Birla Sun Life Regular Savings Fund - Growth / Payment - Direct Plan</t>
  </si>
  <si>
    <t>INF209K01751</t>
  </si>
  <si>
    <t>Aditya Birla Sun Life Regular Savings Fund - Growth / Payment - Regular Plan</t>
  </si>
  <si>
    <t>INF209K01769</t>
  </si>
  <si>
    <t>INF209K01DF0</t>
  </si>
  <si>
    <t>Aditya Birla Sun Life Regular Savings Fund - REGULAR - MONTHLY IDCW</t>
  </si>
  <si>
    <t>INF846K01DY0</t>
  </si>
  <si>
    <t>INF846K01DZ7</t>
  </si>
  <si>
    <t>Axis Conservative Hybrid Fund - Direct Plan - Annual IDCW</t>
  </si>
  <si>
    <t>INF846K01EA8</t>
  </si>
  <si>
    <t>Axis Conservative Hybrid Fund - Direct Plan - Growth Option</t>
  </si>
  <si>
    <t>INF846K01EB6</t>
  </si>
  <si>
    <t>INF846K01EC4</t>
  </si>
  <si>
    <t>Axis Conservative Hybrid Fund - Direct Plan - Half Yearly</t>
  </si>
  <si>
    <t>INF846K01ED2</t>
  </si>
  <si>
    <t>INF846K01EE0</t>
  </si>
  <si>
    <t>Axis Conservative Hybrid Fund - Direct Plan - Quarterly</t>
  </si>
  <si>
    <t>INF846K01743</t>
  </si>
  <si>
    <t>INF846K01750</t>
  </si>
  <si>
    <t>Axis Conservative Hybrid Fund - Regular Plan - Annual IDCW</t>
  </si>
  <si>
    <t>INF846K01693</t>
  </si>
  <si>
    <t>Axis Conservative Hybrid Fund - Regular Plan - Growth Option</t>
  </si>
  <si>
    <t>INF846K01727</t>
  </si>
  <si>
    <t>INF846K01735</t>
  </si>
  <si>
    <t>Axis Conservative Hybrid Fund - Regular Plan - Half Yearly IDCW</t>
  </si>
  <si>
    <t>INF846K01701</t>
  </si>
  <si>
    <t>INF846K01719</t>
  </si>
  <si>
    <t>Axis Conservative Hybrid Fund - Regular Plan - Quarterly IDCW</t>
  </si>
  <si>
    <t>INF194K01RW9</t>
  </si>
  <si>
    <t>BANDHAN Conservative Hybrid Fund - Regular Plan - Growth</t>
  </si>
  <si>
    <t>INF194K01RY5</t>
  </si>
  <si>
    <t>INF194K01RX7</t>
  </si>
  <si>
    <t>BANDHAN Conservative Hybrid Fund - Regular Plan - IDCW</t>
  </si>
  <si>
    <t>INF194K01SB1</t>
  </si>
  <si>
    <t>INF194K01SA3</t>
  </si>
  <si>
    <t>BANDHAN Conservative Hybrid Fund - Regular Plan - Quarterly IDCW</t>
  </si>
  <si>
    <t>INF194K015B9</t>
  </si>
  <si>
    <t>BANDHAN Conservative Hybrid Fund-Direct Plan-Growth</t>
  </si>
  <si>
    <t>INF194K017B5</t>
  </si>
  <si>
    <t>INF194K016B7</t>
  </si>
  <si>
    <t>BANDHAN Conservative Hybrid Fund-Direct Plan-IDCW</t>
  </si>
  <si>
    <t>INF194K010C8</t>
  </si>
  <si>
    <t>INF194K019B1</t>
  </si>
  <si>
    <t>BANDHAN Conservative Hybrid Fund-Direct Plan-Quarterly IDCW</t>
  </si>
  <si>
    <t>INF251K01HR8</t>
  </si>
  <si>
    <t>BARODA BNP PARIBAS Conservative Hybrid Fund - Direct Plan - Growth Option</t>
  </si>
  <si>
    <t>INF251K01HS6</t>
  </si>
  <si>
    <t>INF251K01HT4</t>
  </si>
  <si>
    <t>BARODA BNP PARIBAS Conservative Hybrid Fund - Direct Plan - Monthly IDCW Option</t>
  </si>
  <si>
    <t>INF251K01HU2</t>
  </si>
  <si>
    <t>INF251K01HV0</t>
  </si>
  <si>
    <t>BARODA BNP PARIBAS Conservative Hybrid Fund - Direct Plan - Quarterly IDCW Option</t>
  </si>
  <si>
    <t>INF251K01845</t>
  </si>
  <si>
    <t>BARODA BNP PARIBAS Conservative Hybrid Fund-Regular Plan-Growth Option</t>
  </si>
  <si>
    <t>INF251K01852</t>
  </si>
  <si>
    <t>INF251K01860</t>
  </si>
  <si>
    <t>BARODA BNP PARIBAS Conservative hybrid Fund-Regular Plan-Monthly IDCW Option</t>
  </si>
  <si>
    <t>INF251K01878</t>
  </si>
  <si>
    <t>INF251K01886</t>
  </si>
  <si>
    <t>BARODA BNP PARIBAS Conservative Hybrid Fund-Regular Plan-Quarterly IDCW Option</t>
  </si>
  <si>
    <t>INF760K01GB4</t>
  </si>
  <si>
    <t>CANARA ROBECO CONSERVATIVE HYBRID FUND - DIRECT PLAN - GROWTH OPTION</t>
  </si>
  <si>
    <t>INF760K01FZ5</t>
  </si>
  <si>
    <t>INF760K01GA6</t>
  </si>
  <si>
    <t>CANARA ROBECO CONSERVATIVE HYBRID FUND - DIRECT PLAN - MONTHLY IDCW (Payout/Reinvestment)</t>
  </si>
  <si>
    <t>INF760K01GC2</t>
  </si>
  <si>
    <t>INF760K01GD0</t>
  </si>
  <si>
    <t>CANARA ROBECO CONSERVATIVE HYBRID FUND - DIRECT PLAN - QUARTERLY IDCW (Payout/Reinvestment)</t>
  </si>
  <si>
    <t>INF760K01282</t>
  </si>
  <si>
    <t>CANARA ROBECO CONSERVATIVE HYBRID FUND - REGULAR PLAN - GROWTH OPTION</t>
  </si>
  <si>
    <t>INF760K01308</t>
  </si>
  <si>
    <t>INF760K01316</t>
  </si>
  <si>
    <t>CANARA ROBECO CONSERVATIVE HYBRID FUND - REGULAR PLAN - MONTHLY IDCW (Payout/Reinvestment)</t>
  </si>
  <si>
    <t>INF760K01AP7</t>
  </si>
  <si>
    <t>INF760K01AQ5</t>
  </si>
  <si>
    <t>CANARA ROBECO CONSERVATIVE HYBRID FUND - REGULAR PLAN - QUARTERLY IDCW (Payout/Reinvestment)</t>
  </si>
  <si>
    <t>INF740K01NO5</t>
  </si>
  <si>
    <t>DSP Regular Savings Fund - Direct Plan - Growth</t>
  </si>
  <si>
    <t>INF740K01NP2</t>
  </si>
  <si>
    <t>INF740K01NR8</t>
  </si>
  <si>
    <t>DSP Regular Savings Fund - Direct Plan - IDCW - Monthly</t>
  </si>
  <si>
    <t>INF740K01NQ0</t>
  </si>
  <si>
    <t>INF740K01NS6</t>
  </si>
  <si>
    <t xml:space="preserve">DSP Regular Savings Fund - Direct Plan - IDCW - Quarterly </t>
  </si>
  <si>
    <t>INF740K01458</t>
  </si>
  <si>
    <t>INF740K01466</t>
  </si>
  <si>
    <t>DSP Regular Savings Fund - Regular Plan - IDCW - Monthly</t>
  </si>
  <si>
    <t>INF740K01474</t>
  </si>
  <si>
    <t>INF740K01482</t>
  </si>
  <si>
    <t xml:space="preserve">DSP Regular Savings Fund - Regular Plan - IDCW - Quarterly </t>
  </si>
  <si>
    <t>INF740K01441</t>
  </si>
  <si>
    <t>DSP Regular Savings Fund- Regular Plan - Growth</t>
  </si>
  <si>
    <t>INF090I01GF1</t>
  </si>
  <si>
    <t>Franklin India Conservative Hybrid Fund - Direct - GROWTH</t>
  </si>
  <si>
    <t>INF090I01EA7</t>
  </si>
  <si>
    <t>Franklin India Conservative Hybrid Fund - Growth</t>
  </si>
  <si>
    <t>INF090I01GG9</t>
  </si>
  <si>
    <t>INF090I01GH7</t>
  </si>
  <si>
    <t>Franklin India Conservative Hybrid Fund - Plan A - Direct - Monthly - IDCW</t>
  </si>
  <si>
    <t>INF090I01GI5</t>
  </si>
  <si>
    <t>INF090I01GJ3</t>
  </si>
  <si>
    <t>Franklin India Conservative Hybrid Fund - Plan A - Direct - Quarterly - IDCW</t>
  </si>
  <si>
    <t>INF090I01EB5</t>
  </si>
  <si>
    <t>INF090I01EC3</t>
  </si>
  <si>
    <t>Franklin India Conservative Hybrid Fund - Plan A - Monthly - IDCW</t>
  </si>
  <si>
    <t>INF090I01ED1</t>
  </si>
  <si>
    <t>INF090I01EE9</t>
  </si>
  <si>
    <t>Franklin India Conservative Hybrid Fund - Plan A - Quarterly - IDCW</t>
  </si>
  <si>
    <t>INF090I01WH4</t>
  </si>
  <si>
    <t>Franklin India Conservative Hybrid Fund - Segregated Portfolio 1 (10.25% Yes Bank ltd CO 05Mar20) - Direct Growth Plan</t>
  </si>
  <si>
    <t>INF090I01WI2</t>
  </si>
  <si>
    <t>Franklin India Conservative Hybrid Fund - Segregated Portfolio 1 (10.25% Yes Bank Ltd CO 05Mar20) - Direct Quarterly Dividend Plan</t>
  </si>
  <si>
    <t>INF090I01WE1</t>
  </si>
  <si>
    <t>Franklin India Conservative Hybrid Fund - Segregated Portfolio 1 (10.25% Yes bank Ltd CO 05Mar20) - Growth Plan</t>
  </si>
  <si>
    <t>INF090I01WG6</t>
  </si>
  <si>
    <t>Franklin India Conservative Hybrid Fund - Segregated Portfolio 1 (10.25% Yes Bank Ltd CO 05Mar20) - Monthly Dividend Plan</t>
  </si>
  <si>
    <t>INF090I01WF8</t>
  </si>
  <si>
    <t>Franklin India Conservative Hybrid Fund - Segregated Portfolio 1 (10.25% Yes Bank Ltd CO 05Mar20) - Quarterly Dividend Plan</t>
  </si>
  <si>
    <t>INF090I01WJ0</t>
  </si>
  <si>
    <t>Franklin India Conservative Hybrid Fund - Segregated Portfolio 1 (10.25% Yes Bank Ltd CO05Mar20) - Direct Monthly Dividend Plan</t>
  </si>
  <si>
    <t>INF179K01XE6</t>
  </si>
  <si>
    <t>HDFC Hybrid Debt Fund - Growth Option - Direct Plan</t>
  </si>
  <si>
    <t>INF179K01AE4</t>
  </si>
  <si>
    <t>HDFC Hybrid Debt Fund - Growth Plan</t>
  </si>
  <si>
    <t>INF179K01AA2</t>
  </si>
  <si>
    <t>INF179K01AB0</t>
  </si>
  <si>
    <t>HDFC Hybrid Debt Fund - IDCW Monthly</t>
  </si>
  <si>
    <t>INF179K01XF3</t>
  </si>
  <si>
    <t>INF179K01XG1</t>
  </si>
  <si>
    <t>HDFC Hybrid Debt Fund - IDCW Monthly - Direct Plan</t>
  </si>
  <si>
    <t>INF179K01AC8</t>
  </si>
  <si>
    <t>INF179K01AD6</t>
  </si>
  <si>
    <t>HDFC Hybrid Debt Fund - IDCW Quarterly</t>
  </si>
  <si>
    <t>INF179K01XH9</t>
  </si>
  <si>
    <t>INF179K01XI7</t>
  </si>
  <si>
    <t>HDFC Hybrid Debt Fund - IDCW Quarterly - Direct Plan</t>
  </si>
  <si>
    <t>INF336L01DW4</t>
  </si>
  <si>
    <t>HSBC Conservative Hybrid Fund - Direct Growth</t>
  </si>
  <si>
    <t>INF336L01DX2</t>
  </si>
  <si>
    <t>INF336L01DY0</t>
  </si>
  <si>
    <t>HSBC Conservative Hybrid Fund - Direct Monthly IDCW</t>
  </si>
  <si>
    <t>INF336L01DZ7</t>
  </si>
  <si>
    <t>INF336L01EA8</t>
  </si>
  <si>
    <t>HSBC Conservative Hybrid Fund - Direct Quarterly IDCW</t>
  </si>
  <si>
    <t>INF336L01099</t>
  </si>
  <si>
    <t>HSBC Conservative Hybrid Fund - Regular Growth</t>
  </si>
  <si>
    <t>INF336L01107</t>
  </si>
  <si>
    <t>INF336L01115</t>
  </si>
  <si>
    <t>HSBC Conservative Hybrid Fund - Regular Monthly IDCW</t>
  </si>
  <si>
    <t>INF336L01123</t>
  </si>
  <si>
    <t>INF336L01131</t>
  </si>
  <si>
    <t>HSBC Conservative Hybrid Fund - Regular Quarterly IDCW</t>
  </si>
  <si>
    <t>INF109KA1301</t>
  </si>
  <si>
    <t>ICICI Prudential Regular Savings Fund - Direct Plan - Bonus</t>
  </si>
  <si>
    <t>INF109K01S39</t>
  </si>
  <si>
    <t>ICICI Prudential Regular Savings Fund - Direct Plan - Growth</t>
  </si>
  <si>
    <t>INF109K01S47</t>
  </si>
  <si>
    <t>INF109K01S54</t>
  </si>
  <si>
    <t>ICICI Prudential Regular Savings Fund - Direct Plan - Half Yearly IDCW</t>
  </si>
  <si>
    <t>INF109K01S62</t>
  </si>
  <si>
    <t>INF109K01S70</t>
  </si>
  <si>
    <t>ICICI Prudential Regular Savings Fund - Direct Plan - Monthly IDCW</t>
  </si>
  <si>
    <t>INF109K01S88</t>
  </si>
  <si>
    <t>INF109K01S96</t>
  </si>
  <si>
    <t>ICICI Prudential Regular Savings Fund - Direct Plan - Quarterly IDCW</t>
  </si>
  <si>
    <t>INF109KA1319</t>
  </si>
  <si>
    <t>ICICI Prudential Regular Savings Fund - Plan - Bonus</t>
  </si>
  <si>
    <t>INF109K01902</t>
  </si>
  <si>
    <t>ICICI Prudential Regular Savings Fund - Plan - Growth</t>
  </si>
  <si>
    <t>INF109K01IW6</t>
  </si>
  <si>
    <t>INF109K01WX5</t>
  </si>
  <si>
    <t>ICICI Prudential Regular Savings Fund - Plan - Half Yearly IDCW</t>
  </si>
  <si>
    <t>INF109K01ER5</t>
  </si>
  <si>
    <t>INF109K01894</t>
  </si>
  <si>
    <t>ICICI Prudential Regular Savings Fund - Plan - Monthly IDCW</t>
  </si>
  <si>
    <t>INF109K01IX4</t>
  </si>
  <si>
    <t>INF109K01WY3</t>
  </si>
  <si>
    <t>ICICI Prudential Regular Savings Fund - Plan - Quarterly IDCW</t>
  </si>
  <si>
    <t>INF174K01393</t>
  </si>
  <si>
    <t>Kotak Debt Hybrid - Growth</t>
  </si>
  <si>
    <t>INF174K01JZ1</t>
  </si>
  <si>
    <t>Kotak Debt Hybrid - Growth - Direct</t>
  </si>
  <si>
    <t>INF174K01419</t>
  </si>
  <si>
    <t>INF174K01401</t>
  </si>
  <si>
    <t>Kotak Debt Hybrid - Monthly Payout of Income Distribution cum capital withdrawal option</t>
  </si>
  <si>
    <t>INF174K01KA2</t>
  </si>
  <si>
    <t>INF174K01KB0</t>
  </si>
  <si>
    <t>Kotak Debt Hybrid - Monthly Payout of Income Distribution cum capital withdrawal option - Direct</t>
  </si>
  <si>
    <t>INF767K01EO7</t>
  </si>
  <si>
    <t>LIC MF Conservative Hybrid Fund-Direct Plan-Growth</t>
  </si>
  <si>
    <t>INF767K01EP4</t>
  </si>
  <si>
    <t>INF767K01ES8</t>
  </si>
  <si>
    <t>LIC MF Conservative Hybrid Fund-Direct Plan-Monthly IDCW</t>
  </si>
  <si>
    <t>INF767K01EQ2</t>
  </si>
  <si>
    <t>INF767K01ET6</t>
  </si>
  <si>
    <t>LIC MF Conservative Hybrid Fund-Direct Plan-Quarterly IDCW</t>
  </si>
  <si>
    <t>INF767K01ER0</t>
  </si>
  <si>
    <t>INF767K01EU4</t>
  </si>
  <si>
    <t>LIC MF Conservative Hybrid Fund-Direct Plan-Yearly IDCW</t>
  </si>
  <si>
    <t>INF767K01808</t>
  </si>
  <si>
    <t>LIC MF Conservative Hybrid Fund-Regular Plan-Growth</t>
  </si>
  <si>
    <t>INF767K01816</t>
  </si>
  <si>
    <t>INF767K01824</t>
  </si>
  <si>
    <t>LIC MF Conservative Hybrid Fund-Regular Plan-Monthly IDCW</t>
  </si>
  <si>
    <t>INF767K01832</t>
  </si>
  <si>
    <t>INF767K01840</t>
  </si>
  <si>
    <t>LIC MF Conservative Hybrid Fund-Regular Plan-Quarterly IDCW</t>
  </si>
  <si>
    <t>INF767K01857</t>
  </si>
  <si>
    <t>INF767K01865</t>
  </si>
  <si>
    <t>LIC MF Conservative Hybrid Fund-Regular Plan-Yearly IDCW</t>
  </si>
  <si>
    <t>INF204KB15O7</t>
  </si>
  <si>
    <t>INF204KB16O5</t>
  </si>
  <si>
    <t>NIPPON INDIA CONSERVATIVE HYBRID  FUND -  SEGREGATED PORTFOLIO 2 - DIRECT Plan - MONTHLY IDCW Option</t>
  </si>
  <si>
    <t>INF204KB10P5</t>
  </si>
  <si>
    <t>INF204KB11P3</t>
  </si>
  <si>
    <t>NIPPON INDIA CONSERVATIVE HYBRID  FUND -  SEGREGATED PORTFOLIO 2 - MONTHLY IDCW Option</t>
  </si>
  <si>
    <t>INF204KB12P1</t>
  </si>
  <si>
    <t>INF204KB13P9</t>
  </si>
  <si>
    <t>NIPPON INDIA CONSERVATIVE HYBRID  FUND -  SEGREGATED PORTFOLIO 2 - QUARTERLY IDCW Option</t>
  </si>
  <si>
    <t>INF204K01YW2</t>
  </si>
  <si>
    <t>INF204K01YX0</t>
  </si>
  <si>
    <t>NIPPON INDIA CONSERVATIVE HYBRID  FUND - DIRECT Plan - MONTHLY IDCW Option</t>
  </si>
  <si>
    <t>INF204K01YY8</t>
  </si>
  <si>
    <t>INF204K01YZ5</t>
  </si>
  <si>
    <t>NIPPON INDIA CONSERVATIVE HYBRID  FUND - DIRECT Plan - QUARTERLY IDCW Option</t>
  </si>
  <si>
    <t>INF204K01YV4</t>
  </si>
  <si>
    <t>Nippon India Conservative Hybrid  Fund - Direct Plan Growth Plan - Growth Option</t>
  </si>
  <si>
    <t>INF204K01FE9</t>
  </si>
  <si>
    <t>INF204K01FF6</t>
  </si>
  <si>
    <t>NIPPON INDIA CONSERVATIVE HYBRID  FUND - MONTHLY IDCW Option</t>
  </si>
  <si>
    <t>INF204K01FG4</t>
  </si>
  <si>
    <t>INF204K01FH2</t>
  </si>
  <si>
    <t>NIPPON INDIA CONSERVATIVE HYBRID  FUND - QUARTERLY IDCW Option</t>
  </si>
  <si>
    <t>INF204KB12K2</t>
  </si>
  <si>
    <t>Nippon India Conservative Hybrid  Fund - Segregated Portfolio 1 - Direct Plan Growth Plan - Growth Option</t>
  </si>
  <si>
    <t>INF204KB14K8</t>
  </si>
  <si>
    <t>INF204KB13K0</t>
  </si>
  <si>
    <t>Nippon India Conservative Hybrid  Fund - Segregated Portfolio 1 - Direct Plan Monthly Dividend Plan</t>
  </si>
  <si>
    <t>INF204KB17K1</t>
  </si>
  <si>
    <t>Nippon India Conservative Hybrid  Fund - Segregated Portfolio 1 - Growth Plan</t>
  </si>
  <si>
    <t>INF204KB18K9</t>
  </si>
  <si>
    <t>INF204KB19K7</t>
  </si>
  <si>
    <t>Nippon India Conservative Hybrid  Fund - Segregated Portfolio 1 - Monthly Dividend Plan</t>
  </si>
  <si>
    <t>INF204KB10L4</t>
  </si>
  <si>
    <t>INF204KB11L2</t>
  </si>
  <si>
    <t>Nippon India Conservative Hybrid  Fund - Segregated Portfolio 1 - Quarterly Dividend Plan</t>
  </si>
  <si>
    <t>INF204KB14O0</t>
  </si>
  <si>
    <t>Nippon India Conservative Hybrid  Fund - Segregated Portfolio 2 - Direct Plan - Growth Plan - Growth Option</t>
  </si>
  <si>
    <t>INF204KB19O9</t>
  </si>
  <si>
    <t>Nippon India Conservative Hybrid  Fund - Segregated Portfolio 2 - Growth Plan</t>
  </si>
  <si>
    <t>INF204K01FD1</t>
  </si>
  <si>
    <t>Nippon India Conservative Hybrid  Fund-Growth Plan</t>
  </si>
  <si>
    <t>INF204KB17O3</t>
  </si>
  <si>
    <t>INF204KB18O1</t>
  </si>
  <si>
    <t>NIPPON INDIA CONSERVATIVE HYBRID FUND -  SEGREGATED PORTFOLIO 2 - DIRECT Plan - QUARTERLY IDCW Option</t>
  </si>
  <si>
    <t>INF204KB15K5</t>
  </si>
  <si>
    <t>INF204KB16K3</t>
  </si>
  <si>
    <t>Nippon India Conservative Hybrid Fund - Segregated Portfolio 1 - Direct Plan Quarterly Dividend Plan</t>
  </si>
  <si>
    <t>INF879O01175</t>
  </si>
  <si>
    <t>Parag Parikh Conservative Hybrid Fund - Direct Plan - Growth</t>
  </si>
  <si>
    <t>INF879O01167</t>
  </si>
  <si>
    <t>INF879O01159</t>
  </si>
  <si>
    <t>Parag Parikh Conservative Hybrid Fund - Direct Plan - Monthly IDCW</t>
  </si>
  <si>
    <t>INF879O01209</t>
  </si>
  <si>
    <t>Parag Parikh Conservative Hybrid Fund - Regular Plan - Growth</t>
  </si>
  <si>
    <t>INF879O01191</t>
  </si>
  <si>
    <t>INF879O01183</t>
  </si>
  <si>
    <t>Parag Parikh Conservative Hybrid Fund - Regular Plan - Monthly IDCW</t>
  </si>
  <si>
    <t>INF200K01TV2</t>
  </si>
  <si>
    <t>INF200K01TW0</t>
  </si>
  <si>
    <t>SBI Conservative Hybrid Fund  - Direct Plan - Quarterly Income Distribution cum Capital Withdrawal Option (IDCW)</t>
  </si>
  <si>
    <t>INF200K01TQ2</t>
  </si>
  <si>
    <t>INF200K01TR0</t>
  </si>
  <si>
    <t>SBI Conservative Hybrid Fund - Direct Plan - Annual Income Distribution cum Capital Withdrawal Option (IDCW)</t>
  </si>
  <si>
    <t>INF200K01TS8</t>
  </si>
  <si>
    <t>SBI Conservative Hybrid Fund - Direct Plan - Growth</t>
  </si>
  <si>
    <t>INF200K01TT6</t>
  </si>
  <si>
    <t>INF200K01TU4</t>
  </si>
  <si>
    <t>SBI Conservative Hybrid Fund - Direct Plan - Monthly Income Distribution cum Capital Withdrawal Option (IDCW)</t>
  </si>
  <si>
    <t>INF200K01909</t>
  </si>
  <si>
    <t>INF200K01917</t>
  </si>
  <si>
    <t>SBI Conservative Hybrid Fund - Regular Plan - Annual Income Distribution cum Capital Withdrawal Option (IDCW)</t>
  </si>
  <si>
    <t>INF200K01859</t>
  </si>
  <si>
    <t>SBI Conservative Hybrid Fund - Regular Plan - Growth</t>
  </si>
  <si>
    <t>INF200K01867</t>
  </si>
  <si>
    <t>INF200K01875</t>
  </si>
  <si>
    <t>SBI Conservative Hybrid Fund - Regular Plan - Monthly Income Distribution cum Capital Withdrawal Option (IDCW)</t>
  </si>
  <si>
    <t>INF200K01883</t>
  </si>
  <si>
    <t>INF200K01891</t>
  </si>
  <si>
    <t>SBI Conservative Hybrid Fund - Regular Plan - Quarterly Income Distribution cum Capital Withdrawal Option (IDCW)</t>
  </si>
  <si>
    <t>INF903J01OP6</t>
  </si>
  <si>
    <t>Sundaram Conservative Hybrid Fund (Formerly Known as Sundaram Debt Oriented Hybrid Fund) Direct Plan - Growth</t>
  </si>
  <si>
    <t>INF903J01OQ4</t>
  </si>
  <si>
    <t>INF903J01OT8</t>
  </si>
  <si>
    <t>Sundaram Conservative Hybrid Fund (Formerly Known as Sundaram Debt Oriented Hybrid Fund) Direct Plan - IDCW</t>
  </si>
  <si>
    <t>INF903J01OS0</t>
  </si>
  <si>
    <t>INF903J01OV4</t>
  </si>
  <si>
    <t>Sundaram Conservative Hybrid Fund (Formerly Known as Sundaram Debt Oriented Hybrid Fund) Direct Plan - Income Distribution cum Capital Withdrawal (IDCW)</t>
  </si>
  <si>
    <t>INF903J01OR2</t>
  </si>
  <si>
    <t>INF903J01OU6</t>
  </si>
  <si>
    <t>Sundaram Conservative Hybrid Fund (Formerly Known as Sundaram Debt Oriented Hybrid Fund) Direct Plan -Income Distribution cum Capital Withdrawal (IDCW)</t>
  </si>
  <si>
    <t>INF903J01HB0</t>
  </si>
  <si>
    <t>Sundaram Conservative Hybrid Fund (Formerly Known as Sundaram Debt Oriented Hybrid Fund) Regular Plan - Growth</t>
  </si>
  <si>
    <t>INF903J01HC8</t>
  </si>
  <si>
    <t>INF903J01HF1</t>
  </si>
  <si>
    <t>Sundaram Conservative Hybrid Fund (Formerly Known as Sundaram Debt Oriented Hybrid Fund) Regular Plan - Income Distribution cum Capital Withdrawal (IDCW)</t>
  </si>
  <si>
    <t>INF903J01HD6</t>
  </si>
  <si>
    <t>INF903J01HG9</t>
  </si>
  <si>
    <t>Sundaram Conservative Hybrid Fund (Formerly Known as Sundaram Debt Oriented Hybrid Fund) Regular Plan -Income Distribution cum Capital Withdrawal (IDCW)</t>
  </si>
  <si>
    <t>INF903J01HE4</t>
  </si>
  <si>
    <t>INF903J01HH7</t>
  </si>
  <si>
    <t>Sundaram Conservative Hybrid Fund (Formerly Known as Sundaram Debt Oriented Hybrid Fund) Regular Plan- Income Distribution cum Capital Withdrawal (IDCW)</t>
  </si>
  <si>
    <t>INF789F1AQP1</t>
  </si>
  <si>
    <t>UTI - Regular Saving Fund (Segregated - 17022020) - Direct Plan - Growth Option</t>
  </si>
  <si>
    <t>INF789F1AQM8</t>
  </si>
  <si>
    <t>UTI - Regular Saving Fund (Segregated - 17022020) - Direct Plan - Monthly Payment Option</t>
  </si>
  <si>
    <t>INF789F1AQJ4</t>
  </si>
  <si>
    <t>UTI - Regular Saving Fund (Segregated - 17022020) - Regular Plan - Growth Option</t>
  </si>
  <si>
    <t>INF789F1AQG0</t>
  </si>
  <si>
    <t>UTI - Regular Saving Fund (Segregated - 17022020) - Regular Plan - Monthly Payment Option</t>
  </si>
  <si>
    <t>INF789F1AQQ9</t>
  </si>
  <si>
    <t>INF789F1AQR7</t>
  </si>
  <si>
    <t>UTI Regular Saving Fund ( Segregated - 17022020) - Direct Plan - Flexi IDCW</t>
  </si>
  <si>
    <t>INF789F1AQN6</t>
  </si>
  <si>
    <t>INF789F1AQO4</t>
  </si>
  <si>
    <t>UTI Regular Saving Fund ( Segregated - 17022020) - Direct Plan - Monthly IDCW</t>
  </si>
  <si>
    <t>INF789F1AQK2</t>
  </si>
  <si>
    <t>INF789F1AQL0</t>
  </si>
  <si>
    <t>UTI Regular Saving Fund ( Segregated - 17022020) - Regular Plan - Flexi IDCW</t>
  </si>
  <si>
    <t>INF789F1AQH8</t>
  </si>
  <si>
    <t>INF789F1AQI6</t>
  </si>
  <si>
    <t>UTI Regular Saving Fund ( Segregated - 17022020) - Regular Plan - Monthly IDCW</t>
  </si>
  <si>
    <t>INF789F01927</t>
  </si>
  <si>
    <t>UTI Conservative Hybrd Fund - Regular Plan - Monthly Payment Option</t>
  </si>
  <si>
    <t>INF789F01UH1</t>
  </si>
  <si>
    <t>INF789F01UI9</t>
  </si>
  <si>
    <t>UTI Conservative Hybrid Fund - Direct Plan - Flexi IDCW</t>
  </si>
  <si>
    <t>INF789F01UJ7</t>
  </si>
  <si>
    <t>UTI Conservative Hybrid Fund - Direct Plan - Growth Option</t>
  </si>
  <si>
    <t>INF789F01UK5</t>
  </si>
  <si>
    <t>INF789F01UL3</t>
  </si>
  <si>
    <t>UTI Conservative Hybrid Fund - Direct Plan - Monthly IDCW</t>
  </si>
  <si>
    <t>INF789F01UM1</t>
  </si>
  <si>
    <t>UTI Conservative Hybrid Fund - Direct Plan - Monthly Payment Option</t>
  </si>
  <si>
    <t>INF789F01877</t>
  </si>
  <si>
    <t>INF789F01885</t>
  </si>
  <si>
    <t>UTI Conservative Hybrid Fund - Regular Plan - Flexi IDCW</t>
  </si>
  <si>
    <t>INF789F01893</t>
  </si>
  <si>
    <t>UTI Conservative Hybrid Fund - Regular Plan - Growth Option</t>
  </si>
  <si>
    <t>INF789F01901</t>
  </si>
  <si>
    <t>INF789F01919</t>
  </si>
  <si>
    <t>UTI Conservative Hybrid Fund - Regular Plan - Monthly IDCW</t>
  </si>
  <si>
    <t>INF084M01DJ5</t>
  </si>
  <si>
    <t>Aditya Birla Sun Life Balanced Advantage Fund - Direct Plan - Growth Option</t>
  </si>
  <si>
    <t>INF084M01AB8</t>
  </si>
  <si>
    <t>Aditya Birla Sun Life Balanced Advantage Fund - Regular Plan - Growth Option</t>
  </si>
  <si>
    <t>INF084M01DK3</t>
  </si>
  <si>
    <t>INF084M01DL1</t>
  </si>
  <si>
    <t>Aditya Birla Sun Life Balanced Advantage Fund -DIRECT - IDCW</t>
  </si>
  <si>
    <t>INF084M01AC6</t>
  </si>
  <si>
    <t>INF084M01AD4</t>
  </si>
  <si>
    <t>Aditya Birla Sun Life Balanced Advantage Fund -REGULAR - IDCW</t>
  </si>
  <si>
    <t>INF846K01A29</t>
  </si>
  <si>
    <t>Axis Balanced Advantage Fund - Direct Plan - Growth</t>
  </si>
  <si>
    <t>INF846K01A37</t>
  </si>
  <si>
    <t>INF846K01A45</t>
  </si>
  <si>
    <t>Axis Balanced Advantage Fund - Direct Plan - IDCW</t>
  </si>
  <si>
    <t>INF846K01A52</t>
  </si>
  <si>
    <t>Axis Balanced Advantage Fund - Regular Plan - Growth</t>
  </si>
  <si>
    <t>INF846K01A60</t>
  </si>
  <si>
    <t>INF846K01A78</t>
  </si>
  <si>
    <t>Axis Balanced Advantage Fund - Regular Plan - IDCW</t>
  </si>
  <si>
    <t>INF0QA701656</t>
  </si>
  <si>
    <t>Bajaj Finserv Balanced Advantage Fund-Direct Plan-Growth</t>
  </si>
  <si>
    <t>INF0QA701664</t>
  </si>
  <si>
    <t>INF0QA701672</t>
  </si>
  <si>
    <t>Bajaj Finserv Balanced Advantage Fund-Direct Plan-IDCW</t>
  </si>
  <si>
    <t>INF0QA701680</t>
  </si>
  <si>
    <t>Bajaj Finserv Balanced Advantage Fund-Regular Plan-Growth</t>
  </si>
  <si>
    <t>INF0QA701698</t>
  </si>
  <si>
    <t>INF0QA701706</t>
  </si>
  <si>
    <t>Bajaj Finserv Balanced Advantage Fund-Regular Plan-IDCW</t>
  </si>
  <si>
    <t>INF194KA1UH1</t>
  </si>
  <si>
    <t>BANDHAN Balanced Advantage Fund Direct Plan Growth</t>
  </si>
  <si>
    <t>INF194KA1UI9</t>
  </si>
  <si>
    <t>INF194KA1UJ7</t>
  </si>
  <si>
    <t>BANDHAN Balanced Advantage Fund Direct Plan IDCW</t>
  </si>
  <si>
    <t>INF194KA1UE8</t>
  </si>
  <si>
    <t>BANDHAN Balanced Advantage Fund Regular Plan Growth</t>
  </si>
  <si>
    <t>INF194KA1UF5</t>
  </si>
  <si>
    <t>INF194KA1UG3</t>
  </si>
  <si>
    <t>BANDHAN Balanced Advantage Fund Regular Plan IDCW</t>
  </si>
  <si>
    <t>INF761K01BM0</t>
  </si>
  <si>
    <t>INF761K01BN8</t>
  </si>
  <si>
    <t>BANK OF INDIA BALANCED ADVANTAGE FUND  DIRECT PLAN IDCW</t>
  </si>
  <si>
    <t>INF761K01BP3</t>
  </si>
  <si>
    <t>INF761K01BQ1</t>
  </si>
  <si>
    <t>BANK OF INDIA BALANCED ADVANTAGE FUND  REGULAR PLAN IDCW</t>
  </si>
  <si>
    <t>INF761K01BO6</t>
  </si>
  <si>
    <t>BANK OF INDIA BALANCED ADVANTAGE FUND DIRECT PLAN  GROWTH</t>
  </si>
  <si>
    <t>INF761K01BR9</t>
  </si>
  <si>
    <t>BANK OF INDIA BALANCED ADVANTAGE FUND REGULAR PLAN  GROWTH</t>
  </si>
  <si>
    <t>INF955L01HF7</t>
  </si>
  <si>
    <t>Baroda BNP Paribas Balanced Advantage Fund-Direct Plan-Growth Option</t>
  </si>
  <si>
    <t>INF955L01HG5</t>
  </si>
  <si>
    <t>INF955L01HH3</t>
  </si>
  <si>
    <t>Baroda BNP Paribas Balanced Advantage Fund-Direct Plan-IDCW Option</t>
  </si>
  <si>
    <t>INF955L01HC4</t>
  </si>
  <si>
    <t>Baroda BNP Paribas Balanced Advantage Fund-Regular Plan -Growth Option</t>
  </si>
  <si>
    <t>INF955L01HD2</t>
  </si>
  <si>
    <t>INF955L01HE0</t>
  </si>
  <si>
    <t>Baroda BNP Paribas Balanced Advantage Fund-Regular Plan-IDCW Option</t>
  </si>
  <si>
    <t>INF760K01LD0</t>
  </si>
  <si>
    <t>Canara Robeco Balanced Advantage Fund - Direct Plan - Growth Option</t>
  </si>
  <si>
    <t>INF760K01LE8</t>
  </si>
  <si>
    <t>INF760K01LF5</t>
  </si>
  <si>
    <t>Canara Robeco Balanced Advantage Fund - Direct Plan - IDCW Option</t>
  </si>
  <si>
    <t>INF760K01LA6</t>
  </si>
  <si>
    <t>Canara Robeco Balanced Advantage Fund - Regular Plan - Growth Option</t>
  </si>
  <si>
    <t>INF760K01LB4</t>
  </si>
  <si>
    <t>INF760K01LC2</t>
  </si>
  <si>
    <t>Canara Robeco Balanced Advantage Fund - Regular Plan - IDCW Option</t>
  </si>
  <si>
    <t>INF740K01K81</t>
  </si>
  <si>
    <t>DSP Dynamic Asset Allocation Fund - Direct Plan - Growth</t>
  </si>
  <si>
    <t>INF740K01K99</t>
  </si>
  <si>
    <t>INF740K01L07</t>
  </si>
  <si>
    <t>DSP Dynamic Asset Allocation Fund - Direct Plan - IDCW - Monthly</t>
  </si>
  <si>
    <t>INF740K01K57</t>
  </si>
  <si>
    <t>DSP Dynamic Asset Allocation Fund - Regular Plan - Growth</t>
  </si>
  <si>
    <t>INF740K01K65</t>
  </si>
  <si>
    <t>INF740K01K73</t>
  </si>
  <si>
    <t>DSP Dynamic Asset Allocation Fund - Regular Plan - IDCW - Monthly</t>
  </si>
  <si>
    <t>INF754K01IH0</t>
  </si>
  <si>
    <t>INF754K01II8</t>
  </si>
  <si>
    <t>Edelweiss Balanced Advantage Fund - Direct Plan - Monthly - IDCW Option</t>
  </si>
  <si>
    <t>INF754K01BP8</t>
  </si>
  <si>
    <t>INF754K01BQ6</t>
  </si>
  <si>
    <t>Edelweiss Balanced Advantage Fund - Direct Plan - Quarterly - IDCW Option</t>
  </si>
  <si>
    <t>INF754K01285</t>
  </si>
  <si>
    <t>Edelweiss Balanced Advantage Fund - Regular Plan - Growth Option</t>
  </si>
  <si>
    <t>INF754K01IK4</t>
  </si>
  <si>
    <t>INF754K01IL2</t>
  </si>
  <si>
    <t>Edelweiss Balanced Advantage Fund - Regular Plan - Monthly - IDCW Option</t>
  </si>
  <si>
    <t>INF754K01251</t>
  </si>
  <si>
    <t>INF754K01269</t>
  </si>
  <si>
    <t>Edelweiss Balanced Advantage Fund - Regular Plan - Quarterly - IDCW Option</t>
  </si>
  <si>
    <t>INF754K01BS2</t>
  </si>
  <si>
    <t>Edelweiss Balanced Advantage Fund -Direct Plan-Growth Option</t>
  </si>
  <si>
    <t>INF090I01WN2</t>
  </si>
  <si>
    <t>Franklin India Balanced Advantage Fund- Growth</t>
  </si>
  <si>
    <t>INF090I01WQ5</t>
  </si>
  <si>
    <t>Franklin India Balanced Advantage Fund- Growth- Direct</t>
  </si>
  <si>
    <t>INF090I01WO0</t>
  </si>
  <si>
    <t>INF090I01WP7</t>
  </si>
  <si>
    <t>Franklin India Balanced Advantage Fund- IDCW</t>
  </si>
  <si>
    <t>INF090I01WR3</t>
  </si>
  <si>
    <t>INF090I01WS1</t>
  </si>
  <si>
    <t>Franklin India Balanced Advantage Fund- IDCW- Direct</t>
  </si>
  <si>
    <t>INF179K01830</t>
  </si>
  <si>
    <t>HDFC Balanced Advantage Fund - Growth Plan</t>
  </si>
  <si>
    <t>INF179K01WA6</t>
  </si>
  <si>
    <t>HDFC Balanced Advantage Fund - Growth Plan - Direct Plan</t>
  </si>
  <si>
    <t>INF179K01814</t>
  </si>
  <si>
    <t>INF179K01822</t>
  </si>
  <si>
    <t>HDFC Balanced Advantage Fund - IDCW Plan</t>
  </si>
  <si>
    <t>INF179K01VY8</t>
  </si>
  <si>
    <t>INF179K01VZ5</t>
  </si>
  <si>
    <t>HDFC Balanced Advantage Fund - IDCW Plan - Direct Plan</t>
  </si>
  <si>
    <t>INF0R8701145</t>
  </si>
  <si>
    <t>Helios Balanced Advantage Fund- Direct Plan- Growth Option</t>
  </si>
  <si>
    <t>INF0R8701152</t>
  </si>
  <si>
    <t>INF0R8701160</t>
  </si>
  <si>
    <t>Helios Balanced Advantage Fund- Direct Plan-IDCW Option</t>
  </si>
  <si>
    <t>INF0R8701111</t>
  </si>
  <si>
    <t>Helios Balanced Advantage Fund- Regular Plan- Growth Option</t>
  </si>
  <si>
    <t>INF0R8701129</t>
  </si>
  <si>
    <t>INF0R8701137</t>
  </si>
  <si>
    <t>Helios Balanced Advantage Fund- Regular Plan-IDCW Option</t>
  </si>
  <si>
    <t>INF917K01IN1</t>
  </si>
  <si>
    <t>HSBC Balanced Advantage Fund - Direct Growth</t>
  </si>
  <si>
    <t>INF917K01IM3</t>
  </si>
  <si>
    <t>INF917K01IL5</t>
  </si>
  <si>
    <t>HSBC Balanced Advantage Fund - Direct IDCW</t>
  </si>
  <si>
    <t>INF917K01KY4</t>
  </si>
  <si>
    <t>HSBC Balanced Advantage Fund - Regular Growth</t>
  </si>
  <si>
    <t>INF917K01KW8</t>
  </si>
  <si>
    <t>INF917K01KX6</t>
  </si>
  <si>
    <t>HSBC Balanced Advantage Fund - Regular IDCW</t>
  </si>
  <si>
    <t>ICICI Prudential Balanced Advantage Fund - Direct Plan -  Growth</t>
  </si>
  <si>
    <t>INF109K010B4</t>
  </si>
  <si>
    <t>INF109K011B2</t>
  </si>
  <si>
    <t>ICICI Prudential Balanced Advantage Fund - Direct Plan -  IDCW</t>
  </si>
  <si>
    <t>INF109K016W7</t>
  </si>
  <si>
    <t>INF109K015W9</t>
  </si>
  <si>
    <t>ICICI Prudential Balanced Advantage Fund - Direct Plan - Monthly IDCW</t>
  </si>
  <si>
    <t>INF109KA1Y50</t>
  </si>
  <si>
    <t>INF109KA1Y43</t>
  </si>
  <si>
    <t>ICICI Prudential Balanced Advantage Fund - Direct Plan - Quarterly IDCW</t>
  </si>
  <si>
    <t>INF109K01BH2</t>
  </si>
  <si>
    <t>ICICI Prudential Balanced Advantage Fund - Growth</t>
  </si>
  <si>
    <t>INF109K01EG8</t>
  </si>
  <si>
    <t>INF109K01BG4</t>
  </si>
  <si>
    <t>ICICI Prudential Balanced Advantage Fund - IDCW</t>
  </si>
  <si>
    <t>INF109K018W3</t>
  </si>
  <si>
    <t>INF109K017W5</t>
  </si>
  <si>
    <t>ICICI Prudential Balanced Advantage Fund - Monthly IDCW</t>
  </si>
  <si>
    <t>INF109KA1Y35</t>
  </si>
  <si>
    <t>INF109KA1Y27</t>
  </si>
  <si>
    <t>ICICI Prudential Balanced Advantage Fund - Quarterly IDCW</t>
  </si>
  <si>
    <t>INF205K01LN5</t>
  </si>
  <si>
    <t>Invesco India Balanced Advantage Fund - Direct Plan - Growth</t>
  </si>
  <si>
    <t>INF205K01LL9</t>
  </si>
  <si>
    <t>INF205K01LM7</t>
  </si>
  <si>
    <t>Invesco India Balanced Advantage Fund - Direct Plan - IDCW (Payout / Reinvestment)</t>
  </si>
  <si>
    <t>INF205K01213</t>
  </si>
  <si>
    <t>Invesco India Balanced Advantage Fund - Regular Plan - Growth</t>
  </si>
  <si>
    <t>INF205K01239</t>
  </si>
  <si>
    <t>INF205K01221</t>
  </si>
  <si>
    <t>Invesco India Balanced Advantage Fund - Regular Plan - IDCW (Payout / Reinvestment)</t>
  </si>
  <si>
    <t>INF00XX01689</t>
  </si>
  <si>
    <t>ITI Balanced Advantage Fund - Direct Plan - Growth Option</t>
  </si>
  <si>
    <t>INF00XX01697</t>
  </si>
  <si>
    <t>INF00XX01705</t>
  </si>
  <si>
    <t>ITI Balanced Advantage Fund - Direct Plan - IDCW Option</t>
  </si>
  <si>
    <t>INF00XX01655</t>
  </si>
  <si>
    <t>ITI Balanced Advantage Fund - Regular Plan - Growth Option</t>
  </si>
  <si>
    <t>INF00XX01663</t>
  </si>
  <si>
    <t>INF00XX01671</t>
  </si>
  <si>
    <t>ITI Balanced Advantage Fund - Regular Plan - IDCW Option</t>
  </si>
  <si>
    <t>INF174KA1210</t>
  </si>
  <si>
    <t>Kotak Balanced Advantage Fund  - Direct Plan -Growth Option</t>
  </si>
  <si>
    <t>INF174KA1160</t>
  </si>
  <si>
    <t>INF174KA1178</t>
  </si>
  <si>
    <t>Kotak Balanced Advantage Fund - Regular Plan - Payout of Income Distribution cum capital withdrawal option Option</t>
  </si>
  <si>
    <t>INF174KA1194</t>
  </si>
  <si>
    <t>INF174KA1202</t>
  </si>
  <si>
    <t>Kotak Balanced Advantage Fund -Direct Plan  -Payout of Income Distribution cum capital withdrawal option</t>
  </si>
  <si>
    <t>INF174KA1186</t>
  </si>
  <si>
    <t>Kotak Balanced Advantage Fund -Regular Plan - Growth Option</t>
  </si>
  <si>
    <t>INF767K01QY0</t>
  </si>
  <si>
    <t>LIC MF Balanced Advantage Fund-Direct Plan-Growth</t>
  </si>
  <si>
    <t>INF767K01QZ7</t>
  </si>
  <si>
    <t>INF767K01RA8</t>
  </si>
  <si>
    <t>LIC MF Balanced Advantage Fund-Direct Plan-IDCW</t>
  </si>
  <si>
    <t>INF767K01QV6</t>
  </si>
  <si>
    <t>LIC MF Balanced Advantage Fund-Regular Plan-Growth</t>
  </si>
  <si>
    <t>INF767K01QW4</t>
  </si>
  <si>
    <t>INF767K01QX2</t>
  </si>
  <si>
    <t>LIC MF Balanced Advantage Fund-Regular Plan-IDCW</t>
  </si>
  <si>
    <t>INF174V01BE0</t>
  </si>
  <si>
    <t>Mahindra Manulife Balanced Advantage Fund - Direct Plan - Growth</t>
  </si>
  <si>
    <t>INF174V01BF7</t>
  </si>
  <si>
    <t>INF174V01BG5</t>
  </si>
  <si>
    <t>Mahindra Manulife Balanced Advantage Fund - Direct Plan - IDCW</t>
  </si>
  <si>
    <t>INF174V01BB6</t>
  </si>
  <si>
    <t>Mahindra Manulife Balanced Advantage Fund - Regular Plan - Growth</t>
  </si>
  <si>
    <t>INF174V01BC4</t>
  </si>
  <si>
    <t>INF174V01BD2</t>
  </si>
  <si>
    <t>Mahindra Manulife Balanced Advantage Fund - Regular Plan - IDCW</t>
  </si>
  <si>
    <t>INF769K01IN6</t>
  </si>
  <si>
    <t>Mirae Asset Balanced Advantage Fund Direct Plan- Growth</t>
  </si>
  <si>
    <t>INF769K01IM8</t>
  </si>
  <si>
    <t>INF769K01IO4</t>
  </si>
  <si>
    <t>Mirae Asset Balanced Advantage Fund Direct Plan- IDCW</t>
  </si>
  <si>
    <t>INF769K01IJ4</t>
  </si>
  <si>
    <t>INF769K01IL0</t>
  </si>
  <si>
    <t>Mirae Asset Balanced Advantage Fund Regular Plan IDCW</t>
  </si>
  <si>
    <t>INF769K01IK2</t>
  </si>
  <si>
    <t>Mirae Asset Balanced Advantage Fund Regular Plan- Growth</t>
  </si>
  <si>
    <t>INF247L01635</t>
  </si>
  <si>
    <t>Motilal Oswal Balanced Advantage Fund  (MOFDYNAMIC) - Direct Plan - Growth Option</t>
  </si>
  <si>
    <t>INF247L01601</t>
  </si>
  <si>
    <t>INF247L01627</t>
  </si>
  <si>
    <t>Motilal Oswal Balanced Advantage Fund (MOFDYNAMIC) - Regular Plan - Annual Dividend Payout Option</t>
  </si>
  <si>
    <t>INF247L01585</t>
  </si>
  <si>
    <t>Motilal Oswal Balanced Advantage Fund (MOFDYNAMIC) - Regular Plan - Growth Option</t>
  </si>
  <si>
    <t>INF247L01650</t>
  </si>
  <si>
    <t>INF247L01676</t>
  </si>
  <si>
    <t>Motilal Oswal Balanced Advantage Fund Direct - Annual IDCW Payout/Reinvestment</t>
  </si>
  <si>
    <t>INF247L01643</t>
  </si>
  <si>
    <t>INF247L01668</t>
  </si>
  <si>
    <t>Motilal Oswal Balanced Advantage Fund Direct - Quarterly IDCW Payout/Reinvestment</t>
  </si>
  <si>
    <t>INF247L01593</t>
  </si>
  <si>
    <t>INF247L01619</t>
  </si>
  <si>
    <t>Motilal Oswal Balanced Advantage Fund Regular - Quarterly IDCW Payout/Reinvestment</t>
  </si>
  <si>
    <t>INF204K01G78</t>
  </si>
  <si>
    <t>INF204K01G86</t>
  </si>
  <si>
    <t>NIPPON INDIA BALANCED ADVANTAGE FUND - DIRECT Plan - IDCW Option</t>
  </si>
  <si>
    <t>INF204K01G60</t>
  </si>
  <si>
    <t>Nippon India Balanced Advantage Fund - Direct Plan Growth Plan - Bonus Option</t>
  </si>
  <si>
    <t>INF204K01G94</t>
  </si>
  <si>
    <t>Nippon India Balanced Advantage Fund - Direct Plan Growth Plan - Growth Option</t>
  </si>
  <si>
    <t>INF204K01570</t>
  </si>
  <si>
    <t>INF204K01588</t>
  </si>
  <si>
    <t>NIPPON INDIA BALANCED ADVANTAGE FUND - IDCW Option</t>
  </si>
  <si>
    <t>INF204K01596</t>
  </si>
  <si>
    <t>Nippon India Balanced Advantage Fund-Growth Plan-Bonus Option</t>
  </si>
  <si>
    <t>INF204K01604</t>
  </si>
  <si>
    <t>Nippon India Balanced Advantage Fund-Growth Plan-Growth Option</t>
  </si>
  <si>
    <t>INF0J8L01040</t>
  </si>
  <si>
    <t>NJ Balanced Advantage Fund - Direct Plan - Growth Option</t>
  </si>
  <si>
    <t>INF0J8L01032</t>
  </si>
  <si>
    <t>NJ Balanced Advantage Fund - Direct Plan - IDCW Payout Option</t>
  </si>
  <si>
    <t>INF0J8L01024</t>
  </si>
  <si>
    <t>NJ Balanced Advantage Fund - Regular Plan - Growth Option</t>
  </si>
  <si>
    <t>INF0J8L01016</t>
  </si>
  <si>
    <t>NJ Balanced Advantage Fund - Regular Plan - IDCW Payout Option</t>
  </si>
  <si>
    <t>INF663L01V49</t>
  </si>
  <si>
    <t>PGIM India Balanced Advantage Fund -  Direct Plan - Growth Option</t>
  </si>
  <si>
    <t>INF663L01V56</t>
  </si>
  <si>
    <t>INF663L01V64</t>
  </si>
  <si>
    <t>PGIM India Balanced Advantage Fund - Direct Plan - Dividend Option</t>
  </si>
  <si>
    <t>INF663L01V80</t>
  </si>
  <si>
    <t>INF663L01V98</t>
  </si>
  <si>
    <t>PGIM India Balanced Advantage Fund - Regular Plan - Dividend Option</t>
  </si>
  <si>
    <t>INF663L01V72</t>
  </si>
  <si>
    <t>PGIM India Balanced Advantage Fund - Regular Plan - Growth Option</t>
  </si>
  <si>
    <t>INF879O01282</t>
  </si>
  <si>
    <t>Parag Parikh Dynamic Asset Allocation Fund - Direct Plan - Monthly IDCW Reinvestment</t>
  </si>
  <si>
    <t>INF879O01266</t>
  </si>
  <si>
    <t>Parag Parikh Dynamic Asset Allocation Fund - Direct Plan Growth</t>
  </si>
  <si>
    <t>INF879O01258</t>
  </si>
  <si>
    <t>Parag Parikh Dynamic Asset Allocation Fund - Regular Plan - Monthly IDCW Reinvestment</t>
  </si>
  <si>
    <t>INF879O01233</t>
  </si>
  <si>
    <t>Parag Parikh Dynamic Asset Allocation Fund - Regular Plan Growth</t>
  </si>
  <si>
    <t>INF966L01BL5</t>
  </si>
  <si>
    <t>quant Dynamic Asset Allocation Fund - Growth Option - Direct Plan</t>
  </si>
  <si>
    <t>INF966L01BO9</t>
  </si>
  <si>
    <t>quant Dynamic Asset Allocation Fund - Growth Option - Regular Plan</t>
  </si>
  <si>
    <t>INF966L01BM3</t>
  </si>
  <si>
    <t>INF966L01BN1</t>
  </si>
  <si>
    <t>quant Dynamic Asset Allocation Fund - IDCW Option - Direct Plan</t>
  </si>
  <si>
    <t>INF966L01BP6</t>
  </si>
  <si>
    <t>INF966L01BQ4</t>
  </si>
  <si>
    <t>quant Dynamic Asset Allocation Fund - IDCW Option - Regular Plan</t>
  </si>
  <si>
    <t>INF0K1H01131</t>
  </si>
  <si>
    <t>Samco Dynamic Asset Allocation Fund - Direct Plan - Growth Option</t>
  </si>
  <si>
    <t>INF0K1H01149</t>
  </si>
  <si>
    <t>INF0K1H01156</t>
  </si>
  <si>
    <t>Samco Dynamic Asset Allocation Fund - Direct Plan - IDCW Option</t>
  </si>
  <si>
    <t>INF0K1H01099</t>
  </si>
  <si>
    <t>Samco Dynamic Asset Allocation Fund - Regular Plan - Growth Option</t>
  </si>
  <si>
    <t>INF0K1H01107</t>
  </si>
  <si>
    <t>INF0K1H01115</t>
  </si>
  <si>
    <t>Samco Dynamic Asset Allocation Fund - Regular Plan - IDCW Option</t>
  </si>
  <si>
    <t>INF200KA1Y73</t>
  </si>
  <si>
    <t>SBI Balanced Advantage Fund - Direct Plan - Growth</t>
  </si>
  <si>
    <t>INF200KA1Y81</t>
  </si>
  <si>
    <t>INF200KA1Y99</t>
  </si>
  <si>
    <t>SBI Balanced Advantage Fund - Direct Plan - Income Distribution cum Capital Withdrawal Option (IDCW)</t>
  </si>
  <si>
    <t>INF200KA1Y40</t>
  </si>
  <si>
    <t>SBI Balanced Advantage Fund - Regular Plan - Growth</t>
  </si>
  <si>
    <t>INF200KA1Y57</t>
  </si>
  <si>
    <t>INF200KA1Y65</t>
  </si>
  <si>
    <t>SBI Balanced Advantage Fund - Regular Plan - Income Distribution cum Capital Withdrawal Option (IDCW)</t>
  </si>
  <si>
    <t>INF680P01208</t>
  </si>
  <si>
    <t>Shriram Balanced Advantage Fund - Direct Growth</t>
  </si>
  <si>
    <t>INF680P01216</t>
  </si>
  <si>
    <t>INF680P01224</t>
  </si>
  <si>
    <t>Shriram Balanced Advantage Fund - Direct- IDCW</t>
  </si>
  <si>
    <t>INF680P01174</t>
  </si>
  <si>
    <t>Shriram Balanced Advantage Fund - Regular Growth</t>
  </si>
  <si>
    <t>INF680P01182</t>
  </si>
  <si>
    <t>INF680P01190</t>
  </si>
  <si>
    <t>Shriram Balanced Advantage Fund - Regular-IDCW</t>
  </si>
  <si>
    <t>INF173K01FI7</t>
  </si>
  <si>
    <t>Sundaram Balanced Advantage Fund ( Formerly Known as Principal Balanced Advantage Fund) - Direct Plan - Growth Option</t>
  </si>
  <si>
    <t>INF173K01FF3</t>
  </si>
  <si>
    <t>INF173K01FG1</t>
  </si>
  <si>
    <t>Sundaram Balanced Advantage Fund (Formerly Known as Principal Balanced Advantage Fund) - Direct Plan - Monthly Income Distribution CUM Capital Withdrawal Option</t>
  </si>
  <si>
    <t>INF173K01585</t>
  </si>
  <si>
    <t>Sundaram Balanced Advantage Fund (Formerly Known as Principal Balanced Advantage Fund) - Growth Option</t>
  </si>
  <si>
    <t>INF173K01551</t>
  </si>
  <si>
    <t>INF173K01569</t>
  </si>
  <si>
    <t>Sundaram Balanced Advantage Fund (Formerly Known as Principal Balanced Advantage Fund) - Monthly Income Distribution CUM Capital Withdrawal Option</t>
  </si>
  <si>
    <t>INF277K014S6</t>
  </si>
  <si>
    <t xml:space="preserve">TATA Balanced Advantage Fund Direct Plan - Payout of Income Distribution cum capital withdrawal option </t>
  </si>
  <si>
    <t>INF277K015S3</t>
  </si>
  <si>
    <t xml:space="preserve">TATA Balanced Advantage Fund Direct Plan - Reinvestment of Income Distribution cum capital withdrawal option </t>
  </si>
  <si>
    <t>INF277K011S2</t>
  </si>
  <si>
    <t xml:space="preserve">TATA Balanced Advantage Fund Regular Plan - Payout of Income Distribution cum capital withdrawal option </t>
  </si>
  <si>
    <t>INF277K012S0</t>
  </si>
  <si>
    <t>TATA Balanced Advantage Fund Regular Plan - Reinvestment of Income Distribution cum capital withdrawal option</t>
  </si>
  <si>
    <t>INF277K013S8</t>
  </si>
  <si>
    <t>Tata Balanced Advantage Fund-Direct Plan-Growth</t>
  </si>
  <si>
    <t>INF277K010S4</t>
  </si>
  <si>
    <t>Tata Balanced Advantage Fund-Regular Plan-Growth</t>
  </si>
  <si>
    <t>INF2F0001479</t>
  </si>
  <si>
    <t>The Wealth Company Balanced Advantage Fund - Direct Growth</t>
  </si>
  <si>
    <t>INF2F0001487</t>
  </si>
  <si>
    <t>INF2F0001495</t>
  </si>
  <si>
    <t>The Wealth Company Balanced Advantage Fund - Direct IDCW</t>
  </si>
  <si>
    <t>INF2F0001446</t>
  </si>
  <si>
    <t>The Wealth Company Balanced Advantage Fund - Regular Growth</t>
  </si>
  <si>
    <t>INF2F0001453</t>
  </si>
  <si>
    <t>INF2F0001461</t>
  </si>
  <si>
    <t>The Wealth Company Balanced Advantage Fund - Regular IDCW</t>
  </si>
  <si>
    <t>INF1MIY01015</t>
  </si>
  <si>
    <t>Unifi Dynamic Asset Allocation Fund - Direct Growth</t>
  </si>
  <si>
    <t>INF1MIY01023</t>
  </si>
  <si>
    <t>Unifi Dynamic Asset Allocation Fund - Regular Growth</t>
  </si>
  <si>
    <t>INF582M01DE9</t>
  </si>
  <si>
    <t>Union Balanced Advantage Fund - Direct Plan - Growth Option</t>
  </si>
  <si>
    <t>INF582M01DG4</t>
  </si>
  <si>
    <t>INF582M01DF6</t>
  </si>
  <si>
    <t>Union Balanced Advantage Fund - Direct Plan - IDCW Option</t>
  </si>
  <si>
    <t>INF582M01DI0</t>
  </si>
  <si>
    <t>Union Balanced Advantage Fund - Regular Plan - Growth Option</t>
  </si>
  <si>
    <t>INF582M01DK6</t>
  </si>
  <si>
    <t>INF582M01DJ8</t>
  </si>
  <si>
    <t>Union Balanced Advantage Fund - Regular Plan - IDCW Option</t>
  </si>
  <si>
    <t>UTI - Unit Linked Insurance Plan</t>
  </si>
  <si>
    <t>UTI - Unit Linked Insurance Plan- Direct</t>
  </si>
  <si>
    <t>INF789F1AYV3</t>
  </si>
  <si>
    <t>UTI Balanced Advantage Fund - Direct Plan - Growth Option</t>
  </si>
  <si>
    <t>INF789F1AYW1</t>
  </si>
  <si>
    <t>UTI Balanced Advantage Fund - Direct Plan - Payout of IDCW Option</t>
  </si>
  <si>
    <t>INF789F1AYT7</t>
  </si>
  <si>
    <t>UTI Balanced Advantage Fund - Regular Plan - Growth Option</t>
  </si>
  <si>
    <t>INF789F1AYU5</t>
  </si>
  <si>
    <t>UTI Balanced Advantage Fund - Regular Plan - Payout of IDCW Option</t>
  </si>
  <si>
    <t>INF03VN01738</t>
  </si>
  <si>
    <t>WhiteOak Capital Balanced Advantage Fund Direct Plan Growth</t>
  </si>
  <si>
    <t>INF03VN01720</t>
  </si>
  <si>
    <t>WhiteOak Capital Balanced Advantage Fund Regular Plan Growth</t>
  </si>
  <si>
    <t>INF209KA1TQ7</t>
  </si>
  <si>
    <t>INF209KA1TR5</t>
  </si>
  <si>
    <t>Aditya Birla Sun Life Equity Savings Fund - Direct - IDCW</t>
  </si>
  <si>
    <t>INF209KA1TP9</t>
  </si>
  <si>
    <t>Aditya Birla Sun Life Equity Savings Fund - Direct Plan - Growth</t>
  </si>
  <si>
    <t>INF209KA1TT1</t>
  </si>
  <si>
    <t>INF209KA1TU9</t>
  </si>
  <si>
    <t>Aditya Birla Sun Life Equity Savings Fund - Regular - IDCW</t>
  </si>
  <si>
    <t>INF209KA1TS3</t>
  </si>
  <si>
    <t>Aditya Birla Sun Life Equity Savings Fund - Regular Plan - Growth</t>
  </si>
  <si>
    <t>INF846K01VJ3</t>
  </si>
  <si>
    <t>Axis Equity Savings Fund - Direct Plan - Growth</t>
  </si>
  <si>
    <t>INF846K01VK1</t>
  </si>
  <si>
    <t>INF846K01VL9</t>
  </si>
  <si>
    <t>Axis Equity Savings Fund - Direct Plan - Monthly IDCW</t>
  </si>
  <si>
    <t>INF846K01VM7</t>
  </si>
  <si>
    <t>INF846K01VN5</t>
  </si>
  <si>
    <t>Axis Equity Savings Fund - Direct Plan - Quarterly IDCW</t>
  </si>
  <si>
    <t>INF846K01XP6</t>
  </si>
  <si>
    <t>INF846K01XQ4</t>
  </si>
  <si>
    <t>Axis Equity Savings Fund - Direct Plan - Regular IDCW</t>
  </si>
  <si>
    <t>INF846K01VO3</t>
  </si>
  <si>
    <t>Axis Equity Savings Fund - Regular Plan - Growth</t>
  </si>
  <si>
    <t>INF846K01VP0</t>
  </si>
  <si>
    <t>INF846K01VQ8</t>
  </si>
  <si>
    <t>Axis Equity Savings Fund - Regular Plan - Monthly IDCW</t>
  </si>
  <si>
    <t>INF846K01VR6</t>
  </si>
  <si>
    <t>INF846K01VS4</t>
  </si>
  <si>
    <t>Axis Equity Savings Fund - Regular Plan - Quarterly IDCW</t>
  </si>
  <si>
    <t>INF846K01XR2</t>
  </si>
  <si>
    <t>INF846K01XS0</t>
  </si>
  <si>
    <t>Axis Equity Savings Fund - Regular Plan - Regular IDCW</t>
  </si>
  <si>
    <t>INF0QA701BU7</t>
  </si>
  <si>
    <t>INF0QA701BV5</t>
  </si>
  <si>
    <t>BAJAJ FINSERV EQUITY SAVINGS FUND -  DIRECT - IDCW</t>
  </si>
  <si>
    <t>INF0QA701BT9</t>
  </si>
  <si>
    <t>BAJAJ FINSERV EQUITY SAVINGS FUND - DIRECT - GROWTH</t>
  </si>
  <si>
    <t>INF0QA701BQ5</t>
  </si>
  <si>
    <t>BAJAJ FINSERV EQUITY SAVINGS FUND - REGULAR - GROWTH</t>
  </si>
  <si>
    <t>INF0QA701BR3</t>
  </si>
  <si>
    <t>INF0QA701BS1</t>
  </si>
  <si>
    <t>BAJAJ FINSERV EQUITY SAVINGS FUND - REGULAR - IDCW</t>
  </si>
  <si>
    <t>INF194K01581</t>
  </si>
  <si>
    <t>BANDHAN Equity Savings Fund - Regular Plan - Growth</t>
  </si>
  <si>
    <t>INF194K01599</t>
  </si>
  <si>
    <t>INF194K01607</t>
  </si>
  <si>
    <t>BANDHAN Equity Savings Fund - Regular Plan - Monthly IDCW</t>
  </si>
  <si>
    <t>INF194KA1XX2</t>
  </si>
  <si>
    <t>INF194KA1XY0</t>
  </si>
  <si>
    <t>BANDHAN Equity Savings Fund - Regular Plan -Annual IDCW</t>
  </si>
  <si>
    <t>INF194K01565</t>
  </si>
  <si>
    <t>INF194K01573</t>
  </si>
  <si>
    <t>BANDHAN Equity Savings Fund -B-DIVIDEND</t>
  </si>
  <si>
    <t>INF194K01557</t>
  </si>
  <si>
    <t>BANDHAN Equity Savings Fund -B-GROWTH</t>
  </si>
  <si>
    <t>INF194KA16J0</t>
  </si>
  <si>
    <t>INF194KA17J8</t>
  </si>
  <si>
    <t>BANDHAN Equity Savings Fund- Regular Plan -Quarterly IDCW</t>
  </si>
  <si>
    <t>INF194KA19J4</t>
  </si>
  <si>
    <t>INF194KA10K1</t>
  </si>
  <si>
    <t>BANDHAN Equity Savings Fund-Direct Plan -Quarterly IDCW</t>
  </si>
  <si>
    <t>INF194KA1YA8</t>
  </si>
  <si>
    <t>INF194KA1YB6</t>
  </si>
  <si>
    <t>BANDHAN Equity Savings Fund-Direct Plan-Annual IDCW</t>
  </si>
  <si>
    <t>INF194K01Z02</t>
  </si>
  <si>
    <t>BANDHAN Equity Savings Fund-Direct Plan-Growth</t>
  </si>
  <si>
    <t>INF194K01Z10</t>
  </si>
  <si>
    <t>INF194K01Z28</t>
  </si>
  <si>
    <t>BANDHAN Equity Savings Fund-Direct Plan-Monthly IDCW</t>
  </si>
  <si>
    <t>INF955L01IL3</t>
  </si>
  <si>
    <t>Baroda BNP Paribas Equity Savings Fund - Direct Plan - Growth</t>
  </si>
  <si>
    <t>INF955L01IN9</t>
  </si>
  <si>
    <t>Baroda BNP Paribas Equity Savings Fund - Direct Plan - IDCW</t>
  </si>
  <si>
    <t>INF955L01II9</t>
  </si>
  <si>
    <t>Baroda BNP Paribas Equity Savings Fund - Regular Plan - Growth</t>
  </si>
  <si>
    <t>INF955L01IK5</t>
  </si>
  <si>
    <t>Baroda BNP Paribas Equity Savings Fund - Regular Plan - IDCW</t>
  </si>
  <si>
    <t>INF740KA1504</t>
  </si>
  <si>
    <t>DSP Equity Savings Fund - Direct Plan - Growth</t>
  </si>
  <si>
    <t>INF740KA1512</t>
  </si>
  <si>
    <t>INF740KA1520</t>
  </si>
  <si>
    <t>DSP Equity Savings Fund - Direct Plan - IDCW</t>
  </si>
  <si>
    <t>INF740KA1538</t>
  </si>
  <si>
    <t>INF740KA1546</t>
  </si>
  <si>
    <t>DSP Equity Savings Fund - Direct Plan - IDCW - Monthly</t>
  </si>
  <si>
    <t>INF740KA1553</t>
  </si>
  <si>
    <t>INF740KA1561</t>
  </si>
  <si>
    <t>DSP Equity Savings Fund - Direct Plan - IDCW - Quarterly</t>
  </si>
  <si>
    <t>INF740KA1439</t>
  </si>
  <si>
    <t>DSP Equity Savings Fund - Regular Plan - Growth</t>
  </si>
  <si>
    <t>INF740KA1447</t>
  </si>
  <si>
    <t>INF740KA1454</t>
  </si>
  <si>
    <t>DSP Equity Savings Fund - Regular Plan - IDCW</t>
  </si>
  <si>
    <t>INF740KA1462</t>
  </si>
  <si>
    <t>INF740KA1470</t>
  </si>
  <si>
    <t>DSP Equity Savings Fund - Regular Plan - IDCW - Monthly</t>
  </si>
  <si>
    <t>INF740KA1488</t>
  </si>
  <si>
    <t>INF740KA1496</t>
  </si>
  <si>
    <t>DSP Equity Savings Fund - Regular Plan - IDCW - Quarterly</t>
  </si>
  <si>
    <t>INF843K01KD6</t>
  </si>
  <si>
    <t>Edelweiss Equity Savings Fund - Direct Plan - Bonus Option</t>
  </si>
  <si>
    <t>INF843K01KC8</t>
  </si>
  <si>
    <t>Edelweiss Equity Savings Fund - Direct Plan - Growth Option</t>
  </si>
  <si>
    <t>INF843K01KE4</t>
  </si>
  <si>
    <t>INF843K01KF1</t>
  </si>
  <si>
    <t>Edelweiss Equity Savings Fund - Direct Plan - IDCW Option</t>
  </si>
  <si>
    <t>INF754K01IN8</t>
  </si>
  <si>
    <t>INF754K01IO6</t>
  </si>
  <si>
    <t>Edelweiss Equity Savings Fund - Direct Plan - Monthly - IDCW Option</t>
  </si>
  <si>
    <t>INF843K01KH7</t>
  </si>
  <si>
    <t>Edelweiss Equity Savings Fund - Regular Plan - Bonus Option</t>
  </si>
  <si>
    <t>INF843K01KG9</t>
  </si>
  <si>
    <t>Edelweiss Equity Savings Fund - Regular Plan - Growth Option</t>
  </si>
  <si>
    <t>INF843K01KI5</t>
  </si>
  <si>
    <t>INF843K01KJ3</t>
  </si>
  <si>
    <t>Edelweiss Equity Savings Fund - Regular Plan - IDCW Option</t>
  </si>
  <si>
    <t>INF754K01IP3</t>
  </si>
  <si>
    <t>INF754K01IQ1</t>
  </si>
  <si>
    <t>Edelweiss Equity Savings Fund - Regular Plan - Monthly - IDCW Option</t>
  </si>
  <si>
    <t>INF090I01PC9</t>
  </si>
  <si>
    <t>INF090I01PB1</t>
  </si>
  <si>
    <t xml:space="preserve">Franklin India Equity Savings Fund - Direct - IDCW </t>
  </si>
  <si>
    <t>INF090I01PH8</t>
  </si>
  <si>
    <t>INF090I01PG0</t>
  </si>
  <si>
    <t>Franklin India Equity Savings Fund - Direct - Monthly - IDCW</t>
  </si>
  <si>
    <t>INF090I01PL0</t>
  </si>
  <si>
    <t>INF090I01PK2</t>
  </si>
  <si>
    <t>Franklin India Equity Savings Fund - Direct - Quarterly - IDCW</t>
  </si>
  <si>
    <t>INF090I01OZ3</t>
  </si>
  <si>
    <t>INF090I01OY6</t>
  </si>
  <si>
    <t xml:space="preserve">Franklin India Equity Savings Fund - IDCW </t>
  </si>
  <si>
    <t>INF090I01PF2</t>
  </si>
  <si>
    <t>INF090I01PE5</t>
  </si>
  <si>
    <t>Franklin India Equity Savings Fund - Monthly - IDCW</t>
  </si>
  <si>
    <t>INF090I01PJ4</t>
  </si>
  <si>
    <t>INF090I01PI6</t>
  </si>
  <si>
    <t>Franklin India Equity Savings Fund - Quarterly - IDCW</t>
  </si>
  <si>
    <t>INF090I01PA3</t>
  </si>
  <si>
    <t>Franklin India Equity Savings Fund- Growth</t>
  </si>
  <si>
    <t>INF090I01PD7</t>
  </si>
  <si>
    <t>Franklin India Equity Savings Fund- Growth Direct</t>
  </si>
  <si>
    <t>INF179K01XT4</t>
  </si>
  <si>
    <t>HDFC Equity Savings Fund - Growth Option - Direct Plan</t>
  </si>
  <si>
    <t>INF179K01AM7</t>
  </si>
  <si>
    <t>HDFC Equity Savings Fund - GROWTH PLAN</t>
  </si>
  <si>
    <t>INF179K01XR8</t>
  </si>
  <si>
    <t>INF179K01XS6</t>
  </si>
  <si>
    <t>HDFC Equity Savings Fund - IDCW Option - Direct Plan</t>
  </si>
  <si>
    <t>INF179K01AK1</t>
  </si>
  <si>
    <t>INF179K01AL9</t>
  </si>
  <si>
    <t>HDFC Equity Savings Fund - IDCW PLAN</t>
  </si>
  <si>
    <t>INF917K01GE4</t>
  </si>
  <si>
    <t>HSBC Equity Savings Fund - Direct Growth</t>
  </si>
  <si>
    <t>INF917K01E37</t>
  </si>
  <si>
    <t>INF917K01GA2</t>
  </si>
  <si>
    <t>HSBC Equity Savings Fund - Direct Monthly IDCW</t>
  </si>
  <si>
    <t>INF917K01GD6</t>
  </si>
  <si>
    <t>INF917K01GC8</t>
  </si>
  <si>
    <t>HSBC Equity Savings Fund - Direct Quarterly IDCW</t>
  </si>
  <si>
    <t>INF917K01AA5</t>
  </si>
  <si>
    <t>HSBC Equity Savings Fund - Regular Growth</t>
  </si>
  <si>
    <t>INF917K01965</t>
  </si>
  <si>
    <t>INF917K01973</t>
  </si>
  <si>
    <t>HSBC Equity Savings Fund - Regular Monthly IDCW</t>
  </si>
  <si>
    <t>INF917K01981</t>
  </si>
  <si>
    <t>INF917K01999</t>
  </si>
  <si>
    <t>HSBC Equity Savings Fund - Regular Quarterly IDCW</t>
  </si>
  <si>
    <t>INF109KA14I5</t>
  </si>
  <si>
    <t>ICICI Prudential Equity Savings Fund - Cumulative option</t>
  </si>
  <si>
    <t>INF109KA11J9</t>
  </si>
  <si>
    <t>ICICI Prudential Equity Savings Fund - Direct Plan - Cumulative option</t>
  </si>
  <si>
    <t>INF109KA14J3</t>
  </si>
  <si>
    <t>INF109KA17J6</t>
  </si>
  <si>
    <t>ICICI Prudential Equity Savings Fund - Direct Plan - Half Yearly IDCW</t>
  </si>
  <si>
    <t>INF109KA12J7</t>
  </si>
  <si>
    <t>INF109KA15J0</t>
  </si>
  <si>
    <t>ICICI Prudential Equity Savings Fund - Direct Plan - Monthly IDCW</t>
  </si>
  <si>
    <t>INF109KA13J5</t>
  </si>
  <si>
    <t>INF109KA16J8</t>
  </si>
  <si>
    <t>ICICI Prudential Equity Savings Fund - Direct Plan - Quarterly IDCW</t>
  </si>
  <si>
    <t>INF109KA17I8</t>
  </si>
  <si>
    <t>INF109KA10J1</t>
  </si>
  <si>
    <t>ICICI Prudential Equity Savings Fund - Half Yearly IDCW</t>
  </si>
  <si>
    <t>INF109KA15I2</t>
  </si>
  <si>
    <t>INF109KA18I6</t>
  </si>
  <si>
    <t>ICICI Prudential Equity Savings Fund - Monthly IDCW</t>
  </si>
  <si>
    <t>INF109KA16I0</t>
  </si>
  <si>
    <t>INF109KA19I4</t>
  </si>
  <si>
    <t>ICICI Prudential Equity Savings Fund - Quarterly IDCW</t>
  </si>
  <si>
    <t>INF205KA1049</t>
  </si>
  <si>
    <t>Invesco India Equity Savings Fund - Direct Plan - Growth</t>
  </si>
  <si>
    <t>INF205KA1064</t>
  </si>
  <si>
    <t>INF205KA1031</t>
  </si>
  <si>
    <t>Invesco India Equity Savings Fund - Direct Plan - IDCW (Payout / Reinvestment)</t>
  </si>
  <si>
    <t>INF205KA1023</t>
  </si>
  <si>
    <t>Invesco India Equity Savings Fund - Regular Plan - Growth</t>
  </si>
  <si>
    <t>INF205KA1015</t>
  </si>
  <si>
    <t>INF205KA1056</t>
  </si>
  <si>
    <t>Invesco India Equity Savings Fund - Regular Plan - IDCW (Payout / Reinvestment)</t>
  </si>
  <si>
    <t>INF174K01D28</t>
  </si>
  <si>
    <t>Kotak Equity Savings Fund - Direct - Growth</t>
  </si>
  <si>
    <t>INF174K01D36</t>
  </si>
  <si>
    <t>INF174K01D51</t>
  </si>
  <si>
    <t>Kotak Equity Savings Fund - Direct - Monthly Payout of Income Distribution cum capital withdrawal option</t>
  </si>
  <si>
    <t>INF174K01C78</t>
  </si>
  <si>
    <t>Kotak Equity Savings Fund - Regular - Growth</t>
  </si>
  <si>
    <t>INF174K01C86</t>
  </si>
  <si>
    <t>INF174K01D02</t>
  </si>
  <si>
    <t>Kotak Equity Savings Fund - Regular - Monthly Payout of Income Distribution cum capital withdrawal option</t>
  </si>
  <si>
    <t>INF397L01AZ5</t>
  </si>
  <si>
    <t>LIC MF Equity Savings Fund-Direct Plan-Growth</t>
  </si>
  <si>
    <t>INF397L01BA6</t>
  </si>
  <si>
    <t>INF397L01BB4</t>
  </si>
  <si>
    <t>LIC MF Equity Savings Fund-Direct Plan-Monthly IDCW</t>
  </si>
  <si>
    <t>INF397L01BD0</t>
  </si>
  <si>
    <t>INF397L01BE8</t>
  </si>
  <si>
    <t>LIC MF Equity Savings Fund-Direct Plan-Quarterly IDCW</t>
  </si>
  <si>
    <t>INF397L01315</t>
  </si>
  <si>
    <t>LIC MF Equity Savings Fund-Regular Plan-Growth</t>
  </si>
  <si>
    <t>INF397L01257</t>
  </si>
  <si>
    <t>INF397L01265</t>
  </si>
  <si>
    <t>LIC MF Equity Savings Fund-Regular Plan-Monthly IDCW</t>
  </si>
  <si>
    <t>INF397L01281</t>
  </si>
  <si>
    <t>INF397L01299</t>
  </si>
  <si>
    <t>LIC MF Equity Savings Fund-Regular Plan-Quarterly IDCW</t>
  </si>
  <si>
    <t>INF174V01184</t>
  </si>
  <si>
    <t>Mahindra Manulife Equity Savings Fund - Direct Plan -Growth</t>
  </si>
  <si>
    <t>INF174V01150</t>
  </si>
  <si>
    <t>Mahindra Manulife Equity Savings Fund - Regular Plan - Growth</t>
  </si>
  <si>
    <t>INF174V01192</t>
  </si>
  <si>
    <t>INF174V01200</t>
  </si>
  <si>
    <t>Mahindra Manulife Equity Savings Fund -Direct Plan -Quarterly IDCW</t>
  </si>
  <si>
    <t>INF174V01168</t>
  </si>
  <si>
    <t>INF174V01176</t>
  </si>
  <si>
    <t>Mahindra Manulife Equity Savings Fund -Regular Plan -Quarterly IDCW</t>
  </si>
  <si>
    <t>INF769K01EJ3</t>
  </si>
  <si>
    <t>INF769K01EM7</t>
  </si>
  <si>
    <t>Mirae Asset Equity Savings Fund Direct IDCW</t>
  </si>
  <si>
    <t>INF769K01EH7</t>
  </si>
  <si>
    <t>INF769K01EL9</t>
  </si>
  <si>
    <t>Mirae Asset Equity Savings Fund Regular IDCW</t>
  </si>
  <si>
    <t>INF769K01EK1</t>
  </si>
  <si>
    <t>Mirae Asset Equity Savings Fund- Direct Plan- Growth</t>
  </si>
  <si>
    <t>INF769K01EI5</t>
  </si>
  <si>
    <t>Mirae Asset Equity Savings Fund- Regular Plan- Growth</t>
  </si>
  <si>
    <t>INF204KB11S7</t>
  </si>
  <si>
    <t>INF204KB12S5</t>
  </si>
  <si>
    <t>NIPPON INDIA EQUITY SAVINGS FUND -  SEGREGATED PORTFOLIO 2 - Direct Plan - IDCW Option</t>
  </si>
  <si>
    <t>INF204KB13S3</t>
  </si>
  <si>
    <t>INF204KB14S1</t>
  </si>
  <si>
    <t>NIPPON INDIA EQUITY SAVINGS FUND -  SEGREGATED PORTFOLIO 2 - Direct Plan - MONTHLY IDCW Option</t>
  </si>
  <si>
    <t>INF204KB19R2</t>
  </si>
  <si>
    <t>INF204KB10S9</t>
  </si>
  <si>
    <t>NIPPON INDIA EQUITY SAVINGS FUND -  SEGREGATED PORTFOLIO 2 - Direct Plan - QUARTERLY IDCW Option</t>
  </si>
  <si>
    <t>INF204KB19S0</t>
  </si>
  <si>
    <t>INF204KB10T7</t>
  </si>
  <si>
    <t>NIPPON INDIA EQUITY SAVINGS FUND -  SEGREGATED PORTFOLIO 2 - IDCW Option</t>
  </si>
  <si>
    <t>INF204KB11T5</t>
  </si>
  <si>
    <t>INF204KB12T3</t>
  </si>
  <si>
    <t>NIPPON INDIA EQUITY SAVINGS FUND -  SEGREGATED PORTFOLIO 2 - MONTHLY IDCW Option</t>
  </si>
  <si>
    <t>INF204KB17S4</t>
  </si>
  <si>
    <t>INF204KB18S2</t>
  </si>
  <si>
    <t>NIPPON INDIA EQUITY SAVINGS FUND -  SEGREGATED PORTFOLIO 2 - QUARTERLY IDCW Option</t>
  </si>
  <si>
    <t>INF204KA1W93</t>
  </si>
  <si>
    <t>INF204KA1X01</t>
  </si>
  <si>
    <t>NIPPON INDIA EQUITY SAVINGS FUND - Direct Plan - IDCW Option</t>
  </si>
  <si>
    <t>INF204KA1X35</t>
  </si>
  <si>
    <t>INF204KA1X43</t>
  </si>
  <si>
    <t>NIPPON INDIA EQUITY SAVINGS FUND - Direct Plan - MONTHLY IDCW Option</t>
  </si>
  <si>
    <t>INF204KA1X19</t>
  </si>
  <si>
    <t>INF204KA1X27</t>
  </si>
  <si>
    <t>NIPPON INDIA EQUITY SAVINGS FUND - Direct Plan - QUARTERLY IDCW Option</t>
  </si>
  <si>
    <t>INF204KA1W10</t>
  </si>
  <si>
    <t>INF204KA1W28</t>
  </si>
  <si>
    <t>NIPPON INDIA EQUITY SAVINGS FUND - IDCW Option</t>
  </si>
  <si>
    <t>INF204KA1W51</t>
  </si>
  <si>
    <t>INF204KA1W69</t>
  </si>
  <si>
    <t>NIPPON INDIA EQUITY SAVINGS FUND - MONTHLY IDCW Option</t>
  </si>
  <si>
    <t>INF204KA1W36</t>
  </si>
  <si>
    <t>INF204KA1W44</t>
  </si>
  <si>
    <t>NIPPON INDIA EQUITY SAVINGS FUND - QUARTERLY IDCW Option</t>
  </si>
  <si>
    <t>INF204KB10E9</t>
  </si>
  <si>
    <t>Nippon India Equity Savings Fund - Segregated Portfolio 1 - Direct Plan - Growth Plan - Bonus Option</t>
  </si>
  <si>
    <t>INF204KB11E7</t>
  </si>
  <si>
    <t>Nippon India Equity Savings Fund - Segregated Portfolio 1 - Direct Plan - Growth Plan - Growth Option</t>
  </si>
  <si>
    <t>INF204KB14E1</t>
  </si>
  <si>
    <t>INF204KB15E8</t>
  </si>
  <si>
    <t>NIPPON INDIA EQUITY SAVINGS FUND - SEGREGATED PORTFOLIO 1 - Direct Plan - IDCW Option</t>
  </si>
  <si>
    <t>INF204KB16E6</t>
  </si>
  <si>
    <t>INF204KB17E4</t>
  </si>
  <si>
    <t>NIPPON INDIA EQUITY SAVINGS FUND - SEGREGATED PORTFOLIO 1 - Direct Plan - MONTHLY IDCW Option</t>
  </si>
  <si>
    <t>INF204KB12E5</t>
  </si>
  <si>
    <t>INF204KB13E3</t>
  </si>
  <si>
    <t>NIPPON INDIA EQUITY SAVINGS FUND - SEGREGATED PORTFOLIO 1 - Direct Plan - QUARTERLY IDCW Option</t>
  </si>
  <si>
    <t>INF204KB18E2</t>
  </si>
  <si>
    <t>Nippon India Equity Savings Fund - Segregated Portfolio 1 - Growth Plan - Bonus Option</t>
  </si>
  <si>
    <t>INF204KB19E0</t>
  </si>
  <si>
    <t>Nippon India Equity Savings Fund - Segregated Portfolio 1 - Growth Plan - Growth Option</t>
  </si>
  <si>
    <t>INF204KB12F2</t>
  </si>
  <si>
    <t>INF204KB13F0</t>
  </si>
  <si>
    <t>NIPPON INDIA EQUITY SAVINGS FUND - SEGREGATED PORTFOLIO 1 - IDCW Option</t>
  </si>
  <si>
    <t>INF204KB14F8</t>
  </si>
  <si>
    <t>INF204KB15F5</t>
  </si>
  <si>
    <t>NIPPON INDIA EQUITY SAVINGS FUND - SEGREGATED PORTFOLIO 1 - MONTHLY IDCW Option</t>
  </si>
  <si>
    <t>INF204KB10F6</t>
  </si>
  <si>
    <t>INF204KB11F4</t>
  </si>
  <si>
    <t>NIPPON INDIA EQUITY SAVINGS FUND - SEGREGATED PORTFOLIO 1 - QUARTERLY IDCW Option</t>
  </si>
  <si>
    <t>INF204KB17R6</t>
  </si>
  <si>
    <t>Nippon India Equity Savings Fund - Segregated Portfolio 2 - Direct Plan - Growth Plan - Bonus Option</t>
  </si>
  <si>
    <t>INF204KB18R4</t>
  </si>
  <si>
    <t>Nippon India Equity Savings Fund - Segregated Portfolio 2 - Direct Plan - Growth Plan - Growth Option</t>
  </si>
  <si>
    <t>INF204KB15S8</t>
  </si>
  <si>
    <t>Nippon India Equity Savings Fund - Segregated Portfolio 2 - Growth Plan - Bonus Option</t>
  </si>
  <si>
    <t>INF204KB16S6</t>
  </si>
  <si>
    <t>Nippon India Equity Savings Fund - Segregated Portfolio 2 - Growth Plan - Growth Option</t>
  </si>
  <si>
    <t>INF204KA1W85</t>
  </si>
  <si>
    <t>Nippon India Equity Savings Fund- Direct Plan- Growth Plan- Bonus Option</t>
  </si>
  <si>
    <t>INF204KA1W77</t>
  </si>
  <si>
    <t>Nippon India Equity Savings Fund- Direct Plan- Growth Plan-Growth Option</t>
  </si>
  <si>
    <t>INF204KA1W02</t>
  </si>
  <si>
    <t>Nippon India Equity Savings Fund- Growth Plan- Bonus Option</t>
  </si>
  <si>
    <t>INF204KA1V94</t>
  </si>
  <si>
    <t>Nippon India Equity Savings Fund- Growth Plan- Growth Option</t>
  </si>
  <si>
    <t>INF223J01EZ9</t>
  </si>
  <si>
    <t>INF223J01FA9</t>
  </si>
  <si>
    <t>PGIM India Equity Savings Fund - Annual Dividend option</t>
  </si>
  <si>
    <t>INF223J01QA6</t>
  </si>
  <si>
    <t>INF223J01QB4</t>
  </si>
  <si>
    <t>PGIM India Equity Savings Fund - Direct Plan - Annual Dividend</t>
  </si>
  <si>
    <t>INF223J01QD0</t>
  </si>
  <si>
    <t>PGIM India Equity Savings Fund - Direct Plan - Growth</t>
  </si>
  <si>
    <t>INF663L01YM8</t>
  </si>
  <si>
    <t>INF663L01YN6</t>
  </si>
  <si>
    <t>PGIM India Equity Savings Fund - Direct Plan - Half yearly Dividend option</t>
  </si>
  <si>
    <t>INF223J01QE8</t>
  </si>
  <si>
    <t>INF223J01QF5</t>
  </si>
  <si>
    <t>PGIM India Equity Savings Fund - Direct Plan - Monthly Dividend</t>
  </si>
  <si>
    <t>INF223J01QG3</t>
  </si>
  <si>
    <t>INF223J01QH1</t>
  </si>
  <si>
    <t>PGIM India Equity Savings Fund - Direct Plan - Quarterly Dividend</t>
  </si>
  <si>
    <t>INF663L01YQ9</t>
  </si>
  <si>
    <t>INF663L01YR7</t>
  </si>
  <si>
    <t>PGIM India Equity Savings Fund - Direct Plan - Regular Dividend Option</t>
  </si>
  <si>
    <t>INF223J01FB7</t>
  </si>
  <si>
    <t>PGIM India Equity Savings Fund - Growth Option</t>
  </si>
  <si>
    <t>INF223J01FC5</t>
  </si>
  <si>
    <t>INF223J01FD3</t>
  </si>
  <si>
    <t>PGIM India Equity Savings Fund - Monthly Dividend option</t>
  </si>
  <si>
    <t>INF223J01FE1</t>
  </si>
  <si>
    <t>INF223J01FF8</t>
  </si>
  <si>
    <t>PGIM India Equity Savings Fund - Quarterly  Dividend</t>
  </si>
  <si>
    <t>INF663L01YO4</t>
  </si>
  <si>
    <t>INF663L01YP1</t>
  </si>
  <si>
    <t>PGIM India Equity Savings Fund - Regular Plan - Regular Dividend Option</t>
  </si>
  <si>
    <t>INF966L01EC8</t>
  </si>
  <si>
    <t>quant Equity Savings Fund - Growth Option - Direct Plan</t>
  </si>
  <si>
    <t>INF966L01EF1</t>
  </si>
  <si>
    <t>quant Equity Savings Fund - Growth Option - Regular Plan</t>
  </si>
  <si>
    <t>INF966L01ED6</t>
  </si>
  <si>
    <t>INF966L01EE4</t>
  </si>
  <si>
    <t>quant Equity Savings Fund - IDCW Option - Direct Plan</t>
  </si>
  <si>
    <t>INF966L01EG9</t>
  </si>
  <si>
    <t>INF966L01EH7</t>
  </si>
  <si>
    <t>quant Equity Savings Fund - IDCW Option - Regular Plan</t>
  </si>
  <si>
    <t>INF200KA1DF3</t>
  </si>
  <si>
    <t>SBI Equity Savings Fund - Direct Plan - Growth</t>
  </si>
  <si>
    <t>INF200KA1DG1</t>
  </si>
  <si>
    <t>INF200KA1DH9</t>
  </si>
  <si>
    <t>SBI Equity Savings Fund - Direct Plan - Monthly Income Distribution cum Capital Withdrawal Option (IDCW)</t>
  </si>
  <si>
    <t>INF200KA1DI7</t>
  </si>
  <si>
    <t>INF200KA1DJ5</t>
  </si>
  <si>
    <t>SBI Equity Savings Fund - Direct Plan - Quarterly Income Distribution cum Capital Withdrawal Option (IDCW)</t>
  </si>
  <si>
    <t>INF200KA1DA4</t>
  </si>
  <si>
    <t>SBI Equity Savings Fund - Regular Plan - Growth</t>
  </si>
  <si>
    <t>INF200KA1DB2</t>
  </si>
  <si>
    <t>INF200KA1DC0</t>
  </si>
  <si>
    <t>SBI Equity Savings Fund - Regular Plan - Monthly Income Distribution cum Capital Withdrawal Option (IDCW)</t>
  </si>
  <si>
    <t>INF200KA1DD8</t>
  </si>
  <si>
    <t>INF200KA1DE6</t>
  </si>
  <si>
    <t>SBI Equity Savings Fund - Regular Plan - Quarterly Income Distribution cum Capital Withdrawal Option (IDCW)</t>
  </si>
  <si>
    <t>INF173K01HC6</t>
  </si>
  <si>
    <t>INF173K01HD4</t>
  </si>
  <si>
    <t>Sundaram Equity Savings Fund (Formerly Known as  Principal Equity Savings Fund) - Direct Plan - Income Distribution CUM Capital Withdrawal Option (IDCW)</t>
  </si>
  <si>
    <t>INF173K01GZ9</t>
  </si>
  <si>
    <t>Sundaram Equity Savings Fund (Formerly Known as Principal Equity Savings Fund) - Direct Plan - Growth Option</t>
  </si>
  <si>
    <t>INF173K01213</t>
  </si>
  <si>
    <t>Sundaram Equity Savings Fund (Formerly Known as Principal Equity Savings Fund) - Growth Option</t>
  </si>
  <si>
    <t>INF173K01262</t>
  </si>
  <si>
    <t>INF173K01270</t>
  </si>
  <si>
    <t>Sundaram Equity Savings Fund (Formerly Known as Principal Equity Savings Fund) - Income Distribution CUM Capital Withdrawal (IDCW)</t>
  </si>
  <si>
    <t>INF173K01HF9</t>
  </si>
  <si>
    <t>INF173K01HG7</t>
  </si>
  <si>
    <t>Sundaram Equity Savings Fund (Formerly Known as Principal Equity Savings Fund)- Direct Plan - Income Distribution CUM Capital Withdrawal Option (IDCW)</t>
  </si>
  <si>
    <t>INF173K01247</t>
  </si>
  <si>
    <t>INF173K01254</t>
  </si>
  <si>
    <t>Sundaram Equity Savings Fund (Formerly Known as Principal Equity Savings Fund)- Income Distribution CUM Capital Withdrawal (IDCW)</t>
  </si>
  <si>
    <t>INF277K01907</t>
  </si>
  <si>
    <t>Tata Equity Savings Fund -Regular Plan-Growth Option</t>
  </si>
  <si>
    <t>INF277K01QH5</t>
  </si>
  <si>
    <t>Tata Equity Savings Fund- Direct Plan- Growth Option</t>
  </si>
  <si>
    <t>INF277K01EF5</t>
  </si>
  <si>
    <t>INF277K01915</t>
  </si>
  <si>
    <t>Tata Equity Savings Fund- Regular Plan - Periodic Payout of IDCW Option</t>
  </si>
  <si>
    <t>INF277K01EE8</t>
  </si>
  <si>
    <t>INF277K01899</t>
  </si>
  <si>
    <t>TATA Equity Savings Fund- Regular Plan -Monthly Payout of IDCW option</t>
  </si>
  <si>
    <t>INF277K01QI3</t>
  </si>
  <si>
    <t>INF277K01QJ1</t>
  </si>
  <si>
    <t>Tata Equity Savings Fund-Direct Plan - Monthly Payout of IDCW Option</t>
  </si>
  <si>
    <t>INF277K01QK9</t>
  </si>
  <si>
    <t>INF277K01QL7</t>
  </si>
  <si>
    <t>Tata Equity Savings Fund-Direct Plan - Periodic Payout of IDCWS Option</t>
  </si>
  <si>
    <t>INF582M01EC1</t>
  </si>
  <si>
    <t>Union Equity Savings Fund - Direct Plan - Growth Option</t>
  </si>
  <si>
    <t>INF582M01EE7</t>
  </si>
  <si>
    <t>INF582M01ED9</t>
  </si>
  <si>
    <t>Union Equity Savings Fund - Direct Plan - IDCW Option</t>
  </si>
  <si>
    <t>INF582M01EG2</t>
  </si>
  <si>
    <t>Union Equity Savings Fund - Regular Plan - Growth Option</t>
  </si>
  <si>
    <t>INF582M01EI8</t>
  </si>
  <si>
    <t>INF582M01EH0</t>
  </si>
  <si>
    <t>Union Equity Savings Fund - Regular Plan - IDCW Option</t>
  </si>
  <si>
    <t>INF789F1A777</t>
  </si>
  <si>
    <t>UTI Equity Savings Fund - Direct Plan - Growth Option</t>
  </si>
  <si>
    <t>INF789F1A769</t>
  </si>
  <si>
    <t>INF789F1A751</t>
  </si>
  <si>
    <t>UTI Equity Savings Fund - Direct Plan - IDCW</t>
  </si>
  <si>
    <t>INF789F1A819</t>
  </si>
  <si>
    <t>INF789F1A801</t>
  </si>
  <si>
    <t>UTI Equity Savings Fund - Direct Plan - Monthly IDCW</t>
  </si>
  <si>
    <t>INF789F1A850</t>
  </si>
  <si>
    <t>INF789F1A843</t>
  </si>
  <si>
    <t>UTI Equity Savings Fund - Direct Plan - Quarterly IDCW</t>
  </si>
  <si>
    <t>INF789F1A744</t>
  </si>
  <si>
    <t>UTI Equity Savings Fund - Regular Plan - Growth Option</t>
  </si>
  <si>
    <t>INF789F1A736</t>
  </si>
  <si>
    <t>INF789F1A728</t>
  </si>
  <si>
    <t>UTI Equity Savings Fund - Regular Plan - IDCW</t>
  </si>
  <si>
    <t>INF789F1A793</t>
  </si>
  <si>
    <t>INF789F1A785</t>
  </si>
  <si>
    <t>UTI Equity Savings Fund - Regular Plan - Monthly IDCW</t>
  </si>
  <si>
    <t>INF789F1A835</t>
  </si>
  <si>
    <t>INF789F1A827</t>
  </si>
  <si>
    <t>UTI Equity Savings Fund - Regular Plan - Quarterly IDCW</t>
  </si>
  <si>
    <t>INF03VN01AB7</t>
  </si>
  <si>
    <t>WhiteOak Capital Equity Savings Fund Direct Plan Growth</t>
  </si>
  <si>
    <t>INF03VN01AC5</t>
  </si>
  <si>
    <t>WhiteOak Capital Equity Savings Fund Regular Plan Growth</t>
  </si>
  <si>
    <t>INF579M01BM2</t>
  </si>
  <si>
    <t>360 ONE Multi Asset Allocation Fund - Direct Plan - Growth</t>
  </si>
  <si>
    <t>INF579M01BN0</t>
  </si>
  <si>
    <t>INF579M01BO8</t>
  </si>
  <si>
    <t>360 ONE Multi Asset Allocation Fund - Direct Plan - IDCW</t>
  </si>
  <si>
    <t>INF579M01BJ8</t>
  </si>
  <si>
    <t>360 ONE Multi Asset Allocation Fund - Regular Plan - Growth</t>
  </si>
  <si>
    <t>INF579M01BK6</t>
  </si>
  <si>
    <t>INF579M01BL4</t>
  </si>
  <si>
    <t>360 ONE Multi Asset Allocation Fund - Regular Plan - IDCW</t>
  </si>
  <si>
    <t>INF209KB15R9</t>
  </si>
  <si>
    <t>Aditya Birla Sun Life Multi Asset Allocation Fund-Direct Growth</t>
  </si>
  <si>
    <t>INF209KB16R7</t>
  </si>
  <si>
    <t>INF209KB17R5</t>
  </si>
  <si>
    <t>Aditya Birla Sun Life Multi Asset Allocation Fund-Direct IDCW</t>
  </si>
  <si>
    <t>INF209KB12R6</t>
  </si>
  <si>
    <t>Aditya Birla Sun Life Multi Asset Allocation Fund-Regular Growth</t>
  </si>
  <si>
    <t>INF209KB13R4</t>
  </si>
  <si>
    <t>INF209KB14R2</t>
  </si>
  <si>
    <t>Aditya Birla Sun Life Multi Asset Allocation Fund-Regular IDCW</t>
  </si>
  <si>
    <t>INF846K01EV4</t>
  </si>
  <si>
    <t>Axis Multi Asset Allocation Fund - Direct Plan - Growth Option</t>
  </si>
  <si>
    <t>INF846K01ET8</t>
  </si>
  <si>
    <t>INF846K01EU6</t>
  </si>
  <si>
    <t>Axis Multi Asset Allocation Fund - Direct Plan - Monthly IDCW</t>
  </si>
  <si>
    <t>INF846K01768</t>
  </si>
  <si>
    <t>Axis Multi Asset Allocation Fund - Regular Plan - Growth Option</t>
  </si>
  <si>
    <t>INF846K01776</t>
  </si>
  <si>
    <t>INF846K01784</t>
  </si>
  <si>
    <t>Axis Multi Asset Allocation Fund - Regular Plan - Monthly IDCW</t>
  </si>
  <si>
    <t>INF0QA701821</t>
  </si>
  <si>
    <t>Bajaj Finserv Multi Asset Allocation Fund - Direct Growth</t>
  </si>
  <si>
    <t>INF0QA701839</t>
  </si>
  <si>
    <t>INF0QA701847</t>
  </si>
  <si>
    <t>Bajaj Finserv Multi Asset Allocation Fund - Direct IDCW</t>
  </si>
  <si>
    <t>INF0QA701797</t>
  </si>
  <si>
    <t>Bajaj Finserv Multi Asset Allocation Fund - Regular Growth</t>
  </si>
  <si>
    <t>INF0QA701805</t>
  </si>
  <si>
    <t>INF0QA701813</t>
  </si>
  <si>
    <t>Bajaj Finserv Multi Asset Allocation Fund - Regular IDCW</t>
  </si>
  <si>
    <t>INF194KB1HM7</t>
  </si>
  <si>
    <t>Bandhan Multi Asset Allocation Fund - Direct Plan - Growth</t>
  </si>
  <si>
    <t>INF194KB1HN5</t>
  </si>
  <si>
    <t>INF194KB1HO3</t>
  </si>
  <si>
    <t>Bandhan Multi Asset Allocation Fund - Direct Plan - IDCW</t>
  </si>
  <si>
    <t>INF194KB1HJ3</t>
  </si>
  <si>
    <t>Bandhan Multi Asset Allocation Fund - Regular Plan - Growth</t>
  </si>
  <si>
    <t>INF194KB1HK1</t>
  </si>
  <si>
    <t>INF194KB1HL9</t>
  </si>
  <si>
    <t>Bandhan Multi Asset Allocation Fund - Regular Plan - IDCW</t>
  </si>
  <si>
    <t>INF761K01FZ3</t>
  </si>
  <si>
    <t>Bank of India Multi Asset Allocation Fund-Direct Plan-Growth</t>
  </si>
  <si>
    <t>INF761K01GA4</t>
  </si>
  <si>
    <t>INF761K01GB2</t>
  </si>
  <si>
    <t>Bank of India Multi Asset Allocation Fund-Direct Plan-IDCW</t>
  </si>
  <si>
    <t>INF761K01FW0</t>
  </si>
  <si>
    <t>Bank of India Multi Asset Allocation Fund-Regular Plan-Growth</t>
  </si>
  <si>
    <t>INF761K01FX8</t>
  </si>
  <si>
    <t>INF761K01FY6</t>
  </si>
  <si>
    <t>Bank of India Multi Asset Allocation Fund-Regular Plan-IDCW</t>
  </si>
  <si>
    <t>INF251K01RF2</t>
  </si>
  <si>
    <t>Baroda BNP Paribas Multi Asset Fund - Direct Plan - Growth Option</t>
  </si>
  <si>
    <t>INF251K01RG0</t>
  </si>
  <si>
    <t>INF251K01RH8</t>
  </si>
  <si>
    <t>Baroda BNP Paribas Multi Asset Fund - Direct Plan - IDCW Option</t>
  </si>
  <si>
    <t>INF251K01RC9</t>
  </si>
  <si>
    <t>Baroda BNP Paribas Multi Asset Fund - Regular Plan - Growth Option</t>
  </si>
  <si>
    <t>INF251K01RD7</t>
  </si>
  <si>
    <t>INF251K01RE5</t>
  </si>
  <si>
    <t>Baroda BNP Paribas Multi Asset Fund - Regular Plan - IDCW Option</t>
  </si>
  <si>
    <t>INF760K01LH1</t>
  </si>
  <si>
    <t>Canara Robeco Multi Asset Allocation Fund - Direct Plan - Growth</t>
  </si>
  <si>
    <t>INF760K01LJ7</t>
  </si>
  <si>
    <t>INF760K01LL3</t>
  </si>
  <si>
    <t>Canara Robeco Multi Asset Allocation Fund - Direct Plan - IDCW</t>
  </si>
  <si>
    <t>INF760K01LG3</t>
  </si>
  <si>
    <t>Canara Robeco Multi Asset Allocation Fund - Regular Plan - Growth</t>
  </si>
  <si>
    <t>INF760K01LI9</t>
  </si>
  <si>
    <t>INF760K01LK5</t>
  </si>
  <si>
    <t>Canara Robeco Multi Asset Allocation Fund - Regular Plan - IDCW</t>
  </si>
  <si>
    <t>INF226401059</t>
  </si>
  <si>
    <t>Capitalmind Multi Asset Allocation Fund-Direct-Growth</t>
  </si>
  <si>
    <t>INF226401067</t>
  </si>
  <si>
    <t>INF226401075</t>
  </si>
  <si>
    <t>Capitalmind Multi Asset Allocation Fund-Direct-IDCW</t>
  </si>
  <si>
    <t>INF226401083</t>
  </si>
  <si>
    <t>Capitalmind Multi Asset Allocation Fund-Regular-Growth</t>
  </si>
  <si>
    <t>INF226401091</t>
  </si>
  <si>
    <t>INF226401109</t>
  </si>
  <si>
    <t>Capitalmind Multi Asset Allocation Fund-Regular-IDCW</t>
  </si>
  <si>
    <t>INF740KA1TE9</t>
  </si>
  <si>
    <t>DSP Multi Asset Allocation Fund - Direct - Growth</t>
  </si>
  <si>
    <t>INF740KA1TF6</t>
  </si>
  <si>
    <t>INF740KA1TG4</t>
  </si>
  <si>
    <t>DSP Multi Asset Allocation Fund - Direct - IDCW</t>
  </si>
  <si>
    <t>INF740KA1TB5</t>
  </si>
  <si>
    <t>DSP Multi Asset Allocation Fund - Regular - Growth</t>
  </si>
  <si>
    <t>INF740KA1TC3</t>
  </si>
  <si>
    <t>INF740KA1TD1</t>
  </si>
  <si>
    <t>DSP Multi Asset Allocation Fund - Regular - IDCW</t>
  </si>
  <si>
    <t>INF754K01RS8</t>
  </si>
  <si>
    <t>Edelweiss Multi Asset Allocation Fund - Direct Plan - Growth</t>
  </si>
  <si>
    <t>INF754K01RT6</t>
  </si>
  <si>
    <t>INF754K01RU4</t>
  </si>
  <si>
    <t>Edelweiss Multi Asset Allocation Fund - Direct Plan - IDCW Option</t>
  </si>
  <si>
    <t>INF754K01RO7</t>
  </si>
  <si>
    <t>Edelweiss Multi Asset Allocation Fund - Regular Plan - Growth</t>
  </si>
  <si>
    <t>INF754K01RP4</t>
  </si>
  <si>
    <t>INF754K01RQ2</t>
  </si>
  <si>
    <t>Edelweiss Multi Asset Allocation Fund - Regular Plan - IDCW Option</t>
  </si>
  <si>
    <t>INF090I01YJ6</t>
  </si>
  <si>
    <t>INF090I01YI8</t>
  </si>
  <si>
    <t>Franklin India Multi Asset Allocation Fund- Direct- IDCW</t>
  </si>
  <si>
    <t>INF090I01YH0</t>
  </si>
  <si>
    <t>Franklin India Multi Asset Allocation Fund- Direct-Growth</t>
  </si>
  <si>
    <t>INF090I01YM0</t>
  </si>
  <si>
    <t>Franklin India Multi Asset Allocation Fund- Growth</t>
  </si>
  <si>
    <t>INF090I01YL2</t>
  </si>
  <si>
    <t>INF090I01YK4</t>
  </si>
  <si>
    <t>Franklin India Multi Asset Allocation Fund- IDCW</t>
  </si>
  <si>
    <t>INF666M01MA9</t>
  </si>
  <si>
    <t>Groww Multi Asset Allocation Fund Direct Growth</t>
  </si>
  <si>
    <t>INF666M01MB7</t>
  </si>
  <si>
    <t>INF666M01MC5</t>
  </si>
  <si>
    <t>Groww Multi Asset Allocation Fund Direct IDCW</t>
  </si>
  <si>
    <t>INF666M01MD3</t>
  </si>
  <si>
    <t>Groww Multi Asset Allocation Fund Regular Growth</t>
  </si>
  <si>
    <t>INF666M01ME1</t>
  </si>
  <si>
    <t>INF666M01MF8</t>
  </si>
  <si>
    <t>Groww Multi Asset Allocation Fund Regular IDCW</t>
  </si>
  <si>
    <t>INF179K01AP0</t>
  </si>
  <si>
    <t>HDFC Multi-Asset Fund - Growth Option</t>
  </si>
  <si>
    <t>INF179K01XW8</t>
  </si>
  <si>
    <t>HDFC Multi-Asset Fund - Growth Option - Direct Plan</t>
  </si>
  <si>
    <t>INF179K01AN5</t>
  </si>
  <si>
    <t>INF179K01AO3</t>
  </si>
  <si>
    <t>HDFC Multi-Asset Fund - IDCW Option</t>
  </si>
  <si>
    <t>INF179K01XU2</t>
  </si>
  <si>
    <t>INF179K01XV0</t>
  </si>
  <si>
    <t>HDFC Multi-Asset Fund - IDCW Option - Direct Plan</t>
  </si>
  <si>
    <t>INF336L01RI3</t>
  </si>
  <si>
    <t>HSBC Multi Asset Allocation Fund - Direct - Growth</t>
  </si>
  <si>
    <t>INF336L01RJ1</t>
  </si>
  <si>
    <t>INF336L01RK9</t>
  </si>
  <si>
    <t>HSBC Multi Asset Allocation Fund - Direct - IDCW</t>
  </si>
  <si>
    <t>INF336L01RF9</t>
  </si>
  <si>
    <t>HSBC Multi Asset Allocation Fund - Regular - Growth</t>
  </si>
  <si>
    <t>INF336L01RG7</t>
  </si>
  <si>
    <t>INF336L01RH5</t>
  </si>
  <si>
    <t>HSBC Multi Asset Allocation Fund - Regular - IDCW</t>
  </si>
  <si>
    <t>INF109K015K4</t>
  </si>
  <si>
    <t>ICICI Prudential Multi-Asset Fund - Direct Plan - Growth</t>
  </si>
  <si>
    <t>INF109K013K9</t>
  </si>
  <si>
    <t>INF109K014K7</t>
  </si>
  <si>
    <t>ICICI Prudential Multi-Asset Fund - Direct Plan - IDCW</t>
  </si>
  <si>
    <t>INF109K01761</t>
  </si>
  <si>
    <t>ICICI Prudential Multi-Asset Fund - Growth</t>
  </si>
  <si>
    <t>INF109K01ED5</t>
  </si>
  <si>
    <t>INF109K01779</t>
  </si>
  <si>
    <t>ICICI Prudential Multi-Asset Fund - IDCW</t>
  </si>
  <si>
    <t>INF109K01TN2</t>
  </si>
  <si>
    <t>ICICI Prudential Multi-Asset Fund- Institutional Growth Option</t>
  </si>
  <si>
    <t>INF109K01787</t>
  </si>
  <si>
    <t>ICICI Prudential Multi-Asset Fund-Institutional Option - I</t>
  </si>
  <si>
    <t>INF205KA1AC1</t>
  </si>
  <si>
    <t>Invesco India Multi Asset Allocation Fund - Direct Plan - Growth</t>
  </si>
  <si>
    <t>INF205KA1AD9</t>
  </si>
  <si>
    <t>INF205KA1AE7</t>
  </si>
  <si>
    <t>Invesco India Multi Asset Allocation Fund - Direct Plan - IDCW</t>
  </si>
  <si>
    <t>INF205KA1999</t>
  </si>
  <si>
    <t>Invesco India Multi Asset Allocation Fund - Regular Plan - Growth</t>
  </si>
  <si>
    <t>INF205KA1AA5</t>
  </si>
  <si>
    <t>INF205KA1AB3</t>
  </si>
  <si>
    <t>Invesco India Multi Asset Allocation Fund - Regular Plan - IDCW</t>
  </si>
  <si>
    <t>INF174KA1PD4</t>
  </si>
  <si>
    <t>Kotak Multi Asset Allocation Fund - Direct Plan - Growth Option</t>
  </si>
  <si>
    <t>INF174KA1PE2</t>
  </si>
  <si>
    <t>INF174KA1PF9</t>
  </si>
  <si>
    <t>Kotak Multi Asset Allocation Fund - Direct Plan - IDCW Option</t>
  </si>
  <si>
    <t>INF174KA1PA0</t>
  </si>
  <si>
    <t>Kotak Multi Asset Allocation Fund - Regular Plan - Growth Option</t>
  </si>
  <si>
    <t>INF174KA1PB8</t>
  </si>
  <si>
    <t>INF174KA1PC6</t>
  </si>
  <si>
    <t>Kotak Multi Asset Allocation Fund - Regular Plan - IDCW Option</t>
  </si>
  <si>
    <t>INF767K01RZ5</t>
  </si>
  <si>
    <t>LIC MF Multi Asset Allocation Fund-Direct Plan-Growth</t>
  </si>
  <si>
    <t>INF767K01RY8</t>
  </si>
  <si>
    <t>INF767K01RX0</t>
  </si>
  <si>
    <t>LIC MF Multi Asset Allocation Fund-Direct Plan-IDCW</t>
  </si>
  <si>
    <t>INF767K01RW2</t>
  </si>
  <si>
    <t>LIC MF Multi Asset Allocation Fund-Regular Plan-Growth</t>
  </si>
  <si>
    <t>INF767K01RV4</t>
  </si>
  <si>
    <t>INF767K01RU6</t>
  </si>
  <si>
    <t>LIC MF Multi Asset Allocation Fund-Regular Plan-IDCW</t>
  </si>
  <si>
    <t>INF174V01BX0</t>
  </si>
  <si>
    <t>INF174V01BY8</t>
  </si>
  <si>
    <t>Mahindra Manulife Multi Asset Allocation Fund - Direct Plan - IDCW</t>
  </si>
  <si>
    <t>INF174V01BU6</t>
  </si>
  <si>
    <t>INF174V01BV4</t>
  </si>
  <si>
    <t>Mahindra Manulife Multi Asset allocation Fund - Regular Plan - IDCW</t>
  </si>
  <si>
    <t>INF174V01BW2</t>
  </si>
  <si>
    <t>Mahindra Manulife Multi Asset Allocation Fund- Direct Plan - Growth</t>
  </si>
  <si>
    <t>INF174V01BT8</t>
  </si>
  <si>
    <t>Mahindra Manulife Multi Asset Allocation Fund- Regular Plan - Growth</t>
  </si>
  <si>
    <t>INF769K01KZ6</t>
  </si>
  <si>
    <t>Mirae Asset Multi Asset Allocation Fund - Direct Plan - Growth</t>
  </si>
  <si>
    <t>INF769K01LA7</t>
  </si>
  <si>
    <t>INF769K01LB5</t>
  </si>
  <si>
    <t>Mirae Asset Multi Asset Allocation Fund - Direct Plan - IDCW</t>
  </si>
  <si>
    <t>INF769K01KW3</t>
  </si>
  <si>
    <t>Mirae Asset Multi Asset Allocation Fund - Regular Plan - Growth</t>
  </si>
  <si>
    <t>INF769K01KX1</t>
  </si>
  <si>
    <t>INF769K01KY9</t>
  </si>
  <si>
    <t>Mirae Asset Multi Asset Allocation Fund - Regular Plan - IDCW</t>
  </si>
  <si>
    <t>INF204KB19V4</t>
  </si>
  <si>
    <t>Nippon India Multi Asset Allocation Fund - Direct Plan - Growth Option</t>
  </si>
  <si>
    <t>INF204KB10W1</t>
  </si>
  <si>
    <t>INF204KB11W9</t>
  </si>
  <si>
    <t>NIPPON INDIA MULTI ASSET ALLOCATION FUND - DIRECT Plan - IDCW Option</t>
  </si>
  <si>
    <t>INF204KB17V8</t>
  </si>
  <si>
    <t>INF204KB18V6</t>
  </si>
  <si>
    <t>NIPPON INDIA MULTI ASSET ALLOCATION FUND - IDCW Option</t>
  </si>
  <si>
    <t>INF204KB16V0</t>
  </si>
  <si>
    <t>Nippon India Multi Asset Allocation Fund - Regular Plan - Growth Option</t>
  </si>
  <si>
    <t>INF663L010A3</t>
  </si>
  <si>
    <t>PGIM India Multi Asset Allocation Fund - Direct Plan - Growth Option</t>
  </si>
  <si>
    <t>INF663L011A1</t>
  </si>
  <si>
    <t>INF663L012A9</t>
  </si>
  <si>
    <t>PGIM India Multi Asset Allocation Fund - Direct Plan - IDCW Option</t>
  </si>
  <si>
    <t>INF663L013A7</t>
  </si>
  <si>
    <t>PGIM India Multi Asset Allocation Fund - Regular Plan - Growth Option</t>
  </si>
  <si>
    <t>INF663L014A5</t>
  </si>
  <si>
    <t>INF663L015A2</t>
  </si>
  <si>
    <t>PGIM India Multi Asset Allocation Fund - Regular Plan - IDCW Option</t>
  </si>
  <si>
    <t>INF966L01564</t>
  </si>
  <si>
    <t>INF966L01572</t>
  </si>
  <si>
    <t>quant Multi Asset Allocation Fund - IDCW Option - Direct Plan</t>
  </si>
  <si>
    <t>INF966L01184</t>
  </si>
  <si>
    <t>INF966L01192</t>
  </si>
  <si>
    <t>quant Multi Asset Allocation Fund - IDCW Option - Regular Plan</t>
  </si>
  <si>
    <t>INF966L01200</t>
  </si>
  <si>
    <t>quant Multi Asset Allocation Fund-GROWTH OPTION - Regular Plan</t>
  </si>
  <si>
    <t>INF966L01580</t>
  </si>
  <si>
    <t>quant Multi Asset Allocation Fund-GROWTH OPTION-Direct Plan</t>
  </si>
  <si>
    <t>INF082J01457</t>
  </si>
  <si>
    <t>Quantum Multi Asset Allocation Fund - Direct Plan Growth Option</t>
  </si>
  <si>
    <t>INF082J01465</t>
  </si>
  <si>
    <t>Quantum Multi Asset Allocation Fund - Regular Plan Growth Option</t>
  </si>
  <si>
    <t>INF0K1H01230</t>
  </si>
  <si>
    <t>Samco Multi Asset Allocation Fund - Direct Plan - Growth</t>
  </si>
  <si>
    <t>INF0K1H01248</t>
  </si>
  <si>
    <t>Samco Multi Asset Allocation Fund - Regular Plan - Growth</t>
  </si>
  <si>
    <t>INF200K01TX8</t>
  </si>
  <si>
    <t>INF200K01TY6</t>
  </si>
  <si>
    <t>SBI Multi Asset Allocation Fund - Direct Plan - Annual Income Distribution cum Capital Withdrawal Option (IDCW)</t>
  </si>
  <si>
    <t>INF200K01TZ3</t>
  </si>
  <si>
    <t>SBI MULTI ASSET ALLOCATION FUND - DIRECT PLAN - GROWTH</t>
  </si>
  <si>
    <t>INF200K01UA4</t>
  </si>
  <si>
    <t>INF200K01UB2</t>
  </si>
  <si>
    <t>SBI Multi Asset Allocation Fund - Direct Plan - Monthly Income Distribution cum Capital Withdrawal Option (IDCW)</t>
  </si>
  <si>
    <t>INF200K01UC0</t>
  </si>
  <si>
    <t>INF200K01UD8</t>
  </si>
  <si>
    <t>SBI Multi Asset Allocation Fund - Direct Plan - Quarterly Income Distribution cum Capital Withdrawal Option (IDCW)</t>
  </si>
  <si>
    <t>INF200K01784</t>
  </si>
  <si>
    <t>INF200K01792</t>
  </si>
  <si>
    <t>SBI Multi Asset Allocation Fund - Regular Plan - Annual Income Distribution cum Capital Withdrawal Option (IDCW)</t>
  </si>
  <si>
    <t>INF200K01800</t>
  </si>
  <si>
    <t>SBI MULTI ASSET ALLOCATION FUND - REGULAR PLAN - GROWTH</t>
  </si>
  <si>
    <t>INF200K01818</t>
  </si>
  <si>
    <t>INF200K01826</t>
  </si>
  <si>
    <t>SBI Multi Asset Allocation Fund - Regular Plan - Monthly Income Distribution cum Capital Withdrawal Option (IDCW)</t>
  </si>
  <si>
    <t>INF200K01834</t>
  </si>
  <si>
    <t>INF200K01842</t>
  </si>
  <si>
    <t>SBI Multi Asset Allocation Fund - Regular Plan - Quarterly Income Distribution cum Capital Withdrawal Option (IDCW)</t>
  </si>
  <si>
    <t>INF680P01406</t>
  </si>
  <si>
    <t>Shriram Multi Asset Allocation Fund - Direct Growth</t>
  </si>
  <si>
    <t>INF680P01414</t>
  </si>
  <si>
    <t>Shriram Multi Asset Allocation Fund - Regular Growth</t>
  </si>
  <si>
    <t>INF903JA1LK9</t>
  </si>
  <si>
    <t>Sundaram Multi Asset Allocation Fund Direct Plan Growth</t>
  </si>
  <si>
    <t>INF903JA1LL7</t>
  </si>
  <si>
    <t>Sundaram Multi Asset Allocation Fund Direct Plan IDCW Payout</t>
  </si>
  <si>
    <t>INF903JA1LM5</t>
  </si>
  <si>
    <t>Sundaram Multi Asset Allocation Fund Direct Plan IDCW Reinvestment</t>
  </si>
  <si>
    <t>INF903JA1LH5</t>
  </si>
  <si>
    <t>Sundaram Multi Asset Allocation Fund Regular Plan Growth</t>
  </si>
  <si>
    <t>INF903JA1LI3</t>
  </si>
  <si>
    <t>Sundaram Multi Asset Allocation Fund Regular Plan IDCW Payout</t>
  </si>
  <si>
    <t>INF903JA1LJ1</t>
  </si>
  <si>
    <t>Sundaram Multi Asset Allocation Fund Regular Plan IDCW Reinvestment</t>
  </si>
  <si>
    <t>INF277K011Z7</t>
  </si>
  <si>
    <t>Tata Multi Asset Allocation Fund-Direct Plan-Dividend Payout</t>
  </si>
  <si>
    <t>INF277K010Z9</t>
  </si>
  <si>
    <t>Tata Multi Asset Allocation Fund-Direct Plan-Dividend Reinvestment</t>
  </si>
  <si>
    <t>INF277K019Y3</t>
  </si>
  <si>
    <t>Tata Multi Asset Allocation Fund-Direct Plan-Growth</t>
  </si>
  <si>
    <t>INF277K014Z1</t>
  </si>
  <si>
    <t>Tata Multi Asset Allocation Fund-Regular Plan-Dividend Payout</t>
  </si>
  <si>
    <t>INF277K013Z3</t>
  </si>
  <si>
    <t>Tata Multi Asset Allocation Fund-Regular Plan-Dividend Reinvestment</t>
  </si>
  <si>
    <t>INF277K012Z5</t>
  </si>
  <si>
    <t>Tata Multi Asset Allocation Fund-Regular Plan-Growth</t>
  </si>
  <si>
    <t>INF2F0001347</t>
  </si>
  <si>
    <t>The Wealth Company Multi Asset Allocation Fund - Direct Growth</t>
  </si>
  <si>
    <t>INF2F0001354</t>
  </si>
  <si>
    <t>INF2F0001362</t>
  </si>
  <si>
    <t>The Wealth Company Multi Asset Allocation Fund - Direct IDCW</t>
  </si>
  <si>
    <t>INF2F0001313</t>
  </si>
  <si>
    <t>The Wealth Company Multi Asset Allocation Fund - Regular Growth</t>
  </si>
  <si>
    <t>INF2F0001321</t>
  </si>
  <si>
    <t>INF2F0001339</t>
  </si>
  <si>
    <t>The Wealth Company Multi Asset Allocation Fund - Regular IDCW</t>
  </si>
  <si>
    <t>INF582M01JY4</t>
  </si>
  <si>
    <t>Union Multi Asset Allocation Fund- Direct Plan - Growth Option</t>
  </si>
  <si>
    <t>INF582M01JZ1</t>
  </si>
  <si>
    <t>INF582M01KA2</t>
  </si>
  <si>
    <t>Union Multi Asset Allocation Fund- Direct Plan - IDCW Option</t>
  </si>
  <si>
    <t>INF582M01JU2</t>
  </si>
  <si>
    <t>Union Multi Asset Allocation Fund- Regular Plan - Growth Option</t>
  </si>
  <si>
    <t>INF582M01JV0</t>
  </si>
  <si>
    <t>INF582M01JW8</t>
  </si>
  <si>
    <t>Union Multi Asset Allocation Fund- Regular Plan - IDCW Option</t>
  </si>
  <si>
    <t>INF789F01VE6</t>
  </si>
  <si>
    <t>UTI Multi Asset Allocation Fund - Direct Plan - Growth Option</t>
  </si>
  <si>
    <t>INF789F01VC0</t>
  </si>
  <si>
    <t>INF789F01VD8</t>
  </si>
  <si>
    <t>UTI Multi Asset Allocation Fund - Direct Plan - IDCW</t>
  </si>
  <si>
    <t>INF789F01AP6</t>
  </si>
  <si>
    <t>UTI Multi Asset Allocation Fund - Regular Plan - Growth Option</t>
  </si>
  <si>
    <t>INF789F01AN1</t>
  </si>
  <si>
    <t>INF789F01AO9</t>
  </si>
  <si>
    <t>UTI Multi Asset Allocation Fund - Regular Plan - IDCW</t>
  </si>
  <si>
    <t>INF03VN01761</t>
  </si>
  <si>
    <t>WhiteOak Capital Multi Asset Allocation Fund Direct Plan Growth</t>
  </si>
  <si>
    <t>INF03VN01779</t>
  </si>
  <si>
    <t>WhiteOak Capital Multi Asset Allocation Fund Regular Plan Growth</t>
  </si>
  <si>
    <t>INF109K01EA1</t>
  </si>
  <si>
    <t>INF109K01AQ5</t>
  </si>
  <si>
    <t>ICICI Prudential Blended Plan B -  Dividend Option - I</t>
  </si>
  <si>
    <t>INF109K01AR3</t>
  </si>
  <si>
    <t>ICICI Prudential Blended Plan B -  Growth Option - I</t>
  </si>
  <si>
    <t>INF109K01VV1</t>
  </si>
  <si>
    <t>INF109K01ID6</t>
  </si>
  <si>
    <t>ICICI Prudential Blended Plan B -  Monthly Dividend Option - I</t>
  </si>
  <si>
    <t>INF109K01VW9</t>
  </si>
  <si>
    <t>ICICI Prudential Blended Plan B - Daily Dividend Option - I</t>
  </si>
  <si>
    <t>INF109K015J6</t>
  </si>
  <si>
    <t>INF109K016J4</t>
  </si>
  <si>
    <t>ICICI Prudential Blended Plan B - Direct Plan -  Dividend Option - I</t>
  </si>
  <si>
    <t>INF109K017J2</t>
  </si>
  <si>
    <t>ICICI Prudential Blended Plan B - Direct Plan -  Growth Option - I</t>
  </si>
  <si>
    <t>INF109K018J0</t>
  </si>
  <si>
    <t>INF109K019J8</t>
  </si>
  <si>
    <t>ICICI Prudential Blended Plan B - Direct Plan -  Monthly Dividend Option - I</t>
  </si>
  <si>
    <t>INF109KA1M54</t>
  </si>
  <si>
    <t>INF109KA1M47</t>
  </si>
  <si>
    <t>ICICI Prudential Blended Plan B - Direct Plan - Half Yearly Dividend Option - I</t>
  </si>
  <si>
    <t>INF109KA1CK7</t>
  </si>
  <si>
    <t>INF109KA1CJ9</t>
  </si>
  <si>
    <t>ICICI Prudential Blended Plan B - Direct Plan - Quarterly Dividend Option - I</t>
  </si>
  <si>
    <t>INF109KA1M39</t>
  </si>
  <si>
    <t>INF109KA1M21</t>
  </si>
  <si>
    <t>ICICI Prudential Blended Plan B - Half Yearly Dividend Option - I</t>
  </si>
  <si>
    <t>INF109KA1392</t>
  </si>
  <si>
    <t>ICICI Prudential Blended Plan B - option I-Bonus</t>
  </si>
  <si>
    <t>INF109K014J9</t>
  </si>
  <si>
    <t>ICICI Prudential Blended Plan B-Direct Plan -  Daily Dividend Option - I</t>
  </si>
  <si>
    <t>INF109K01597</t>
  </si>
  <si>
    <t>ICICI Prudential Child Care Plan Study - Cumulative</t>
  </si>
  <si>
    <t>INF109K01Y56</t>
  </si>
  <si>
    <t>ICICI Prudential Child Care Plan Study - Direct Plan- Cumulative</t>
  </si>
  <si>
    <t>INF109KA15C5</t>
  </si>
  <si>
    <t>INF109KA14C8</t>
  </si>
  <si>
    <t>ICICI Prudential Dynamic Bond Fund - Annual Dividend</t>
  </si>
  <si>
    <t>INF109KA1350</t>
  </si>
  <si>
    <t>ICICI Prudential Dynamic Bond Fund - Bonus</t>
  </si>
  <si>
    <t>INF109K01PJ8</t>
  </si>
  <si>
    <t>ICICI Prudential Dynamic Bond Fund - Daily Dividend</t>
  </si>
  <si>
    <t>INF109K016K2</t>
  </si>
  <si>
    <t>ICICI Prudential Dynamic Bond Fund - Direct Plan -  Daily Dividend</t>
  </si>
  <si>
    <t>INF109K017K0</t>
  </si>
  <si>
    <t>ICICI Prudential Dynamic Bond Fund - Direct Plan -  Growth</t>
  </si>
  <si>
    <t>INF109K018K8</t>
  </si>
  <si>
    <t>INF109K019K6</t>
  </si>
  <si>
    <t>ICICI Prudential Dynamic Bond Fund - Direct Plan -  Half Yearly Dividend</t>
  </si>
  <si>
    <t>INF109K010L3</t>
  </si>
  <si>
    <t>INF109K011L1</t>
  </si>
  <si>
    <t>ICICI Prudential Dynamic Bond Fund - Direct Plan -  Monthly Dividend</t>
  </si>
  <si>
    <t>INF109KA17C1</t>
  </si>
  <si>
    <t>INF109KA16C3</t>
  </si>
  <si>
    <t>ICICI Prudential Dynamic Bond Fund - Direct Plan - Annual Dividend</t>
  </si>
  <si>
    <t>INF109KA1343</t>
  </si>
  <si>
    <t>ICICI Prudential Dynamic Bond Fund - Direct Plan - Bonus Option</t>
  </si>
  <si>
    <t>INF109K012L9</t>
  </si>
  <si>
    <t>INF109K013L7</t>
  </si>
  <si>
    <t>ICICI Prudential Dynamic Bond Fund - Direct Plan - Quarterly Dividend</t>
  </si>
  <si>
    <t>INF109K01CB3</t>
  </si>
  <si>
    <t>ICICI Prudential Dynamic Bond Fund - Growth</t>
  </si>
  <si>
    <t>INF109K01PK6</t>
  </si>
  <si>
    <t>INF109K01IY2</t>
  </si>
  <si>
    <t>ICICI Prudential Dynamic Bond Fund - Half Yearly Dividend</t>
  </si>
  <si>
    <t>INF109K01FE0</t>
  </si>
  <si>
    <t>INF109K01CC1</t>
  </si>
  <si>
    <t>ICICI Prudential Dynamic Bond Fund - Monthly Dividend</t>
  </si>
  <si>
    <t>INF109K01RW7</t>
  </si>
  <si>
    <t>ICICI Prudential Dynamic Bond Fund - Premium Plus Growth</t>
  </si>
  <si>
    <t>INF109K01FF7</t>
  </si>
  <si>
    <t>INF109K01CD9</t>
  </si>
  <si>
    <t>ICICI Prudential Dynamic Bond Fund - Quarterly Dividend</t>
  </si>
  <si>
    <t>INF109K01KM3</t>
  </si>
  <si>
    <t>ICICI Prudential Interval Fund - Annual Interval Plan I - Retail Dividend</t>
  </si>
  <si>
    <t>INF109K01KL5</t>
  </si>
  <si>
    <t>ICICI Prudential Interval Fund - Annual Interval Plan I - Retail Growth</t>
  </si>
  <si>
    <t>INF109KA1C80</t>
  </si>
  <si>
    <t>ICICI Prudential Interval Fund Annual Interval Plan - I - Direct Plan Bonus</t>
  </si>
  <si>
    <t>INF109K01KN1</t>
  </si>
  <si>
    <t>ICICI Prudential Interval Fund Annual Interval Plan I -  Growth</t>
  </si>
  <si>
    <t>INF109K01K45</t>
  </si>
  <si>
    <t>ICICI Prudential Interval Fund Annual Interval Plan I - Direct Plan -  Growth</t>
  </si>
  <si>
    <t>INF109K01KO9</t>
  </si>
  <si>
    <t>ICICI Prudential Interval Fund Annual Interval Plan I - Dividend</t>
  </si>
  <si>
    <t>INF109K01KQ4</t>
  </si>
  <si>
    <t>ICICI Prudential Interval Fund - Annual Interval Plan II - Retail Dividend</t>
  </si>
  <si>
    <t>INF109K01KP6</t>
  </si>
  <si>
    <t>ICICI Prudential Interval Fund - Annual Interval Plan II - Retail Growth</t>
  </si>
  <si>
    <t>INF109K01K60</t>
  </si>
  <si>
    <t>ICICI Prudential Interval Fund Annual Interval Plan II - Direct Plan -  Growth</t>
  </si>
  <si>
    <t>INF109K01KS0</t>
  </si>
  <si>
    <t>ICICI Prudential Interval Fund Annual Interval Plan II - Dividend</t>
  </si>
  <si>
    <t>INF109K01KR2</t>
  </si>
  <si>
    <t>ICICI Prudential Interval Fund Annual Interval Plan II - Growth</t>
  </si>
  <si>
    <t>INF109K01KU6</t>
  </si>
  <si>
    <t>ICICI Prudential Interval Fund - Annual Interval Plan III - Retail Dividend</t>
  </si>
  <si>
    <t>INF109K01KT8</t>
  </si>
  <si>
    <t>ICICI Prudential Interval Fund - Annual Interval Plan III - Retail Growth</t>
  </si>
  <si>
    <t>INF109K01K86</t>
  </si>
  <si>
    <t>ICICI Prudential Interval Fund Annual Interval Plan III - Direct Plan -  Growth</t>
  </si>
  <si>
    <t>INF109K01KW2</t>
  </si>
  <si>
    <t>ICICI Prudential Interval Fund Annual Interval Plan III - Dividend</t>
  </si>
  <si>
    <t>INF109K01KV4</t>
  </si>
  <si>
    <t>ICICI Prudential Interval Fund Annual Interval Plan III - Growth</t>
  </si>
  <si>
    <t>INF109K01KI1</t>
  </si>
  <si>
    <t>ICICI Prudential Interval Fund - Annual Interval Plan IV - Retail Dividend</t>
  </si>
  <si>
    <t>INF109K01KH3</t>
  </si>
  <si>
    <t>ICICI Prudential Interval Fund - Annual Interval Plan IV - Retail Growth</t>
  </si>
  <si>
    <t>INF109K01KK7</t>
  </si>
  <si>
    <t>ICICI Prudential Interval Fund Annual Interval Plan IV -  Dividend</t>
  </si>
  <si>
    <t>INF109K01L02</t>
  </si>
  <si>
    <t>ICICI Prudential Interval Fund Annual Interval Plan IV - Direct Plan -  Growth</t>
  </si>
  <si>
    <t>INF109K01KJ9</t>
  </si>
  <si>
    <t>ICICI Prudential Interval Fund Annual Interval Plan IV - Growth</t>
  </si>
  <si>
    <t>INF109K01ON3</t>
  </si>
  <si>
    <t>ICICI Prudential Interval Fund - Monthly Interval Plan I - Retail Dividend</t>
  </si>
  <si>
    <t>INF109K01OM5</t>
  </si>
  <si>
    <t>ICICI Prudential Interval Fund - Monthly Interval Plan I - Retail Growth</t>
  </si>
  <si>
    <t>INF109K01L36</t>
  </si>
  <si>
    <t>ICICI Prudential Interval Fund Monthly Interval Plan I - Direct Plan -  Dividend</t>
  </si>
  <si>
    <t>INF109K01L28</t>
  </si>
  <si>
    <t>ICICI Prudential Interval Fund Monthly Interval Plan I - Direct Plan -  Growth</t>
  </si>
  <si>
    <t>INF109K01OL7</t>
  </si>
  <si>
    <t>INF109K01OK9</t>
  </si>
  <si>
    <t>ICICI Prudential Interval Fund Monthly Interval Plan I - Dividend</t>
  </si>
  <si>
    <t>INF109K01OJ1</t>
  </si>
  <si>
    <t>ICICI Prudential Interval Fund Monthly Interval Plan I - Growth</t>
  </si>
  <si>
    <t>INF109K01LU4</t>
  </si>
  <si>
    <t>ICICI Prudential Interval Fund - Quarterly Interval Plan I - Retail Dividend</t>
  </si>
  <si>
    <t>INF109K01LT6</t>
  </si>
  <si>
    <t>ICICI Prudential Interval Fund - Quarterly Interval Plan I - Retail Growth</t>
  </si>
  <si>
    <t>INF109K01LW0</t>
  </si>
  <si>
    <t>ICICI Prudential Interval Fund Quarterly Interval Plan - 1 Retail Quarterly Dividend Payout</t>
  </si>
  <si>
    <t>INF109K01L69</t>
  </si>
  <si>
    <t>ICICI Prudential Interval Fund Quarterly Interval Plan 1 - Direct Plan -  Growth</t>
  </si>
  <si>
    <t>INF109K01L77</t>
  </si>
  <si>
    <t>ICICI Prudential Interval Fund Quarterly Interval Plan 1 - Direct Plan - Dividend</t>
  </si>
  <si>
    <t>INF109K01LP4</t>
  </si>
  <si>
    <t>ICICI Prudential Interval Fund Quarterly Interval Plan 1 - Growth</t>
  </si>
  <si>
    <t>INF109K01LR0</t>
  </si>
  <si>
    <t>INF109K01LQ2</t>
  </si>
  <si>
    <t>ICICI Prudential Interval Fund Quarterly Interval Plan 1 -Dividend</t>
  </si>
  <si>
    <t>INF109K01N75</t>
  </si>
  <si>
    <t>ICICI Prudential Interval Fund Quarterly Interval Plan 1 Plan - Direct Plan - Quarterly Dividend Payout</t>
  </si>
  <si>
    <t>INF109K01MC0</t>
  </si>
  <si>
    <t>ICICI Prudential Interval Fund - Quarterly Interval Plan II - Retail Dividend</t>
  </si>
  <si>
    <t>INF109K01MB2</t>
  </si>
  <si>
    <t>ICICI Prudential Interval Fund - Quarterly Interval Plan II - Retail Growth</t>
  </si>
  <si>
    <t>INF109K01L85</t>
  </si>
  <si>
    <t>ICICI Prudential Interval Fund II Quarterly Interval - Direct Plan -  Growth</t>
  </si>
  <si>
    <t>INF109K01LZ3</t>
  </si>
  <si>
    <t>INF109K01LY6</t>
  </si>
  <si>
    <t>ICICI Prudential Interval Fund II Quarterly Interval - Dividend</t>
  </si>
  <si>
    <t>INF109K01LX8</t>
  </si>
  <si>
    <t>ICICI Prudential Interval Fund II Quarterly Interval - Growth</t>
  </si>
  <si>
    <t>INF109K01N91</t>
  </si>
  <si>
    <t>ICICI Prudential Interval Fund - Quarterly Interval Plan III - Direct Quarterly Dividend Payout</t>
  </si>
  <si>
    <t>INF109K01MK3</t>
  </si>
  <si>
    <t>ICICI Prudential Interval Fund - Quarterly Interval Plan III - Retail Dividend</t>
  </si>
  <si>
    <t>INF109K01MJ5</t>
  </si>
  <si>
    <t>ICICI Prudential Interval Fund - Quarterly Interval Plan III - Retail Growth</t>
  </si>
  <si>
    <t>INF109K01M19</t>
  </si>
  <si>
    <t>ICICI Prudential Interval Fund III Quarterly Interval - Direct Plan -  Dividend</t>
  </si>
  <si>
    <t>INF109K01M01</t>
  </si>
  <si>
    <t>ICICI Prudential Interval Fund III Quarterly Interval - Direct Plan -  Growth</t>
  </si>
  <si>
    <t>INF109K01MH9</t>
  </si>
  <si>
    <t>INF109K01MG1</t>
  </si>
  <si>
    <t>ICICI Prudential Interval Fund III Quarterly Interval - Dividend</t>
  </si>
  <si>
    <t>INF109K01MF3</t>
  </si>
  <si>
    <t>ICICI Prudential Interval Fund III Quarterly Interval - Growth</t>
  </si>
  <si>
    <t>INF109K015G2</t>
  </si>
  <si>
    <t>ICICI Prudential Interval Fund - Series VI - Annual Interval Plan - A - Cumulative</t>
  </si>
  <si>
    <t>INF109K013G7</t>
  </si>
  <si>
    <t>ICICI Prudential Interval Fund - Series VI - Annual Interval Plan - A - Direct Plan - Cumulative</t>
  </si>
  <si>
    <t>INF109K014G5</t>
  </si>
  <si>
    <t>ICICI Prudential Interval Fund - Series VI - Annual Interval Plan - A - Direct Plan - Dividend</t>
  </si>
  <si>
    <t>INF109K014Q4</t>
  </si>
  <si>
    <t>ICICI Prudential Interval Fund - Series VI - Annual Interval Plan - C - Cumulative</t>
  </si>
  <si>
    <t>INF109K016Q9</t>
  </si>
  <si>
    <t>ICICI Prudential Interval Fund - Series VI - Annual Interval Plan - C - Direct Plan - Cumulative</t>
  </si>
  <si>
    <t>INF109K018Q5</t>
  </si>
  <si>
    <t>ICICI Prudential Interval Fund - Series VI - Annual Interval Plan - D - Cumulative</t>
  </si>
  <si>
    <t>INF109K010R0</t>
  </si>
  <si>
    <t>ICICI Prudential Interval Fund - Series VI - Annual Interval Plan - D - Direct Plan - Cumulative</t>
  </si>
  <si>
    <t>INF109K011R8</t>
  </si>
  <si>
    <t>ICICI Prudential Interval Fund - Series VI - Annual Interval Plan - D - Direct Plan - Dividend</t>
  </si>
  <si>
    <t>INF109KA1NV1</t>
  </si>
  <si>
    <t>ICICI Prudential Interval Fund - Series VII - Annual Interval Plan - C - Cumulative</t>
  </si>
  <si>
    <t>INF109KA1NX7</t>
  </si>
  <si>
    <t>ICICI Prudential Interval Fund - Series VII - Annual Interval Plan - C - Direct Plan - Cumulative</t>
  </si>
  <si>
    <t>INF109KA1NW9</t>
  </si>
  <si>
    <t>ICICI Prudential Interval Fund - Series VII - Annual Interval Plan - C - Dividend</t>
  </si>
  <si>
    <t>INF109K01O17</t>
  </si>
  <si>
    <t>ICICI Prudential Interval Fund II - Quarterly Interval Plan A - Direct Plan - Quarterly Dividend Payout</t>
  </si>
  <si>
    <t>INF109K01MO5</t>
  </si>
  <si>
    <t>ICICI Prudential Interval Fund II - Quarterly Interval Plan A - Retail Dividend</t>
  </si>
  <si>
    <t>INF109K01MN7</t>
  </si>
  <si>
    <t>ICICI Prudential Interval Fund II - Quarterly Interval Plan A - Retail Growth</t>
  </si>
  <si>
    <t>INF109K01MU2</t>
  </si>
  <si>
    <t>ICICI Prudential Interval Fund II Quarterly Interval Plan A -  Quarterly Dividend Payout</t>
  </si>
  <si>
    <t>INF109K01M50</t>
  </si>
  <si>
    <t>ICICI Prudential Interval Fund II Quarterly Interval Plan A - Direct Plan -  Dividend</t>
  </si>
  <si>
    <t>INF109K01M43</t>
  </si>
  <si>
    <t>ICICI Prudential Interval Fund II Quarterly Interval Plan A - Direct Plan -  Growth</t>
  </si>
  <si>
    <t>INF109K01MT4</t>
  </si>
  <si>
    <t>INF109K01MS6</t>
  </si>
  <si>
    <t>ICICI Prudential Interval Fund II Quarterly Interval Plan A - Dividend</t>
  </si>
  <si>
    <t>INF109K01MR8</t>
  </si>
  <si>
    <t>ICICI Prudential Interval Fund II Quarterly Interval Plan A - Growth</t>
  </si>
  <si>
    <t>INF109K01MQ0</t>
  </si>
  <si>
    <t>ICICI Prudential Interval Fund II Quarterly Interval Plan A - Retail Quarterly Dividend Payout</t>
  </si>
  <si>
    <t>INF109K01MW8</t>
  </si>
  <si>
    <t>ICICI Prudential Interval Fund II - Quarterly Interval Plan B - Retail Dividend</t>
  </si>
  <si>
    <t>INF109K01MV0</t>
  </si>
  <si>
    <t>ICICI Prudential Interval Fund II - Quarterly Interval Plan B - Retail Growth</t>
  </si>
  <si>
    <t>INF109K01M76</t>
  </si>
  <si>
    <t>ICICI Prudential Interval Fund II Quarterly Interval Plan B - Direct Plan -  Dividend</t>
  </si>
  <si>
    <t>INF109K01M68</t>
  </si>
  <si>
    <t>ICICI Prudential Interval Fund II Quarterly Interval Plan B - Direct Plan -  Growth</t>
  </si>
  <si>
    <t>INF109K01NB0</t>
  </si>
  <si>
    <t>INF109K01NA2</t>
  </si>
  <si>
    <t>ICICI Prudential Interval Fund II Quarterly Interval Plan B - Dividend</t>
  </si>
  <si>
    <t>INF109K01MZ1</t>
  </si>
  <si>
    <t>ICICI Prudential Interval Fund II Quarterly Interval Plan B - Growth</t>
  </si>
  <si>
    <t>INF109K01NC8</t>
  </si>
  <si>
    <t>ICICI Prudential Interval Fund II Quarterly Interval Plan B - Quarterly Dividend Payout</t>
  </si>
  <si>
    <t>INF109K01NI5</t>
  </si>
  <si>
    <t>ICICI Prudential Interval Fund II - Quarterly Interval Plan C - Retail Dividend</t>
  </si>
  <si>
    <t>INF109K01NH7</t>
  </si>
  <si>
    <t>ICICI Prudential Interval Fund II - Quarterly Interval Plan C - Retail Growth</t>
  </si>
  <si>
    <t>INF109K01L51</t>
  </si>
  <si>
    <t>ICICI Prudential Interval Fund II Quarterly Interval Plan C - Direct Plan -  Dividend</t>
  </si>
  <si>
    <t>INF109K01L44</t>
  </si>
  <si>
    <t>ICICI Prudential Interval Fund II Quarterly Interval Plan C - Direct Plan -  Growth</t>
  </si>
  <si>
    <t>INF109K01N67</t>
  </si>
  <si>
    <t>ICICI Prudential Interval Fund II Quarterly Interval Plan C - Direct Plan -  Quarterly Dividend Payout</t>
  </si>
  <si>
    <t>INF109K01NF1</t>
  </si>
  <si>
    <t>INF109K01NE4</t>
  </si>
  <si>
    <t>ICICI Prudential Interval Fund II Quarterly Interval Plan C - Dividend</t>
  </si>
  <si>
    <t>INF109K01ND6</t>
  </si>
  <si>
    <t>ICICI Prudential Interval Fund II Quarterly Interval Plan C - Growth</t>
  </si>
  <si>
    <t>INF109K01NG9</t>
  </si>
  <si>
    <t>ICICI Prudential Interval Fund II Quarterly Interval Plan C- Institutional Quarterly Dividend Payout</t>
  </si>
  <si>
    <t>INF109K01NQ8</t>
  </si>
  <si>
    <t>ICICI Prudential Interval Fund II - Quarterly Interval Plan D - Retail Dividend</t>
  </si>
  <si>
    <t>INF109K01NP0</t>
  </si>
  <si>
    <t>ICICI Prudential Interval Fund II - Quarterly Interval Plan D - Retail Growth</t>
  </si>
  <si>
    <t>INF109K01M92</t>
  </si>
  <si>
    <t>ICICI Prudential Interval Fund II Quarterly Interval Plan D - Direct Plan -  Dividend</t>
  </si>
  <si>
    <t>INF109K01O33</t>
  </si>
  <si>
    <t>ICICI Prudential Interval Fund II Quarterly Interval Plan D - Direct Plan -  Quarterly Dividend Payout</t>
  </si>
  <si>
    <t>INF109K01M84</t>
  </si>
  <si>
    <t>ICICI Prudential Interval Fund II Quarterly Interval Plan D - Direct Plan - Growth</t>
  </si>
  <si>
    <t>INF109K01NN5</t>
  </si>
  <si>
    <t>INF109K01NM7</t>
  </si>
  <si>
    <t>ICICI Prudential Interval Fund II Quarterly Interval Plan D - Dividend</t>
  </si>
  <si>
    <t>INF109K01NL9</t>
  </si>
  <si>
    <t>ICICI Prudential Interval Fund II Quarterly Interval Plan D - Growth</t>
  </si>
  <si>
    <t>INF109K01NO3</t>
  </si>
  <si>
    <t>ICICI Prudential Interval Fund II Quarterly Interval Plan D - Quarterly Dividend Payout</t>
  </si>
  <si>
    <t>INF109K01NU0</t>
  </si>
  <si>
    <t>ICICI Prudential Interval Fund II - Quarterly Interval Plan F - Retail Dividend</t>
  </si>
  <si>
    <t>INF109K01NT2</t>
  </si>
  <si>
    <t>ICICI Prudential Interval Fund II - Quarterly Interval Plan F - Retail Growth</t>
  </si>
  <si>
    <t>INF109K01N18</t>
  </si>
  <si>
    <t>ICICI Prudential Interval Fund II Quarterly Interval Plan F - Direct Plan -  Dividend</t>
  </si>
  <si>
    <t>INF109K01N00</t>
  </si>
  <si>
    <t>ICICI Prudential Interval Fund II Quarterly Interval Plan F - Direct Plan -  Growth</t>
  </si>
  <si>
    <t>INF109K01O41</t>
  </si>
  <si>
    <t>ICICI Prudential Interval Fund II Quarterly Interval Plan F - Direct Plan -  Quarterly Dividend Payout</t>
  </si>
  <si>
    <t>INF109K01NZ9</t>
  </si>
  <si>
    <t>INF109K01NY2</t>
  </si>
  <si>
    <t>ICICI Prudential Interval Fund II Quarterly Interval Plan F - Dividend</t>
  </si>
  <si>
    <t>INF109K01NX4</t>
  </si>
  <si>
    <t>ICICI Prudential Interval Fund II Quarterly Interval Plan F - Growth</t>
  </si>
  <si>
    <t>INF109K01NW6</t>
  </si>
  <si>
    <t>ICICI Prudential Interval Fund II Quarterly Interval Plan F Retail Quarterly Dividend Payout</t>
  </si>
  <si>
    <t>INF109K01OG7</t>
  </si>
  <si>
    <t>ICICI Prudential Interval Fund IV - Quarterly Interval Plan B - Retail Dividend</t>
  </si>
  <si>
    <t>INF109K01OF9</t>
  </si>
  <si>
    <t>ICICI Prudential Interval Fund IV - Quarterly Interval Plan B - Retail Growth</t>
  </si>
  <si>
    <t>INF109K01N59</t>
  </si>
  <si>
    <t>ICICI Prudential Interval Fund IV Quarterly Interval Plan B - Direct Plan -  Dividend</t>
  </si>
  <si>
    <t>INF109K01N42</t>
  </si>
  <si>
    <t>ICICI Prudential Interval Fund IV Quarterly Interval Plan B - Direct Plan -  Growth</t>
  </si>
  <si>
    <t>INF109K01O58</t>
  </si>
  <si>
    <t>ICICI Prudential Interval Fund IV Quarterly Interval Plan B - Direct Plan -  Quarterly Dividend Payout</t>
  </si>
  <si>
    <t>INF109K01OB8</t>
  </si>
  <si>
    <t>ICICI Prudential Interval Fund IV Quarterly Interval Plan B - Growth</t>
  </si>
  <si>
    <t>INF109K01OD4</t>
  </si>
  <si>
    <t>INF109K01OE2</t>
  </si>
  <si>
    <t>ICICI Prudential Interval Fund IV Quarterly Interval Plan B -Dividend</t>
  </si>
  <si>
    <t>INF109K01ME6</t>
  </si>
  <si>
    <t>ICICI Prudential Interval Fund Quarterly Interval Plan - II Retail Quarterly Dividend Payout</t>
  </si>
  <si>
    <t>INF109K01OU8</t>
  </si>
  <si>
    <t>ICICI Prudential Interval Fund V - Monthly Interval Plan A - Retail Dividend</t>
  </si>
  <si>
    <t>INF109K01OS2</t>
  </si>
  <si>
    <t>ICICI Prudential Interval Fund V - Monthly Interval Plan A - Retail Growth</t>
  </si>
  <si>
    <t>INF109K01N34</t>
  </si>
  <si>
    <t>ICICI Prudential Interval Fund V Monthly Interval Plan A - Direct Plan -  Dividend</t>
  </si>
  <si>
    <t>INF109K01N26</t>
  </si>
  <si>
    <t>ICICI Prudential Interval Fund V Monthly Interval Plan A - Direct Plan - Growth</t>
  </si>
  <si>
    <t>INF109K01OR4</t>
  </si>
  <si>
    <t>INF109K01OQ6</t>
  </si>
  <si>
    <t>ICICI Prudential Interval Fund V Monthly Interval Plan A - Dividend</t>
  </si>
  <si>
    <t>INF109K01OP8</t>
  </si>
  <si>
    <t>ICICI Prudential Interval Fund V Monthly Interval Plan A - Growth</t>
  </si>
  <si>
    <t>INF109K01T79</t>
  </si>
  <si>
    <t>INF109K01T87</t>
  </si>
  <si>
    <t>ICICI Prudential MIP - Direct Plan -  Dividend Half Yearly</t>
  </si>
  <si>
    <t>INF109K01T95</t>
  </si>
  <si>
    <t>INF109K01U01</t>
  </si>
  <si>
    <t>ICICI Prudential MIP - Direct Plan -  Dividend Monthly</t>
  </si>
  <si>
    <t>INF109K01U19</t>
  </si>
  <si>
    <t>INF109K01U27</t>
  </si>
  <si>
    <t>ICICI Prudential MIP - Direct Plan -  Dividend Quarterly</t>
  </si>
  <si>
    <t>INF109K01U35</t>
  </si>
  <si>
    <t>ICICI Prudential MIP - Direct Plan -  Growth</t>
  </si>
  <si>
    <t>INF109KA1H44</t>
  </si>
  <si>
    <t>ICICI Prudential MIP - Direct Plan Bonus</t>
  </si>
  <si>
    <t>INF109K01FG5</t>
  </si>
  <si>
    <t>INF109K01548</t>
  </si>
  <si>
    <t>ICICI Prudential MIP - Dividend Half Yearly</t>
  </si>
  <si>
    <t>INF109K01FH3</t>
  </si>
  <si>
    <t>INF109K01522</t>
  </si>
  <si>
    <t>ICICI Prudential MIP - Dividend Monthly</t>
  </si>
  <si>
    <t>INF109K01FI1</t>
  </si>
  <si>
    <t>INF109K01530</t>
  </si>
  <si>
    <t>ICICI Prudential MIP - Dividend Quarterly</t>
  </si>
  <si>
    <t>INF109K01555</t>
  </si>
  <si>
    <t>ICICI Prudential MIP - Growth</t>
  </si>
  <si>
    <t>INF204KA1AI9</t>
  </si>
  <si>
    <t>Reliance Interval Fund - II - Series 1 -Direct Plan -Growth Option</t>
  </si>
  <si>
    <t>INF204KA1AJ7</t>
  </si>
  <si>
    <t>INF204KA1AK5</t>
  </si>
  <si>
    <t>Reliance Interval Fund - II - Series 1 -Dividend Option</t>
  </si>
  <si>
    <t>INF204KA1AL3</t>
  </si>
  <si>
    <t>Reliance Interval Fund - II - Series 1 -Growth Plan</t>
  </si>
  <si>
    <t>INF204KA1AM1</t>
  </si>
  <si>
    <t>INF204KA1AN9</t>
  </si>
  <si>
    <t>Reliance Interval Fund - II - Series 2 - Direct Plan - Dividend Plan - Dividend Option</t>
  </si>
  <si>
    <t>INF204KA1AO7</t>
  </si>
  <si>
    <t>Reliance Interval Fund - II - Series 2 - Direct Plan - Growth Plan - Growth Option</t>
  </si>
  <si>
    <t>INF204KA1AP4</t>
  </si>
  <si>
    <t>INF204KA1AQ2</t>
  </si>
  <si>
    <t>Reliance Interval Fund - II - Series 2 - Dividend Plan - Dividend Option</t>
  </si>
  <si>
    <t>INF204KA1AR0</t>
  </si>
  <si>
    <t>Reliance Interval Fund - II - Series 2 - Growth Plan - Growth Option</t>
  </si>
  <si>
    <t>INF204KA1AS8</t>
  </si>
  <si>
    <t>INF204KA1AT6</t>
  </si>
  <si>
    <t>Reliance Interval Fund - II - Series 3 - Direct Plan - Dividend Plan - Dividend Option</t>
  </si>
  <si>
    <t>INF204KA1AU4</t>
  </si>
  <si>
    <t>Reliance Interval Fund - II - Series 3 - Direct Plan - Growth Plan - Growth Option</t>
  </si>
  <si>
    <t>INF204KA1AV2</t>
  </si>
  <si>
    <t>INF204KA1AW0</t>
  </si>
  <si>
    <t>Reliance Interval Fund - II - Series 3 - Dividend Plan - Dividend Option</t>
  </si>
  <si>
    <t>INF204KA1AX8</t>
  </si>
  <si>
    <t>Reliance Interval Fund - II - Series 3 - Growth Plan - Growth Option</t>
  </si>
  <si>
    <t>INF204KA1BA4</t>
  </si>
  <si>
    <t>Reliance Interval Fund - II - Series 4-Direct Plan-Growth Plan -Growth Option</t>
  </si>
  <si>
    <t>INF204KA1BB2</t>
  </si>
  <si>
    <t>INF204KA1BC0</t>
  </si>
  <si>
    <t>Reliance Interval Fund - II - Series 4-Dividend Plan -Dividend Option</t>
  </si>
  <si>
    <t>INF204KA1BD8</t>
  </si>
  <si>
    <t>Reliance Interval Fund - II - Series 4-Growth Plan-Growth Option</t>
  </si>
  <si>
    <t>INF204K01T57</t>
  </si>
  <si>
    <t>Reliance Yearly Interval Fund - Series 5 - Direct Plan - Growth Plan - Growth Option</t>
  </si>
  <si>
    <t>INF204K01T24</t>
  </si>
  <si>
    <t>Reliance Yearly Interval Fund - Series 5 - Growth Plan - Growth Option</t>
  </si>
  <si>
    <t>INF204K01V46</t>
  </si>
  <si>
    <t>INF204K01V53</t>
  </si>
  <si>
    <t>Reliance Yearly Interval Fund - Series 8 - Direct Plan - Dividend Plan - Dividend Option</t>
  </si>
  <si>
    <t>INF204K01V38</t>
  </si>
  <si>
    <t>Reliance Yearly Interval Fund - Series 8 - Direct Plan - Growth Plan - Growth Option</t>
  </si>
  <si>
    <t>INF204K01V12</t>
  </si>
  <si>
    <t>INF204K01V20</t>
  </si>
  <si>
    <t>Reliance Yearly Interval Fund - Series 8 - Dividend Plan - Dividend Option</t>
  </si>
  <si>
    <t>INF204K01V04</t>
  </si>
  <si>
    <t>Reliance Yearly Interval Fund - Series 8 - Growth Plan - Growth Option</t>
  </si>
  <si>
    <t>INF204K01V95</t>
  </si>
  <si>
    <t>Reliance Yearly Interval Fund - Series 9 - Direct Plan - Growth Plan - Growth Option</t>
  </si>
  <si>
    <t>INF204K01V79</t>
  </si>
  <si>
    <t>INF204K01V87</t>
  </si>
  <si>
    <t>Reliance Yearly Interval Fund - Series 9 - Dividend Plan - Dividend Option</t>
  </si>
  <si>
    <t>INF204K01V61</t>
  </si>
  <si>
    <t>Reliance Yearly Interval Fund - Series 9 - Growth Plan - Growth Option</t>
  </si>
  <si>
    <t>Taurus Investor Education Pool - Unclaimed Dividend - Growth</t>
  </si>
  <si>
    <t>Taurus Investor Education Pool - Unclaimed Redemption - Growth</t>
  </si>
  <si>
    <t>Taurus Unclaimed Redemption - Growth</t>
  </si>
  <si>
    <t>INF084M01085</t>
  </si>
  <si>
    <t>INF084M01093</t>
  </si>
  <si>
    <t>Aditya Birla Sun Life Aggressive Hybrid Omni FOF-  Regular -  IDCW</t>
  </si>
  <si>
    <t>INF084M01EU0</t>
  </si>
  <si>
    <t>INF084M01EV8</t>
  </si>
  <si>
    <t>Aditya Birla Sun Life Aggressive Hybrid Omni FOF- Direct - IDCW</t>
  </si>
  <si>
    <t>INF084M01ET2</t>
  </si>
  <si>
    <t>Aditya Birla Sun Life Aggressive Hybrid Omni FOF- Direct Plan - Growth Option</t>
  </si>
  <si>
    <t>INF084M01077</t>
  </si>
  <si>
    <t>Aditya Birla Sun Life Aggressive Hybrid Omni FOF- Regular Plan - Growth Option</t>
  </si>
  <si>
    <t>INF084M01051</t>
  </si>
  <si>
    <t>INF084M01069</t>
  </si>
  <si>
    <t>Aditya Birla Sun Life Conservative Hybrid Active FOF -Regular - IDCW</t>
  </si>
  <si>
    <t>INF084M01EQ8</t>
  </si>
  <si>
    <t>Aditya Birla Sun Life Conservative Hybrid Active FOF- Direct Plan - Growth Option</t>
  </si>
  <si>
    <t>INF084M01044</t>
  </si>
  <si>
    <t>Aditya Birla Sun Life Conservative Hybrid Active FOF- Regular Plan - Growth Option</t>
  </si>
  <si>
    <t>INF084M01ER6</t>
  </si>
  <si>
    <t>INF084M01ES4</t>
  </si>
  <si>
    <t>Aditya Birla Sun Life Conservative Hybrid Active FOF-Direct - IDCW</t>
  </si>
  <si>
    <t>INF084M01EX4</t>
  </si>
  <si>
    <t>INF084M01EY2</t>
  </si>
  <si>
    <t>Aditya Birla Sun Life Dynamic Asset Allocation Omni FOF- Direct - IDCW</t>
  </si>
  <si>
    <t>INF084M01EW6</t>
  </si>
  <si>
    <t>Aditya Birla Sun Life Dynamic Asset Allocation Omni FOF- Direct Plan - Growth Option</t>
  </si>
  <si>
    <t>INF084M01101</t>
  </si>
  <si>
    <t>Aditya Birla Sun Life Dynamic Asset Allocation Omni FOF- Regular Plan - Growth Option</t>
  </si>
  <si>
    <t>INF084M01119</t>
  </si>
  <si>
    <t>INF084M01127</t>
  </si>
  <si>
    <t>Aditya Birla Sun Life Dynamic Asset Allocation Omni FOF-Regular - IDCW</t>
  </si>
  <si>
    <t>INF209K01YU5</t>
  </si>
  <si>
    <t>Aditya Birla Sun Life Gold Fund - Growth - Direct Plan</t>
  </si>
  <si>
    <t>INF209K01YT7</t>
  </si>
  <si>
    <t>Aditya Birla Sun Life Gold Fund-DIRECT - IDCW</t>
  </si>
  <si>
    <t>INF209K01PF4</t>
  </si>
  <si>
    <t>Aditya Birla Sun Life Gold Fund-Growth</t>
  </si>
  <si>
    <t>INF209K01PG2</t>
  </si>
  <si>
    <t>INF209K01PH0</t>
  </si>
  <si>
    <t>Aditya Birla Sun Life Gold Fund-REGULAR - IDCW</t>
  </si>
  <si>
    <t>INF084M01DQ0</t>
  </si>
  <si>
    <t>INF084M01DR8</t>
  </si>
  <si>
    <t>Aditya Birla Sun Life Income Plus Arbitrage Active FOF- DIRECT - IDCW</t>
  </si>
  <si>
    <t>INF084M01DP2</t>
  </si>
  <si>
    <t>Aditya Birla Sun Life Income Plus Arbitrage Active FOF- Direct Plan - Growth Option</t>
  </si>
  <si>
    <t>INF084M01AI3</t>
  </si>
  <si>
    <t>INF084M01AJ1</t>
  </si>
  <si>
    <t>Aditya Birla Sun Life Income Plus Arbitrage Active FOF- REGULAR - IDCW</t>
  </si>
  <si>
    <t>INF084M01AH5</t>
  </si>
  <si>
    <t>Aditya Birla Sun Life Income Plus Arbitrage Active FOF- Regular Plan - Growth Option</t>
  </si>
  <si>
    <t>INF084M01DM9</t>
  </si>
  <si>
    <t>Aditya Birla Sun Life Multi Asset Omni FoF- Direct Plan - Growth Option</t>
  </si>
  <si>
    <t>INF084M01AE2</t>
  </si>
  <si>
    <t>Aditya Birla Sun Life Multi Asset Omni FoF- Regular Plan - Growth Option</t>
  </si>
  <si>
    <t>INF084M01DN7</t>
  </si>
  <si>
    <t>INF084M01DO5</t>
  </si>
  <si>
    <t>Aditya Birla Sun Life Multi Asset Omni FOF-DIRECT - IDCW</t>
  </si>
  <si>
    <t>INF084M01AF9</t>
  </si>
  <si>
    <t>INF084M01AG7</t>
  </si>
  <si>
    <t>Aditya Birla Sun Life Multi Asset Omni FoF-REGULAR - IDCW</t>
  </si>
  <si>
    <t>INF209KB15M0</t>
  </si>
  <si>
    <t>Aditya Birla Sun Life Multi-Asset Passive FOF-Direct Growth</t>
  </si>
  <si>
    <t>INF209KB16M8</t>
  </si>
  <si>
    <t>INF209KB17M6</t>
  </si>
  <si>
    <t>Aditya Birla Sun Life Multi-Asset Passive FOF-Direct IDCW</t>
  </si>
  <si>
    <t>INF209KB12M7</t>
  </si>
  <si>
    <t>Aditya Birla Sun Life Multi-Asset Passive FOF-Regular Growth</t>
  </si>
  <si>
    <t>INF209KB13M5</t>
  </si>
  <si>
    <t>INF209KB14M3</t>
  </si>
  <si>
    <t>Aditya Birla Sun Life Multi-Asset Passive FOF-Regular IDCW</t>
  </si>
  <si>
    <t>INF209KB16F2</t>
  </si>
  <si>
    <t>Aditya Birla Sun Life Silver ETF FOF-Direct Growth</t>
  </si>
  <si>
    <t>INF209KB17F0</t>
  </si>
  <si>
    <t>INF209KB18F8</t>
  </si>
  <si>
    <t>Aditya Birla Sun Life Silver ETF FOF-Direct IDCW</t>
  </si>
  <si>
    <t>INF209KB13F9</t>
  </si>
  <si>
    <t>Aditya Birla Sun Life Silver ETF FOF-Regular Growth</t>
  </si>
  <si>
    <t>INF209KB14F7</t>
  </si>
  <si>
    <t>INF209KB15F4</t>
  </si>
  <si>
    <t>Aditya Birla Sun Life Silver ETF FOF-Regular IDCW</t>
  </si>
  <si>
    <t>INF1J2R01106</t>
  </si>
  <si>
    <t>ANGEL ONE GOLD ETF FOF - REGULAR GROWTH</t>
  </si>
  <si>
    <t>INF1J2R01098</t>
  </si>
  <si>
    <t>ANGEL ONE GOLD ETF FOF- DIRECT GROWTH</t>
  </si>
  <si>
    <t>INF1J2R01155</t>
  </si>
  <si>
    <t>ANGEL ONE SILVER ETF FOF -DIRECT GROWTH</t>
  </si>
  <si>
    <t>INF1J2R01163</t>
  </si>
  <si>
    <t>ANGEL ONE SILVER ETF FOF -REGULAR GROWTH</t>
  </si>
  <si>
    <t>INF846KA1408</t>
  </si>
  <si>
    <t>Axis Gold and Silver Passive FOF - Direct Plan - Growth</t>
  </si>
  <si>
    <t>INF846KA1390</t>
  </si>
  <si>
    <t>Axis Gold and Silver Passive FOF - Regular Plan - Growth</t>
  </si>
  <si>
    <t>INF846K01DS2</t>
  </si>
  <si>
    <t>Axis Gold Fund - Direct Plan - Growth option</t>
  </si>
  <si>
    <t>INF846K01DQ6</t>
  </si>
  <si>
    <t>INF846K01DR4</t>
  </si>
  <si>
    <t>Axis Gold Fund - Direct Plan - IDCW</t>
  </si>
  <si>
    <t>INF846K01AL3</t>
  </si>
  <si>
    <t>Axis Gold Fund - Regular Plan - Growth Option</t>
  </si>
  <si>
    <t>INF846K01AM1</t>
  </si>
  <si>
    <t>INF846K01AN9</t>
  </si>
  <si>
    <t>Axis Gold Fund - Regular Plan - IDCW</t>
  </si>
  <si>
    <t>INF846K01U25</t>
  </si>
  <si>
    <t>INF846K01U17</t>
  </si>
  <si>
    <t>Axis Income Plus Arbitrage Active FOF - Direct Plan - Annual IDCW</t>
  </si>
  <si>
    <t>INF846K01U09</t>
  </si>
  <si>
    <t>Axis Income Plus Arbitrage Active FOF - Direct Plan - Growth Option</t>
  </si>
  <si>
    <t>INF846K01U74</t>
  </si>
  <si>
    <t>INF846K01U82</t>
  </si>
  <si>
    <t>Axis Income Plus Arbitrage Active FOF - Direct Plan - Half Yearly Dividend Option</t>
  </si>
  <si>
    <t>INF846K01U90</t>
  </si>
  <si>
    <t>INF846K01V08</t>
  </si>
  <si>
    <t>Axis Income Plus Arbitrage Active FOF - Direct Plan - IDCW</t>
  </si>
  <si>
    <t>INF846K01U41</t>
  </si>
  <si>
    <t>INF846K01U33</t>
  </si>
  <si>
    <t>Axis Income Plus Arbitrage Active FOF - Direct Plan - Monthly IDCW</t>
  </si>
  <si>
    <t>INF846K01U66</t>
  </si>
  <si>
    <t>INF846K01U58</t>
  </si>
  <si>
    <t>Axis Income Plus Arbitrage Active FOF - Direct Plan - Quarterly IDCW</t>
  </si>
  <si>
    <t>INF846K01V32</t>
  </si>
  <si>
    <t>INF846K01V24</t>
  </si>
  <si>
    <t>Axis Income Plus Arbitrage Active FOF - Regular Plan - Annual IDCW</t>
  </si>
  <si>
    <t>INF846K01V16</t>
  </si>
  <si>
    <t>Axis Income Plus Arbitrage Active FOF - Regular Plan - Growth Option</t>
  </si>
  <si>
    <t>INF846K01V81</t>
  </si>
  <si>
    <t>INF846K01V99</t>
  </si>
  <si>
    <t>Axis Income Plus Arbitrage Active FOF - Regular Plan - Half Yearly IDCW</t>
  </si>
  <si>
    <t>INF846K01W07</t>
  </si>
  <si>
    <t>INF846K01W15</t>
  </si>
  <si>
    <t>Axis Income Plus Arbitrage Active FOF - Regular Plan - IDCW</t>
  </si>
  <si>
    <t>INF846K01V57</t>
  </si>
  <si>
    <t>INF846K01V40</t>
  </si>
  <si>
    <t>Axis Income Plus Arbitrage Active FOF - Regular Plan - Monthly IDCW</t>
  </si>
  <si>
    <t>INF846K01V73</t>
  </si>
  <si>
    <t>INF846K01V65</t>
  </si>
  <si>
    <t>Axis Income Plus Arbitrage Active FOF - Regular Plan - Quarterly IDCW</t>
  </si>
  <si>
    <t>INF846KA1283</t>
  </si>
  <si>
    <t>Axis Income Plus Arbitrage Passive FOF - Direct Plan - Growth Option</t>
  </si>
  <si>
    <t>INF846KA1309</t>
  </si>
  <si>
    <t>INF846KA1325</t>
  </si>
  <si>
    <t>Axis Income Plus Arbitrage Passive FOF - Direct Plan - IDCW Option</t>
  </si>
  <si>
    <t>INF846KA1275</t>
  </si>
  <si>
    <t>Axis Income Plus Arbitrage Passive FOF - Regular Plan - Growth Option</t>
  </si>
  <si>
    <t>INF846KA1291</t>
  </si>
  <si>
    <t>INF846KA1317</t>
  </si>
  <si>
    <t>Axis Income Plus Arbitrage Passive FOF - Regular Plan - IDCW Option</t>
  </si>
  <si>
    <t>INF846K011G9</t>
  </si>
  <si>
    <t>Axis Multi Factor Passive FoF - Direct Plan - Growth Option</t>
  </si>
  <si>
    <t>INF846K012G7</t>
  </si>
  <si>
    <t>INF846K013G5</t>
  </si>
  <si>
    <t>Axis Multi Factor Passive FoF - Direct Plan - IDCW</t>
  </si>
  <si>
    <t>INF846K014G3</t>
  </si>
  <si>
    <t>Axis Multi Factor Passive FoF - Regular Plan - Growth Option</t>
  </si>
  <si>
    <t>INF846K015G0</t>
  </si>
  <si>
    <t>INF846K016G8</t>
  </si>
  <si>
    <t>Axis Multi Factor Passive FoF - Regular Plan - IDCW</t>
  </si>
  <si>
    <t>INF846KA1366</t>
  </si>
  <si>
    <t>Axis Multi-Asset Active FoF - Direct Plan - Growth</t>
  </si>
  <si>
    <t>INF846KA1374</t>
  </si>
  <si>
    <t>INF846KA1382</t>
  </si>
  <si>
    <t>Axis Multi-Asset Active FoF - Direct Plan - IDCW</t>
  </si>
  <si>
    <t>INF846KA1333</t>
  </si>
  <si>
    <t>Axis Multi-Asset Active FoF - Regular Plan - Growth</t>
  </si>
  <si>
    <t>INF846KA1341</t>
  </si>
  <si>
    <t>INF846KA1358</t>
  </si>
  <si>
    <t>Axis Multi-Asset Active FoF - Regular Plan - IDCW</t>
  </si>
  <si>
    <t>INF846K019J6</t>
  </si>
  <si>
    <t>INF846K010K3</t>
  </si>
  <si>
    <t>Axis Silver Fund of Fund - Regular Plan - IDCW Option</t>
  </si>
  <si>
    <t>INF846K018J8</t>
  </si>
  <si>
    <t>Axis Silver Fund of Fund -Regular Plan- Growth Option</t>
  </si>
  <si>
    <t>INF846K016J2</t>
  </si>
  <si>
    <t>INF846K017J0</t>
  </si>
  <si>
    <t>Axis Silver Fund of Fund- Direct Plan - IDCW Option</t>
  </si>
  <si>
    <t>INF846K015J4</t>
  </si>
  <si>
    <t>Axis Silver Fund of Fund- Direct Plan-Growth Option</t>
  </si>
  <si>
    <t>INF194K012B6</t>
  </si>
  <si>
    <t>Bandhan Aggressive Hybrid Passive FOF - Direct Plan - Growth</t>
  </si>
  <si>
    <t>INF194K013B4</t>
  </si>
  <si>
    <t>INF194K014B2</t>
  </si>
  <si>
    <t>Bandhan Aggressive Hybrid Passive FOF - Direct Plan - IDCW</t>
  </si>
  <si>
    <t>INF194K01953</t>
  </si>
  <si>
    <t>Bandhan Aggressive Hybrid Passive FOF - Regular Plan - Growth</t>
  </si>
  <si>
    <t>INF194K01961</t>
  </si>
  <si>
    <t>INF194K01979</t>
  </si>
  <si>
    <t>Bandhan Aggressive Hybrid Passive FOF - Regular Plan - IDCW</t>
  </si>
  <si>
    <t>INF194K016A9</t>
  </si>
  <si>
    <t>Bandhan Conservative Hybrid Passive FOF - Direct Plan - Growth</t>
  </si>
  <si>
    <t>INF194K017A7</t>
  </si>
  <si>
    <t>INF194K018A5</t>
  </si>
  <si>
    <t>Bandhan Conservative Hybrid Passive FOF - Direct Plan - IDCW</t>
  </si>
  <si>
    <t>INF194K01987</t>
  </si>
  <si>
    <t>Bandhan Conservative Hybrid Passive FOF - Regular Plan - Growth</t>
  </si>
  <si>
    <t>INF194K01995</t>
  </si>
  <si>
    <t>INF194K01AA1</t>
  </si>
  <si>
    <t>Bandhan Conservative Hybrid Passive FOF - Regular Plan - IDCW</t>
  </si>
  <si>
    <t>INF194KB1KL3</t>
  </si>
  <si>
    <t>Bandhan Gold ETF FOF-Direct-Growth</t>
  </si>
  <si>
    <t>INF194KB1KK5</t>
  </si>
  <si>
    <t>Bandhan Gold ETF FOF-Regular-Growth</t>
  </si>
  <si>
    <t>INF194K01U98</t>
  </si>
  <si>
    <t>INF194K01U80</t>
  </si>
  <si>
    <t>Bandhan Income Plus Arbitrage Active FOF - Direct Plan - Annual IDCW</t>
  </si>
  <si>
    <t>INF194K01V63</t>
  </si>
  <si>
    <t>Bandhan Income Plus Arbitrage Active FOF - Direct Plan - Daily IDCW</t>
  </si>
  <si>
    <t>INF194K01V55</t>
  </si>
  <si>
    <t>INF194K01V48</t>
  </si>
  <si>
    <t>Bandhan Income Plus Arbitrage Active FOF - Direct Plan - Fortnightly IDCW</t>
  </si>
  <si>
    <t>INF194K01U72</t>
  </si>
  <si>
    <t>Bandhan Income Plus Arbitrage Active FOF - Direct Plan - Growth</t>
  </si>
  <si>
    <t>INF194K01V14</t>
  </si>
  <si>
    <t>INF194K01V06</t>
  </si>
  <si>
    <t>Bandhan Income Plus Arbitrage Active FOF - Direct Plan - Half Yearly IDCW</t>
  </si>
  <si>
    <t>INF194KA1TV4</t>
  </si>
  <si>
    <t>INF194KA1TW2</t>
  </si>
  <si>
    <t>Bandhan Income Plus Arbitrage Active FOF - Direct Plan - Periodic IDCW</t>
  </si>
  <si>
    <t>INF194K01V30</t>
  </si>
  <si>
    <t>INF194K01V22</t>
  </si>
  <si>
    <t>Bandhan Income Plus Arbitrage Active FOF - Direct Plan - Quarterly IDCW</t>
  </si>
  <si>
    <t>INF194K01V71</t>
  </si>
  <si>
    <t>Bandhan Income Plus Arbitrage Active FOF - Direct Plan - Weekly IDCW</t>
  </si>
  <si>
    <t>INF194K01SG0</t>
  </si>
  <si>
    <t>INF194K01SF2</t>
  </si>
  <si>
    <t>Bandhan Income Plus Arbitrage Active FOF - Regular Plan - Annual IDCW</t>
  </si>
  <si>
    <t>INF194K01F55</t>
  </si>
  <si>
    <t>Bandhan Income Plus Arbitrage Active FOF - Regular Plan - Daily IDCW</t>
  </si>
  <si>
    <t>INF194K01SM8</t>
  </si>
  <si>
    <t>INF194K01SL0</t>
  </si>
  <si>
    <t>Bandhan Income Plus Arbitrage Active FOF - Regular Plan - Fortnightly IDCW</t>
  </si>
  <si>
    <t>INF194K01SE5</t>
  </si>
  <si>
    <t>Bandhan Income Plus Arbitrage Active FOF - Regular Plan - Growth</t>
  </si>
  <si>
    <t>INF194K01SI6</t>
  </si>
  <si>
    <t>INF194K01SH8</t>
  </si>
  <si>
    <t>Bandhan Income Plus Arbitrage Active FOF - Regular Plan - Half Yearly IDCW</t>
  </si>
  <si>
    <t>INF194KA1TS0</t>
  </si>
  <si>
    <t>INF194KA1TT8</t>
  </si>
  <si>
    <t>Bandhan Income Plus Arbitrage Active FOF - Regular Plan - Periodic IDCW</t>
  </si>
  <si>
    <t>INF194K01SK2</t>
  </si>
  <si>
    <t>INF194K01SJ4</t>
  </si>
  <si>
    <t>Bandhan Income Plus Arbitrage Active FOF - Regular Plan - Quarterly IDCW</t>
  </si>
  <si>
    <t>INF194K01F63</t>
  </si>
  <si>
    <t>Bandhan Income Plus Arbitrage Active FOF - Regular Plan - Weekly IDCW</t>
  </si>
  <si>
    <t>INF194K019A3</t>
  </si>
  <si>
    <t>Bandhan Multi-Asset Passive FOF - Direct Plan - Growth</t>
  </si>
  <si>
    <t>INF194K010B0</t>
  </si>
  <si>
    <t>INF194K011B8</t>
  </si>
  <si>
    <t>Bandhan Multi-Asset Passive FOF - Direct Plan - IDCW</t>
  </si>
  <si>
    <t>INF194K01AB9</t>
  </si>
  <si>
    <t>Bandhan Multi-Asset Passive FOF - Regular Plan - Growth</t>
  </si>
  <si>
    <t>INF194K01AC7</t>
  </si>
  <si>
    <t>INF194K01AD5</t>
  </si>
  <si>
    <t>Bandhan Multi-Asset Passive FOF - Regular Plan - IDCW</t>
  </si>
  <si>
    <t>INF194KB1KN9</t>
  </si>
  <si>
    <t>Bandhan Silver ETF FOF-Direct-Growth</t>
  </si>
  <si>
    <t>INF194KB1KM1</t>
  </si>
  <si>
    <t>Bandhan Silver ETF FOF-Regular-Growth</t>
  </si>
  <si>
    <t>INF251K01VF4</t>
  </si>
  <si>
    <t>Baroda BNP Paribas Gold ETF Fund of Funds Direct Growth</t>
  </si>
  <si>
    <t>INF251K01VE7</t>
  </si>
  <si>
    <t>Baroda BNP Paribas Gold ETF Fund of Funds Regular Growth</t>
  </si>
  <si>
    <t>INF251K01UT7</t>
  </si>
  <si>
    <t>Baroda BNP Paribas Income Plus Arbitrage Active FOF Direct Growth</t>
  </si>
  <si>
    <t>INF251K01UU5</t>
  </si>
  <si>
    <t>INF251K01UV3</t>
  </si>
  <si>
    <t>Baroda BNP Paribas Income Plus Arbitrage Active FOF Direct IDCW Payout</t>
  </si>
  <si>
    <t>INF251K01UR1</t>
  </si>
  <si>
    <t>Baroda BNP Paribas Income Plus Arbitrage Active FOF Regular Growth</t>
  </si>
  <si>
    <t>INF251K01UX9</t>
  </si>
  <si>
    <t>INF251K01US9</t>
  </si>
  <si>
    <t>Baroda BNP Paribas Income Plus Arbitrage Active FOF Regular IDCW Payout</t>
  </si>
  <si>
    <t>INF251K01UO8</t>
  </si>
  <si>
    <t>Baroda BNP Paribas Multi Asset Active FOF Direct Growth</t>
  </si>
  <si>
    <t>INF251K01UP5</t>
  </si>
  <si>
    <t>INF251K01UQ3</t>
  </si>
  <si>
    <t>Baroda BNP Paribas Multi Asset Active FOF Direct IDCW Payout</t>
  </si>
  <si>
    <t>INF251K01UM2</t>
  </si>
  <si>
    <t>Baroda BNP Paribas Multi Asset Active FOF Regular Growth</t>
  </si>
  <si>
    <t>INF251K01UN0</t>
  </si>
  <si>
    <t>INF251K01UW1</t>
  </si>
  <si>
    <t>Baroda BNP Paribas Multi Asset Active FOF Regular ICDW Payout</t>
  </si>
  <si>
    <t>INF740KA1TK6</t>
  </si>
  <si>
    <t>DSP Gold ETF Fund of Fund - Direct - Growth</t>
  </si>
  <si>
    <t>INF740KA1TL4</t>
  </si>
  <si>
    <t>INF740KA1TM2</t>
  </si>
  <si>
    <t>DSP Gold ETF Fund of Fund - Direct - IDCW</t>
  </si>
  <si>
    <t>INF740KA1TH2</t>
  </si>
  <si>
    <t>DSP Gold ETF Fund of Fund - Regular - Growth</t>
  </si>
  <si>
    <t>INF740KA1TI0</t>
  </si>
  <si>
    <t>INF740KA1TJ8</t>
  </si>
  <si>
    <t>DSP Gold ETF Fund of Fund - Regular - IDCW</t>
  </si>
  <si>
    <t>INF740K01Z50</t>
  </si>
  <si>
    <t>DSP Income Plus Arbitrage Omni FoF - Direct Plan - Growth</t>
  </si>
  <si>
    <t>INF740K01Z68</t>
  </si>
  <si>
    <t>INF740K01Z76</t>
  </si>
  <si>
    <t>DSP Income Plus Arbitrage Omni FoF - Direct Plan - IDCW</t>
  </si>
  <si>
    <t>INF740K01Z27</t>
  </si>
  <si>
    <t>DSP Income Plus Arbitrage Omni FoF - Regular Plan - Growth</t>
  </si>
  <si>
    <t>INF740K01Z35</t>
  </si>
  <si>
    <t>INF740K01Z43</t>
  </si>
  <si>
    <t>DSP Income Plus Arbitrage Omni FoF - Regular Plan - IDCW</t>
  </si>
  <si>
    <t>INF740KA1YE9</t>
  </si>
  <si>
    <t>DSP Multi Asset Omni Fund of Funds - Direct - Growth</t>
  </si>
  <si>
    <t>INF740KA1YF6</t>
  </si>
  <si>
    <t>INF740KA1YG4</t>
  </si>
  <si>
    <t>DSP Multi Asset Omni Fund of Funds - Direct - IDCW</t>
  </si>
  <si>
    <t>INF740KA1YB5</t>
  </si>
  <si>
    <t>DSP Multi Asset Omni Fund of Funds - Regular - Growth</t>
  </si>
  <si>
    <t>INF740KA1YC3</t>
  </si>
  <si>
    <t>INF740KA1YD1</t>
  </si>
  <si>
    <t>DSP Multi Asset Omni Fund of Funds - Regular - IDCW</t>
  </si>
  <si>
    <t>INF740KA1VZ0</t>
  </si>
  <si>
    <t>DSP Silver ETF Fund of Fund - Direct - Growth</t>
  </si>
  <si>
    <t>INF740KA1WA1</t>
  </si>
  <si>
    <t>INF740KA1WB9</t>
  </si>
  <si>
    <t>DSP Silver ETF Fund of Fund - Direct - IDCW</t>
  </si>
  <si>
    <t>INF740KA1VW7</t>
  </si>
  <si>
    <t>DSP Silver ETF Fund of Fund - Regular - Growth</t>
  </si>
  <si>
    <t>INF740KA1VX5</t>
  </si>
  <si>
    <t>INF740KA1VY3</t>
  </si>
  <si>
    <t>DSP Silver ETF Fund of Fund - Regular - IDCW</t>
  </si>
  <si>
    <t>INF754K01NY5</t>
  </si>
  <si>
    <t>BHARAT Bond ETF FOF - April 2032 Direct Growth</t>
  </si>
  <si>
    <t>INF754K01NZ2</t>
  </si>
  <si>
    <t>INF754K01OA3</t>
  </si>
  <si>
    <t>BHARAT Bond ETF FOF - April 2032 Direct Plan Dividend</t>
  </si>
  <si>
    <t>INF754K01NW9</t>
  </si>
  <si>
    <t>INF754K01NX7</t>
  </si>
  <si>
    <t>BHARAT Bond ETF FOF - April 2032 Regular Plan Dividend</t>
  </si>
  <si>
    <t>INF754K01NV1</t>
  </si>
  <si>
    <t>BHARAT Bond ETF FOF - April 2032 Regular Plan Growth</t>
  </si>
  <si>
    <t>INF754K01RC2</t>
  </si>
  <si>
    <t>BHARAT Bond ETF FOF - April 2033 - Direct Plan - Growth</t>
  </si>
  <si>
    <t>INF754K01RD0</t>
  </si>
  <si>
    <t>INF754K01RE8</t>
  </si>
  <si>
    <t>BHARAT Bond ETF FOF - April 2033 - Direct Plan - IDCW</t>
  </si>
  <si>
    <t>INF754K01QY8</t>
  </si>
  <si>
    <t>BHARAT Bond ETF FOF - April 2033 - Regular Plan - Growth</t>
  </si>
  <si>
    <t>INF754K01QZ5</t>
  </si>
  <si>
    <t>INF754K01RA6</t>
  </si>
  <si>
    <t>BHARAT Bond ETF FOF - April 2033 - Regular Plan - IDCW</t>
  </si>
  <si>
    <t>INF754K01KY1</t>
  </si>
  <si>
    <t>Bharat Bond FOF - April 2030 - Direct Plan - Growth Option</t>
  </si>
  <si>
    <t>INF754K01KZ8</t>
  </si>
  <si>
    <t>INF754K01LA9</t>
  </si>
  <si>
    <t>BHARAT Bond FOF - April 2030 - Direct Plan - IDCW Option</t>
  </si>
  <si>
    <t>INF754K01KV7</t>
  </si>
  <si>
    <t>Bharat Bond FOF - April 2030 - Regular Plan - Growth Option</t>
  </si>
  <si>
    <t>INF754K01KW5</t>
  </si>
  <si>
    <t>INF754K01KX3</t>
  </si>
  <si>
    <t>BHARAT Bond FOF - April 2030 - Regular Plan - IDCW Option</t>
  </si>
  <si>
    <t>INF754K01LJ0</t>
  </si>
  <si>
    <t>INF754K01LK8</t>
  </si>
  <si>
    <t>BHARAT Bond FOF - April 2025 - Direct Plan - IDCW Option</t>
  </si>
  <si>
    <t>INF754K01LG6</t>
  </si>
  <si>
    <t>INF754K01LH4</t>
  </si>
  <si>
    <t>BHARAT Bond FOF - April 2025 - Regular Plan - IDCW Option</t>
  </si>
  <si>
    <t>INF754K01LI2</t>
  </si>
  <si>
    <t>BHARAT Bond FOF- April 2025- Direct Pan- Growth Option</t>
  </si>
  <si>
    <t>INF754K01LF8</t>
  </si>
  <si>
    <t>BHARAT Bond FOF- April 2025- Regular Plan- Growth Option</t>
  </si>
  <si>
    <t>INF754K01LP7</t>
  </si>
  <si>
    <t>INF754K01LQ5</t>
  </si>
  <si>
    <t>BHARAT Bond FOF - April 2031 - Direct Plan - IDCW Option</t>
  </si>
  <si>
    <t>INF754K01LM4</t>
  </si>
  <si>
    <t>INF754K01LN2</t>
  </si>
  <si>
    <t>BHARAT Bond FOF - April 2031 - Regular Plan - IDCW Option</t>
  </si>
  <si>
    <t>INF754K01LO0</t>
  </si>
  <si>
    <t>BHARAT Bond FOF- April 2031- Direct Plan- Growth Option</t>
  </si>
  <si>
    <t>INF754K01LL6</t>
  </si>
  <si>
    <t>BHARAT Bond FOF- April 2031- Regular Plan- Growth Option</t>
  </si>
  <si>
    <t>INF754K01OX5</t>
  </si>
  <si>
    <t>Edelweiss Gold and Silver ETF FOF - Direct Plan - Growth</t>
  </si>
  <si>
    <t>INF754K01OY3</t>
  </si>
  <si>
    <t>INF754K01OZ0</t>
  </si>
  <si>
    <t>Edelweiss Gold and Silver ETF FOF - Direct Plan - IDCW</t>
  </si>
  <si>
    <t>INF754K01OT3</t>
  </si>
  <si>
    <t>Edelweiss Gold and Silver ETF FOF - Regular Plan - Growth</t>
  </si>
  <si>
    <t>INF754K01OU1</t>
  </si>
  <si>
    <t>INF754K01OV9</t>
  </si>
  <si>
    <t>Edelweiss Gold and Silver ETF FOF - Regular Plan - IDCW</t>
  </si>
  <si>
    <t>INF754K01WP4</t>
  </si>
  <si>
    <t>Edelweiss Gold ETF Fund of Fund Direct Plan Growth Option</t>
  </si>
  <si>
    <t>INF754K01WQ2</t>
  </si>
  <si>
    <t>Edelweiss Gold ETF Fund of Fund Regular Plan Growth Option</t>
  </si>
  <si>
    <t>INF754K01VK7</t>
  </si>
  <si>
    <t>INF754K01VL5</t>
  </si>
  <si>
    <t>Edelweiss Income Plus Arbitrage Active Fund of Fund - Regular - Dividend- Payout</t>
  </si>
  <si>
    <t>INF754K01VF7</t>
  </si>
  <si>
    <t>Edelweiss Income Plus Arbitrage Active Fund of Funds - Direct Plan Growth</t>
  </si>
  <si>
    <t>INF754K01VG5</t>
  </si>
  <si>
    <t>INF754K01VH3</t>
  </si>
  <si>
    <t>Edelweiss Income Plus Arbitrage Active Fund of Funds - Direct-Dividend-Payout</t>
  </si>
  <si>
    <t>INF754K01VJ9</t>
  </si>
  <si>
    <t>Edelweiss Income Plus Arbitrage Active Fund of Funds - Regular-Growth</t>
  </si>
  <si>
    <t>INF754K01VN1</t>
  </si>
  <si>
    <t>Edelweiss Multi Asset Omni Fund of Fund- Direct Plan - Growth</t>
  </si>
  <si>
    <t>INF754K01VO9</t>
  </si>
  <si>
    <t>INF754K01VP6</t>
  </si>
  <si>
    <t>Edelweiss Multi Asset Omni Fund of Fund- Direct Plan - IDCW</t>
  </si>
  <si>
    <t>INF754K01VR2</t>
  </si>
  <si>
    <t>Edelweiss Multi Asset Omni Fund of Fund- Regular Plan - Growth</t>
  </si>
  <si>
    <t>INF754K01VS0</t>
  </si>
  <si>
    <t>INF754K01VT8</t>
  </si>
  <si>
    <t>Edelweiss Multi Asset Omni Fund of Fund- Regular Plan - IDCW</t>
  </si>
  <si>
    <t>INF754K01VZ5</t>
  </si>
  <si>
    <t>Edelweiss Silver ETF Fund of Fund - Direct Plan Growth Option</t>
  </si>
  <si>
    <t>INF754K01WD0</t>
  </si>
  <si>
    <t>Edelweiss Silver ETF Fund of Fund - Regular Plan Growth Option</t>
  </si>
  <si>
    <t>INF090I01HV6</t>
  </si>
  <si>
    <t>Franklin India Dynamic Asset Allocation Active Fund Of Funds - Direct - Growth</t>
  </si>
  <si>
    <t>INF090I01HT0</t>
  </si>
  <si>
    <t>INF090I01HU8</t>
  </si>
  <si>
    <t>Franklin India Dynamic Asset Allocation Active Fund of funds - Direct - IDCW</t>
  </si>
  <si>
    <t>INF090I01247</t>
  </si>
  <si>
    <t>INF090I01254</t>
  </si>
  <si>
    <t>Franklin India Dynamic Asset Allocation Active Fund of funds - IDCW</t>
  </si>
  <si>
    <t>INF090I01262</t>
  </si>
  <si>
    <t>Franklin India Dynamic Asset Allocation Active Fund of Funds-Growth</t>
  </si>
  <si>
    <t>INF090I01LI5</t>
  </si>
  <si>
    <t>INF090I01LJ3</t>
  </si>
  <si>
    <t>Franklin India Income Plus Arbitrage Active Fund of Funds - Direct - IDCW</t>
  </si>
  <si>
    <t>INF090I01LE4</t>
  </si>
  <si>
    <t>Franklin India Income Plus Arbitrage Active Fund of Funds- Growth Plan</t>
  </si>
  <si>
    <t>INF090I01LH7</t>
  </si>
  <si>
    <t>Franklin India Income Plus Arbitrage Active Fund of Funds- Growth Plan - Direct</t>
  </si>
  <si>
    <t>INF090I01LF1</t>
  </si>
  <si>
    <t>INF090I01LG9</t>
  </si>
  <si>
    <t>Franklin India Income Plus Arbitrage Active Fund of Funds- IDCW</t>
  </si>
  <si>
    <t>INF666M01NX9</t>
  </si>
  <si>
    <t>Groww BSE Hospitals ETF FOF Direct Growth</t>
  </si>
  <si>
    <t>INF666M01NY7</t>
  </si>
  <si>
    <t>INF666M01NZ4</t>
  </si>
  <si>
    <t>Groww BSE Hospitals ETF FOF Direct IDCW</t>
  </si>
  <si>
    <t>INF666M01OA5</t>
  </si>
  <si>
    <t>Groww BSE Hospitals ETF FOF Regular Growth</t>
  </si>
  <si>
    <t>INF666M01OB3</t>
  </si>
  <si>
    <t>INF666M01OC1</t>
  </si>
  <si>
    <t>Groww BSE Hospitals ETF FOF Regular IDCW</t>
  </si>
  <si>
    <t>INF666M01LN4</t>
  </si>
  <si>
    <t>Groww BSE Power ETF FOF Direct Growth</t>
  </si>
  <si>
    <t>INF666M01LO2</t>
  </si>
  <si>
    <t>INF666M01LP9</t>
  </si>
  <si>
    <t>Groww BSE Power ETF FOF Direct IDCW</t>
  </si>
  <si>
    <t>INF666M01LQ7</t>
  </si>
  <si>
    <t>Groww BSE Power ETF FOF Regular Growth</t>
  </si>
  <si>
    <t>INF666M01LR5</t>
  </si>
  <si>
    <t>INF666M01LS3</t>
  </si>
  <si>
    <t>Groww BSE Power ETF FOF Regular IDCW</t>
  </si>
  <si>
    <t>INF666M01IX9</t>
  </si>
  <si>
    <t>Groww Gold ETF FOF - DIRECT - GROWTH</t>
  </si>
  <si>
    <t>INF666M01IY7</t>
  </si>
  <si>
    <t>INF666M01IZ4</t>
  </si>
  <si>
    <t>Groww Gold ETF FOF - DIRECT - IDCW</t>
  </si>
  <si>
    <t>INF666M01JA5</t>
  </si>
  <si>
    <t>Groww Gold ETF FOF - REGULAR - GROWTH</t>
  </si>
  <si>
    <t>INF666M01JB3</t>
  </si>
  <si>
    <t>INF666M01JC1</t>
  </si>
  <si>
    <t>Groww Gold ETF FOF - REGULAR - IDCW</t>
  </si>
  <si>
    <t>INF666M01NC3</t>
  </si>
  <si>
    <t>Groww Multi Asset Omni FOF Direct Growth</t>
  </si>
  <si>
    <t>INF666M01ND1</t>
  </si>
  <si>
    <t>INF666M01NE9</t>
  </si>
  <si>
    <t>Groww Multi Asset Omni FOF Direct IDCW</t>
  </si>
  <si>
    <t>INF666M01NF6</t>
  </si>
  <si>
    <t>Groww Multi Asset Omni FOF Regular Growth</t>
  </si>
  <si>
    <t>INF666M01NG4</t>
  </si>
  <si>
    <t>INF666M01NH2</t>
  </si>
  <si>
    <t>Groww Multi Asset Omni FOF Regular IDCW</t>
  </si>
  <si>
    <t>INF666M01JQ1</t>
  </si>
  <si>
    <t>Groww Nifty 200 ETF FOF - Direct - Growth</t>
  </si>
  <si>
    <t>INF666M01JR9</t>
  </si>
  <si>
    <t>INF666M01JS7</t>
  </si>
  <si>
    <t>Groww Nifty 200 ETF FOF - Direct - IDCW</t>
  </si>
  <si>
    <t>INF666M01JT5</t>
  </si>
  <si>
    <t>Groww Nifty 200 ETF FOF - Regular - Growth</t>
  </si>
  <si>
    <t>INF666M01JU3</t>
  </si>
  <si>
    <t>INF666M01JW9</t>
  </si>
  <si>
    <t>Groww Nifty 200 ETF FOF - Regular - IDCW</t>
  </si>
  <si>
    <t>INF666M01JX7</t>
  </si>
  <si>
    <t>Groww Nifty 500 Momentum 50 ETF FOF - Direct Plan - Growth</t>
  </si>
  <si>
    <t>INF666M01JY5</t>
  </si>
  <si>
    <t>INF666M01KB1</t>
  </si>
  <si>
    <t>Groww Nifty 500 Momentum 50 ETF FOF - Direct Plan - IDCW</t>
  </si>
  <si>
    <t>INF666M01KH8</t>
  </si>
  <si>
    <t>INF666M01KI6</t>
  </si>
  <si>
    <t>Groww Nifty 500 Momentum 50 ETF FOF - Regular Plan - IDCW</t>
  </si>
  <si>
    <t>INF666M01KC9</t>
  </si>
  <si>
    <t>Groww Nifty 500 Momentum 50 ETF FOF - Regular Plan- Growth</t>
  </si>
  <si>
    <t>INF666M01MG6</t>
  </si>
  <si>
    <t>Groww Nifty Capital Markets ETF FOF Direct Growth</t>
  </si>
  <si>
    <t>INF666M01MH4</t>
  </si>
  <si>
    <t>INF666M01MI2</t>
  </si>
  <si>
    <t>Groww Nifty Capital Markets ETF FOF Direct IDCW</t>
  </si>
  <si>
    <t>INF666M01MJ0</t>
  </si>
  <si>
    <t>Groww Nifty Capital Markets ETF FOF Regular Growth</t>
  </si>
  <si>
    <t>INF666M01MK8</t>
  </si>
  <si>
    <t>INF666M01ML6</t>
  </si>
  <si>
    <t>Groww Nifty Capital Markets ETF FOF Regular IDCW</t>
  </si>
  <si>
    <t>INF666M01IM2</t>
  </si>
  <si>
    <t>INF666M01IN0</t>
  </si>
  <si>
    <t>Groww Nifty EV &amp; New Age Automotive ETF FOF - Direct Plan - IDCW</t>
  </si>
  <si>
    <t>INF666M01II0</t>
  </si>
  <si>
    <t>Groww Nifty EV &amp; New Age Automotive ETF FOF - Regular Plan - Growth</t>
  </si>
  <si>
    <t>INF666M01IJ8</t>
  </si>
  <si>
    <t>INF666M01IK6</t>
  </si>
  <si>
    <t>Groww Nifty EV &amp; New Age Automotive ETF FOF - Regular Plan - IDCW</t>
  </si>
  <si>
    <t>INF666M01IL4</t>
  </si>
  <si>
    <t>Groww Nifty EV &amp; New Age Automotive ETF FOF- Direct Plan - Growth</t>
  </si>
  <si>
    <t>INF666M01IR1</t>
  </si>
  <si>
    <t>INF666M01IS9</t>
  </si>
  <si>
    <t>Groww Nifty India Defence ETF FOF - Direct - IDCW</t>
  </si>
  <si>
    <t>INF666M01IQ3</t>
  </si>
  <si>
    <t>Groww Nifty India Defence ETF FOF - Direct Growth</t>
  </si>
  <si>
    <t>INF666M01IT7</t>
  </si>
  <si>
    <t>Groww Nifty India Defence ETF FOF - Regular - Growth</t>
  </si>
  <si>
    <t>INF666M01IU5</t>
  </si>
  <si>
    <t>INF666M01IV3</t>
  </si>
  <si>
    <t>Groww Nifty India Defence ETF FOF - Regular - IDCW</t>
  </si>
  <si>
    <t>INF666M01LC7</t>
  </si>
  <si>
    <t>Groww Nifty India Internet ETF FOF - Direct - Growth</t>
  </si>
  <si>
    <t>INF666M01LD5</t>
  </si>
  <si>
    <t>INF666M01LE3</t>
  </si>
  <si>
    <t>Groww Nifty India Internet ETF FOF - Direct - IDCW</t>
  </si>
  <si>
    <t>INF666M01LF0</t>
  </si>
  <si>
    <t>Groww Nifty India Internet ETF FOF - Regular - Growth</t>
  </si>
  <si>
    <t>INF666M01LG8</t>
  </si>
  <si>
    <t>INF666M01LH6</t>
  </si>
  <si>
    <t>Groww Nifty India Internet ETF FOF - Regular - IDCW</t>
  </si>
  <si>
    <t>INF666M01NR1</t>
  </si>
  <si>
    <t>Groww Nifty PSE ETF FOF Direct Growth</t>
  </si>
  <si>
    <t>INF666M01NS9</t>
  </si>
  <si>
    <t>INF666M01NT7</t>
  </si>
  <si>
    <t>Groww Nifty PSE ETF FOF Direct IDCW</t>
  </si>
  <si>
    <t>INF666M01NU5</t>
  </si>
  <si>
    <t>Groww Nifty PSE ETF FOF Regular Growth</t>
  </si>
  <si>
    <t>INF666M01NV3</t>
  </si>
  <si>
    <t>INF666M01NW1</t>
  </si>
  <si>
    <t>Groww Nifty PSE ETF FOF Regular IDCW</t>
  </si>
  <si>
    <t>INF666M01KQ9</t>
  </si>
  <si>
    <t>Groww Silver ETF FOF - Direct - Growth</t>
  </si>
  <si>
    <t>INF666M01KR7</t>
  </si>
  <si>
    <t>INF666M01KS5</t>
  </si>
  <si>
    <t>Groww Silver ETF FOF - Direct - IDCW</t>
  </si>
  <si>
    <t>INF666M01KX5</t>
  </si>
  <si>
    <t>Groww Silver ETF FOF - Regular - Growth</t>
  </si>
  <si>
    <t>INF666M01KY3</t>
  </si>
  <si>
    <t>INF666M01KZ0</t>
  </si>
  <si>
    <t>Groww Silver ETF FOF - Regular - IDCW</t>
  </si>
  <si>
    <t>INF179KC1JU4</t>
  </si>
  <si>
    <t>HDFC Diversified Equity All Cap Active FOF - Direct Plan - Growth Plan</t>
  </si>
  <si>
    <t>INF179KC1JV2</t>
  </si>
  <si>
    <t>INF179KC1JW0</t>
  </si>
  <si>
    <t>HDFC Diversified Equity All Cap Active FOF - IDCW - Direct Plan</t>
  </si>
  <si>
    <t>INF179KC1JS8</t>
  </si>
  <si>
    <t>INF179KC1JT6</t>
  </si>
  <si>
    <t>HDFC Diversified Equity All Cap Active FOF - IDCW - Regular Plan</t>
  </si>
  <si>
    <t>INF179KC1JR0</t>
  </si>
  <si>
    <t>HDFC Diversified Equity All Cap Active FOF - Regular Plan - Growth Plan</t>
  </si>
  <si>
    <t>HDFC Gold ETF Fund of Fund - Direct Plan</t>
  </si>
  <si>
    <t>INF179K01LC5</t>
  </si>
  <si>
    <t>HDFC Gold ETF Fund of Fund - Growth Option</t>
  </si>
  <si>
    <t>INF179KA1SF8</t>
  </si>
  <si>
    <t>HDFC Income Plus Arbitrage Active FOF - Growth Option</t>
  </si>
  <si>
    <t>INF179KA1SC5</t>
  </si>
  <si>
    <t>HDFC Income Plus Arbitrage Active FOF - Growth Option - Direct Plan</t>
  </si>
  <si>
    <t>INF179KA1SG6</t>
  </si>
  <si>
    <t>HDFC Income Plus Arbitrage Active FOF - IDCW Option</t>
  </si>
  <si>
    <t>INF179KA1SD3</t>
  </si>
  <si>
    <t>HDFC Income Plus Arbitrage Active FOF - IDCW Option - Direct Plan</t>
  </si>
  <si>
    <t>INF179KC1KE6</t>
  </si>
  <si>
    <t>HDFC INCOME PLUS ARBITRAGE OMNI FOF - GROWTH OPTION - DIRECT PLAN</t>
  </si>
  <si>
    <t>INF179KC1KB2</t>
  </si>
  <si>
    <t>HDFC INCOME PLUS ARBITRAGE OMNI FOF - GROWTH OPTION -REGULAR PLAN</t>
  </si>
  <si>
    <t>INF179KC1KF3</t>
  </si>
  <si>
    <t>INF179KC1KG1</t>
  </si>
  <si>
    <t>HDFC INCOME PLUS ARBITRAGE OMNI FOF - IDCW OPTION - DIRECT PLAN</t>
  </si>
  <si>
    <t>INF179KC1KC0</t>
  </si>
  <si>
    <t>INF179KC1KD8</t>
  </si>
  <si>
    <t>HDFC INCOME PLUS ARBITRAGE OMNI FOF - IDCW OPTION - REGULAR PLAN</t>
  </si>
  <si>
    <t>INF179KC1BD7</t>
  </si>
  <si>
    <t>HDFC Multi-Asset Active FOF - Growth Option</t>
  </si>
  <si>
    <t>INF179KC1BA3</t>
  </si>
  <si>
    <t>HDFC Multi-Asset Active FOF - Growth Option -Direct Plan</t>
  </si>
  <si>
    <t>INF179KC1BE5</t>
  </si>
  <si>
    <t>HDFC Multi-Asset Active FOF - IDCW Option</t>
  </si>
  <si>
    <t>INF179KC1BB1</t>
  </si>
  <si>
    <t>HDFC Multi-Asset Active FOF - IDCW Option - Direct Plan</t>
  </si>
  <si>
    <t>INF179KC1DV5</t>
  </si>
  <si>
    <t>HDFC Silver ETF Fund of Fund - Growth Option</t>
  </si>
  <si>
    <t>HDFC Silver ETF Fund of Fund - Growth Option - Direct Plan</t>
  </si>
  <si>
    <t>INF336L01HY1</t>
  </si>
  <si>
    <t>INF336L01HZ8</t>
  </si>
  <si>
    <t>HSBC Aggressive Hybrid Active FOF - Dividend</t>
  </si>
  <si>
    <t>INF336L01IB7</t>
  </si>
  <si>
    <t>INF336L01IC5</t>
  </si>
  <si>
    <t>HSBC Aggressive Hybrid Active FOF - Dividend Direct</t>
  </si>
  <si>
    <t>INF336L01IA9</t>
  </si>
  <si>
    <t>HSBC Aggressive Hybrid Active FOF - Growth</t>
  </si>
  <si>
    <t>INF336L01ID3</t>
  </si>
  <si>
    <t>HSBC Aggressive Hybrid Active FOF - Growth Direct</t>
  </si>
  <si>
    <t>INF336L01SB6</t>
  </si>
  <si>
    <t>HSBC Gold ETF Fund of fund - Direct Growth</t>
  </si>
  <si>
    <t>INF336L01SD2</t>
  </si>
  <si>
    <t>INF336L01SC4</t>
  </si>
  <si>
    <t>HSBC Gold ETF Fund of fund - Direct IDCW</t>
  </si>
  <si>
    <t>INF336L01RY0</t>
  </si>
  <si>
    <t>HSBC Gold ETF Fund of fund - Regular Growth</t>
  </si>
  <si>
    <t>INF336L01SA8</t>
  </si>
  <si>
    <t>INF336L01RZ7</t>
  </si>
  <si>
    <t>HSBC Gold ETF Fund of fund - Regular IDCW</t>
  </si>
  <si>
    <t>INF336L01IM4</t>
  </si>
  <si>
    <t>HSBC Income Plus Arbitrage Active FOF - Growth</t>
  </si>
  <si>
    <t>INF336L01IP7</t>
  </si>
  <si>
    <t>HSBC Income Plus Arbitrage Active FOF - Growth Direct</t>
  </si>
  <si>
    <t>INF336L01IN2</t>
  </si>
  <si>
    <t>INF336L01IO0</t>
  </si>
  <si>
    <t>HSBC Income Plus Arbitrage Active FOF Direct Plan IDCW</t>
  </si>
  <si>
    <t>INF336L01IK8</t>
  </si>
  <si>
    <t>INF336L01IL6</t>
  </si>
  <si>
    <t>HSBC Income Plus Arbitrage Active FOF IDCW</t>
  </si>
  <si>
    <t>INF336L01IG6</t>
  </si>
  <si>
    <t>HSBC Multi Asset Active FOF - Growth</t>
  </si>
  <si>
    <t>INF336L01IJ0</t>
  </si>
  <si>
    <t>HSBC Multi Asset Active FOF - Growth Direct</t>
  </si>
  <si>
    <t>INF336L01IH4</t>
  </si>
  <si>
    <t>INF336L01II2</t>
  </si>
  <si>
    <t>HSBC Multi Asset Active FOF Direct Plan IDCW</t>
  </si>
  <si>
    <t>INF336L01IE1</t>
  </si>
  <si>
    <t>INF336L01IF8</t>
  </si>
  <si>
    <t>HSBC Multi Asset Active FOF IDCW</t>
  </si>
  <si>
    <t>INF109K01X40</t>
  </si>
  <si>
    <t>ICICI Prudential Aggressive Hybrid Active FOF - Direct Plan - Growth</t>
  </si>
  <si>
    <t>INF109K01852</t>
  </si>
  <si>
    <t>ICICI Prudential Aggressive Hybrid Active FOF - Growth</t>
  </si>
  <si>
    <t>INF109K01FR2</t>
  </si>
  <si>
    <t>INF109K01860</t>
  </si>
  <si>
    <t>ICICI Prudential Aggressive Hybrid Active FOF - IDCW</t>
  </si>
  <si>
    <t>INF109KC1FW3</t>
  </si>
  <si>
    <t>ICICI Prudential BHARAT 22 FOF - Cumulative Option</t>
  </si>
  <si>
    <t>INF109KC1FX1</t>
  </si>
  <si>
    <t>ICICI Prudential BHARAT 22 FOF - Direct Plan Cumulative Option</t>
  </si>
  <si>
    <t>INF109KC1V91</t>
  </si>
  <si>
    <t>ICICI Prudential BSE 500 ETF FOF - Direct Plan - Growth</t>
  </si>
  <si>
    <t>INF109KC1W09</t>
  </si>
  <si>
    <t>INF109KC1W17</t>
  </si>
  <si>
    <t>ICICI Prudential BSE 500 ETF FOF - Direct Plan - IDCW</t>
  </si>
  <si>
    <t>INF109KC1V67</t>
  </si>
  <si>
    <t>ICICI Prudential BSE 500 ETF FOF - Growth</t>
  </si>
  <si>
    <t>INF109KC1V75</t>
  </si>
  <si>
    <t>INF109KC1V83</t>
  </si>
  <si>
    <t>ICICI Prudential BSE 500 ETF FOF - IDCW</t>
  </si>
  <si>
    <t>INF109K01X73</t>
  </si>
  <si>
    <t>ICICI Prudential Diversified Debt Strategy Active FOF  - Direct Plan - Growth</t>
  </si>
  <si>
    <t>INF109K01X57</t>
  </si>
  <si>
    <t>INF109K01X65</t>
  </si>
  <si>
    <t>ICICI Prudential Diversified Debt Strategy Active FOF - Direct Plan -  IDCW</t>
  </si>
  <si>
    <t>INF109K01878</t>
  </si>
  <si>
    <t>ICICI Prudential Diversified Debt Strategy Active FOF - Growth</t>
  </si>
  <si>
    <t>INF109K01FS0</t>
  </si>
  <si>
    <t>INF109K01886</t>
  </si>
  <si>
    <t>ICICI Prudential Diversified Debt Strategy Active FOF - IDCW</t>
  </si>
  <si>
    <t>INF109K1A468</t>
  </si>
  <si>
    <t>ICICI Prudential Diversified Equity All Cap Active FOF - Direct Plan - Growth</t>
  </si>
  <si>
    <t>INF109K1A450</t>
  </si>
  <si>
    <t>ICICI Prudential Diversified Equity All Cap Active FOF - Growth</t>
  </si>
  <si>
    <t>INF109KC1I49</t>
  </si>
  <si>
    <t>ICICI Prudential Diversified Equity All Cap Omni FOF - Direct Plan - Growth</t>
  </si>
  <si>
    <t>INF109KC1I64</t>
  </si>
  <si>
    <t>INF109KC1I56</t>
  </si>
  <si>
    <t>ICICI Prudential Diversified Equity All Cap Omni FOF - Direct Plan - IDCW</t>
  </si>
  <si>
    <t>INF109KC1I15</t>
  </si>
  <si>
    <t>ICICI Prudential Diversified Equity All Cap Omni FOF - Growth</t>
  </si>
  <si>
    <t>INF109KC1I31</t>
  </si>
  <si>
    <t>INF109KC1I23</t>
  </si>
  <si>
    <t>ICICI Prudential Diversified Equity All Cap Omni FOF - IDCW</t>
  </si>
  <si>
    <t>INF109K01X16</t>
  </si>
  <si>
    <t>ICICI Prudential Dynamic Asset Allocation Active FOF - Direct Plan - Growth</t>
  </si>
  <si>
    <t>INF109K01W90</t>
  </si>
  <si>
    <t>INF109K01X08</t>
  </si>
  <si>
    <t>ICICI Prudential Dynamic Asset Allocation Active FOF - Direct Plan - IDCW</t>
  </si>
  <si>
    <t>INF109K01837</t>
  </si>
  <si>
    <t>ICICI Prudential Dynamic Asset Allocation Active FOF - Growth</t>
  </si>
  <si>
    <t>INF109K01FJ9</t>
  </si>
  <si>
    <t>INF109K01845</t>
  </si>
  <si>
    <t>ICICI Prudential Dynamic Asset Allocation Active FOF - IDCW</t>
  </si>
  <si>
    <t>INF109KC1F34</t>
  </si>
  <si>
    <t>ICICI Prudential Global Advantage Fund (FOF) - Direct Plan - Growth Option</t>
  </si>
  <si>
    <t>INF109KC1F42</t>
  </si>
  <si>
    <t>ICICI Prudential Global Advantage Fund (FOF) - Direct Plan - IDCW</t>
  </si>
  <si>
    <t>INF109KC1F00</t>
  </si>
  <si>
    <t>ICICI Prudential Global Advantage Fund (FOF) - Growth Option</t>
  </si>
  <si>
    <t>INF109KC1F18</t>
  </si>
  <si>
    <t>ICICI Prudential Global Advantage Fund (FOF) - IDCW</t>
  </si>
  <si>
    <t>INF109K01U92</t>
  </si>
  <si>
    <t>ICICI Prudential Gold ETF FOF - Direct Plan - Growth</t>
  </si>
  <si>
    <t>INF109K01U76</t>
  </si>
  <si>
    <t>INF109K01U84</t>
  </si>
  <si>
    <t>ICICI Prudential Gold ETF FOF - Direct Plan - IDCW</t>
  </si>
  <si>
    <t>INF109K01TK8</t>
  </si>
  <si>
    <t>ICICI Prudential Gold ETF FOF - Growth</t>
  </si>
  <si>
    <t>INF109K01TM4</t>
  </si>
  <si>
    <t>INF109K01TL6</t>
  </si>
  <si>
    <t>ICICI Prudential Gold ETF FOF - IDCW</t>
  </si>
  <si>
    <t>INF109K01W82</t>
  </si>
  <si>
    <t>ICICI Prudential Income plus Arbitrage Omni FOF - Direct Plan - Growth</t>
  </si>
  <si>
    <t>INF109K01W66</t>
  </si>
  <si>
    <t>INF109K01W74</t>
  </si>
  <si>
    <t>ICICI Prudential Income plus Arbitrage Omni FOF - Direct Plan - IDCW</t>
  </si>
  <si>
    <t>INF109K01811</t>
  </si>
  <si>
    <t>ICICI Prudential Income Plus Arbitrage Omni FOF - Growth</t>
  </si>
  <si>
    <t>INF109K01EB9</t>
  </si>
  <si>
    <t>INF109K01829</t>
  </si>
  <si>
    <t>ICICI Prudential Income plus Arbitrage Omni FOF - IDCW</t>
  </si>
  <si>
    <t>INF109K01W33</t>
  </si>
  <si>
    <t>INF109K01W41</t>
  </si>
  <si>
    <t>ICICI Prudential Multi Sector Passive FOF - Direct Plan -  IDCW</t>
  </si>
  <si>
    <t>INF109K01W58</t>
  </si>
  <si>
    <t>ICICI Prudential Multi Sector Passive FOF - Direct Plan - Growth</t>
  </si>
  <si>
    <t>INF109K01795</t>
  </si>
  <si>
    <t>ICICI Prudential Multi Sector Passive FOF - Growth</t>
  </si>
  <si>
    <t>INF109K01DW7</t>
  </si>
  <si>
    <t>INF109K01803</t>
  </si>
  <si>
    <t>ICICI Prudential Multi Sector Passive FOF - IDCW</t>
  </si>
  <si>
    <t>INF109KC1P81</t>
  </si>
  <si>
    <t>ICICI Prudential Nifty 100 Low Volatility 30 ETF FOF - Direct Plan - Growth</t>
  </si>
  <si>
    <t>INF109KC1Q07</t>
  </si>
  <si>
    <t>INF109KC1P99</t>
  </si>
  <si>
    <t>ICICI Prudential Nifty 100 Low Volatility 30 ETF FOF - Direct Plan - IDCW</t>
  </si>
  <si>
    <t>INF109KC1P57</t>
  </si>
  <si>
    <t>ICICI Prudential Nifty 100 Low Volatility 30 ETF FOF - Growth</t>
  </si>
  <si>
    <t>INF109KC1P73</t>
  </si>
  <si>
    <t>INF109KC1P65</t>
  </si>
  <si>
    <t>ICICI Prudential Nifty 100 Low Volatility 30 ETF FOF - IDCW</t>
  </si>
  <si>
    <t>INF109KC1R89</t>
  </si>
  <si>
    <t>ICICI Prudential Nifty Alpha Low - Volatility 30 ETF FOF - Direct Plan - Growth</t>
  </si>
  <si>
    <t>INF109KC1S05</t>
  </si>
  <si>
    <t>INF109KC1R97</t>
  </si>
  <si>
    <t>ICICI Prudential Nifty Alpha Low - Volatility 30 ETF FOF - Direct Plan - IDCW</t>
  </si>
  <si>
    <t>INF109KC1R55</t>
  </si>
  <si>
    <t>ICICI Prudential Nifty Alpha Low - Volatility 30 ETF FOF - Growth</t>
  </si>
  <si>
    <t>INF109KC1R71</t>
  </si>
  <si>
    <t>INF109KC1R63</t>
  </si>
  <si>
    <t>ICICI Prudential Nifty Alpha Low - Volatility 30 ETF FOF - IDCW</t>
  </si>
  <si>
    <t>INF109K1A120</t>
  </si>
  <si>
    <t>ICICI Prudential Nifty EV &amp; New Age Automotive ETF FOF - Direct Plan - Growth</t>
  </si>
  <si>
    <t>INF109K1A146</t>
  </si>
  <si>
    <t>INF109K1A138</t>
  </si>
  <si>
    <t>ICICI Prudential Nifty EV &amp; New Age Automotive ETF FOF - Direct Plan - IDCW</t>
  </si>
  <si>
    <t>INF109K1A096</t>
  </si>
  <si>
    <t>ICICI Prudential Nifty EV &amp; New Age Automotive ETF FOF - Growth</t>
  </si>
  <si>
    <t>INF109K1A112</t>
  </si>
  <si>
    <t>INF109K1A104</t>
  </si>
  <si>
    <t>ICICI Prudential Nifty EV &amp; New Age Automotive ETF FOF - IDCW</t>
  </si>
  <si>
    <t>INF109KC1Y15</t>
  </si>
  <si>
    <t>ICICI Prudential Passive Multi-Asset Fund of Funds - Direct Plan - Growth</t>
  </si>
  <si>
    <t>INF109KC1Y23</t>
  </si>
  <si>
    <t>INF109KC1Y31</t>
  </si>
  <si>
    <t>ICICI Prudential Passive Multi-Asset Fund of Funds - Direct Plan - IDCW</t>
  </si>
  <si>
    <t>INF109KC1X81</t>
  </si>
  <si>
    <t>ICICI Prudential Passive Multi-Asset Fund of Funds - Growth</t>
  </si>
  <si>
    <t>INF109KC1X99</t>
  </si>
  <si>
    <t>INF109KC1Y07</t>
  </si>
  <si>
    <t>ICICI Prudential Passive Multi-Asset Fund of Funds - IDCW</t>
  </si>
  <si>
    <t>INF109KC1Y98</t>
  </si>
  <si>
    <t>ICICI Prudential Silver ETF FOF - Direct Plan - Growth</t>
  </si>
  <si>
    <t>INF109KC1Z06</t>
  </si>
  <si>
    <t>INF109KC1Z14</t>
  </si>
  <si>
    <t>ICICI Prudential Silver ETF FOF - Direct Plan - IDCW</t>
  </si>
  <si>
    <t>INF109KC1Y64</t>
  </si>
  <si>
    <t>ICICI Prudential Silver ETF FOF - Growth</t>
  </si>
  <si>
    <t>INF109KC1Y72</t>
  </si>
  <si>
    <t>INF109KC1Y80</t>
  </si>
  <si>
    <t>ICICI Prudential Silver ETF FOF - IDCW</t>
  </si>
  <si>
    <t>INF205K01NJ9</t>
  </si>
  <si>
    <t>Invesco India Gold ETF Fund of Fund - Direct Plan - Growth</t>
  </si>
  <si>
    <t>INF205K01NH3</t>
  </si>
  <si>
    <t>INF205K01NI1</t>
  </si>
  <si>
    <t>Invesco India Gold ETF Fund of Fund - Direct Plan - IDCW (Payout / Reinvestment)</t>
  </si>
  <si>
    <t>INF205K01FA4</t>
  </si>
  <si>
    <t>Invesco India Gold ETF Fund of Fund - Regular Plan - Growth</t>
  </si>
  <si>
    <t>INF205K01FB2</t>
  </si>
  <si>
    <t>INF205K01FC0</t>
  </si>
  <si>
    <t>Invesco India Gold ETF Fund of Fund - Regular Plan - IDCW (Payout / Reinvestment)</t>
  </si>
  <si>
    <t>INF205KA1BA3</t>
  </si>
  <si>
    <t>Invesco India Income Plus Arbitrage Active Fund of Fund - Direct Plan - Growth</t>
  </si>
  <si>
    <t>INF205KA1BB1</t>
  </si>
  <si>
    <t>INF205KA1BC9</t>
  </si>
  <si>
    <t>Invesco India Income Plus Arbitrage Active Fund of Fund - Direct Plan - IDCW (Payout / Reinvestment)</t>
  </si>
  <si>
    <t>INF205KA1AX7</t>
  </si>
  <si>
    <t>Invesco India Income Plus Arbitrage Active Fund of Fund - Regular Plan - Growth Plan</t>
  </si>
  <si>
    <t>INF205KA1AY5</t>
  </si>
  <si>
    <t>INF205KA1AZ2</t>
  </si>
  <si>
    <t>Invesco India Income Plus Arbitrage Active Fund of Fund - Regular Plan - IDCW (Payout / Reinvestment)</t>
  </si>
  <si>
    <t>INF174K01AT3</t>
  </si>
  <si>
    <t>Kotak Gold Fund Growth</t>
  </si>
  <si>
    <t>INF174K01MP6</t>
  </si>
  <si>
    <t>Kotak Gold Fund Growth - Direct</t>
  </si>
  <si>
    <t>INF174K01AU1</t>
  </si>
  <si>
    <t>INF174K01AV9</t>
  </si>
  <si>
    <t>Kotak Gold Fund Payout of Income Distribution cum capital withdrawal option</t>
  </si>
  <si>
    <t>INF174K01MQ4</t>
  </si>
  <si>
    <t>INF174K01MR2</t>
  </si>
  <si>
    <t>Kotak Gold Fund Payout of Income Distribution cum capital withdrawal option- Direct</t>
  </si>
  <si>
    <t>INF174KA1XT4</t>
  </si>
  <si>
    <t>Kotak Gold Silver Passive FOF - Direct Plan - Growth</t>
  </si>
  <si>
    <t>INF174KA1XU2</t>
  </si>
  <si>
    <t>Kotak Gold Silver Passive FOF - Regular Plan - Growth</t>
  </si>
  <si>
    <t>INF174KA1KG8</t>
  </si>
  <si>
    <t>Kotak Income Plus Arbitrage Omni  FOF-Regular Plan-Growth</t>
  </si>
  <si>
    <t>INF174KA1KJ2</t>
  </si>
  <si>
    <t>Kotak Income Plus Arbitrage Omni FOF-Direct Plan-Growth</t>
  </si>
  <si>
    <t>INF174KA1KK0</t>
  </si>
  <si>
    <t>INF174KA1KL8</t>
  </si>
  <si>
    <t>Kotak Income Plus Arbitrage Omni FOF-Direct Plan-IDCW</t>
  </si>
  <si>
    <t>INF174KA1KH6</t>
  </si>
  <si>
    <t>INF174KA1KI4</t>
  </si>
  <si>
    <t>Kotak Income Plus Arbitrage Omni FOF-Regular Plan-IDCW</t>
  </si>
  <si>
    <t>INF174K01LN3</t>
  </si>
  <si>
    <t>Kotak Multi Asset Omni FOF - Direct Growth - Direct</t>
  </si>
  <si>
    <t>INF174K01LO1</t>
  </si>
  <si>
    <t>INF174K01LP8</t>
  </si>
  <si>
    <t>Kotak Multi Asset Omni FOF - Direct Payout of Income Distribution cum capital withdrawal option</t>
  </si>
  <si>
    <t>INF174K01468</t>
  </si>
  <si>
    <t>Kotak Multi Asset Omni FOF - Growth- Regular</t>
  </si>
  <si>
    <t>INF174K01484</t>
  </si>
  <si>
    <t>INF174K01476</t>
  </si>
  <si>
    <t>Kotak Multi Asset Omni FOF - Payout of Income Distribution cum capital withdrawal option</t>
  </si>
  <si>
    <t>INF174KA1ZG6</t>
  </si>
  <si>
    <t>Kotak Multi Factor Passive FOF - Direct- Growth</t>
  </si>
  <si>
    <t>INF174KA1ZH4</t>
  </si>
  <si>
    <t>Kotak Multi Factor Passive FOF - Regular- Growth</t>
  </si>
  <si>
    <t>INF174KA1MQ3</t>
  </si>
  <si>
    <t>Kotak Silver ETF Fund of Fund - Direct Plan - Growth Option</t>
  </si>
  <si>
    <t>INF174KA1MR1</t>
  </si>
  <si>
    <t>Kotak Silver ETF Fund of Fund - Regular Plan - Growth Option</t>
  </si>
  <si>
    <t>INF397L01BU4</t>
  </si>
  <si>
    <t>LIC MF Gold ETF Fund of Fund-Direct Plan-Growth</t>
  </si>
  <si>
    <t>INF397L01992</t>
  </si>
  <si>
    <t>LIC MF Gold ETF Fund of Fund-Regular Plan-Growth</t>
  </si>
  <si>
    <t>INF174V01CU4</t>
  </si>
  <si>
    <t>Mahindra Manulife Income Plus Arbitrage Active FOF  - Direct - Growth</t>
  </si>
  <si>
    <t>INF174V01CV2</t>
  </si>
  <si>
    <t>INF174V01CW0</t>
  </si>
  <si>
    <t>Mahindra Manulife Income Plus Arbitrage Active FOF - Direct - IDCW</t>
  </si>
  <si>
    <t>INF174V01CR0</t>
  </si>
  <si>
    <t>Mahindra Manulife Income Plus Arbitrage Active FOF - Regular - Growth</t>
  </si>
  <si>
    <t>INF174V01CS8</t>
  </si>
  <si>
    <t>INF174V01CT6</t>
  </si>
  <si>
    <t>Mahindra Manulife Income Plus Arbitrage Active FOF - Regular - IDCW</t>
  </si>
  <si>
    <t>INF769K01OE3</t>
  </si>
  <si>
    <t>Mirae Asset BSE 200 Equal Weight ETF Fund of Fund - Direct Plan - Growth</t>
  </si>
  <si>
    <t>INF769K01OG8</t>
  </si>
  <si>
    <t>INF769K01OF0</t>
  </si>
  <si>
    <t>Mirae Asset BSE 200 Equal Weight ETF Fund of Fund - Direct Plan - IDCW</t>
  </si>
  <si>
    <t>INF769K01OB9</t>
  </si>
  <si>
    <t>Mirae Asset BSE 200 Equal Weight ETF Fund of Fund - Regular Plan - Growth</t>
  </si>
  <si>
    <t>INF769K01OD5</t>
  </si>
  <si>
    <t>INF769K01OC7</t>
  </si>
  <si>
    <t>Mirae Asset BSE 200 Equal Weight ETF Fund of Fund - Regular Plan - IDCW</t>
  </si>
  <si>
    <t>INF769K01QG3</t>
  </si>
  <si>
    <t>Mirae Asset BSE India Defence ETF FOF - Direct Plan - Growth</t>
  </si>
  <si>
    <t>INF769K01QI9</t>
  </si>
  <si>
    <t>INF769K01QH1</t>
  </si>
  <si>
    <t>Mirae Asset BSE India Defence ETF FOF - Direct Plan - IDCW</t>
  </si>
  <si>
    <t>INF769K01QD0</t>
  </si>
  <si>
    <t>Mirae Asset BSE India Defence ETF FOF - Regular Plan - Growth</t>
  </si>
  <si>
    <t>INF769K01QF5</t>
  </si>
  <si>
    <t>INF769K01QE8</t>
  </si>
  <si>
    <t>Mirae Asset BSE India Defence ETF FOF - Regular Plan - IDCW</t>
  </si>
  <si>
    <t>INF769K01OK0</t>
  </si>
  <si>
    <t>Mirae Asset BSE Select IPO ETF Fund of Fund - Direct Plan - Growth</t>
  </si>
  <si>
    <t>INF769K01OM6</t>
  </si>
  <si>
    <t>INF769K01OL8</t>
  </si>
  <si>
    <t>Mirae Asset BSE Select IPO ETF Fund of Fund - Direct Plan - IDCW</t>
  </si>
  <si>
    <t>INF769K01OH6</t>
  </si>
  <si>
    <t>Mirae Asset BSE Select IPO ETF Fund of Fund - Regular Plan - Growth</t>
  </si>
  <si>
    <t>INF769K01OJ2</t>
  </si>
  <si>
    <t>INF769K01OI4</t>
  </si>
  <si>
    <t>Mirae Asset BSE Select IPO ETF Fund of Fund - Regular Plan - IDCW</t>
  </si>
  <si>
    <t>INF769K01GE9</t>
  </si>
  <si>
    <t>Mirae Asset Diversified Equity Allocator Passive FOF - Direct Plan - Growth</t>
  </si>
  <si>
    <t>INF769K01GD1</t>
  </si>
  <si>
    <t>INF769K01GF6</t>
  </si>
  <si>
    <t>Mirae Asset Diversified Equity Allocator Passive FOF - Direct Plan - IDCW</t>
  </si>
  <si>
    <t>INF769K01GB5</t>
  </si>
  <si>
    <t>Mirae Asset Diversified Equity Allocator Passive FOF - Regular Plan - Growth</t>
  </si>
  <si>
    <t>INF769K01GA7</t>
  </si>
  <si>
    <t>INF769K01GC3</t>
  </si>
  <si>
    <t>Mirae Asset Diversified Equity Allocator Passive FOF - Regular Plan - IDCW</t>
  </si>
  <si>
    <t>INF769K01MV1</t>
  </si>
  <si>
    <t>Mirae Asset Gold ETF Fund of Fund - Direct Plan - Growth</t>
  </si>
  <si>
    <t>INF769K01MW9</t>
  </si>
  <si>
    <t>INF769K01MX7</t>
  </si>
  <si>
    <t>Mirae Asset Gold ETF Fund of Fund - Direct Plan - IDCW</t>
  </si>
  <si>
    <t>INF769K01MS7</t>
  </si>
  <si>
    <t>Mirae Asset Gold ETF Fund of Fund - Regular Plan - Growth</t>
  </si>
  <si>
    <t>INF769K01MT5</t>
  </si>
  <si>
    <t>INF769K01MU3</t>
  </si>
  <si>
    <t>Mirae Asset Gold ETF Fund of Fund - Regular Plan - IDCW</t>
  </si>
  <si>
    <t>INF769K01PM3</t>
  </si>
  <si>
    <t>Mirae Asset Gold Silver Passive FoF - Direct Plan - Growth</t>
  </si>
  <si>
    <t>INF769K01PO9</t>
  </si>
  <si>
    <t>INF769K01PN1</t>
  </si>
  <si>
    <t>Mirae Asset Gold Silver Passive FoF - Direct Plan - IDCW</t>
  </si>
  <si>
    <t>INF769K01PP6</t>
  </si>
  <si>
    <t>Mirae Asset Gold Silver Passive FoF - Regular Plan - Growth</t>
  </si>
  <si>
    <t>INF769K01PL5</t>
  </si>
  <si>
    <t>INF769K01PK7</t>
  </si>
  <si>
    <t>Mirae Asset Gold Silver Passive FoF - Regular Plan - IDCW</t>
  </si>
  <si>
    <t>INF769K01HT5</t>
  </si>
  <si>
    <t>Mirae Asset Hang Seng TECH ETF Fund of Fund Regular Plan - Growth Option</t>
  </si>
  <si>
    <t>INF769K01HU3</t>
  </si>
  <si>
    <t>Mirae AssetHang Seng TECH ETF Fund of Fund Direct Plan - Growth Option</t>
  </si>
  <si>
    <t>INF769K01OY1</t>
  </si>
  <si>
    <t>Mirae Asset Income plus Arbitrage Active FOF - Direct Plan - Growth</t>
  </si>
  <si>
    <t>INF769K01PA8</t>
  </si>
  <si>
    <t>INF769K01OZ8</t>
  </si>
  <si>
    <t>Mirae Asset Income plus Arbitrage Active FOF - Direct Plan - IDCW</t>
  </si>
  <si>
    <t>INF769K01OV7</t>
  </si>
  <si>
    <t>Mirae Asset Income plus Arbitrage Active FOF - Regular Plan - Growth</t>
  </si>
  <si>
    <t>INF769K01OX3</t>
  </si>
  <si>
    <t>INF769K01OW5</t>
  </si>
  <si>
    <t>Mirae Asset Income plus Arbitrage Active FOF - Regular Plan - IDCW</t>
  </si>
  <si>
    <t>INF769K01PH3</t>
  </si>
  <si>
    <t>Mirae Asset Multi Factor Passive FOF - Direct Plan - Growth</t>
  </si>
  <si>
    <t>INF769K01PJ9</t>
  </si>
  <si>
    <t>INF769K01PI1</t>
  </si>
  <si>
    <t>Mirae Asset Multi Factor Passive FOF - Direct Plan - IDCW</t>
  </si>
  <si>
    <t>INF769K01PE0</t>
  </si>
  <si>
    <t>Mirae Asset Multi Factor Passive FOF - Regular Plan - Growth</t>
  </si>
  <si>
    <t>INF769K01PG5</t>
  </si>
  <si>
    <t>INF769K01PF7</t>
  </si>
  <si>
    <t>Mirae Asset Multi Factor Passive FOF - Regular Plan - IDCW</t>
  </si>
  <si>
    <t>INF769K01GP5</t>
  </si>
  <si>
    <t>INF769K01GR1</t>
  </si>
  <si>
    <t>Mirae Asset Nifty 100 ESG Sector Leaders Fund  of Fund Direct IDCW</t>
  </si>
  <si>
    <t>INF769K01GM2</t>
  </si>
  <si>
    <t>INF769K01GO8</t>
  </si>
  <si>
    <t>Mirae Asset Nifty 100 ESG Sector Leaders Fund  of Fund Regular IDCW</t>
  </si>
  <si>
    <t>INF769K01GQ3</t>
  </si>
  <si>
    <t>Mirae Asset Nifty 100 ESG Sector Leaders Fund of Fund Direct Growth</t>
  </si>
  <si>
    <t>INF769K01GN0</t>
  </si>
  <si>
    <t>Mirae Asset Nifty 100 ESG Sector Leaders Fund of Fund Regular Growth</t>
  </si>
  <si>
    <t>INF769K01HZ2</t>
  </si>
  <si>
    <t>Mirae Asset Nifty India Manufacturing ETF FOF - Direct Plan - Growth</t>
  </si>
  <si>
    <t>INF769K01HY5</t>
  </si>
  <si>
    <t>INF769K01IA3</t>
  </si>
  <si>
    <t>Mirae Asset Nifty India Manufacturing ETF FOF - Direct Plan- IDCW</t>
  </si>
  <si>
    <t>INF769K01HW9</t>
  </si>
  <si>
    <t>Mirae Asset Nifty India Manufacturing ETF FOF - Regular Plan - Growth</t>
  </si>
  <si>
    <t>INF769K01HV1</t>
  </si>
  <si>
    <t>INF769K01HX7</t>
  </si>
  <si>
    <t>Mirae Asset Nifty India Manufacturing ETF FOF - Regular Plan - IDCW</t>
  </si>
  <si>
    <t>INF769K01NP1</t>
  </si>
  <si>
    <t>Mirae Asset Nifty India New Age Consumption ETF Fund of Fund - Direct Plan - Growth</t>
  </si>
  <si>
    <t>INF769K01NR7</t>
  </si>
  <si>
    <t>INF769K01NQ9</t>
  </si>
  <si>
    <t>Mirae Asset Nifty India New Age Consumption ETF Fund of Fund - Direct Plan - IDCW</t>
  </si>
  <si>
    <t>INF769K01NM8</t>
  </si>
  <si>
    <t>Mirae Asset Nifty India New Age Consumption ETF Fund of Fund - Regular Plan - Growth</t>
  </si>
  <si>
    <t>INF769K01NO4</t>
  </si>
  <si>
    <t>INF769K01NN6</t>
  </si>
  <si>
    <t>Mirae Asset Nifty India New Age Consumption ETF Fund of Fund - Regular Plan - IDCW</t>
  </si>
  <si>
    <t>INF769K01QM1</t>
  </si>
  <si>
    <t>Mirae Asset Nifty Metal ETF FOF - Direct Plan - Growth</t>
  </si>
  <si>
    <t>INF769K01QO7</t>
  </si>
  <si>
    <t>INF769K01QN9</t>
  </si>
  <si>
    <t>Mirae Asset Nifty Metal ETF FOF - Direct Plan - IDCW</t>
  </si>
  <si>
    <t>INF769K01QJ7</t>
  </si>
  <si>
    <t>Mirae Asset Nifty Metal ETF FOF - Regular Plan - Growth</t>
  </si>
  <si>
    <t>INF769K01QL3</t>
  </si>
  <si>
    <t>INF769K01QK5</t>
  </si>
  <si>
    <t>Mirae Asset Nifty Metal ETF FOF - Regular Plan - IDCW</t>
  </si>
  <si>
    <t>INF769K01LN0</t>
  </si>
  <si>
    <t>Mirae Asset Nifty MidSmallcap400 Momentum Quality 100 ETF Fund of Fund - Direct Plan - Growth</t>
  </si>
  <si>
    <t>INF769K01LO8</t>
  </si>
  <si>
    <t>INF769K01LP5</t>
  </si>
  <si>
    <t>Mirae Asset Nifty MidSmallcap400 Momentum Quality 100 ETF Fund of Fund - Direct Plan - IDCW</t>
  </si>
  <si>
    <t>INF769K01LK6</t>
  </si>
  <si>
    <t>Mirae Asset Nifty MidSmallcap400 Momentum Quality 100 ETF Fund of Fund - Regular Plan - Growth</t>
  </si>
  <si>
    <t>INF769K01LL4</t>
  </si>
  <si>
    <t>INF769K01LM2</t>
  </si>
  <si>
    <t>Mirae Asset Nifty MidSmallcap400 Momentum Quality 100 ETF Fund of Fund - Regular Plan - IDCW</t>
  </si>
  <si>
    <t>INF769K01LG4</t>
  </si>
  <si>
    <t>Mirae Asset Nifty Smallcap 250 Momentum Quality 100 ETF Fund of Fund - Direct Plan - Growth</t>
  </si>
  <si>
    <t>INF769K01LH2</t>
  </si>
  <si>
    <t>INF769K01LI0</t>
  </si>
  <si>
    <t>Mirae Asset Nifty Smallcap 250 Momentum Quality 100 ETF Fund of Fund - Direct Plan - IDCW</t>
  </si>
  <si>
    <t>INF769K01LD1</t>
  </si>
  <si>
    <t>Mirae Asset Nifty Smallcap 250 Momentum Quality 100 ETF Fund of Fund - Regular Plan - Growth</t>
  </si>
  <si>
    <t>INF769K01LE9</t>
  </si>
  <si>
    <t>INF769K01LF6</t>
  </si>
  <si>
    <t>Mirae Asset Nifty Smallcap 250 Momentum Quality 100 ETF Fund of Fund - Regular Plan - IDCW</t>
  </si>
  <si>
    <t>INF769K01LU5</t>
  </si>
  <si>
    <t>Mirae Asset Nifty200 Alpha 30 ETF Fund of Fund - Direct Plan - Growth</t>
  </si>
  <si>
    <t>INF769K01LV3</t>
  </si>
  <si>
    <t>INF769K01LW1</t>
  </si>
  <si>
    <t>Mirae Asset Nifty200 Alpha 30 ETF Fund of Fund - Direct Plan - IDCW</t>
  </si>
  <si>
    <t>INF769K01LR1</t>
  </si>
  <si>
    <t>Mirae Asset Nifty200 Alpha 30 ETF Fund of Fund - Regular Plan - Growth</t>
  </si>
  <si>
    <t>INF769K01LS9</t>
  </si>
  <si>
    <t>INF769K01LT7</t>
  </si>
  <si>
    <t>Mirae Asset Nifty200 Alpha 30 ETF Fund of Fund - Regular Plan - IDCW</t>
  </si>
  <si>
    <t>INF769K01HH0</t>
  </si>
  <si>
    <t>Mirae Asset NYSE FANG + ETF Fund of Fund Direct Growth</t>
  </si>
  <si>
    <t>INF769K01HG2</t>
  </si>
  <si>
    <t>Mirae Asset NYSE FANG + ETF Fund of Fund Regular Growth</t>
  </si>
  <si>
    <t>INF769K01HR9</t>
  </si>
  <si>
    <t>Mirae Asset S&amp;P 500 Top 50 ETF Fund of Fund Direct Growth</t>
  </si>
  <si>
    <t>INF769K01HQ1</t>
  </si>
  <si>
    <t>Mirae Asset S&amp;P 500 Top 50 ETF Fund of Fund Regular Growth</t>
  </si>
  <si>
    <t>INF769K01QS8</t>
  </si>
  <si>
    <t>Mirae Asset Silver ETF FOF - Direct Plan - Growth</t>
  </si>
  <si>
    <t>INF769K01QT6</t>
  </si>
  <si>
    <t>INF769K01QU4</t>
  </si>
  <si>
    <t>Mirae Asset Silver ETF FOF - Direct Plan - IDCW</t>
  </si>
  <si>
    <t>INF769K01QP4</t>
  </si>
  <si>
    <t>Mirae Asset Silver ETF FOF - Regular Plan - Growth</t>
  </si>
  <si>
    <t>INF769K01QQ2</t>
  </si>
  <si>
    <t>INF769K01QR0</t>
  </si>
  <si>
    <t>Mirae Asset Silver ETF FOF - Regular Plan - IDCW</t>
  </si>
  <si>
    <t>INF247L01AQ1</t>
  </si>
  <si>
    <t>Motilal Oswal 5 Year G-Sec Fund Of Fund Direct -Growth</t>
  </si>
  <si>
    <t>INF247L01AR9</t>
  </si>
  <si>
    <t>Motilal Oswal 5 Year G-Sec Fund Of Fund Regular -Growth</t>
  </si>
  <si>
    <t>INF247L01AL2</t>
  </si>
  <si>
    <t>INF247L01AM0</t>
  </si>
  <si>
    <t>INF247L01AN8</t>
  </si>
  <si>
    <t>Motilal Oswal Asset Allocation FOF- C- Direct Growth</t>
  </si>
  <si>
    <t>INF247L01AO6</t>
  </si>
  <si>
    <t>Motilal Oswal Asset Allocation FOF- C- Regular Growth</t>
  </si>
  <si>
    <t>INF247L01GL9</t>
  </si>
  <si>
    <t>Motilal Oswal Diversified Equity Flexicap Passive Fund of Funds- Direct - Growth</t>
  </si>
  <si>
    <t>INF247L01GM7</t>
  </si>
  <si>
    <t>Motilal Oswal Diversified Equity Flexicap Passive Fund of funds- Regular Growth</t>
  </si>
  <si>
    <t>INF247L01BM8</t>
  </si>
  <si>
    <t>Motilal Oswal Gold and Silver Passive Fund of Funds(Direct Plan)</t>
  </si>
  <si>
    <t>INF247L01BN6</t>
  </si>
  <si>
    <t>Motilal Oswal Gold and Silver Passive Fund of Funds(Regular Plan)</t>
  </si>
  <si>
    <t>INF247L01GT2</t>
  </si>
  <si>
    <t>Motilal Oswal Multi Factor Passive Fund of Funds - Direct</t>
  </si>
  <si>
    <t>INF247L01GU0</t>
  </si>
  <si>
    <t>Motilal Oswal Multi Factor Passive Fund of Funds - Regular</t>
  </si>
  <si>
    <t>INF247L01718</t>
  </si>
  <si>
    <t>Motilal Oswal Nasdaq 100 Fund of Fund- Direct Plan Growth</t>
  </si>
  <si>
    <t>INF247L01700</t>
  </si>
  <si>
    <t>Motilal Oswal Nasdaq 100 Fund of Fund- Regular Plan Growth</t>
  </si>
  <si>
    <t>INF204KB16X6</t>
  </si>
  <si>
    <t>Nippon India Diversified Equity Flexicap Passive FoF - Direct Plan - Growth Option</t>
  </si>
  <si>
    <t>INF204KB14X1</t>
  </si>
  <si>
    <t>INF204KB15X8</t>
  </si>
  <si>
    <t>Nippon India Diversified Equity Flexicap Passive FoF - IDCW Option</t>
  </si>
  <si>
    <t>INF204KB13X3</t>
  </si>
  <si>
    <t>Nippon India Diversified Equity Flexicap Passive FoF - Regular Plan - Growth Option</t>
  </si>
  <si>
    <t>INF204KB17X4</t>
  </si>
  <si>
    <t>INF204KB18X2</t>
  </si>
  <si>
    <t>Nippon India Diversified Equity Flexicap Passive FoF- DIRECT Plan - IDCW Option</t>
  </si>
  <si>
    <t>INF204K01YD2</t>
  </si>
  <si>
    <t>INF204K01YE0</t>
  </si>
  <si>
    <t>NIPPON INDIA GOLD SAVINGS FUND - Direct Plan - IDCW Option</t>
  </si>
  <si>
    <t>INF204K01YC4</t>
  </si>
  <si>
    <t>Nippon India Gold Savings Fund - Direct Plan Growth Plan - Growth Option</t>
  </si>
  <si>
    <t>INF204K01KO8</t>
  </si>
  <si>
    <t>INF204K01KP5</t>
  </si>
  <si>
    <t>NIPPON INDIA GOLD SAVINGS FUND - IDCW Option</t>
  </si>
  <si>
    <t>INF204K01KN0</t>
  </si>
  <si>
    <t>Nippon India Gold Savings Fund-Growth plan- Growth Option</t>
  </si>
  <si>
    <t>INF204KC1FK2</t>
  </si>
  <si>
    <t>INF204KC1FL0</t>
  </si>
  <si>
    <t>Nippon India Income Plus Arbitrage Active Fund of Fund - Direct Plan-IDCW Payout</t>
  </si>
  <si>
    <t>INF204KC1FH8</t>
  </si>
  <si>
    <t>INF204KC1FI6</t>
  </si>
  <si>
    <t>Nippon India Income Plus Arbitrage Active Fund of Fund - Regular Plan- IDCW Payout</t>
  </si>
  <si>
    <t>INF204KC1FG0</t>
  </si>
  <si>
    <t>Nippon India Income Plus Arbitrage Active Fund of Fund -Regular Plan- Growth Option</t>
  </si>
  <si>
    <t>INF204KC1FJ4</t>
  </si>
  <si>
    <t>Nippon India Income Plus Arbitrage Active Fund of Fund- Direct Plan- Growth Option</t>
  </si>
  <si>
    <t>INF204KB16Y4</t>
  </si>
  <si>
    <t>Nippon India Multi - Asset Omni FoF - Direct Plan - Growth Option</t>
  </si>
  <si>
    <t>INF204KB17Y2</t>
  </si>
  <si>
    <t>INF204KB18Y0</t>
  </si>
  <si>
    <t>Nippon India Multi - Asset Omni FoF - DIRECT Plan - IDCW Option</t>
  </si>
  <si>
    <t>INF204KB14Y9</t>
  </si>
  <si>
    <t>INF204KB15Y6</t>
  </si>
  <si>
    <t>Nippon India Multi - Asset Omni FoF - IDCW Option</t>
  </si>
  <si>
    <t>INF204KB13Y1</t>
  </si>
  <si>
    <t>Nippon India Multi - Asset Omni FoF - Regular Plan - Growth Option</t>
  </si>
  <si>
    <t>INF204KB1X25</t>
  </si>
  <si>
    <t>Nippon India Nifty Next 50 Junior BeES FoF - Direct Plan - Growth Plan - Growth Option</t>
  </si>
  <si>
    <t>INF204KB1X41</t>
  </si>
  <si>
    <t>INF204KB1X33</t>
  </si>
  <si>
    <t>NIPPON INDIA NIFTY NEXT 50 JUNIOR BEES FOF - DIRECT Plan - IDCW Option</t>
  </si>
  <si>
    <t>INF204KB1W91</t>
  </si>
  <si>
    <t>Nippon India Nifty Next 50 Junior BeES FoF - Growth Plan - Growth Option</t>
  </si>
  <si>
    <t>INF204KB1X17</t>
  </si>
  <si>
    <t>INF204KB1X09</t>
  </si>
  <si>
    <t>NIPPON INDIA NIFTY NEXT 50 JUNIOR BEES FOF - IDCW Option</t>
  </si>
  <si>
    <t>INF204KC1378</t>
  </si>
  <si>
    <t>Nippon India Silver ETF FOF- Direct Plan-Growth Option</t>
  </si>
  <si>
    <t>INF204KC1386</t>
  </si>
  <si>
    <t>INF204KC1394</t>
  </si>
  <si>
    <t>Nippon India Silver ETF FOF- Direct Plan-IDCW Option</t>
  </si>
  <si>
    <t>INF204KC1352</t>
  </si>
  <si>
    <t>INF204KC1360</t>
  </si>
  <si>
    <t>Nippon India Silver ETF FOF- Regular Plan-IDCW Option</t>
  </si>
  <si>
    <t>INF204KC1345</t>
  </si>
  <si>
    <t>Nippon India Silver ETF FOF-Regular Plan- Growth Option</t>
  </si>
  <si>
    <t>INF082J01093</t>
  </si>
  <si>
    <t>Quantum Diversified Equity All Cap Active FOF - Direct Plan Growth Option</t>
  </si>
  <si>
    <t>INF082J01101</t>
  </si>
  <si>
    <t>INF082J01119</t>
  </si>
  <si>
    <t>Quantum Diversified Equity All Cap Active FOF - Direct Plan IDCW</t>
  </si>
  <si>
    <t>INF082J01275</t>
  </si>
  <si>
    <t>Quantum Diversified Equity All Cap Active FOF - Regular Plan Growth Option</t>
  </si>
  <si>
    <t>INF082J01283</t>
  </si>
  <si>
    <t>INF082J01291</t>
  </si>
  <si>
    <t>Quantum Diversified Equity All Cap Active FOF - Regular Plan IDCW</t>
  </si>
  <si>
    <t>INF082J01150</t>
  </si>
  <si>
    <t>Quantum Gold Savings Fund - Direct Plan Growth Option</t>
  </si>
  <si>
    <t>INF082J01358</t>
  </si>
  <si>
    <t>Quantum Gold Savings Fund - Regular Plan Growth Option</t>
  </si>
  <si>
    <t>INF082J01168</t>
  </si>
  <si>
    <t>Quantum Multi Asset Active FOF - Direct Plan Growth Option</t>
  </si>
  <si>
    <t>INF082J01341</t>
  </si>
  <si>
    <t>Quantum Multi Asset Active FOF - Regular Plan Growth Option</t>
  </si>
  <si>
    <t>INF082J01416</t>
  </si>
  <si>
    <t>Quantum Nifty 50 ETF Fund of Fund - Direct Plan - Growth</t>
  </si>
  <si>
    <t>INF082J01424</t>
  </si>
  <si>
    <t>Quantum Nifty 50 ETF Fund of Fund - Regular Plan - Growth</t>
  </si>
  <si>
    <t>INF200KB1AA9</t>
  </si>
  <si>
    <t>SBI Dynamic Asset Allocation Active FoF - Direct Plan - Growth</t>
  </si>
  <si>
    <t>INF200KB1977</t>
  </si>
  <si>
    <t>SBI Dynamic Asset Allocation Active FoF - Regular Plan - Growth</t>
  </si>
  <si>
    <t>INF200KB1985</t>
  </si>
  <si>
    <t>INF200KB1993</t>
  </si>
  <si>
    <t>SBI Dynamic Asset Allocation Active FoF - Regular Plan - Income Distribution Cum Capital Withdrawal Option</t>
  </si>
  <si>
    <t>INF200KB1AB7</t>
  </si>
  <si>
    <t>INF200KB1AC5</t>
  </si>
  <si>
    <t>SBI Dynamic Asset Allocation Active FoF- Direct Plan- Income Cum Distribution Capital Withdrawal Option</t>
  </si>
  <si>
    <t>INF200K01RN3</t>
  </si>
  <si>
    <t>INF200K01RO1</t>
  </si>
  <si>
    <t>SBI Gold Fund - Direct Plan - Income Distribution cum Capital Withdrawal Option (IDCW)</t>
  </si>
  <si>
    <t>INF200K01HB9</t>
  </si>
  <si>
    <t>INF200K01HC7</t>
  </si>
  <si>
    <t>SBI Gold Fund - Regular Plan - Income Distribution cum Capital Withdrawal Option (IDCW)</t>
  </si>
  <si>
    <t>INF200K01HA1</t>
  </si>
  <si>
    <t>SBI GOLD FUND REGULAR PLAN - GROWTH</t>
  </si>
  <si>
    <t>INF200K01RP8</t>
  </si>
  <si>
    <t>SBI GOLD FUND- DIRECT PLAN - GROWTH</t>
  </si>
  <si>
    <t>INF200KB1753</t>
  </si>
  <si>
    <t>SBI Income Plus Arbitrage Active FOF- Direct Plan- Growth</t>
  </si>
  <si>
    <t>INF200KB1761</t>
  </si>
  <si>
    <t>INF200KB1779</t>
  </si>
  <si>
    <t>SBI Income Plus Arbitrage Active FOF- Direct Plan- Income Distribution Cum Capital Withdrawal Option</t>
  </si>
  <si>
    <t>INF200KB1720</t>
  </si>
  <si>
    <t>SBI Income Plus Arbitrage Active FOF- Regular Plan- Growth</t>
  </si>
  <si>
    <t>INF200KB1738</t>
  </si>
  <si>
    <t>INF200KB1746</t>
  </si>
  <si>
    <t>SBI Income Plus Arbitrage Active FOF- Regular Plan- Income Distribution Cum Capital Withdrawal Option</t>
  </si>
  <si>
    <t>INF200KB1225</t>
  </si>
  <si>
    <t>INF200KB1274</t>
  </si>
  <si>
    <t>SBI Silver ETF FOF- Regular Plan - Income Distribution Cum Capital Withdrawal Option (IDCW)</t>
  </si>
  <si>
    <t>INF200KB1233</t>
  </si>
  <si>
    <t>SBI Silver ETF Fund of Fund- Direct Plan - Growth</t>
  </si>
  <si>
    <t>INF200KB1241</t>
  </si>
  <si>
    <t>INF200KB1258</t>
  </si>
  <si>
    <t>SBI Silver ETF Fund of Fund- Direct Plan - Income Distribution Cum Capital Withdrawal Option (IDCW)</t>
  </si>
  <si>
    <t>INF200KB1266</t>
  </si>
  <si>
    <t>SBI Silver ETF Fund of Fund- Regular Plan - Growth</t>
  </si>
  <si>
    <t>INF903JA1LZ7</t>
  </si>
  <si>
    <t>Sundaram Income Plus Arbitrage Active FoF Fund-Direct-Growth</t>
  </si>
  <si>
    <t>INF903JA1MA8</t>
  </si>
  <si>
    <t>Sundaram Income Plus Arbitrage Active FoF Fund-Direct-IDCW Payout</t>
  </si>
  <si>
    <t>INF903JA1MC4</t>
  </si>
  <si>
    <t>Sundaram Income Plus Arbitrage Active FoF Fund-Regular-Growth</t>
  </si>
  <si>
    <t>INF903JA1MD2</t>
  </si>
  <si>
    <t>Sundaram Income Plus Arbitrage Active FoF Fund-Regular-IDCW Payout</t>
  </si>
  <si>
    <t>INF277KA1869</t>
  </si>
  <si>
    <t>Tata Gold ETF Fund of Fund Direct Plan Growth Option</t>
  </si>
  <si>
    <t>INF277KA1885</t>
  </si>
  <si>
    <t>Tata Gold ETF Fund of Fund Direct Plan IDCW Payout Option</t>
  </si>
  <si>
    <t>INF277KA1877</t>
  </si>
  <si>
    <t>Tata Gold ETF Fund of Fund Direct Plan IDCW Reinvestment Option</t>
  </si>
  <si>
    <t>INF277KA1901</t>
  </si>
  <si>
    <t>Tata Gold ETF Fund of Fund Regular Plan Growth Option</t>
  </si>
  <si>
    <t>INF277KA1851</t>
  </si>
  <si>
    <t>Tata Gold ETF Fund of Fund Regular Plan IDCW Payout Option</t>
  </si>
  <si>
    <t>INF277KA1919</t>
  </si>
  <si>
    <t>Tata Gold ETF Fund of Fund Regular Plan IDCW Reinvestment Option</t>
  </si>
  <si>
    <t>INF277KA1DT2</t>
  </si>
  <si>
    <t>Tata Income Plus Arbitrage Active FOF - Direct Plan Growth Option</t>
  </si>
  <si>
    <t>INF277KA1DV8</t>
  </si>
  <si>
    <t>Tata Income Plus Arbitrage Active FOF - Direct Plan IDCW Payout Option</t>
  </si>
  <si>
    <t>INF277KA1DU0</t>
  </si>
  <si>
    <t>Tata Income Plus Arbitrage Active FOF - Direct Plan IDCW Reinvestment Option</t>
  </si>
  <si>
    <t>INF277KA1DQ8</t>
  </si>
  <si>
    <t>Tata Income Plus Arbitrage Active FOF - Regular Plan Growth Option</t>
  </si>
  <si>
    <t>INF277KA1DS4</t>
  </si>
  <si>
    <t>Tata Income Plus Arbitrage Active FOF - Regular Plan IDCW Payout Option</t>
  </si>
  <si>
    <t>INF277KA1DR6</t>
  </si>
  <si>
    <t>Tata Income Plus Arbitrage Active FOF - Regular Plan IDCW Reinvestment Option</t>
  </si>
  <si>
    <t>INF277KA1463</t>
  </si>
  <si>
    <t>Tata Nifty India Digital ETF Fund of Fund -Regular Plan-Growth</t>
  </si>
  <si>
    <t>INF277KA1455</t>
  </si>
  <si>
    <t>Tata Nifty India Digital ETF Fund of Fund-Direct Plan- IDCW Reinvestment</t>
  </si>
  <si>
    <t>INF277KA1430</t>
  </si>
  <si>
    <t>Tata Nifty India Digital ETF Fund of Fund-Direct Plan-Growth</t>
  </si>
  <si>
    <t>INF277KA1448</t>
  </si>
  <si>
    <t>Tata Nifty India Digital ETF Fund of Fund-Direct Plan-IDCW Payout</t>
  </si>
  <si>
    <t>INF277KA1471</t>
  </si>
  <si>
    <t>Tata Nifty India Digital ETF Fund of Fund-Regular Plan-IDCW Payout</t>
  </si>
  <si>
    <t>INF277KA1489</t>
  </si>
  <si>
    <t>Tata Nifty India Digital ETF Fund of Fund-Regular Plan-IDCW Reinvestment</t>
  </si>
  <si>
    <t>INF277KA1943</t>
  </si>
  <si>
    <t>Tata Silver ETF Fund of Fund Direct Plan Growth Option</t>
  </si>
  <si>
    <t>INF277KA1968</t>
  </si>
  <si>
    <t>Tata Silver ETF Fund of Fund Direct Plan IDCW Payout Option</t>
  </si>
  <si>
    <t>INF277KA1950</t>
  </si>
  <si>
    <t>Tata Silver ETF Fund of Fund Direct Plan IDCW Reinvestment Option</t>
  </si>
  <si>
    <t>INF277KA1893</t>
  </si>
  <si>
    <t>Tata Silver ETF Fund of Fund Regular Plan Growth Option</t>
  </si>
  <si>
    <t>INF277KA1935</t>
  </si>
  <si>
    <t>Tata Silver ETF Fund of Fund Regular Plan IDCW Payout Option</t>
  </si>
  <si>
    <t>INF277KA1927</t>
  </si>
  <si>
    <t>Tata Silver ETF Fund of Fund Regular Plan IDCW Reinvestment Option</t>
  </si>
  <si>
    <t>INF2F0001412</t>
  </si>
  <si>
    <t>THE WEALTH COMPANY GOLD ETF FOF DIRECT GROWTH</t>
  </si>
  <si>
    <t>INF2F0001420</t>
  </si>
  <si>
    <t>INF2F0001438</t>
  </si>
  <si>
    <t>THE WEALTH COMPANY GOLD ETF FOF DIRECT IDCW</t>
  </si>
  <si>
    <t>INF2F0001388</t>
  </si>
  <si>
    <t>THE WEALTH COMPANY GOLD ETF FOF REGULAR GROWTH</t>
  </si>
  <si>
    <t>INF2F0001396</t>
  </si>
  <si>
    <t>INF2F0001404</t>
  </si>
  <si>
    <t>THE WEALTH COMPANY GOLD ETF FOF REGULAR IDCW</t>
  </si>
  <si>
    <t>INF582M01LZ7</t>
  </si>
  <si>
    <t>Union Diversified Equity All Cap Active FOF - Direct Plan - Growth Option</t>
  </si>
  <si>
    <t>INF582M01MA8</t>
  </si>
  <si>
    <t>INF582M01MB6</t>
  </si>
  <si>
    <t>Union Diversified Equity All Cap Active FOF - Direct Plan - IDCW Option</t>
  </si>
  <si>
    <t>INF582M01LV6</t>
  </si>
  <si>
    <t>Union Diversified Equity All Cap Active FOF - Regular Plan - Growth Option</t>
  </si>
  <si>
    <t>INF582M01LW4</t>
  </si>
  <si>
    <t>INF582M01LX2</t>
  </si>
  <si>
    <t>Union Diversified Equity All Cap Active FOF - Regular Plan - IDCW Option</t>
  </si>
  <si>
    <t>INF582M01LA0</t>
  </si>
  <si>
    <t>Union Gold ETF Fund of Fund - Direct Plan - Growth Option</t>
  </si>
  <si>
    <t>INF582M01KW6</t>
  </si>
  <si>
    <t>INF582M01KX4</t>
  </si>
  <si>
    <t>Union Gold ETF Fund of Fund - Direct Plan - IDCW Option</t>
  </si>
  <si>
    <t>INF582M01KT2</t>
  </si>
  <si>
    <t>Union Gold ETF Fund of Fund - Regular Plan - Growth Option</t>
  </si>
  <si>
    <t>INF582M01KU0</t>
  </si>
  <si>
    <t>INF582M01KV8</t>
  </si>
  <si>
    <t>Union Gold ETF Fund of Fund - Regular Plan - IDCW Option</t>
  </si>
  <si>
    <t>INF582M01LF9</t>
  </si>
  <si>
    <t>Union Income Plus Arbitrage Active FOF - Direct Plan - Growth Option</t>
  </si>
  <si>
    <t>INF582M01LG7</t>
  </si>
  <si>
    <t>INF582M01LH5</t>
  </si>
  <si>
    <t>Union Income Plus Arbitrage Active FOF - Direct Plan - IDCW Option</t>
  </si>
  <si>
    <t>INF582M01LB8</t>
  </si>
  <si>
    <t>Union Income Plus Arbitrage Active FOF - Regular Plan - Growth Option</t>
  </si>
  <si>
    <t>INF582M01LC6</t>
  </si>
  <si>
    <t>INF582M01LD4</t>
  </si>
  <si>
    <t>Union Income Plus Arbitrage Active FOF - Regular Plan - IDCW Option</t>
  </si>
  <si>
    <t>INF789F1AWB9</t>
  </si>
  <si>
    <t>UTI Gold ETF Fund of Fund - Direct Plan - Growth Option</t>
  </si>
  <si>
    <t>INF789F1AWA1</t>
  </si>
  <si>
    <t>UTI Gold ETF Fund of Fund - Regular Plan - Growth Opton</t>
  </si>
  <si>
    <t>INF789F1AB55</t>
  </si>
  <si>
    <t>UTI Income Plus Arbitrage Active Fund of Fund - Direct Plan - Growth Option</t>
  </si>
  <si>
    <t>INF789F1AB63</t>
  </si>
  <si>
    <t>UTI Income Plus Arbitrage Active Fund of Fund - Regular Plan - Growth Option</t>
  </si>
  <si>
    <t>INF789F1AYL4</t>
  </si>
  <si>
    <t>UTI Silver ETF Fund of Fund - Direct Plan - Growth Option</t>
  </si>
  <si>
    <t>INF789F1AYM2</t>
  </si>
  <si>
    <t>UTI Silver ETF Fund of Fund - Regular Plan - Growth Option</t>
  </si>
  <si>
    <t>INF0R8F01083</t>
  </si>
  <si>
    <t>Zerodha Gold ETF FoF-Direct Plan - Growth Option</t>
  </si>
  <si>
    <t>INF0R8F01117</t>
  </si>
  <si>
    <t>Zerodha Multi Asset Passive FoF - Direct - Growth</t>
  </si>
  <si>
    <t>INF0R8F01109</t>
  </si>
  <si>
    <t>Zerodha Silver ETF FoF - Direct Growth</t>
  </si>
  <si>
    <t>INF084M01EC8</t>
  </si>
  <si>
    <t>INF084M01ED6</t>
  </si>
  <si>
    <t>Aditya Birla Sun Life Global Emerging Opportunities Fund - Direct - IDCW</t>
  </si>
  <si>
    <t>INF084M01EB0</t>
  </si>
  <si>
    <t>Aditya Birla Sun Life Global Emerging Opportunities Fund - Direct plan - Growth Option</t>
  </si>
  <si>
    <t>INF084M01AU8</t>
  </si>
  <si>
    <t>INF084M01AV6</t>
  </si>
  <si>
    <t>Aditya Birla Sun Life Global Emerging Opportunities Fund - Regular - IDCW</t>
  </si>
  <si>
    <t>INF084M01AT0</t>
  </si>
  <si>
    <t>Aditya Birla SUn Life Global Emerging Opportunities Fund - Regular Plan - Growth Option</t>
  </si>
  <si>
    <t>INF084M01EH7</t>
  </si>
  <si>
    <t>Aditya Birla Sun Life Global Excellence Equity Fund Of Fund - Retail Plan - Direct Plan - Growth Option</t>
  </si>
  <si>
    <t>INF084M01AZ7</t>
  </si>
  <si>
    <t>Aditya Birla Sun Life Global Excellence Equity Fund Of Fund- Retail Plan - Regular Plan - Growth Option</t>
  </si>
  <si>
    <t>INF084M01EI5</t>
  </si>
  <si>
    <t>INF084M01EJ3</t>
  </si>
  <si>
    <t>Aditya Birla Sun Life Global Excellence Equity Fund Of Fund-DIRECT - RETAIL - IDCW</t>
  </si>
  <si>
    <t>INF084M01BA8</t>
  </si>
  <si>
    <t>INF084M01BB6</t>
  </si>
  <si>
    <t>Aditya Birla Sun Life Global Excellence Equity Fund Of Fund-REGULAR - RETAIL - IDCW</t>
  </si>
  <si>
    <t>INF209KB19C3</t>
  </si>
  <si>
    <t>INF209KB10D0</t>
  </si>
  <si>
    <t>Aditya Birla Sun Life US Equity Passive FOF-Direct IDCW</t>
  </si>
  <si>
    <t>INF209KB18C5</t>
  </si>
  <si>
    <t>Aditya Birla Sun Life US Equity Passive FOF-Direct-Growth</t>
  </si>
  <si>
    <t>INF209KB15C1</t>
  </si>
  <si>
    <t>Aditya Birla Sun Life US Equity Passive FOF-Regular Growth</t>
  </si>
  <si>
    <t>INF209KB16C9</t>
  </si>
  <si>
    <t>INF209KB17C7</t>
  </si>
  <si>
    <t>Aditya Birla Sun Life US Equity Passive FOF-Regular IDCW</t>
  </si>
  <si>
    <t>INF209KB16W7</t>
  </si>
  <si>
    <t>Aditya Birla Sun Life US Treasury 1-3 Year Bond ETFs Fund Of Funds-Direct Growth</t>
  </si>
  <si>
    <t>INF209KB17W5</t>
  </si>
  <si>
    <t>INF209KB18W3</t>
  </si>
  <si>
    <t>Aditya Birla Sun Life US Treasury 1-3 Year Bond ETFs Fund Of Funds-Direct IDCW Payout</t>
  </si>
  <si>
    <t>INF209KB13W4</t>
  </si>
  <si>
    <t>Aditya Birla Sun Life US Treasury 1-3 Year Bond ETFs Fund Of Funds-Regular Growth</t>
  </si>
  <si>
    <t>INF209KB14W2</t>
  </si>
  <si>
    <t>INF209KB15W9</t>
  </si>
  <si>
    <t>Aditya Birla Sun Life US Treasury 1-3 Year Bond ETFs Fund Of Funds-Regular IDCW</t>
  </si>
  <si>
    <t>INF209KB12X4</t>
  </si>
  <si>
    <t>Aditya Birla Sun Life US Treasury 3-10 Year Bond ETFs Fund Of Funds-Direct Growth</t>
  </si>
  <si>
    <t>INF209KB13X2</t>
  </si>
  <si>
    <t>INF209KB14X0</t>
  </si>
  <si>
    <t>Aditya Birla Sun Life US Treasury 3-10 Year Bond ETFs Fund Of Funds-Direct IDCW</t>
  </si>
  <si>
    <t>INF209KB19W1</t>
  </si>
  <si>
    <t>Aditya Birla Sun Life US Treasury 3-10 Year Bond ETFs Fund Of Funds-Regular Growth</t>
  </si>
  <si>
    <t>INF209KB10X8</t>
  </si>
  <si>
    <t>INF209KB11X6</t>
  </si>
  <si>
    <t>Aditya Birla Sun Life US Treasury 3-10 Year Bond ETFs Fund Of Funds-Regular IDCW</t>
  </si>
  <si>
    <t>INF846K01X06</t>
  </si>
  <si>
    <t>Axis Global Equity Alpha Fund of Fund - Direct Plan - Growth Option</t>
  </si>
  <si>
    <t>INF846K01X14</t>
  </si>
  <si>
    <t>INF846K01X22</t>
  </si>
  <si>
    <t>Axis Global Equity Alpha Fund of Fund - Direct Plan - IDCW</t>
  </si>
  <si>
    <t>INF846K01X30</t>
  </si>
  <si>
    <t>Axis Global Equity Alpha Fund of Fund - Regular Plan - Growth Option</t>
  </si>
  <si>
    <t>INF846K01X48</t>
  </si>
  <si>
    <t>INF846K01X55</t>
  </si>
  <si>
    <t>Axis Global Equity Alpha Fund of Fund - Regular Plan - IDCW</t>
  </si>
  <si>
    <t>INF846K01Z20</t>
  </si>
  <si>
    <t>Axis Global Innovation Fund of Fund - Direct Plan - Growth</t>
  </si>
  <si>
    <t>INF846K01Z38</t>
  </si>
  <si>
    <t>INF846K01Z46</t>
  </si>
  <si>
    <t>Axis Global Innovation Fund of Fund - Direct Plan - IDCW</t>
  </si>
  <si>
    <t>INF846K01Z53</t>
  </si>
  <si>
    <t>Axis Global Innovation Fund of Fund - Regular Plan - Growth</t>
  </si>
  <si>
    <t>INF846K01Z61</t>
  </si>
  <si>
    <t>INF846K01Z79</t>
  </si>
  <si>
    <t>Axis Global Innovation Fund of Fund - Regular Plan - IDCW</t>
  </si>
  <si>
    <t>INF846K01Y39</t>
  </si>
  <si>
    <t>Axis Greater China Equity Fund of Fund - Direct Plan - Growth Option</t>
  </si>
  <si>
    <t>INF846K01Y47</t>
  </si>
  <si>
    <t>INF846K01Y54</t>
  </si>
  <si>
    <t>Axis Greater China Equity Fund of Fund - Direct Plan - IDCW</t>
  </si>
  <si>
    <t>INF846K01Y62</t>
  </si>
  <si>
    <t>Axis Greater China Equity Fund of Fund - Regular Plan - Growth Option</t>
  </si>
  <si>
    <t>INF846K01Y70</t>
  </si>
  <si>
    <t>INF846K01Y88</t>
  </si>
  <si>
    <t>Axis Greater China Equity Fund of Fund - Regular Plan - IDCW</t>
  </si>
  <si>
    <t>INF846K012K9</t>
  </si>
  <si>
    <t>Axis NASDAQ 100 US Specific Equity Passive FOF - Direct Plan - Growth</t>
  </si>
  <si>
    <t>INF846K013K7</t>
  </si>
  <si>
    <t>INF846K014K5</t>
  </si>
  <si>
    <t>Axis NASDAQ 100 US Specific Equity Passive FOF - Direct Plan - IDCW</t>
  </si>
  <si>
    <t>INF846K015K2</t>
  </si>
  <si>
    <t>Axis NASDAQ 100 US Specific Equity Passive FOF - Regular Plan - Growth</t>
  </si>
  <si>
    <t>INF846K016K0</t>
  </si>
  <si>
    <t>INF846K017K8</t>
  </si>
  <si>
    <t>Axis NASDAQ 100 US Specific Equity Passive FOF - Regular Plan - IDCW</t>
  </si>
  <si>
    <t>INF846K017T9</t>
  </si>
  <si>
    <t>Axis US Specific Treasury Dynamic Debt Passive FOF - Direct Plan - Growth Option</t>
  </si>
  <si>
    <t>INF846K018T7</t>
  </si>
  <si>
    <t>INF846K019T5</t>
  </si>
  <si>
    <t>Axis US Specific Treasury Dynamic Debt Passive FOF - Direct Plan - IDCW Option</t>
  </si>
  <si>
    <t>INF846K013T8</t>
  </si>
  <si>
    <t>Axis US Specific Treasury Dynamic Debt Passive FOF - Regular Plan - Growth Option</t>
  </si>
  <si>
    <t>INF846K014T6</t>
  </si>
  <si>
    <t>INF846K016T1</t>
  </si>
  <si>
    <t>Axis US Specific Treasury Dynamic Debt Passive FOF - Regular Plan - IDCW Option</t>
  </si>
  <si>
    <t>INF194KB1CF2</t>
  </si>
  <si>
    <t>Bandhan US specific Equity Active FOF - GROWTH - DIRECT PLAN</t>
  </si>
  <si>
    <t>INF194KB1CC9</t>
  </si>
  <si>
    <t>Bandhan US specific Equity Active FOF - GROWTH - REGULAR PLAN</t>
  </si>
  <si>
    <t>INF194KB1CG0</t>
  </si>
  <si>
    <t>Bandhan US specific Equity Active FOF - IDCW - DIRECT PLAN</t>
  </si>
  <si>
    <t>INF194KB1CD7</t>
  </si>
  <si>
    <t>Bandhan US specific Equity Active FOF - IDCW - REGULAR PLAN</t>
  </si>
  <si>
    <t>INF194KB1FV2</t>
  </si>
  <si>
    <t>Bandhan US Treasury Bond 0-1 year specific Debt Passive FOF - DIRECT PLAN - GROWTH</t>
  </si>
  <si>
    <t>INF194KB1FW0</t>
  </si>
  <si>
    <t>INF194KB1GA4</t>
  </si>
  <si>
    <t>Bandhan US Treasury Bond 0-1 year specific Debt Passive FOF - DIRECT PLAN - IDCW</t>
  </si>
  <si>
    <t>INF194KB1FT6</t>
  </si>
  <si>
    <t>Bandhan US Treasury Bond 0-1 year specific Debt Passive FOF - REGULAR PLAN - GROWTH</t>
  </si>
  <si>
    <t>INF194KB1FU4</t>
  </si>
  <si>
    <t>INF194KB1FZ3</t>
  </si>
  <si>
    <t>Bandhan US Treasury Bond 0-1 year specific Debt Passive FOF- REGULAR PLAN- IDCW</t>
  </si>
  <si>
    <t>INF251K01QT5</t>
  </si>
  <si>
    <t>Baroda BNP Paribas Aqua Fund of Fund - Direct Plan - Growth Option</t>
  </si>
  <si>
    <t>INF251K01QU3</t>
  </si>
  <si>
    <t>INF251K01QV1</t>
  </si>
  <si>
    <t>Baroda BNP Paribas Aqua Fund of Fund - Direct Plan - IDCW Option</t>
  </si>
  <si>
    <t>INF251K01QR9</t>
  </si>
  <si>
    <t>INF251K01QS7</t>
  </si>
  <si>
    <t>Baroda BNP Paribas Aqua Fund of Fund - Regular Plan - IDCW Option</t>
  </si>
  <si>
    <t>INF251K01QQ1</t>
  </si>
  <si>
    <t>Baroda BNP Paribas Aqua Fund of Fund - Regular Plan Growth</t>
  </si>
  <si>
    <t>INF740K01PD3</t>
  </si>
  <si>
    <t>INF740K01PE1</t>
  </si>
  <si>
    <t>DSP Global Clean Energy Overseas Equity Omni FoF - Direct Plan - IDCW</t>
  </si>
  <si>
    <t>INF740K01284</t>
  </si>
  <si>
    <t>DSP Global Clean Energy Overseas Equity Omni FoF - Regular Plan - Growth</t>
  </si>
  <si>
    <t>INF740K01292</t>
  </si>
  <si>
    <t>INF740K01300</t>
  </si>
  <si>
    <t>DSP Global Clean Energy Overseas Equity Omni FoF - Regular Plan - IDCW</t>
  </si>
  <si>
    <t>INF740K01PC5</t>
  </si>
  <si>
    <t>DSP Global Clean Energy Overseas Equity Omni FoF Direct Plan - Growth</t>
  </si>
  <si>
    <t>INF740KA1QP1</t>
  </si>
  <si>
    <t>DSP Global Innovation Overseas Equity Omni FoF - Direct - Growth</t>
  </si>
  <si>
    <t>INF740KA1QQ9</t>
  </si>
  <si>
    <t>INF740KA1QR7</t>
  </si>
  <si>
    <t>DSP Global Innovation Overseas Equity Omni FoF - Direct - IDCW</t>
  </si>
  <si>
    <t>INF740KA1QM8</t>
  </si>
  <si>
    <t>DSP Global Innovation Overseas Equity Omni FoF - Regular - Growth</t>
  </si>
  <si>
    <t>INF740KA1QN6</t>
  </si>
  <si>
    <t>INF740KA1QO4</t>
  </si>
  <si>
    <t>DSP Global Innovation Overseas Equity Omni FoF - Regular - IDCW</t>
  </si>
  <si>
    <t>INF740KA1UJ6</t>
  </si>
  <si>
    <t>DSP US Specific Debt Passive FoF - Direct - Growth</t>
  </si>
  <si>
    <t>INF740KA1UK4</t>
  </si>
  <si>
    <t>INF740KA1UL2</t>
  </si>
  <si>
    <t>DSP US Specific Debt Passive FoF - Direct - IDCW</t>
  </si>
  <si>
    <t>INF740KA1UG2</t>
  </si>
  <si>
    <t>DSP US Specific Debt Passive FoF - Regular - Growth</t>
  </si>
  <si>
    <t>INF740KA1UH0</t>
  </si>
  <si>
    <t>INF740KA1UI8</t>
  </si>
  <si>
    <t>DSP US Specific Debt Passive FoF - Regular - IDCW</t>
  </si>
  <si>
    <t>INF740K01OH7</t>
  </si>
  <si>
    <t>DSP US Specific Equity Omni FoF - Direct Plan - Growth</t>
  </si>
  <si>
    <t>INF740K01OI5</t>
  </si>
  <si>
    <t>INF740K01OJ3</t>
  </si>
  <si>
    <t>DSP US Specific Equity Omni FoF - Direct Plan - IDCW</t>
  </si>
  <si>
    <t>INF740K01LP6</t>
  </si>
  <si>
    <t>DSP US Specific Equity Omni FoF - Regular Plan - Growth Option</t>
  </si>
  <si>
    <t>INF740K01LQ4</t>
  </si>
  <si>
    <t>INF740K01LR2</t>
  </si>
  <si>
    <t>DSP US Specific Equity Omni FoF - Regular Plan - IDCW</t>
  </si>
  <si>
    <t>INF740K01OZ9</t>
  </si>
  <si>
    <t>DSP World Gold Mining Overseas Equity Omni FoF - Direct Plan - Growth</t>
  </si>
  <si>
    <t>INF740K01PA9</t>
  </si>
  <si>
    <t>INF740K01PB7</t>
  </si>
  <si>
    <t>DSP World Gold Mining Overseas Equity Omni FoF - Direct Plan - IDCW</t>
  </si>
  <si>
    <t>INF740K01250</t>
  </si>
  <si>
    <t>DSP World Gold Mining Overseas Equity Omni FoF - Regular Plan - Growth</t>
  </si>
  <si>
    <t>INF740K01268</t>
  </si>
  <si>
    <t>INF740K01276</t>
  </si>
  <si>
    <t>DSP World Gold Mining Overseas Equity Omni FoF - Regular Plan - IDCW</t>
  </si>
  <si>
    <t>INF740K01PF8</t>
  </si>
  <si>
    <t>DSP World Mining Overseas Equity Omni FoF - Direct Plan - Growth</t>
  </si>
  <si>
    <t>INF740K01PG6</t>
  </si>
  <si>
    <t>INF740K01PH4</t>
  </si>
  <si>
    <t>DSP World Mining Overseas Equity Omni FoF - Direct Plan - IDCW</t>
  </si>
  <si>
    <t>INF740K01730</t>
  </si>
  <si>
    <t>DSP World Mining Overseas Equity Omni FoF - Regular Plan - Growth</t>
  </si>
  <si>
    <t>INF740K01748</t>
  </si>
  <si>
    <t>INF740K01AL8</t>
  </si>
  <si>
    <t>DSP World Mining Overseas Equity Omni FoF - Regular Plan - IDCW</t>
  </si>
  <si>
    <t>INF843K01AW7</t>
  </si>
  <si>
    <t>Edelweiss ASEAN Equity Off-shore Fund - Direct Plan - Growth Option</t>
  </si>
  <si>
    <t>INF843K01609</t>
  </si>
  <si>
    <t>Edelweiss ASEAN Equity Off-shore Fund - Regular Plan - Growth Option</t>
  </si>
  <si>
    <t>INF843K01IZ3</t>
  </si>
  <si>
    <t>Edelweiss Emerging Markets Opportunities Equity Offshore Fund - Direct Plan - Growth Option</t>
  </si>
  <si>
    <t>INF843K01IY6</t>
  </si>
  <si>
    <t>Edelweiss Emerging Markets Opportunities Equity Offshore Fund - Regular Plan - Growth Option</t>
  </si>
  <si>
    <t>INF843K01GI3</t>
  </si>
  <si>
    <t>Edelweiss Europe Dynamic Equity Offshore Fund - Growth Option - Direct Plan</t>
  </si>
  <si>
    <t>INF843K01GJ1</t>
  </si>
  <si>
    <t>Edelweiss Europe Dynamic Equity Offshore Fund - Growth Option - Regular Plan</t>
  </si>
  <si>
    <t>INF843K01AU1</t>
  </si>
  <si>
    <t>Edelweiss Greater China Equity Off-shore Fund - Direct Plan - Growth Option</t>
  </si>
  <si>
    <t>INF843K01138</t>
  </si>
  <si>
    <t>Edelweiss Greater China Equity Off-shore Fund - Regular Plan - Growth Option</t>
  </si>
  <si>
    <t>INF754K01LB7</t>
  </si>
  <si>
    <t>Edelweiss US Technology Equity Fund of Fund- Direct Plan- Growth</t>
  </si>
  <si>
    <t>INF754K01LC5</t>
  </si>
  <si>
    <t>Edelweiss US Technology Equity Fund of Fund- Regular Plan- Growth</t>
  </si>
  <si>
    <t>INF843K01EC1</t>
  </si>
  <si>
    <t>Edelweiss US Value Equity Offshore Fund - Direct Plan - Growth Option</t>
  </si>
  <si>
    <t>INF843K01ED9</t>
  </si>
  <si>
    <t>Edelweiss US Value Equity Offshore Fund - Regular Plan - Growth Option</t>
  </si>
  <si>
    <t>INF090I01JR0</t>
  </si>
  <si>
    <t>Franklin U.S. Opportunities Equity Active Fund of Funds - Direct - Growth</t>
  </si>
  <si>
    <t>INF090I01JP4</t>
  </si>
  <si>
    <t>INF090I01JQ2</t>
  </si>
  <si>
    <t>Franklin U.S. Opportunities Equity Active Fund of Funds - Direct - IDCW</t>
  </si>
  <si>
    <t>INF090I01EW1</t>
  </si>
  <si>
    <t>Franklin U.S. Opportunities Equity Active Fund of Funds - Growth</t>
  </si>
  <si>
    <t>INF090I01EV3</t>
  </si>
  <si>
    <t>INF090I01EU5</t>
  </si>
  <si>
    <t>Franklin U.S. Opportunities Equity Active Fund of Funds - IDCW</t>
  </si>
  <si>
    <t>INF179KC1BO4</t>
  </si>
  <si>
    <t>HDFC Developed World Overseas Equity Passive FOF - Direct Plan - Growth Option</t>
  </si>
  <si>
    <t>INF179KC1BP1</t>
  </si>
  <si>
    <t>HDFC Developed World Overseas Equity Passive FOF - Growth Option</t>
  </si>
  <si>
    <t>INF336L01HC7</t>
  </si>
  <si>
    <t>HSBC Asia Pacific (Ex Japan) Dividend Yield Fund - Growth</t>
  </si>
  <si>
    <t>INF336L01HF0</t>
  </si>
  <si>
    <t>HSBC Asia Pacific (Ex Japan) Dividend Yield Fund - Growth Direct</t>
  </si>
  <si>
    <t>INF336L01HG8</t>
  </si>
  <si>
    <t>INF336L01HH6</t>
  </si>
  <si>
    <t>HSBC Asia Pacific IDCW Yield Fund Direct Plan IDCW</t>
  </si>
  <si>
    <t>INF336L01HD5</t>
  </si>
  <si>
    <t>INF336L01HE3</t>
  </si>
  <si>
    <t>HSBC Asia Pacific IDCW Yield Fund IDCW</t>
  </si>
  <si>
    <t>INF336L01BY4</t>
  </si>
  <si>
    <t>HSBC Brazil Fund - Growth Direct</t>
  </si>
  <si>
    <t>INF336L01172</t>
  </si>
  <si>
    <t>INF336L01180</t>
  </si>
  <si>
    <t>HSBC Brazil Fund - IDCW</t>
  </si>
  <si>
    <t>INF336L01BW8</t>
  </si>
  <si>
    <t>INF336L01BX6</t>
  </si>
  <si>
    <t>HSBC Brazil Fund - IDCW Direct Plan</t>
  </si>
  <si>
    <t>INF336L01164</t>
  </si>
  <si>
    <t>HSBC Brazil Fund-Growth</t>
  </si>
  <si>
    <t>INF336L01CJ3</t>
  </si>
  <si>
    <t>HSBC Global Emerging Market Fund - Growth Direct</t>
  </si>
  <si>
    <t>INF336L01446</t>
  </si>
  <si>
    <t>HSBC Global Emerging Markets Fund - Growth</t>
  </si>
  <si>
    <t>INF336L01438</t>
  </si>
  <si>
    <t>INF336L01420</t>
  </si>
  <si>
    <t>HSBC Global Emerging Markets Fund - IDCW</t>
  </si>
  <si>
    <t>INF336L01CH7</t>
  </si>
  <si>
    <t>INF336L01CI5</t>
  </si>
  <si>
    <t>HSBC Global Emerging Markets Fund - IDCW Direct Plan</t>
  </si>
  <si>
    <t>INF109KA1CE0</t>
  </si>
  <si>
    <t>ICICI Prudential Global Stable Equity Fund (FOF) - Direct - Growth</t>
  </si>
  <si>
    <t>INF109KA1CG5</t>
  </si>
  <si>
    <t>INF109KA1CF7</t>
  </si>
  <si>
    <t>ICICI Prudential Global Stable Equity Fund (FOF) - Direct - IDCW</t>
  </si>
  <si>
    <t>INF109KA1CB6</t>
  </si>
  <si>
    <t>ICICI Prudential Global Stable Equity Fund (FOF) - Growth</t>
  </si>
  <si>
    <t>INF109KA1CD2</t>
  </si>
  <si>
    <t>INF109KA1CC4</t>
  </si>
  <si>
    <t>ICICI Prudential Global Stable Equity Fund (FOF) - IDCW</t>
  </si>
  <si>
    <t>INF109KC1Z55</t>
  </si>
  <si>
    <t>ICICI Prudential Strategic Metal and Energy Equity Fund of Fund - Direct Plan Growth</t>
  </si>
  <si>
    <t>INF109KC1Z63</t>
  </si>
  <si>
    <t>INF109KC1Z71</t>
  </si>
  <si>
    <t>ICICI Prudential Strategic Metal and Energy Equity Fund of Fund - Direct Plan IDCW</t>
  </si>
  <si>
    <t>INF109KC1Z22</t>
  </si>
  <si>
    <t>ICICI Prudential Strategic Metal and Energy Equity Fund of Fund - Growth</t>
  </si>
  <si>
    <t>INF109KC1Z30</t>
  </si>
  <si>
    <t>INF109KC1Z48</t>
  </si>
  <si>
    <t>ICICI Prudential Strategic Metal and Energy Equity Fund of Fund - IDCW</t>
  </si>
  <si>
    <t>INF205KA1585</t>
  </si>
  <si>
    <t>Invesco India - Invesco EQQQ Nasdaq-100 ETF Fund of Fund - Direct Plan - Growth</t>
  </si>
  <si>
    <t>INF205KA1577</t>
  </si>
  <si>
    <t>Invesco India - Invesco EQQQ Nasdaq-100 ETF Fund of Fund - Regular Plan - Growth</t>
  </si>
  <si>
    <t>INF205KA1270</t>
  </si>
  <si>
    <t>Invesco India - Invesco Global Consumer Trends Fund of Fund - Direct Plan - Growth</t>
  </si>
  <si>
    <t>INF205KA1262</t>
  </si>
  <si>
    <t>INF205KA1288</t>
  </si>
  <si>
    <t>Invesco India - Invesco Global Consumer Trends Fund of Fund - Direct Plan - IDCW (Payout / Reinvestment)</t>
  </si>
  <si>
    <t>INF205KA1247</t>
  </si>
  <si>
    <t>Invesco India - Invesco Global Consumer Trends Fund of Fund - Regular Plan - Growth</t>
  </si>
  <si>
    <t>INF205KA1239</t>
  </si>
  <si>
    <t>INF205KA1254</t>
  </si>
  <si>
    <t>Invesco India - Invesco Global Consumer Trends Fund of Fund - Regular Plan - IDCW (Payout / Reinvestment)</t>
  </si>
  <si>
    <t>INF205K01B49</t>
  </si>
  <si>
    <t>Invesco India - Invesco Global Equity Income Fund of Fund - Direct Plan - Growth</t>
  </si>
  <si>
    <t>INF205K01B56</t>
  </si>
  <si>
    <t>INF205K01B64</t>
  </si>
  <si>
    <t>Invesco India - Invesco Global Equity Income Fund of Fund - Direct Plan - IDCW (Payout / Reinvestment)</t>
  </si>
  <si>
    <t>INF205K01B15</t>
  </si>
  <si>
    <t>Invesco India - Invesco Global Equity Income Fund of Fund - Regular Plan - Growth</t>
  </si>
  <si>
    <t>INF205K01B23</t>
  </si>
  <si>
    <t>INF205K01B31</t>
  </si>
  <si>
    <t>Invesco India - Invesco Global Equity Income Fund of Fund - Regular Plan - IDCW (Payout / Reinvestment)</t>
  </si>
  <si>
    <t>INF205K01A24</t>
  </si>
  <si>
    <t>Invesco India - Invesco Pan European Equity Fund of Fund - Direct Plan - Growth Option</t>
  </si>
  <si>
    <t>INF205K01A32</t>
  </si>
  <si>
    <t>INF205K01A40</t>
  </si>
  <si>
    <t>Invesco India - Invesco Pan European Equity Fund of Fund - Direct Plan - IDCW (Payout / Reinvestment)</t>
  </si>
  <si>
    <t>INF205K01ZZ9</t>
  </si>
  <si>
    <t>Invesco India - Invesco Pan European Equity Fund of Fund - Regular Plan - Growth Option</t>
  </si>
  <si>
    <t>INF205K01A08</t>
  </si>
  <si>
    <t>INF205K01A16</t>
  </si>
  <si>
    <t>Invesco India - Invesco Pan European Equity Fund of Fund - Regular Plan - IDCW (Payout / Reinvestment)</t>
  </si>
  <si>
    <t>INF174K01LW4</t>
  </si>
  <si>
    <t>Kotak Global Emerging Market overseas Equity Omni FOF - Growth - Direct</t>
  </si>
  <si>
    <t>INF174K01DX9</t>
  </si>
  <si>
    <t>INF174K01DW1</t>
  </si>
  <si>
    <t>Kotak Global Emerging Market Overseas Equity Omni FOF - Payout of Income Distribution cum capital withdrawal option</t>
  </si>
  <si>
    <t>INF174K01LX2</t>
  </si>
  <si>
    <t>INF174K01LY0</t>
  </si>
  <si>
    <t>Kotak Global Emerging Market Overseas Equity Omni FOF - Payout of Income Distribution cum capital withdrawal option - Direct</t>
  </si>
  <si>
    <t>INF174K01DV3</t>
  </si>
  <si>
    <t>Kotak Global Emerging Market Overseas Equity Omni FOF- Growth</t>
  </si>
  <si>
    <t>INF174KA1HE9</t>
  </si>
  <si>
    <t>INF174KA1HF6</t>
  </si>
  <si>
    <t>Kotak Global Innovation Overseas Equity Omni FOF - Regular Plan -IDCW Option</t>
  </si>
  <si>
    <t>INF174KA1HD1</t>
  </si>
  <si>
    <t>Kotak Global Innovation Overseas Equity Omni FOF - Regular Plan-Growth</t>
  </si>
  <si>
    <t>INF174KA1HH2</t>
  </si>
  <si>
    <t>INF174KA1HI0</t>
  </si>
  <si>
    <t>Kotak Global Innovation Overseas Equity Omni FOF- Direct Plan - IDCW Option</t>
  </si>
  <si>
    <t>INF174KA1HG4</t>
  </si>
  <si>
    <t>Kotak Global Innovation Overseas Equity Omni FOF- Direct Plan -Growth</t>
  </si>
  <si>
    <t>INF174KA1FO2</t>
  </si>
  <si>
    <t>Kotak International REIT Overseas Equity Omni FOF - Direct Plan - Growth</t>
  </si>
  <si>
    <t>INF174KA1FN4</t>
  </si>
  <si>
    <t>INF174KA1FP9</t>
  </si>
  <si>
    <t>Kotak International REIT Overseas Equity Omni FOF - Direct Plan - Payout of Income Distribution cum capital withdrawal option</t>
  </si>
  <si>
    <t>INF174KA1FL8</t>
  </si>
  <si>
    <t>Kotak International REIT Overseas Equity Omni FOF - Regular Plan - Growth</t>
  </si>
  <si>
    <t>INF174KA1FK0</t>
  </si>
  <si>
    <t>INF174KA1FM6</t>
  </si>
  <si>
    <t>Kotak International REIT Overseas Equity Omni FOF - Regular Plan - Payout of Income Distribution cum capital withdrawal option</t>
  </si>
  <si>
    <t>INF174KA1ZI2</t>
  </si>
  <si>
    <t>Kotak Quality Overseas Equity Omni FOF - Direct Plan - Growth-</t>
  </si>
  <si>
    <t>INF174KA1ZJ0</t>
  </si>
  <si>
    <t>INF174KA1ZK8</t>
  </si>
  <si>
    <t>Kotak Quality Overseas Equity Omni FOF - Direct Plan - IDCW</t>
  </si>
  <si>
    <t>INF174KA1ZL6</t>
  </si>
  <si>
    <t>Kotak Quality Overseas Equity Omni FOF - Regular Plan - Growth</t>
  </si>
  <si>
    <t>INF174KA1ZM4</t>
  </si>
  <si>
    <t>INF174KA1ZN2</t>
  </si>
  <si>
    <t>Kotak Quality Overseas Equity Omni FOF - Regular Plan - IDCW</t>
  </si>
  <si>
    <t>INF178L01CM3</t>
  </si>
  <si>
    <t>INF178L01CN1</t>
  </si>
  <si>
    <t>Kotak US Equity Fund - Direct Plan - Dividend option</t>
  </si>
  <si>
    <t>INF178L01CL5</t>
  </si>
  <si>
    <t>Kotak US Equity Fund - Direct Plan - Growth option</t>
  </si>
  <si>
    <t>INF178L01CJ9</t>
  </si>
  <si>
    <t>INF178L01CK7</t>
  </si>
  <si>
    <t>Kotak US Equity Fund - Standard Plan - Dividend option</t>
  </si>
  <si>
    <t>INF178L01CI1</t>
  </si>
  <si>
    <t>Kotak US Equity Fund - Standard Plan - Growth option</t>
  </si>
  <si>
    <t>INF174KA1FR5</t>
  </si>
  <si>
    <t>Kotak US Specific Equity Passive FOF - Regular Plan - Growth</t>
  </si>
  <si>
    <t>INF174KA1FQ7</t>
  </si>
  <si>
    <t>Kotak US Specific Equity Passive FOF- Direct Plan - Growth</t>
  </si>
  <si>
    <t>INF178L01145</t>
  </si>
  <si>
    <t>INF178L01137</t>
  </si>
  <si>
    <t>Kotak World Gold Fund - Standard Plan - Dividend Option</t>
  </si>
  <si>
    <t>INF178L01152</t>
  </si>
  <si>
    <t>Kotak World Gold Fund - Standard Plan - Growth Option</t>
  </si>
  <si>
    <t>INF178L01AM7</t>
  </si>
  <si>
    <t>INF178L01AN5</t>
  </si>
  <si>
    <t>Kotak World Gold Fund- Direct Plan- Dividend Option</t>
  </si>
  <si>
    <t>INF178L01AO3</t>
  </si>
  <si>
    <t>Kotak World Gold Fund- Direct Plan- Growth Option</t>
  </si>
  <si>
    <t>INF174V01AY0</t>
  </si>
  <si>
    <t>Mahindra Manulife Asia Pacific REITs FOF - Direct Plan - Growth</t>
  </si>
  <si>
    <t>INF174V01BA8</t>
  </si>
  <si>
    <t>INF174V01AZ7</t>
  </si>
  <si>
    <t>Mahindra Manulife Asia Pacific REITs FOF - Direct Plan - IDCW</t>
  </si>
  <si>
    <t>INF174V01AV6</t>
  </si>
  <si>
    <t>Mahindra Manulife Asia Pacific REITs FOF - Regular Plan - Growth</t>
  </si>
  <si>
    <t>INF174V01AX2</t>
  </si>
  <si>
    <t>INF174V01AW4</t>
  </si>
  <si>
    <t>Mahindra Manulife Asia Pacific REITs FOF - Regular Plan - IDCW</t>
  </si>
  <si>
    <t>INF769K01IQ9</t>
  </si>
  <si>
    <t>Mirae Asset Global Electric &amp; Autonomous Vehicles Equity Passive FOF - Direct Plan - Growth</t>
  </si>
  <si>
    <t>INF769K01IP1</t>
  </si>
  <si>
    <t>Mirae Asset Global Electric &amp; Autonomous Vehicles Equity Passive FOF - Regular Plan - Growth</t>
  </si>
  <si>
    <t>INF769K01IS5</t>
  </si>
  <si>
    <t>Mirae Asset Global X Artificial Intelligence &amp; Technology ETF Fund of Fund - Direct Plan- Growth</t>
  </si>
  <si>
    <t>INF769K01IR7</t>
  </si>
  <si>
    <t>Mirae Asset Global X Artificial Intelligence &amp; Technology ETF Fund of Fund - Regular Plan - Growth</t>
  </si>
  <si>
    <t>INF247L01BT3</t>
  </si>
  <si>
    <t>Motilal Oswal Developed Market Ex US ETFs Fund of Funds Direct Plan Growth</t>
  </si>
  <si>
    <t>INF247L01BS5</t>
  </si>
  <si>
    <t>Motilal Oswal Developed Market Ex US ETFs Fund of Funds Regular Plan Growth</t>
  </si>
  <si>
    <t>INF959L01FZ1</t>
  </si>
  <si>
    <t>Navi NASDAQ100 US Specific Equity Passive FOF- Direct- Growth</t>
  </si>
  <si>
    <t>INF959L01GA2</t>
  </si>
  <si>
    <t>Navi NASDAQ100 US Specific Equity Passive FOF- Regular- Growth</t>
  </si>
  <si>
    <t>INF959L01FV0</t>
  </si>
  <si>
    <t>Navi Total Stock Market US Specific Equity Passive FoF- Direct Plan- Growth</t>
  </si>
  <si>
    <t>INF959L01FW8</t>
  </si>
  <si>
    <t>Navi Total Stock Market US Specific Equity Passive FoF- Regular Plan- Growth</t>
  </si>
  <si>
    <t>INF223J01NL0</t>
  </si>
  <si>
    <t>PGIM India Emerging Markets Equity Fund of Fund - Direct Plan - Growth</t>
  </si>
  <si>
    <t>INF223J01NJ4</t>
  </si>
  <si>
    <t>PGIM India Emerging Markets Equity Fund of Fund- Direct Plan - Dividend</t>
  </si>
  <si>
    <t>INF223J01AW4</t>
  </si>
  <si>
    <t>INF223J01AX2</t>
  </si>
  <si>
    <t>PGIM India Emerging Markets Equity Fund of Fund- Dividend</t>
  </si>
  <si>
    <t>INF223J01AY0</t>
  </si>
  <si>
    <t>PGIM India Emerging Markets Equity Fund of Fund- Growth</t>
  </si>
  <si>
    <t>INF223J01AV6</t>
  </si>
  <si>
    <t>PGIM India Global Equity Opportunities Fund of Fund - Bonus</t>
  </si>
  <si>
    <t>INF223J01NG0</t>
  </si>
  <si>
    <t>PGIM India Global Equity Opportunities Fund of Fund- Direct Plan - Dividend</t>
  </si>
  <si>
    <t>INF223J01NF2</t>
  </si>
  <si>
    <t>PGIM India Global Equity Opportunities Fund of Fund- Direct Plan - Growth</t>
  </si>
  <si>
    <t>INF223J01AS2</t>
  </si>
  <si>
    <t>INF223J01AT0</t>
  </si>
  <si>
    <t>PGIM India Global Equity Opportunities Fund of Fund- Dividend</t>
  </si>
  <si>
    <t>INF223J01AU8</t>
  </si>
  <si>
    <t>PGIM India Global Equity Opportunities Fund of Fund- Growth</t>
  </si>
  <si>
    <t>INF663L01W63</t>
  </si>
  <si>
    <t>PGIM India Global Select Real Estate Securities Fund of Fund - Direct Plan - Growth Option</t>
  </si>
  <si>
    <t>INF663L01W71</t>
  </si>
  <si>
    <t>INF663L01W89</t>
  </si>
  <si>
    <t>PGIM India Global Select Real Estate Securities Fund of Fund - Direct Plan - IDCW Option</t>
  </si>
  <si>
    <t>INF663L01W97</t>
  </si>
  <si>
    <t>PGIM India Global Select Real Estate Securities Fund of Fund - Regular Plan - Growth Option</t>
  </si>
  <si>
    <t>INF663L01X05</t>
  </si>
  <si>
    <t>INF663L01X13</t>
  </si>
  <si>
    <t>PGIM India Global Select Real Estate Securities Fund of Fund - Regular Plan - IDCW Option</t>
  </si>
  <si>
    <t>INF200KA1U28</t>
  </si>
  <si>
    <t>SBI US Specific Equity Active FoF - Direct Plan - Growth</t>
  </si>
  <si>
    <t>INF200KA1U36</t>
  </si>
  <si>
    <t>INF200KA1U44</t>
  </si>
  <si>
    <t>SBI US Specific Equity Active FoF- Direct Plan - Income Distribution cum Capital Withdrawal Option (IDCW)</t>
  </si>
  <si>
    <t>INF200KA1T96</t>
  </si>
  <si>
    <t>SBI US Specific Equity Active FoF- Regular Plan - Growth</t>
  </si>
  <si>
    <t>INF200KA1U02</t>
  </si>
  <si>
    <t>INF200KA1U10</t>
  </si>
  <si>
    <t>SBI US Specific Equity Active FoF- Regular Plan - Income Distribution cum Capital Withdrawal Option (IDCW)</t>
  </si>
  <si>
    <t>INF903J01OB6</t>
  </si>
  <si>
    <t>Sundaram Global Brand Theme-Equity Active FOF - Direct Growth</t>
  </si>
  <si>
    <t>INF903J01NZ7</t>
  </si>
  <si>
    <t>INF903J01OA8</t>
  </si>
  <si>
    <t>Sundaram Global Brand Theme-Equity Active FOF - Direct IDCW</t>
  </si>
  <si>
    <t>INF903J01EX1</t>
  </si>
  <si>
    <t>Sundaram Global Brand Theme-Equity Active FOF - Regular Growth</t>
  </si>
  <si>
    <t>INF903J01EY9</t>
  </si>
  <si>
    <t>INF903J01EZ6</t>
  </si>
  <si>
    <t>Sundaram Global Brand Theme-Equity Active FOF - Regular IDCW</t>
  </si>
  <si>
    <t>INF579M01BB5</t>
  </si>
  <si>
    <t>360 ONE Gold ETF</t>
  </si>
  <si>
    <t>INF209KB18D3</t>
  </si>
  <si>
    <t>Aditya Birla Sun Life Gold ETF</t>
  </si>
  <si>
    <t>INF1J2R01114</t>
  </si>
  <si>
    <t>ANGEL ONE GOLD ETF</t>
  </si>
  <si>
    <t>INF846K01W80</t>
  </si>
  <si>
    <t>Axis Gold ETF</t>
  </si>
  <si>
    <t>INF194KB1KJ7</t>
  </si>
  <si>
    <t>Bandhan Gold ETF</t>
  </si>
  <si>
    <t>INF251K01SU9</t>
  </si>
  <si>
    <t>Baroda BNP Paribas Gold ETF</t>
  </si>
  <si>
    <t>INF2KCX01012</t>
  </si>
  <si>
    <t>Choice Gold ETF</t>
  </si>
  <si>
    <t>INF740KA1SW3</t>
  </si>
  <si>
    <t>DSP Gold ETF</t>
  </si>
  <si>
    <t>INF754K01SE6</t>
  </si>
  <si>
    <t>Edelweiss Gold ETF</t>
  </si>
  <si>
    <t>INF666M01OE7</t>
  </si>
  <si>
    <t>Groww Gold ETF</t>
  </si>
  <si>
    <t>INF179KC1981</t>
  </si>
  <si>
    <t>HDFC Gold ETF - Growth Option</t>
  </si>
  <si>
    <t>INF336L01RX2</t>
  </si>
  <si>
    <t>HSBC Gold ETF</t>
  </si>
  <si>
    <t>INF109KC1NT3</t>
  </si>
  <si>
    <t>ICICI Prudential Gold ETF</t>
  </si>
  <si>
    <t>Invesco India Gold Exchange Traded Fund</t>
  </si>
  <si>
    <t>INF174KA1HJ8</t>
  </si>
  <si>
    <t>KOTAK GOLD ETF</t>
  </si>
  <si>
    <t>INF767K01SM1</t>
  </si>
  <si>
    <t>LIC MF Gold Exchange Traded Fund</t>
  </si>
  <si>
    <t>INF769K01JP9</t>
  </si>
  <si>
    <t>Mirae Asset Gold ETF</t>
  </si>
  <si>
    <t>INF247L01FY4</t>
  </si>
  <si>
    <t>Motilal Oswal Gold ETF</t>
  </si>
  <si>
    <t>INF204KB17I5</t>
  </si>
  <si>
    <t>Nippon India ETF Gold BeES</t>
  </si>
  <si>
    <t>INF082J01408</t>
  </si>
  <si>
    <t>Quantum Gold Fund</t>
  </si>
  <si>
    <t>INF200KA16D8</t>
  </si>
  <si>
    <t>SBI Gold ETF</t>
  </si>
  <si>
    <t>INF277KA1976</t>
  </si>
  <si>
    <t>Tata Gold Exchange Traded Fund</t>
  </si>
  <si>
    <t>INF2F0001370</t>
  </si>
  <si>
    <t>The Wealth Company Gold ETF</t>
  </si>
  <si>
    <t>INF582M01KS4</t>
  </si>
  <si>
    <t>Union Gold ETF</t>
  </si>
  <si>
    <t>INF789F1AUX7</t>
  </si>
  <si>
    <t>UTI GOLD Exchange Traded Fund</t>
  </si>
  <si>
    <t>INF0R8F01042</t>
  </si>
  <si>
    <t>Zerodha Gold ETF</t>
  </si>
  <si>
    <t>INF209KC1605</t>
  </si>
  <si>
    <t>Aditya Birla Sun Life BSE 500 Momentum 50 Index Fund- Regular Growth</t>
  </si>
  <si>
    <t>INF209KC1589</t>
  </si>
  <si>
    <t>Aditya Birla Sun Life BSE 500 Momentum 50 Index Fund-Direct Growth</t>
  </si>
  <si>
    <t>INF209KC1597</t>
  </si>
  <si>
    <t>Aditya Birla Sun Life BSE 500 Momentum 50 Index Fund-Direct IDCW Payout</t>
  </si>
  <si>
    <t>INF209KC1654</t>
  </si>
  <si>
    <t>Aditya Birla Sun Life BSE 500 Momentum 50 Index Fund-Regular IDCW Payout</t>
  </si>
  <si>
    <t>INF209KC1613</t>
  </si>
  <si>
    <t>Aditya Birla Sun Life BSE 500 Quality 50 Index Fund - Direct Growth</t>
  </si>
  <si>
    <t>INF209KC1621</t>
  </si>
  <si>
    <t>Aditya Birla Sun Life BSE 500 Quality 50 Index Fund - Direct IDCW Payout</t>
  </si>
  <si>
    <t>INF209KC1639</t>
  </si>
  <si>
    <t>Aditya Birla Sun Life BSE 500 Quality 50 Index Fund - Regular Growth</t>
  </si>
  <si>
    <t>INF209KC1647</t>
  </si>
  <si>
    <t>Aditya Birla Sun Life BSE 500 Quality 50 Index Fund - Regular IDCW Payout</t>
  </si>
  <si>
    <t>INF209KC1332</t>
  </si>
  <si>
    <t>Aditya Birla Sun Life BSE India Infrastructure Index Fund-Direct Growth</t>
  </si>
  <si>
    <t>INF209KC1340</t>
  </si>
  <si>
    <t>Aditya Birla Sun Life BSE India Infrastructure Index Fund-Direct IDCW Payout</t>
  </si>
  <si>
    <t>INF209KC1357</t>
  </si>
  <si>
    <t>Aditya Birla Sun Life BSE India Infrastructure Index Fund-Regular Growth</t>
  </si>
  <si>
    <t>INF209KC1365</t>
  </si>
  <si>
    <t>Aditya Birla Sun Life BSE India Infrastructure Index Fund-Regular IDCW Payout</t>
  </si>
  <si>
    <t>INF209KB14N1</t>
  </si>
  <si>
    <t>Aditya Birla Sun Life Crisil IBX 50:50 Gilt Plus SDL Apr 2028 Index Fund-Direct Growth</t>
  </si>
  <si>
    <t>INF209KB15N8</t>
  </si>
  <si>
    <t>Aditya Birla Sun Life Crisil IBX 50:50 Gilt Plus SDL APR 2028 Index Fund-Direct IDCW</t>
  </si>
  <si>
    <t>INF209KB12N5</t>
  </si>
  <si>
    <t>Aditya Birla Sun Life Crisil IBX 50:50 Gilt Plus SDL Apr 2028 Index Fund-Regular Growth</t>
  </si>
  <si>
    <t>INF209KB13N3</t>
  </si>
  <si>
    <t>Aditya Birla Sun Life Crisil IBX 50:50 Gilt Plus SDL Apr 2028 Index Fund-Regular IDCW</t>
  </si>
  <si>
    <t>INF209KB10P4</t>
  </si>
  <si>
    <t>Aditya Birla Sun Life Crisil IBX 60:40 SDL + AAA PSU APR 2026 Index Fund-Direct Growth</t>
  </si>
  <si>
    <t>INF209KB11P2</t>
  </si>
  <si>
    <t>Aditya Birla Sun Life Crisil IBX 60:40 SDL+ AAA PSU APR 2026 Index Fund-Direct IDCW Payout</t>
  </si>
  <si>
    <t>INF209KB18O0</t>
  </si>
  <si>
    <t>Aditya Birla Sun Life Crisil IBX 60:40 SDL+AAA PSU APR 2026 Index Fund-Regular Growth</t>
  </si>
  <si>
    <t>INF209KB19O8</t>
  </si>
  <si>
    <t>Aditya Birla Sun Life Crisil IBX 60:40 SDL+AAA PSU APR 2026 Index Fund-Regular IDCW Payout</t>
  </si>
  <si>
    <t>INF209KB19H2</t>
  </si>
  <si>
    <t>Aditya Birla Sun Life Crisil IBX 60:40 SDL+AAA PSU-Apr 2027 Index Fund-Direct Growth</t>
  </si>
  <si>
    <t>INF209KB10I9</t>
  </si>
  <si>
    <t>Aditya Birla Sun Life Crisil IBX 60:40 SDL+AAA PSU-Apr 2027 Index Fund-Direct IDCW</t>
  </si>
  <si>
    <t>INF209KB17H6</t>
  </si>
  <si>
    <t>Aditya Birla Sun Life Crisil IBX 60:40 SDL+AAA PSU-Apr 2027 Index Fund-Regular Growth</t>
  </si>
  <si>
    <t>INF209KB18H4</t>
  </si>
  <si>
    <t>Aditya Birla Sun Life Crisil IBX 60:40 SDL+AAA PSU-Apr 2027 Index Fund-Regular IDCW</t>
  </si>
  <si>
    <t>INF209KB13O1</t>
  </si>
  <si>
    <t>Aditya Birla Sun Life Crisil IBX Gilt-Apr 2029 Index Fund-Direct IDCW</t>
  </si>
  <si>
    <t>INF209KB10O7</t>
  </si>
  <si>
    <t>Aditya Birla Sun Life Crisil IBX Gilt-Apr 2029 Index Fund-Regular Growth</t>
  </si>
  <si>
    <t>INF209KB11O5</t>
  </si>
  <si>
    <t>Aditya Birla Sun Life Crisil IBX Gilt-Apr 2029 Index Fund-Regular IDCW</t>
  </si>
  <si>
    <t>INF209KB12O3</t>
  </si>
  <si>
    <t>Aditya Birla Sun Life Crisil IBX Gilt-Apr-2029 Index Fund-Direct Growth</t>
  </si>
  <si>
    <t>INF209KB11U2</t>
  </si>
  <si>
    <t>Aditya Birla Sun Life Crisil IBX Gilt Apr 2028 Index Fund-Direct Growth</t>
  </si>
  <si>
    <t>INF209KB12U0</t>
  </si>
  <si>
    <t>Aditya Birla Sun Life Crisil IBX Gilt Apr 2028 Index Fund-Direct IDCW</t>
  </si>
  <si>
    <t>INF209KB19T7</t>
  </si>
  <si>
    <t>Aditya Birla Sun Life Crisil IBX Gilt Apr 2028 Index Fund-Regular Growth</t>
  </si>
  <si>
    <t>INF209KB10U4</t>
  </si>
  <si>
    <t>Aditya Birla Sun Life Crisil IBX Gilt Apr 2028 Index Fund-Regular IDCW</t>
  </si>
  <si>
    <t>INF209KB19Y7</t>
  </si>
  <si>
    <t>Aditya Birla Sun Life Crisil IBX Gilt Apr 2033 Index Fund-Direct Growth</t>
  </si>
  <si>
    <t>INF209KB10Z3</t>
  </si>
  <si>
    <t>Aditya Birla Sun Life Crisil IBX Gilt Apr 2033 Index Fund-Direct IDCW Payout</t>
  </si>
  <si>
    <t>INF209KB17Y1</t>
  </si>
  <si>
    <t>Aditya Birla Sun Life Crisil IBX Gilt Apr 2033 Index Fund-Regular Growth</t>
  </si>
  <si>
    <t>INF209KB18Y9</t>
  </si>
  <si>
    <t>Aditya Birla Sun Life Crisil IBX Gilt Apr 2033 Index Fund-Regular IDCW payout</t>
  </si>
  <si>
    <t>INF209KC1076</t>
  </si>
  <si>
    <t>Aditya Birla Sun Life Crisil IBX Gilt June 2027 Index Fund-Direct Growth</t>
  </si>
  <si>
    <t>INF209KC1084</t>
  </si>
  <si>
    <t>Aditya Birla Sun Life Crisil Ibx Gilt June 2027 Index Fund-Direct IDCW Payout</t>
  </si>
  <si>
    <t>INF209KC1050</t>
  </si>
  <si>
    <t>Aditya Birla Sun Life Crisil IBX Gilt June 2027 Index Fund-Regular Growth</t>
  </si>
  <si>
    <t>INF209KC1068</t>
  </si>
  <si>
    <t>Aditya Birla Sun Life Crisil IBX Gilt June 2027 Index Fund-Regular IDCW Payout</t>
  </si>
  <si>
    <t>INF209KB11N7</t>
  </si>
  <si>
    <t>Aditya Birla Sun Life Crisil IBX Gilt- April 2026 Index Fund-Direct IDCW</t>
  </si>
  <si>
    <t>INF209KB10N9</t>
  </si>
  <si>
    <t>Aditya Birla Sun Life Crisil IBX Gilt-April 2026 Index Fund-Direct Growth</t>
  </si>
  <si>
    <t>INF209KB18M4</t>
  </si>
  <si>
    <t>Aditya Birla Sun Life Crisil IBX Gilt-April 2026 Index Fund-Regular Growth</t>
  </si>
  <si>
    <t>INF209KB19M2</t>
  </si>
  <si>
    <t>Aditya Birla Sun Life Crisil IBX Gilt-April 2026 Index Fund-Regular IDCW</t>
  </si>
  <si>
    <t>INF209KB14S0</t>
  </si>
  <si>
    <t>Aditya Birla Sun Life CRISIL IBX SDL Jun 2032 INDEX FUND - Direct Growth</t>
  </si>
  <si>
    <t>INF209KB15S7</t>
  </si>
  <si>
    <t>Aditya Birla Sun Life CRISIL IBX SDL Jun 2032 INDEX FUND - Direct IDCW Payout</t>
  </si>
  <si>
    <t>INF209KB12S4</t>
  </si>
  <si>
    <t>Aditya Birla Sun Life CRISIL IBX SDL Jun 2032 INDEX FUND - Regular Growth</t>
  </si>
  <si>
    <t>INF209KB13S2</t>
  </si>
  <si>
    <t>Aditya Birla Sun Life CRISIL IBX SDL Jun 2032 INDEX FUND - Regular IDCW Payout</t>
  </si>
  <si>
    <t>INF209KC1290</t>
  </si>
  <si>
    <t>Aditya Birla Sun Life Crisil-IBX AAA Financial Services Index-Sep 2027 Fund-Direct Growth</t>
  </si>
  <si>
    <t>INF209KC1308</t>
  </si>
  <si>
    <t>Aditya Birla Sun Life Crisil-IBX AAA Financial Services Index-Sep 2027 Fund-Direct IDCW Payout</t>
  </si>
  <si>
    <t>INF209KC1316</t>
  </si>
  <si>
    <t>Aditya Birla Sun Life Crisil-IBX AAA Financial Services Index-Sep 2027 Fund-Regular Growth</t>
  </si>
  <si>
    <t>INF209KC1324</t>
  </si>
  <si>
    <t>Aditya Birla Sun Life Crisil-IBX AAA Financial Services Index-Sep 2027 Fund-Regular IDCW Payout</t>
  </si>
  <si>
    <t>INF209KC1217</t>
  </si>
  <si>
    <t>Aditya Birla Sun Life Crisil-IBX AAA NBFC-HFC Index-Sep 2026 Fund-Direct Growth</t>
  </si>
  <si>
    <t>INF209KC1225</t>
  </si>
  <si>
    <t>Aditya Birla Sun Life Crisil-IBX AAA NBFC-HFC INDEX-Sep 2026 Fund-Direct IDCW Payout</t>
  </si>
  <si>
    <t>INF209KC1233</t>
  </si>
  <si>
    <t>Aditya Birla Sun Life Crisil-IBX AAA NBFC-HFC Index-Sep 2026 Fund-Regular Growth</t>
  </si>
  <si>
    <t>INF209KC1241</t>
  </si>
  <si>
    <t>Aditya Birla Sun Life Crisil-IBX AAA NBFC-HFC Index-Sep 2026 Fund-Regular IDCW Payout</t>
  </si>
  <si>
    <t>INF209KC1480</t>
  </si>
  <si>
    <t>Aditya Birla Sun Life Crisil-IBX Financial Services 3 to 6 Months  Debt Index Fund-Regular IDCW Payout</t>
  </si>
  <si>
    <t>INF209KC1456</t>
  </si>
  <si>
    <t>Aditya Birla Sun Life Crisil-IBX financial Services 3 to 6 months Debt Index Fund-Direct Growth</t>
  </si>
  <si>
    <t>INF209KC1464</t>
  </si>
  <si>
    <t>Aditya Birla Sun Life Crisil-IBX Financial Services 3 to 6 months Debt Index Fund-Direct IDCW Payout</t>
  </si>
  <si>
    <t>INF209KC1472</t>
  </si>
  <si>
    <t>Aditya Birla Sun Life Crisil-IBX Financial Services 3 to 6 Months Debt Index Fund-Regular Growth</t>
  </si>
  <si>
    <t>INF209KC1498</t>
  </si>
  <si>
    <t>Aditya Birla Sun Life Crisil-IBX Financial Services 9-12 Months Debt Index Fund-Direct Growth</t>
  </si>
  <si>
    <t>INF209KC1506</t>
  </si>
  <si>
    <t>Aditya Birla Sun Life Crisil-IBX Financial Services 9-12 Months Debt Index Fund-Direct IDCW Payout</t>
  </si>
  <si>
    <t>INF209KC1514</t>
  </si>
  <si>
    <t>Aditya Birla Sun Life Crisil-IBX Financial Services 9-12 Months Debt Index Fund-Regular Growth</t>
  </si>
  <si>
    <t>INF209KB1Z71</t>
  </si>
  <si>
    <t>Aditya Birla Sun Life Nifty 50 Equal Weight Index Fund-Direct Growth</t>
  </si>
  <si>
    <t>INF209KB1Z89</t>
  </si>
  <si>
    <t>INF209KB1Z97</t>
  </si>
  <si>
    <t>Aditya Birla Sun Life Nifty 50 Equal Weight Index Fund-Direct-IDCW</t>
  </si>
  <si>
    <t>INF209KB1Z48</t>
  </si>
  <si>
    <t>Aditya Birla Sun Life Nifty 50 Equal Weight Index Fund-Regular Growth</t>
  </si>
  <si>
    <t>INF209KB1Z55</t>
  </si>
  <si>
    <t>INF209KB1Z63</t>
  </si>
  <si>
    <t>Aditya Birla Sun Life Nifty 50 Equal Weight Index Fund-Regular IDCW</t>
  </si>
  <si>
    <t>INF209K01VY3</t>
  </si>
  <si>
    <t>Aditya Birla Sun Life Nifty 50 Index Fund - Growth - Direct Plan</t>
  </si>
  <si>
    <t>INF209K01LB2</t>
  </si>
  <si>
    <t>Aditya Birla Sun Life Nifty 50 Index Fund - Growth - Regular Plan</t>
  </si>
  <si>
    <t>INF209K01VX5</t>
  </si>
  <si>
    <t>Aditya Birla Sun Life Nifty 50 Index Fund -DIRECT - IDCW</t>
  </si>
  <si>
    <t>INF209K01LA4</t>
  </si>
  <si>
    <t>INF209K01LC0</t>
  </si>
  <si>
    <t>Aditya Birla Sun Life Nifty 50 Index Fund -REGULAR - IDCW</t>
  </si>
  <si>
    <t>INF209KC1183</t>
  </si>
  <si>
    <t>Aditya Birla Sun Life Nifty India Defence Index Fund-Direct Growth</t>
  </si>
  <si>
    <t>INF209KC1191</t>
  </si>
  <si>
    <t>Aditya Birla Sun Life Nifty India Defence Index Fund-Direct IDCW Payout</t>
  </si>
  <si>
    <t>INF209KC1167</t>
  </si>
  <si>
    <t>Aditya Birla Sun Life Nifty India Defence Index Fund-Regular IDCW Payout</t>
  </si>
  <si>
    <t>INF209KC1159</t>
  </si>
  <si>
    <t>Aditya Birla Sun Life Nifty India Defence Index Fund-Regular-Growth</t>
  </si>
  <si>
    <t>INF209KB1W82</t>
  </si>
  <si>
    <t>INF209KB1W90</t>
  </si>
  <si>
    <t>Aditya Birla Sun Life Nifty Midcap 150 Index Fund - Direct - Payout of IDCW</t>
  </si>
  <si>
    <t>INF209KB1W58</t>
  </si>
  <si>
    <t>INF209KB1W66</t>
  </si>
  <si>
    <t>Aditya Birla Sun Life Nifty Midcap 150 Index Fund - Regular - Payout of IDCW</t>
  </si>
  <si>
    <t>INF209KB1W74</t>
  </si>
  <si>
    <t>Aditya Birla Sun Life Nifty Midcap 150 Index Fund-Direct Growth</t>
  </si>
  <si>
    <t>INF209KB1W41</t>
  </si>
  <si>
    <t>Aditya Birla Sun Life Nifty Midcap 150 Index Fund-Regular Growth</t>
  </si>
  <si>
    <t>INF209KB10G3</t>
  </si>
  <si>
    <t>Aditya Birla Sun Life Nifty Next 50 Index Fund-Direct Growth</t>
  </si>
  <si>
    <t>INF209KB11G1</t>
  </si>
  <si>
    <t>Aditya Birla Sun Life Nifty Next 50 Index Fund-Direct IDCW</t>
  </si>
  <si>
    <t>INF209KB12G9</t>
  </si>
  <si>
    <t>Aditya Birla Sun Life Nifty Next 50 Index Fund-Regular Growth</t>
  </si>
  <si>
    <t>INF209KB13G7</t>
  </si>
  <si>
    <t>Aditya Birla Sun Life Nifty Next 50 Index Fund-Regular IDCW</t>
  </si>
  <si>
    <t>INF209KB11F3</t>
  </si>
  <si>
    <t>Aditya Birla Sun Life Nifty SDL Apr 2027 Index Fund-Direct Growth</t>
  </si>
  <si>
    <t>INF209KB12F1</t>
  </si>
  <si>
    <t>Aditya Birla Sun Life Nifty SDL Apr 2027 Index Fund-Direct IDCW Payout</t>
  </si>
  <si>
    <t>INF209KB19E9</t>
  </si>
  <si>
    <t>Aditya Birla Sun Life Nifty SDL Apr 2027 Index Fund-Regular Growth</t>
  </si>
  <si>
    <t>INF209KB10F5</t>
  </si>
  <si>
    <t>Aditya Birla Sun Life Nifty SDL Apr 2027 Index Fund-Regular-IDCW Payout</t>
  </si>
  <si>
    <t>INF209KB18B7</t>
  </si>
  <si>
    <t>Aditya Birla Sun Life Nifty SDL Plus PSU Bond SEP 2026 60:40 Index Fund-Direct Growth</t>
  </si>
  <si>
    <t>INF209KB19B5</t>
  </si>
  <si>
    <t>Aditya Birla Sun Life Nifty SDL Plus PSU Bond SEP 2026 60:40 Index Fund-Direct IDCW</t>
  </si>
  <si>
    <t>INF209KB16B1</t>
  </si>
  <si>
    <t>Aditya Birla Sun Life Nifty SDL Plus PSU Bond SEP 2026 60:40 Index Fund-Regular Growth</t>
  </si>
  <si>
    <t>INF209KB17B9</t>
  </si>
  <si>
    <t>Aditya Birla Sun Life Nifty SDL Plus PSU Bond SEP 2026 60:40 Index Fund-Regular IDCW</t>
  </si>
  <si>
    <t>INF209KB10M1</t>
  </si>
  <si>
    <t>Aditya Birla Sun Life Nifty SDL Sep 2025 Index Fund-Direct Growth</t>
  </si>
  <si>
    <t>INF209KB11M9</t>
  </si>
  <si>
    <t>Aditya Birla Sun Life Nifty SDL Sep 2025 Index Fund-Direct IDCW</t>
  </si>
  <si>
    <t>INF209KB18L6</t>
  </si>
  <si>
    <t>Aditya Birla Sun Life Nifty SDL SEP 2025 Index Fund-Regular Growth</t>
  </si>
  <si>
    <t>INF209KB19L4</t>
  </si>
  <si>
    <t>Aditya Birla Sun Life Nifty SDL Sep 2025 Index Fund-Regular IDCW</t>
  </si>
  <si>
    <t>INF209KB16T3</t>
  </si>
  <si>
    <t>Aditya Birla Sun Life Nifty SDL SEP 2027 Index Fund-Direct Growth</t>
  </si>
  <si>
    <t>INF209KB17T1</t>
  </si>
  <si>
    <t>Aditya Birla Sun Life Nifty SDL SEP 2027 Index Fund-Direct IDCW</t>
  </si>
  <si>
    <t>INF209KB14T8</t>
  </si>
  <si>
    <t>Aditya Birla Sun Life Nifty SDL SEP 2027 Index Fund-Regular Growth</t>
  </si>
  <si>
    <t>INF209KB15T5</t>
  </si>
  <si>
    <t>Aditya Birla Sun Life Nifty SDL SEP 2027 Index Fund-Regular IDCW</t>
  </si>
  <si>
    <t>INF209KB1W25</t>
  </si>
  <si>
    <t>INF209KB1W33</t>
  </si>
  <si>
    <t>Aditya Birla Sun Life Nifty Smallcap 50 Index Fund-Direct - Payout of IDCW</t>
  </si>
  <si>
    <t>INF209KB1W17</t>
  </si>
  <si>
    <t>Aditya Birla Sun Life Nifty Smallcap 50 Index Fund-Direct Growth</t>
  </si>
  <si>
    <t>INF209KB1V91</t>
  </si>
  <si>
    <t>INF209KB1W09</t>
  </si>
  <si>
    <t>Aditya Birla Sun Life Nifty Smallcap 50 Index Fund-Regular - Payout of IDCW</t>
  </si>
  <si>
    <t>INF209KB1V83</t>
  </si>
  <si>
    <t>Aditya Birla Sun Life Nifty Smallcap 50 Index Fund-Regular Growth</t>
  </si>
  <si>
    <t>INF1J2R01072</t>
  </si>
  <si>
    <t>ANGEL ONE NIFTY 50 INDEX FUND-DIRECT-GROWTH</t>
  </si>
  <si>
    <t>INF1J2R01080</t>
  </si>
  <si>
    <t>ANGEL ONE NIFTY 50 INDEX FUND-REGULAR-GROWTH</t>
  </si>
  <si>
    <t>INF1J2R01023</t>
  </si>
  <si>
    <t>ANGEL ONE NIFTY TOTAL MARKET INDEX FUND DIRECT PLAN GROWTH OPTION</t>
  </si>
  <si>
    <t>INF1J2R01031</t>
  </si>
  <si>
    <t>ANGEL ONE NIFTY TOTAL MARKET INDEX FUND REGULAR PLAN GROWTH OPTION</t>
  </si>
  <si>
    <t>INF1J2R01122</t>
  </si>
  <si>
    <t>ANGEL ONE NIFTY TOTAL MARKET MOMENTUM QUALITY 50 INDEX FUND - DIRECT GROWTH</t>
  </si>
  <si>
    <t>INF1J2R01130</t>
  </si>
  <si>
    <t>ANGEL ONE NIFTY TOTAL MARKET MOMENTUM QUALITY 50 INDEX FUND - REGULAR GROWTH</t>
  </si>
  <si>
    <t>INF846KA1424</t>
  </si>
  <si>
    <t>Axis BSE India Sectors Leaders Index Fund- Direct Plan- Growth Option</t>
  </si>
  <si>
    <t>INF846KA1416</t>
  </si>
  <si>
    <t>Axis BSE India Sectors Leaders Index Fund- Regular Plan- Growth Option</t>
  </si>
  <si>
    <t>INF846K012V6</t>
  </si>
  <si>
    <t>Axis BSE Sensex Index Fund - Direct Plan - Growth</t>
  </si>
  <si>
    <t>INF846K013V4</t>
  </si>
  <si>
    <t>INF846K015V9</t>
  </si>
  <si>
    <t>Axis BSE Sensex Index Fund - Direct Plan - IDCW</t>
  </si>
  <si>
    <t>INF846K014V2</t>
  </si>
  <si>
    <t>Axis BSE Sensex Index Fund - Regular Plan - Growth</t>
  </si>
  <si>
    <t>INF846K010V0</t>
  </si>
  <si>
    <t>INF846K011V8</t>
  </si>
  <si>
    <t>Axis BSE Sensex Index Fund - Regular Plan - IDCW</t>
  </si>
  <si>
    <t>INF846K010N7</t>
  </si>
  <si>
    <t>Axis CRISIL IBX 50:50 Gilt Plus SDL June 2028 Index Fund - Direct Plan - Growth</t>
  </si>
  <si>
    <t>INF846K011N5</t>
  </si>
  <si>
    <t>INF846K012N3</t>
  </si>
  <si>
    <t>Axis CRISIL IBX 50:50 Gilt Plus SDL June 2028 Index Fund - Direct Plan - IDCW</t>
  </si>
  <si>
    <t>INF846K013N1</t>
  </si>
  <si>
    <t>Axis CRISIL IBX 50:50 Gilt Plus SDL June 2028 Index Fund - Regular Plan - Growth</t>
  </si>
  <si>
    <t>INF846K014N9</t>
  </si>
  <si>
    <t>INF846K015N6</t>
  </si>
  <si>
    <t>Axis CRISIL IBX 50:50 Gilt Plus SDL June 2028 Index Fund - Regular Plan - IDCW</t>
  </si>
  <si>
    <t>INF846K013O9</t>
  </si>
  <si>
    <t>INF846K014O7</t>
  </si>
  <si>
    <t>AXIS CRISIL IBX 50:50 Gilt Plus SDL September 2027 Index Fund- DIRECT PLAN- IDCW</t>
  </si>
  <si>
    <t>INF846K012O1</t>
  </si>
  <si>
    <t>AXIS CRISIL IBX 50:50 Gilt Plus SDL September 2027 Index Fund- DIRECT PLAN-GROWTH</t>
  </si>
  <si>
    <t>INF846K015O4</t>
  </si>
  <si>
    <t>AXIS CRISIL IBX 50:50 Gilt Plus SDL September 2027 Index Fund- REGULAR PLAN-GROWTH</t>
  </si>
  <si>
    <t>INF846K016O2</t>
  </si>
  <si>
    <t>INF846K017O0</t>
  </si>
  <si>
    <t>AXIS CRISIL IBX 50:50 Gilt Plus SDL September 2027 Index Fund- REGULAR PLAN-IDCW</t>
  </si>
  <si>
    <t>INF846K017G6</t>
  </si>
  <si>
    <t>Axis CRISIL IBX SDL May 2027 Index Fund - Direct Plan - Growth</t>
  </si>
  <si>
    <t>INF846K018G4</t>
  </si>
  <si>
    <t>INF846K019G2</t>
  </si>
  <si>
    <t>Axis CRISIL IBX SDL May 2027 Index Fund - Direct Plan - IDCW</t>
  </si>
  <si>
    <t>INF846K010H9</t>
  </si>
  <si>
    <t>Axis CRISIL IBX SDL May 2027 Index Fund - Regular Plan - Growth</t>
  </si>
  <si>
    <t>INF846K011H7</t>
  </si>
  <si>
    <t>INF846K012H5</t>
  </si>
  <si>
    <t>Axis CRISIL IBX SDL May 2027 Index Fund - Regular Plan - IDCW</t>
  </si>
  <si>
    <t>INF846K015Y3</t>
  </si>
  <si>
    <t>Axis CRISIL-IBX AAA Bond Financial Services - Sep 2027 Index Fund - Direct Plan - Growth Option</t>
  </si>
  <si>
    <t>INF846K017Y9</t>
  </si>
  <si>
    <t>INF846K019Y5</t>
  </si>
  <si>
    <t>Axis CRISIL-IBX AAA Bond Financial Services - Sep 2027 Index Fund - Direct Plan - IDCW Option</t>
  </si>
  <si>
    <t>INF846K014Y6</t>
  </si>
  <si>
    <t>Axis CRISIL-IBX AAA Bond Financial Services - Sep 2027 Index Fund - Regular Plan - Growth Option</t>
  </si>
  <si>
    <t>INF846K016Y1</t>
  </si>
  <si>
    <t>INF846K018Y7</t>
  </si>
  <si>
    <t>Axis CRISIL-IBX AAA Bond Financial Services - Sep 2027 Index Fund - Regular Plan - IDCW Option</t>
  </si>
  <si>
    <t>INF846K017X1</t>
  </si>
  <si>
    <t>Axis CRISIL-IBX AAA Bond NBFC - Jun 2027 Index Fund - Direct Plan - Growth Option</t>
  </si>
  <si>
    <t>INF846K019X7</t>
  </si>
  <si>
    <t>INF846K011Y2</t>
  </si>
  <si>
    <t>Axis CRISIL-IBX AAA Bond NBFC - Jun 2027 Index Fund - Direct Plan - IDCW Option</t>
  </si>
  <si>
    <t>INF846K016X3</t>
  </si>
  <si>
    <t>Axis CRISIL-IBX AAA Bond NBFC - Jun 2027 Index Fund - Regular Plan - Growth Option</t>
  </si>
  <si>
    <t>INF846K018X9</t>
  </si>
  <si>
    <t>INF846K010Y4</t>
  </si>
  <si>
    <t>Axis CRISIL-IBX AAA Bond NBFC - Jun 2027 Index Fund - Regular Plan - IDCW Option</t>
  </si>
  <si>
    <t>INF846KA1028</t>
  </si>
  <si>
    <t>Axis CRISIL-IBX AAA Bond NBFC-HFC - Jun 2027 Index Fund - Direct Plan - Growth option</t>
  </si>
  <si>
    <t>INF846K018Z4</t>
  </si>
  <si>
    <t>INF846KA1010</t>
  </si>
  <si>
    <t>Axis CRISIL-IBX AAA Bond NBFC-HFC - Jun 2027 Index Fund - Direct Plan - IDCW option</t>
  </si>
  <si>
    <t>INF846K016Z8</t>
  </si>
  <si>
    <t>Axis CRISIL-IBX AAA Bond NBFC-HFC - Jun 2027 Index Fund - Regular Plan - Growth option</t>
  </si>
  <si>
    <t>INF846K017Z6</t>
  </si>
  <si>
    <t>INF846K019Z2</t>
  </si>
  <si>
    <t>Axis CRISIL-IBX AAA Bond NBFC-HFC - Jun 2027 Index Fund - Regular Plan - IDCW option</t>
  </si>
  <si>
    <t>INF846KA1226</t>
  </si>
  <si>
    <t>Axis CRISIL-IBX Financial Services 3-6 Months Debt Index Fund - Direct Plan - Growth option</t>
  </si>
  <si>
    <t>INF846KA1242</t>
  </si>
  <si>
    <t>INF846KA1267</t>
  </si>
  <si>
    <t>Axis CRISIL-IBX Financial Services 3-6 Months Debt Index Fund - Direct Plan - IDCW option</t>
  </si>
  <si>
    <t>INF846KA1218</t>
  </si>
  <si>
    <t>Axis CRISIL-IBX Financial Services 3-6 Months Debt Index Fund - Regular Plan - Growth option</t>
  </si>
  <si>
    <t>INF846KA1234</t>
  </si>
  <si>
    <t>INF846KA1259</t>
  </si>
  <si>
    <t>Axis CRISIL-IBX Financial Services 3-6 Months Debt Index Fund - Regular Plan - IDCW option</t>
  </si>
  <si>
    <t>INF846K01S29</t>
  </si>
  <si>
    <t>Axis Nifty 100 Index Fund - Direct Plan - Growth Option</t>
  </si>
  <si>
    <t>INF846K01S37</t>
  </si>
  <si>
    <t>INF846K01S45</t>
  </si>
  <si>
    <t>Axis Nifty 100 Index Fund - Direct Plan - IDCW</t>
  </si>
  <si>
    <t>INF846K01S52</t>
  </si>
  <si>
    <t>Axis Nifty 100 Index Fund - Regular Plan - Growth Option</t>
  </si>
  <si>
    <t>INF846K01S60</t>
  </si>
  <si>
    <t>INF846K01S78</t>
  </si>
  <si>
    <t>Axis Nifty 100 Index Fund - Regular Plan - IDCW</t>
  </si>
  <si>
    <t>INF846K013D2</t>
  </si>
  <si>
    <t>Axis Nifty 50 Index Fund - Direct Plan - Growth</t>
  </si>
  <si>
    <t>INF846K014D0</t>
  </si>
  <si>
    <t>INF846K015D7</t>
  </si>
  <si>
    <t>Axis Nifty 50 Index Fund - Direct Plan - IDCW</t>
  </si>
  <si>
    <t>INF846K016D5</t>
  </si>
  <si>
    <t>Axis Nifty 50 Index Fund - Regular Plan - Growth Option</t>
  </si>
  <si>
    <t>INF846K017D3</t>
  </si>
  <si>
    <t>INF846K018D1</t>
  </si>
  <si>
    <t>Axis Nifty 50 Index Fund - Regular Plan - IDCW</t>
  </si>
  <si>
    <t>INF846K019W9</t>
  </si>
  <si>
    <t>Axis Nifty 500 Index Fund - Direct Plan - Growth Option</t>
  </si>
  <si>
    <t>INF846K018W1</t>
  </si>
  <si>
    <t>Axis Nifty 500 Index Fund - Regular Plan - Growth Option</t>
  </si>
  <si>
    <t>INF846K015W7</t>
  </si>
  <si>
    <t>Axis Nifty Bank Index Fund - Direct Plan - Growth Option</t>
  </si>
  <si>
    <t>INF846K016W5</t>
  </si>
  <si>
    <t>INF846K017W3</t>
  </si>
  <si>
    <t>Axis Nifty Bank Index Fund - Direct Plan - IDCW Option</t>
  </si>
  <si>
    <t>INF846K012W4</t>
  </si>
  <si>
    <t>Axis Nifty Bank Index Fund - Regular Plan - Growth Option</t>
  </si>
  <si>
    <t>INF846K013W2</t>
  </si>
  <si>
    <t>INF846K014W0</t>
  </si>
  <si>
    <t>Axis Nifty Bank Index Fund - Regular Plan - IDCW Option</t>
  </si>
  <si>
    <t>INF846K017R3</t>
  </si>
  <si>
    <t>Axis Nifty IT Index Fund - Direct Plan - Growth</t>
  </si>
  <si>
    <t>INF846K018R1</t>
  </si>
  <si>
    <t>INF846K019R9</t>
  </si>
  <si>
    <t>Axis Nifty IT Index Fund - Direct Plan - IDCW</t>
  </si>
  <si>
    <t>INF846K010S6</t>
  </si>
  <si>
    <t>Axis Nifty IT Index Fund - Regular Plan - Growth</t>
  </si>
  <si>
    <t>INF846K011S4</t>
  </si>
  <si>
    <t>INF846K012S2</t>
  </si>
  <si>
    <t>Axis Nifty IT Index Fund - Regular Plan - IDCW</t>
  </si>
  <si>
    <t>INF846K019H0</t>
  </si>
  <si>
    <t>Axis Nifty Midcap 50 Index Fund - Direct Plan - Growth Option</t>
  </si>
  <si>
    <t>INF846K010I7</t>
  </si>
  <si>
    <t>INF846K011I5</t>
  </si>
  <si>
    <t>Axis Nifty Midcap 50 Index Fund - Direct Plan - IDCW Option</t>
  </si>
  <si>
    <t>INF846K012I3</t>
  </si>
  <si>
    <t>Axis Nifty Midcap 50 Index Fund - Regular Plan - Growth Option</t>
  </si>
  <si>
    <t>INF846K013I1</t>
  </si>
  <si>
    <t>INF846K014I9</t>
  </si>
  <si>
    <t>Axis Nifty Midcap 50 Index Fund - Regular Plan - IDCW Option</t>
  </si>
  <si>
    <t>INF846K019E7</t>
  </si>
  <si>
    <t>Axis Nifty Next 50 Index Fund - Direct Plan - Growth</t>
  </si>
  <si>
    <t>INF846K010F3</t>
  </si>
  <si>
    <t>INF846K011F1</t>
  </si>
  <si>
    <t>Axis Nifty Next 50 Index Fund - Direct Plan - IDCW</t>
  </si>
  <si>
    <t>INF846K012F9</t>
  </si>
  <si>
    <t>Axis Nifty Next 50 Index Fund - Regular Plan - Growth</t>
  </si>
  <si>
    <t>INF846K013F7</t>
  </si>
  <si>
    <t>INF846K014F5</t>
  </si>
  <si>
    <t>Axis Nifty Next 50 Index Fund - Regular Plan - IDCW</t>
  </si>
  <si>
    <t>INF846K018K6</t>
  </si>
  <si>
    <t>Axis Nifty SDL September 2026 Debt Index Fund - Direct Plan - Growth</t>
  </si>
  <si>
    <t>INF846K019K4</t>
  </si>
  <si>
    <t>INF846K010L1</t>
  </si>
  <si>
    <t>Axis Nifty SDL September 2026 Debt Index Fund - Direct Plan - IDCW</t>
  </si>
  <si>
    <t>INF846K012L7</t>
  </si>
  <si>
    <t>INF846K013L5</t>
  </si>
  <si>
    <t>Axis Nifty SDL September 2026 Debt Index Fund - Regular Plan -  IDCW</t>
  </si>
  <si>
    <t>INF846K011L9</t>
  </si>
  <si>
    <t>Axis Nifty SDL September 2026 Debt Index Fund - Regular Plan - Growth</t>
  </si>
  <si>
    <t>INF846K013H3</t>
  </si>
  <si>
    <t>Axis Nifty Smallcap 50 Index Fund - Direct Plan - Growth Option</t>
  </si>
  <si>
    <t>INF846K014H1</t>
  </si>
  <si>
    <t>INF846K015H8</t>
  </si>
  <si>
    <t>Axis Nifty Smallcap 50 Index Fund - Direct Plan - IDCW</t>
  </si>
  <si>
    <t>INF846K016H6</t>
  </si>
  <si>
    <t>Axis Nifty Smallcap 50 Index Fund - Regular Plan - Growth Option</t>
  </si>
  <si>
    <t>INF846K017H4</t>
  </si>
  <si>
    <t>INF846K018H2</t>
  </si>
  <si>
    <t>Axis Nifty Smallcap 50 Index Fund - Regular Plan - IDCW</t>
  </si>
  <si>
    <t>INF846KA1044</t>
  </si>
  <si>
    <t>Axis Nifty500 Momentum 50 Index Fund - Direct Plan - Growth Option</t>
  </si>
  <si>
    <t>INF846KA1036</t>
  </si>
  <si>
    <t>Axis Nifty500 Momentum 50 Index Fund - Regular Plan - Growth Option</t>
  </si>
  <si>
    <t>INF846KA1200</t>
  </si>
  <si>
    <t>Axis Nifty500 Quality 50 Index Fund - Direct Plan - Growth Option</t>
  </si>
  <si>
    <t>INF846KA1192</t>
  </si>
  <si>
    <t>Axis Nifty500 Quality 50 Index Fund - Regular Plan - Growth Option</t>
  </si>
  <si>
    <t>INF846K013Y8</t>
  </si>
  <si>
    <t>Axis Nifty500 Value 50 Index Fund - Direct Plan - Growth Option</t>
  </si>
  <si>
    <t>INF846K012Y0</t>
  </si>
  <si>
    <t>Axis Nifty500 Value 50 Index Fund - Regular Plan - Growth Option</t>
  </si>
  <si>
    <t>INF0QA701BA9</t>
  </si>
  <si>
    <t>Bajaj Finserv Nifty 50 Index Fund - Direct - Growth</t>
  </si>
  <si>
    <t>INF0QA701BB7</t>
  </si>
  <si>
    <t>INF0QA701BC5</t>
  </si>
  <si>
    <t>Bajaj Finserv Nifty 50 Index Fund - Direct - IDCW</t>
  </si>
  <si>
    <t>INF0QA701AY1</t>
  </si>
  <si>
    <t>Bajaj Finserv Nifty 50 Index Fund - Regular - Growth</t>
  </si>
  <si>
    <t>INF0QA701BJ0</t>
  </si>
  <si>
    <t>INF0QA701AZ8</t>
  </si>
  <si>
    <t>Bajaj Finserv Nifty 50 Index Fund - Regular - IDCW</t>
  </si>
  <si>
    <t>INF0QA701BG6</t>
  </si>
  <si>
    <t>Bajaj Finserv Nifty Next 50 Index Fund - Direct - Growth</t>
  </si>
  <si>
    <t>INF0QA701BH4</t>
  </si>
  <si>
    <t>INF0QA701BI2</t>
  </si>
  <si>
    <t>Bajaj Finserv Nifty Next 50 Index Fund - Direct - IDCW</t>
  </si>
  <si>
    <t>INF0QA701BD3</t>
  </si>
  <si>
    <t>Bajaj Finserv Nifty Next 50 Index Fund - Regular - Growth</t>
  </si>
  <si>
    <t>INF0QA701BE1</t>
  </si>
  <si>
    <t>INF0QA701BF8</t>
  </si>
  <si>
    <t>Bajaj Finserv Nifty Next 50 Index Fund - Regular - IDCW</t>
  </si>
  <si>
    <t>INF194KB1IS2</t>
  </si>
  <si>
    <t>Bandhan BSE Healthcare Index Fund Direct Plan - Growth</t>
  </si>
  <si>
    <t>INF194KB1IR4</t>
  </si>
  <si>
    <t>Bandhan BSE Healthcare Index Fund Regular Plan - Growth</t>
  </si>
  <si>
    <t>INF194KB1KB4</t>
  </si>
  <si>
    <t>Bandhan BSE India Sector Leaders Index Fund - Direct Plan - Growth</t>
  </si>
  <si>
    <t>INF194KB1KA6</t>
  </si>
  <si>
    <t>Bandhan BSE India Sector Leaders Index Fund - Regular Plan - Growth</t>
  </si>
  <si>
    <t>INF194KB1EN2</t>
  </si>
  <si>
    <t>BANDHAN CRISIL IBX 90:10 SDL PLUS GILT APRIL 2032 INDEX FUND - DIRECT GROWTH</t>
  </si>
  <si>
    <t>INF194KB1EO0</t>
  </si>
  <si>
    <t>INF194KB1EP7</t>
  </si>
  <si>
    <t>BANDHAN CRISIL IBX 90:10 SDL PLUS GILT APRIL 2032 INDEX FUND - DIRECT IDCW</t>
  </si>
  <si>
    <t>INF194KB1EQ5</t>
  </si>
  <si>
    <t>BANDHAN CRISIL IBX 90:10 SDL PLUS GILT APRIL 2032 INDEX FUND - REGULAR GROWTH</t>
  </si>
  <si>
    <t>INF194KB1ER3</t>
  </si>
  <si>
    <t>INF194KB1ES1</t>
  </si>
  <si>
    <t>BANDHAN CRISIL IBX 90:10 SDL PLUS GILT APRIL 2032 INDEX FUND - REGULAR IDCW</t>
  </si>
  <si>
    <t>INF194KB1ET9</t>
  </si>
  <si>
    <t>BANDHAN CRISIL IBX 90:10 SDL PLUS GILT - NOV 2026 INDEX FUND - DIRECT GROWTH</t>
  </si>
  <si>
    <t>INF194KB1EU7</t>
  </si>
  <si>
    <t>INF194KB1EV5</t>
  </si>
  <si>
    <t>BANDHAN CRISIL IBX 90:10 SDL PLUS GILT - NOV 2026 INDEX FUND - DIRECT IDCW</t>
  </si>
  <si>
    <t>INF194KB1EW3</t>
  </si>
  <si>
    <t>BANDHAN CRISIL IBX 90:10 SDL PLUS GILT - NOV 2026 INDEX FUND - REGULAR GROWTH</t>
  </si>
  <si>
    <t>INF194KB1EX1</t>
  </si>
  <si>
    <t>INF194KB1EY9</t>
  </si>
  <si>
    <t>BANDHAN CRISIL IBX 90:10 SDL PLUS GILT - NOV 2026 INDEX FUND - REGULAR IDCW</t>
  </si>
  <si>
    <t>INF194KB1EZ6</t>
  </si>
  <si>
    <t>BANDHAN CRISIL IBX 90:10 SDL PLUS GILT - SEP27 INDEX FUND - DIRECT GROWTH</t>
  </si>
  <si>
    <t>INF194KB1FA6</t>
  </si>
  <si>
    <t>INF194KB1FB4</t>
  </si>
  <si>
    <t>BANDHAN CRISIL IBX 90:10 SDL PLUS GILT SEP27 INDEX FUND - DIRECT IDCW</t>
  </si>
  <si>
    <t>INF194KB1FC2</t>
  </si>
  <si>
    <t>BANDHAN CRISIL IBX 90:10 SDL PLUS GILT SEP27 INDEX FUND - REGULAR GROWTH</t>
  </si>
  <si>
    <t>INF194KB1FD0</t>
  </si>
  <si>
    <t>INF194KB1FE8</t>
  </si>
  <si>
    <t>BANDHAN CRISIL IBX 90:10 SDL PLUS GILT SEP27 INDEX FUND - REGULAR IDCW</t>
  </si>
  <si>
    <t>INF194KB1EH4</t>
  </si>
  <si>
    <t>BANDHAN CRISIL IBX GILT APRIL 2026 INDEX FUND - DIRECT PLAN - GROWTH</t>
  </si>
  <si>
    <t>INF194KB1EI2</t>
  </si>
  <si>
    <t>INF194KB1EJ0</t>
  </si>
  <si>
    <t>BANDHAN CRISIL IBX GILT APRIL 2026 INDEX FUND - DIRECT PLAN - IDCW</t>
  </si>
  <si>
    <t>INF194KB1EK8</t>
  </si>
  <si>
    <t>BANDHAN CRISIL IBX GILT APRIL 2026 INDEX FUND - REGULAR PLAN - GROWTH</t>
  </si>
  <si>
    <t>INF194KB1EL6</t>
  </si>
  <si>
    <t>INF194KB1EM4</t>
  </si>
  <si>
    <t>BANDHAN CRISIL IBX GILT APRIL 2026 INDEX FUND - REGULAR PLAN - IDCW</t>
  </si>
  <si>
    <t>INF194KB1BV1</t>
  </si>
  <si>
    <t>BANDHAN CRISIL IBX Gilt April 2028 Index Fund Direct Plan-Growth</t>
  </si>
  <si>
    <t>INF194KB1BW9</t>
  </si>
  <si>
    <t>INF194KB1BX7</t>
  </si>
  <si>
    <t>BANDHAN CRISIL IBX Gilt April 2028 Index Fund Direct Plan-IDCW</t>
  </si>
  <si>
    <t>INF194KB1BS7</t>
  </si>
  <si>
    <t>BANDHAN CRISIL IBX Gilt April 2028 Index Fund Regular Plan-Growth</t>
  </si>
  <si>
    <t>INF194KB1BT5</t>
  </si>
  <si>
    <t>INF194KB1BU3</t>
  </si>
  <si>
    <t>BANDHAN CRISIL IBX Gilt April 2028 Index Fund Regular Plan-IDCW</t>
  </si>
  <si>
    <t>INF194KB1FF5</t>
  </si>
  <si>
    <t>BANDHAN CRISIL IBX GILT APRIL 2032 INDEX FUND - DIRECT GROWTH</t>
  </si>
  <si>
    <t>INF194KB1FG3</t>
  </si>
  <si>
    <t>INF194KB1FH1</t>
  </si>
  <si>
    <t>BANDHAN CRISIL IBX GILT APRIL 2032 INDEX FUND - DIRECT IDCW</t>
  </si>
  <si>
    <t>INF194KB1FI9</t>
  </si>
  <si>
    <t>BANDHAN CRISIL IBX GILT APRIL 2032 INDEX FUND - REGULAR GROWTH</t>
  </si>
  <si>
    <t>INF194KB1FJ7</t>
  </si>
  <si>
    <t>INF194KB1FK5</t>
  </si>
  <si>
    <t>BANDHAN CRISIL IBX GILT APRIL 2032 INDEX FUND - REGULAR IDCW</t>
  </si>
  <si>
    <t>INF194KB1BP3</t>
  </si>
  <si>
    <t>BANDHAN CRISIL IBX Gilt June 2027 Index Fund Direct Plan-Growth</t>
  </si>
  <si>
    <t>INF194KB1BQ1</t>
  </si>
  <si>
    <t>INF194KB1BR9</t>
  </si>
  <si>
    <t>BANDHAN CRISIL IBX Gilt June 2027 Index Fund Direct Plan-IDCW</t>
  </si>
  <si>
    <t>INF194KB1BL2</t>
  </si>
  <si>
    <t>BANDHAN CRISIL IBX Gilt June 2027 Index Fund Regular Plan-Growth</t>
  </si>
  <si>
    <t>INF194KB1BM0</t>
  </si>
  <si>
    <t>INF194KB1BO6</t>
  </si>
  <si>
    <t>BANDHAN CRISIL IBX Gilt June 2027 Index Fund Regular Plan-IDCW</t>
  </si>
  <si>
    <t>INF194KB1JL5</t>
  </si>
  <si>
    <t>Bandhan CRISIL-IBX 10:90 Gilt Plus SDL Index - Dec 2029 Fund-Direct Plan-Growth</t>
  </si>
  <si>
    <t>INF194KB1JM3</t>
  </si>
  <si>
    <t>INF194KB1JN1</t>
  </si>
  <si>
    <t>Bandhan CRISIL-IBX 10:90 Gilt Plus SDL Index - Dec 2029 Fund-Direct Plan-IDCW</t>
  </si>
  <si>
    <t>INF194KB1JO9</t>
  </si>
  <si>
    <t>Bandhan CRISIL-IBX 10:90 Gilt Plus SDL Index - Dec 2029 Fund-Regular Plan-Growth</t>
  </si>
  <si>
    <t>INF194KB1JP6</t>
  </si>
  <si>
    <t>INF194KB1JQ4</t>
  </si>
  <si>
    <t>Bandhan CRISIL-IBX 10:90 Gilt Plus SDL Index - Dec 2029 Fund-Regular Plan-IDCW</t>
  </si>
  <si>
    <t>INF194KB1JR2</t>
  </si>
  <si>
    <t>Bandhan CRISIL-IBX Financial Services 3-6 Months Debt Index Fund - Direct Plan - Growth</t>
  </si>
  <si>
    <t>INF194KB1JS0</t>
  </si>
  <si>
    <t>Bandhan CRISIL-IBX Financial Services 3-6 Months Debt Index Fund - Regular Plan - Growth</t>
  </si>
  <si>
    <t>INF194KB1CR7</t>
  </si>
  <si>
    <t>BANDHAN NIFTY 100 INDEX FUND - DIRECT PLAN - GROWTH</t>
  </si>
  <si>
    <t>INF194KB1CS5</t>
  </si>
  <si>
    <t>INF194KB1CT3</t>
  </si>
  <si>
    <t>BANDHAN NIFTY 100 INDEX FUND - DIRECT PLAN - IDCW</t>
  </si>
  <si>
    <t>INF194KB1CO4</t>
  </si>
  <si>
    <t>BANDHAN NIFTY 100 INDEX FUND - REGULAR PLAN - GROWTH</t>
  </si>
  <si>
    <t>INF194KB1CP1</t>
  </si>
  <si>
    <t>INF194KB1CQ9</t>
  </si>
  <si>
    <t>BANDHAN NIFTY 100 INDEX FUND - REGULAR PLAN - IDCW</t>
  </si>
  <si>
    <t>INF194KB1JA8</t>
  </si>
  <si>
    <t>Bandhan Nifty 200 Quality 30 Index Fund - Direct Plan - Growth</t>
  </si>
  <si>
    <t>INF194KB1IZ7</t>
  </si>
  <si>
    <t>Bandhan Nifty 200 Quality 30 Index Fund - Regular Plan - Growth</t>
  </si>
  <si>
    <t>INF194K01920</t>
  </si>
  <si>
    <t>BANDHAN Nifty 50 Index Fund - Regular Plan - Growth</t>
  </si>
  <si>
    <t>INF194K01938</t>
  </si>
  <si>
    <t>INF194K01946</t>
  </si>
  <si>
    <t>BANDHAN Nifty 50 Index Fund - Regular Plan - IDCW</t>
  </si>
  <si>
    <t>INF194K012A8</t>
  </si>
  <si>
    <t>BANDHAN Nifty 50 Index Fund-Direct Plan-Growth</t>
  </si>
  <si>
    <t>INF194K013A6</t>
  </si>
  <si>
    <t>INF194K014A4</t>
  </si>
  <si>
    <t>BANDHAN Nifty 50 Index Fund-Direct Plan-IDCW</t>
  </si>
  <si>
    <t>INF194KB1IY0</t>
  </si>
  <si>
    <t>Bandhan Nifty 500 Momentum 50 Index Fund Direct Plan-Growth</t>
  </si>
  <si>
    <t>INF194KB1IX2</t>
  </si>
  <si>
    <t>Bandhan Nifty 500 Momentum 50 Index Fund Regular Plan-Growth</t>
  </si>
  <si>
    <t>INF194KB1IW4</t>
  </si>
  <si>
    <t>Bandhan Nifty 500 Value 50 Index Fund Direct Plan - Growth</t>
  </si>
  <si>
    <t>INF194KB1IV6</t>
  </si>
  <si>
    <t>Bandhan Nifty 500 Value 50 Index Fund Regular Plan - Growth</t>
  </si>
  <si>
    <t>INF194KB1HA2</t>
  </si>
  <si>
    <t>Bandhan Nifty Alpha 50 Index Fund - Direct Plan - Growth</t>
  </si>
  <si>
    <t>INF194KB1HB0</t>
  </si>
  <si>
    <t>INF194KB1HC8</t>
  </si>
  <si>
    <t>Bandhan Nifty Alpha 50 Index Fund - Direct Plan - IDCW</t>
  </si>
  <si>
    <t>INF194KB1GX6</t>
  </si>
  <si>
    <t>Bandhan Nifty Alpha 50 Index Fund - Regular Plan - Growth</t>
  </si>
  <si>
    <t>INF194KB1GY4</t>
  </si>
  <si>
    <t>INF194KB1GZ1</t>
  </si>
  <si>
    <t>Bandhan Nifty Alpha 50 Index Fund - Regular Plan - IDCW</t>
  </si>
  <si>
    <t>INF194KB1JC4</t>
  </si>
  <si>
    <t>Bandhan Nifty Alpha Low Volatility 30 Index Fund - Direct Plan - Growth</t>
  </si>
  <si>
    <t>INF194KB1JB6</t>
  </si>
  <si>
    <t>Bandhan Nifty Alpha Low Volatility 30 Index Fund - Regular Plan - Growth</t>
  </si>
  <si>
    <t>INF194KB1IO1</t>
  </si>
  <si>
    <t>Bandhan Nifty Bank Index Fund - Direct Plan - Growth</t>
  </si>
  <si>
    <t>INF194KB1IN3</t>
  </si>
  <si>
    <t>Bandhan Nifty Bank Index Fund - Regular Plan - Growth</t>
  </si>
  <si>
    <t>INF194KB1GK3</t>
  </si>
  <si>
    <t>Bandhan Nifty IT Index Fund - Direct Plan - Growth</t>
  </si>
  <si>
    <t>INF194KB1GL1</t>
  </si>
  <si>
    <t>INF194KB1GM9</t>
  </si>
  <si>
    <t>Bandhan Nifty IT Index Fund - Direct Plan - IDCW</t>
  </si>
  <si>
    <t>INF194KB1GH9</t>
  </si>
  <si>
    <t>Bandhan Nifty IT Index Fund - Regular Plan - Growth</t>
  </si>
  <si>
    <t>INF194KB1GI7</t>
  </si>
  <si>
    <t>INF194KB1GJ5</t>
  </si>
  <si>
    <t>Bandhan Nifty IT Index Fund - Regular Plan - IDCW</t>
  </si>
  <si>
    <t>INF194KB1IT0</t>
  </si>
  <si>
    <t>Bandhan Nifty Midcap 150 Index Fund-Direct Plan-Growth</t>
  </si>
  <si>
    <t>INF194KB1IU8</t>
  </si>
  <si>
    <t>Bandhan Nifty Midcap 150 Index Fund-Regular Plan-Growth</t>
  </si>
  <si>
    <t>INF194KB1JK7</t>
  </si>
  <si>
    <t>Bandhan Nifty Next 50 Index Fund - Direct Plan - Growth</t>
  </si>
  <si>
    <t>INF194KB1JJ9</t>
  </si>
  <si>
    <t>Bandhan Nifty Next 50 Index Fund - Regular Plan - Growth</t>
  </si>
  <si>
    <t>INF194KB1HG9</t>
  </si>
  <si>
    <t>BANDHAN Nifty Smallcap 250 Index Fund - Direct Plan - Growth</t>
  </si>
  <si>
    <t>INF194KB1HH7</t>
  </si>
  <si>
    <t>INF194KB1HI5</t>
  </si>
  <si>
    <t>BANDHAN Nifty Smallcap 250 Index Fund - Direct Plan - IDCW</t>
  </si>
  <si>
    <t>INF194KB1HD6</t>
  </si>
  <si>
    <t>BANDHAN Nifty Smallcap 250 Index Fund - Regular Plan - Growth</t>
  </si>
  <si>
    <t>INF194KB1HE4</t>
  </si>
  <si>
    <t>INF194KB1HF1</t>
  </si>
  <si>
    <t>BANDHAN Nifty Smallcap 250 Index Fund - Regular Plan - IDCW</t>
  </si>
  <si>
    <t>INF194KB1IK9</t>
  </si>
  <si>
    <t>Bandhan Nifty Total Market Index Fund - Direct Plan - Growth</t>
  </si>
  <si>
    <t>INF194KB1IH5</t>
  </si>
  <si>
    <t>Bandhan Nifty Total Market Index Fund - Regular Plan - Growth</t>
  </si>
  <si>
    <t>INF194KB1DV7</t>
  </si>
  <si>
    <t>BANDHAN NIFTY100 LOW VOLATILITY 30 INDEX FUND - GROWTH - DIRECT PLAN</t>
  </si>
  <si>
    <t>INF194KB1DY1</t>
  </si>
  <si>
    <t>BANDHAN NIFTY100 LOW VOLATILITY 30 INDEX FUND - GROWTH - REGULAR PLAN</t>
  </si>
  <si>
    <t>INF194KB1DW5</t>
  </si>
  <si>
    <t>INF194KB1DX3</t>
  </si>
  <si>
    <t>BANDHAN NIFTY100 LOW VOLATILITY 30 INDEX FUND - IDCW - DIRECT PLAN</t>
  </si>
  <si>
    <t>INF194KB1DZ8</t>
  </si>
  <si>
    <t>INF194KB1EA9</t>
  </si>
  <si>
    <t>BANDHAN NIFTY100 LOW VOLATILITY 30 INDEX FUND - IDCW - REGULAR PLAN</t>
  </si>
  <si>
    <t>INF194KB1DP9</t>
  </si>
  <si>
    <t>BANDHAN NIFTY200 MOMENTUM 30 INDEX FUND - GROWTH - DIRECT PLAN</t>
  </si>
  <si>
    <t>INF194KB1DS3</t>
  </si>
  <si>
    <t>BANDHAN NIFTY200 MOMENTUM 30 INDEX FUND - GROWTH - REGULAR PLAN</t>
  </si>
  <si>
    <t>INF194KB1DQ7</t>
  </si>
  <si>
    <t>INF194KB1DR5</t>
  </si>
  <si>
    <t>BANDHAN NIFTY200 MOMENTUM 30 INDEX FUND - IDCW - DIRECT PLAN</t>
  </si>
  <si>
    <t>INF194KB1DT1</t>
  </si>
  <si>
    <t>INF194KB1DU9</t>
  </si>
  <si>
    <t>BANDHAN NIFTY200 MOMENTUM 30 INDEX FUND - IDCW - REGULAR PLAN</t>
  </si>
  <si>
    <t>INF251K01SY1</t>
  </si>
  <si>
    <t>Baroda BNP Paribas Nifty 50 Index Fund - Direct Plan - Growth option</t>
  </si>
  <si>
    <t>INF251K01SZ8</t>
  </si>
  <si>
    <t>INF251K01TA9</t>
  </si>
  <si>
    <t>Baroda BNP Paribas Nifty 50 Index Fund - Direct Plan - IDCW option</t>
  </si>
  <si>
    <t>INF251K01SV7</t>
  </si>
  <si>
    <t>Baroda BNP Paribas Nifty 50 Index Fund - Regular Plan - Growth option</t>
  </si>
  <si>
    <t>INF251K01SW5</t>
  </si>
  <si>
    <t>INF251K01SX3</t>
  </si>
  <si>
    <t>Baroda BNP Paribas Nifty 50 Index Fund - Regular Plan - IDCW option</t>
  </si>
  <si>
    <t>INF251K01UA7</t>
  </si>
  <si>
    <t>Baroda BNP Paribas Nifty Midcap 150 Index Fund - Direct Plan - Growth Option</t>
  </si>
  <si>
    <t>INF251K01UB5</t>
  </si>
  <si>
    <t>Baroda BNP Paribas Nifty Midcap 150 Index Fund - Regular Plan - Growth Option</t>
  </si>
  <si>
    <t>INF251K01RL0</t>
  </si>
  <si>
    <t>Baroda BNP Paribas Nifty SDL December 2026 Index Fund - Direct Plan - Growth Option</t>
  </si>
  <si>
    <t>INF251K01RM8</t>
  </si>
  <si>
    <t>Baroda BNP Paribas Nifty SDL December 2026 Index Fund - Direct Plan - IDCW Option</t>
  </si>
  <si>
    <t>INF251K01RI6</t>
  </si>
  <si>
    <t>Baroda BNP Paribas Nifty SDL December 2026 Index Fund - Regular Plan - Growth Option</t>
  </si>
  <si>
    <t>INF251K01RJ4</t>
  </si>
  <si>
    <t>Baroda BNP Paribas Nifty SDL December 2026 Index Fund - Regular Plan - IDCW Option</t>
  </si>
  <si>
    <t>INF251K01RR7</t>
  </si>
  <si>
    <t>Baroda BNP Paribas NIFTY SDL December 2028 Index Fund - Direct Plan - Growth Option</t>
  </si>
  <si>
    <t>INF251K01RS5</t>
  </si>
  <si>
    <t>INF251K01RT3</t>
  </si>
  <si>
    <t>Baroda BNP Paribas NIFTY SDL December 2028 Index Fund - Direct Plan - IDCW Option</t>
  </si>
  <si>
    <t>INF251K01RO4</t>
  </si>
  <si>
    <t>Baroda BNP Paribas NIFTY SDL December 2028 Index Fund - Regular Plan - Growth Option</t>
  </si>
  <si>
    <t>INF251K01RP1</t>
  </si>
  <si>
    <t>INF251K01RQ9</t>
  </si>
  <si>
    <t>Baroda BNP Paribas NIFTY SDL December 2028 Index Fund - Regular Plan - IDCW Option</t>
  </si>
  <si>
    <t>INF251K01TY9</t>
  </si>
  <si>
    <t>Baroda BNP Paribas Nifty200 Momentum 30 Index Fund - Direct Plan - Growth Option</t>
  </si>
  <si>
    <t>INF251K01TZ6</t>
  </si>
  <si>
    <t>Baroda BNP Paribas Nifty200 Momentum 30 Index Fund - Regular Plan - Growth Option</t>
  </si>
  <si>
    <t>INF2KCX01020</t>
  </si>
  <si>
    <t>Choice Nifty 50 Index Fund - Direct Plan Growth</t>
  </si>
  <si>
    <t>INF2KCX01038</t>
  </si>
  <si>
    <t>Choice Nifty 50 Index Fund - Regular Plan Growth</t>
  </si>
  <si>
    <t>INF2KCX01046</t>
  </si>
  <si>
    <t>Choice Nifty Next 50 Index Fund - Direct Plan Growth</t>
  </si>
  <si>
    <t>INF2KCX01053</t>
  </si>
  <si>
    <t>Choice Nifty Next 50 Index Fund - Regular Plan Growth</t>
  </si>
  <si>
    <t>INF740KA1VB1</t>
  </si>
  <si>
    <t>DSP BSE SENSEX Next 30 Index Fund - Direct - Growth</t>
  </si>
  <si>
    <t>INF740KA1VC9</t>
  </si>
  <si>
    <t>INF740KA1VD7</t>
  </si>
  <si>
    <t>DSP BSE SENSEX Next 30 Index Fund - Direct - IDCW</t>
  </si>
  <si>
    <t>INF740KA1UY5</t>
  </si>
  <si>
    <t>DSP BSE SENSEX Next 30 Index Fund - Regular - Growth</t>
  </si>
  <si>
    <t>INF740KA1UZ2</t>
  </si>
  <si>
    <t>INF740KA1VA3</t>
  </si>
  <si>
    <t>DSP BSE SENSEX Next 30 Index Fund - Regular - IDCW</t>
  </si>
  <si>
    <t>INF740KA1SB7</t>
  </si>
  <si>
    <t>DSP CRISIL-IBX 50:50 Gilt Plus SDL - April 2033 Index Fund - Direct - Growth</t>
  </si>
  <si>
    <t>INF740KA1SC5</t>
  </si>
  <si>
    <t>INF740KA1SD3</t>
  </si>
  <si>
    <t>DSP CRISIL-IBX 50:50 Gilt Plus SDL - April 2033 Index Fund - Direct - IDCW</t>
  </si>
  <si>
    <t>INF740KA1RY1</t>
  </si>
  <si>
    <t>DSP CRISIL-IBX 50:50 Gilt Plus SDL - April 2033 Index Fund - Regular - Growth</t>
  </si>
  <si>
    <t>INF740KA1RZ8</t>
  </si>
  <si>
    <t>INF740KA1SA9</t>
  </si>
  <si>
    <t>DSP CRISIL-IBX 50:50 Gilt Plus SDL - April 2033 Index Fund - Regular - IDCW</t>
  </si>
  <si>
    <t>INF740KA1CR7</t>
  </si>
  <si>
    <t>DSP Nifty 50 Equal Weight Index Fund - Direct Plan - Growth</t>
  </si>
  <si>
    <t>INF740KA1CS5</t>
  </si>
  <si>
    <t>INF740KA1CT3</t>
  </si>
  <si>
    <t>DSP Nifty 50 Equal Weight Index Fund - Direct Plan - IDCW</t>
  </si>
  <si>
    <t>INF740KA1CO4</t>
  </si>
  <si>
    <t>DSP Nifty 50 Equal Weight Index Fund - Regular Plan - Growth</t>
  </si>
  <si>
    <t>INF740KA1CP1</t>
  </si>
  <si>
    <t>INF740KA1CQ9</t>
  </si>
  <si>
    <t>DSP Nifty 50 Equal Weight Index Fund - Regular Plan - IDCW</t>
  </si>
  <si>
    <t>INF740KA1MM7</t>
  </si>
  <si>
    <t>DSP Nifty 50 Index Fund - Direct Plan - Growth</t>
  </si>
  <si>
    <t>INF740KA1MN5</t>
  </si>
  <si>
    <t>INF740KA1MO3</t>
  </si>
  <si>
    <t>DSP Nifty 50 Index Fund - Direct Plan - IDCW</t>
  </si>
  <si>
    <t>INF740KA1MJ3</t>
  </si>
  <si>
    <t>DSP Nifty 50 Index Fund - Regular Plan - Growth</t>
  </si>
  <si>
    <t>INF740KA1MK1</t>
  </si>
  <si>
    <t>INF740KA1ML9</t>
  </si>
  <si>
    <t>DSP Nifty 50 Index Fund - Regular Plan - IDCW</t>
  </si>
  <si>
    <t>INF740KA1XY9</t>
  </si>
  <si>
    <t>DSP Nifty 500 Index Fund - Direct - Growth</t>
  </si>
  <si>
    <t>INF740KA1XZ6</t>
  </si>
  <si>
    <t>INF740KA1YA7</t>
  </si>
  <si>
    <t>DSP Nifty 500 Index Fund - Direct - IDCW</t>
  </si>
  <si>
    <t>INF740KA1XV5</t>
  </si>
  <si>
    <t>DSP Nifty 500 Index Fund - Regular - Growth</t>
  </si>
  <si>
    <t>INF740KA1XW3</t>
  </si>
  <si>
    <t>INF740KA1XX1</t>
  </si>
  <si>
    <t>DSP Nifty 500 Index Fund - Regular - IDCW</t>
  </si>
  <si>
    <t>INF740KA1UO6</t>
  </si>
  <si>
    <t>DSP Nifty Bank Index Fund - Direct - Growth</t>
  </si>
  <si>
    <t>INF740KA1UN8</t>
  </si>
  <si>
    <t>DSP Nifty Bank Index Fund - Regular - Growth</t>
  </si>
  <si>
    <t>INF740KA1WG8</t>
  </si>
  <si>
    <t>INF740KA1WH6</t>
  </si>
  <si>
    <t>DSP Nifty Healthcare Index Fund - Direct - IDCW</t>
  </si>
  <si>
    <t>INF740KA1WF0</t>
  </si>
  <si>
    <t>DSP Nifty Healthcare Index Fund - Direct- Growth</t>
  </si>
  <si>
    <t>INF740KA1WC7</t>
  </si>
  <si>
    <t>DSP Nifty Healthcare Index Fund - Regular - Growth</t>
  </si>
  <si>
    <t>INF740KA1WD5</t>
  </si>
  <si>
    <t>INF740KA1WE3</t>
  </si>
  <si>
    <t>DSP Nifty Healthcare Index Fund - Regular - IDCW</t>
  </si>
  <si>
    <t>INF740KA1WL8</t>
  </si>
  <si>
    <t>DSP Nifty IT Index Fund - Direct - Growth</t>
  </si>
  <si>
    <t>INF740KA1WM6</t>
  </si>
  <si>
    <t>INF740KA1WN4</t>
  </si>
  <si>
    <t>DSP Nifty IT Index Fund - Direct - IDCW</t>
  </si>
  <si>
    <t>INF740KA1WI4</t>
  </si>
  <si>
    <t>DSP Nifty IT Index Fund - Regular - Growth</t>
  </si>
  <si>
    <t>INF740KA1WJ2</t>
  </si>
  <si>
    <t>INF740KA1WK0</t>
  </si>
  <si>
    <t>DSP Nifty IT Index Fund - Regular - IDCW</t>
  </si>
  <si>
    <t>INF740KA1XB7</t>
  </si>
  <si>
    <t>DSP Nifty Midcap 150 Index Fund - Direct - Growth</t>
  </si>
  <si>
    <t>INF740KA1XC5</t>
  </si>
  <si>
    <t>INF740KA1XD3</t>
  </si>
  <si>
    <t>DSP Nifty Midcap 150 Index Fund - Direct - IDCW</t>
  </si>
  <si>
    <t>INF740KA1WY1</t>
  </si>
  <si>
    <t>DSP Nifty Midcap 150 Index Fund - Regular - Growth</t>
  </si>
  <si>
    <t>INF740KA1WZ8</t>
  </si>
  <si>
    <t>INF740KA1XA9</t>
  </si>
  <si>
    <t>DSP Nifty Midcap 150 Index Fund - Regular - IDCW</t>
  </si>
  <si>
    <t>INF740KA1RB9</t>
  </si>
  <si>
    <t>DSP Nifty Midcap 150 Quality 50 Index Fund - Direct - Growth</t>
  </si>
  <si>
    <t>INF740KA1RC7</t>
  </si>
  <si>
    <t>INF740KA1RD5</t>
  </si>
  <si>
    <t>DSP Nifty Midcap 150 Quality 50 Index Fund - Direct - IDCW</t>
  </si>
  <si>
    <t>INF740KA1QY3</t>
  </si>
  <si>
    <t>DSP Nifty Midcap 150 Quality 50 Index Fund - Regular - Growth</t>
  </si>
  <si>
    <t>INF740KA1QZ0</t>
  </si>
  <si>
    <t>INF740KA1RA1</t>
  </si>
  <si>
    <t>DSP Nifty Midcap 150 Quality 50 Index Fund - Regular - IDCW</t>
  </si>
  <si>
    <t>INF740KA1MG9</t>
  </si>
  <si>
    <t>DSP Nifty Next 50 Index Fund - Direct Plan - Growth</t>
  </si>
  <si>
    <t>INF740KA1MH7</t>
  </si>
  <si>
    <t>INF740KA1MI5</t>
  </si>
  <si>
    <t>DSP Nifty Next 50 Index Fund - Direct Plan - IDCW</t>
  </si>
  <si>
    <t>INF740KA1MD6</t>
  </si>
  <si>
    <t>DSP Nifty Next 50 Index Fund - Regular Plan - Growth</t>
  </si>
  <si>
    <t>INF740KA1ME4</t>
  </si>
  <si>
    <t>INF740KA1MF1</t>
  </si>
  <si>
    <t>DSP Nifty Next 50 Index Fund - Regular Plan - IDCW</t>
  </si>
  <si>
    <t>INF740KA1VN6</t>
  </si>
  <si>
    <t>DSP Nifty Private Bank Index Fund - Direct - Growth</t>
  </si>
  <si>
    <t>INF740KA1VO4</t>
  </si>
  <si>
    <t>INF740KA1VP1</t>
  </si>
  <si>
    <t>DSP Nifty Private Bank Index Fund - Direct - IDCW</t>
  </si>
  <si>
    <t>INF740KA1VK2</t>
  </si>
  <si>
    <t>DSP Nifty Private Bank Index Fund - Regular - Growth</t>
  </si>
  <si>
    <t>INF740KA1VL0</t>
  </si>
  <si>
    <t>INF740KA1VM8</t>
  </si>
  <si>
    <t>DSP Nifty Private Bank Index Fund - Regular - IDCW</t>
  </si>
  <si>
    <t>INF740KA1QV9</t>
  </si>
  <si>
    <t>DSP Nifty SDL Plus G-Sec Jun 2028 30:70 Index Fund - Direct - Growth</t>
  </si>
  <si>
    <t>INF740KA1QW7</t>
  </si>
  <si>
    <t>INF740KA1QX5</t>
  </si>
  <si>
    <t>DSP Nifty SDL Plus G-Sec Jun 2028 30:70 Index Fund - Direct - IDCW</t>
  </si>
  <si>
    <t>INF740KA1QS5</t>
  </si>
  <si>
    <t>DSP Nifty SDL Plus G-Sec Jun 2028 30:70 Index Fund - Regular - Growth</t>
  </si>
  <si>
    <t>INF740KA1QT3</t>
  </si>
  <si>
    <t>INF740KA1QU1</t>
  </si>
  <si>
    <t>DSP Nifty SDL Plus G-Sec Jun 2028 30:70 Index Fund - Regular - IDCW</t>
  </si>
  <si>
    <t>INF740KA1SH4</t>
  </si>
  <si>
    <t>DSP Nifty SDL Plus G-Sec Sep 2027 50:50 Index Fund - Direct - Growth</t>
  </si>
  <si>
    <t>INF740KA1SI2</t>
  </si>
  <si>
    <t>INF740KA1SJ0</t>
  </si>
  <si>
    <t>DSP Nifty SDL Plus G-Sec Sep 2027 50:50 Index Fund - Direct - IDCW</t>
  </si>
  <si>
    <t>INF740KA1SE1</t>
  </si>
  <si>
    <t>DSP Nifty SDL Plus G-Sec Sep 2027 50:50 Index Fund - Regular - Growth</t>
  </si>
  <si>
    <t>INF740KA1SF8</t>
  </si>
  <si>
    <t>INF740KA1SG6</t>
  </si>
  <si>
    <t>DSP Nifty SDL Plus G-Sec Sep 2027 50:50 Index Fund - Regular - IDCW</t>
  </si>
  <si>
    <t>INF740KA1XH4</t>
  </si>
  <si>
    <t>DSP Nifty Smallcap 250 Index Fund - Direct - Growth</t>
  </si>
  <si>
    <t>INF740KA1XI2</t>
  </si>
  <si>
    <t>INF740KA1XJ0</t>
  </si>
  <si>
    <t>DSP Nifty Smallcap 250 Index Fund - Direct - IDCW</t>
  </si>
  <si>
    <t>INF740KA1XE1</t>
  </si>
  <si>
    <t>DSP Nifty Smallcap 250 Index Fund - Regular - Growth</t>
  </si>
  <si>
    <t>INF740KA1XF8</t>
  </si>
  <si>
    <t>INF740KA1XG6</t>
  </si>
  <si>
    <t>DSP Nifty Smallcap 250 Index Fund - Regular - IDCW</t>
  </si>
  <si>
    <t>INF740KA1TW1</t>
  </si>
  <si>
    <t>DSP Nifty Smallcap250 Quality 50 Index Fund - Direct - Growth</t>
  </si>
  <si>
    <t>INF740KA1TX9</t>
  </si>
  <si>
    <t>INF740KA1TY7</t>
  </si>
  <si>
    <t>DSP Nifty Smallcap250 Quality 50 Index Fund - Direct - IDCW</t>
  </si>
  <si>
    <t>INF740KA1TT7</t>
  </si>
  <si>
    <t>DSP Nifty Smallcap250 Quality 50 Index Fund - Regular - Growth</t>
  </si>
  <si>
    <t>INF740KA1TU5</t>
  </si>
  <si>
    <t>INF740KA1TV3</t>
  </si>
  <si>
    <t>DSP Nifty Smallcap250 Quality 50 Index Fund - Regular - IDCW</t>
  </si>
  <si>
    <t>INF740KA1UQ1</t>
  </si>
  <si>
    <t>DSP Nifty Top 10 Equal Weight Index Fund - Direct - Growth</t>
  </si>
  <si>
    <t>INF740KA1UP3</t>
  </si>
  <si>
    <t>DSP Nifty Top 10 Equal Weight Index Fund - Regular - Growth</t>
  </si>
  <si>
    <t>INF740KA1WR5</t>
  </si>
  <si>
    <t>DSP Nifty500 Flexicap Quality 30 Index Fund - Direct - Growth</t>
  </si>
  <si>
    <t>INF740KA1WS3</t>
  </si>
  <si>
    <t>INF740KA1WT1</t>
  </si>
  <si>
    <t>DSP Nifty500 Flexicap Quality 30 Index Fund - Direct - IDCW</t>
  </si>
  <si>
    <t>INF740KA1WO2</t>
  </si>
  <si>
    <t>DSP Nifty500 Flexicap Quality 30 Index Fund - Regular - Growth</t>
  </si>
  <si>
    <t>INF740KA1WP9</t>
  </si>
  <si>
    <t>INF740KA1WQ7</t>
  </si>
  <si>
    <t>DSP Nifty500 Flexicap Quality 30 Index Fund - Regular - IDCW</t>
  </si>
  <si>
    <t>INF754K01UX2</t>
  </si>
  <si>
    <t>Edelweiss BSE Internet Economy Index Fund - Direct Plan - Growth</t>
  </si>
  <si>
    <t>INF754K01UY0</t>
  </si>
  <si>
    <t>INF754K01UZ7</t>
  </si>
  <si>
    <t>Edelweiss BSE Internet Economy Index Fund - Direct Plan - IDCW</t>
  </si>
  <si>
    <t>INF754K01VB6</t>
  </si>
  <si>
    <t>Edelweiss BSE Internet Economy Index Fund - Regular Plan - Growth</t>
  </si>
  <si>
    <t>INF754K01VC4</t>
  </si>
  <si>
    <t>INF754K01VD2</t>
  </si>
  <si>
    <t>Edelweiss BSE Internet Economy Index Fund - Regular Plan - IDCW</t>
  </si>
  <si>
    <t>INF754K01PF9</t>
  </si>
  <si>
    <t>Edelweiss CRISIL IBX 50:50 Gilt Plus SDL April 2037 Index Fund - Direct Plan - Growth</t>
  </si>
  <si>
    <t>INF754K01PG7</t>
  </si>
  <si>
    <t>INF754K01PH5</t>
  </si>
  <si>
    <t>Edelweiss CRISIL IBX 50:50 Gilt Plus SDL April 2037 Index Fund - Direct Plan - IDCW Option</t>
  </si>
  <si>
    <t>INF754K01PB8</t>
  </si>
  <si>
    <t>Edelweiss CRISIL IBX 50:50 Gilt Plus SDL April 2037 Index Fund - Regular Plan - Growth</t>
  </si>
  <si>
    <t>INF754K01PC6</t>
  </si>
  <si>
    <t>INF754K01PD4</t>
  </si>
  <si>
    <t>Edelweiss CRISIL IBX 50:50 Gilt Plus SDL April 2037 Index Fund - Regular Plan - IDCW Option</t>
  </si>
  <si>
    <t>INF754K01PN3</t>
  </si>
  <si>
    <t>Edelweiss CRISIL IBX 50:50 Gilt Plus SDL June 2027 Index Fund - Direct Plan - Growth</t>
  </si>
  <si>
    <t>INF754K01PO1</t>
  </si>
  <si>
    <t>INF754K01PP8</t>
  </si>
  <si>
    <t>Edelweiss CRISIL IBX 50:50 Gilt Plus SDL June 2027 Index Fund - Direct Plan - IDCW</t>
  </si>
  <si>
    <t>INF754K01PJ1</t>
  </si>
  <si>
    <t>Edelweiss CRISIL IBX 50:50 Gilt Plus SDL June 2027 Index Fund - Regular Plan - Growth</t>
  </si>
  <si>
    <t>INF754K01PK9</t>
  </si>
  <si>
    <t>INF754K01PL7</t>
  </si>
  <si>
    <t>Edelweiss CRISIL IBX 50:50 Gilt Plus SDL June 2027 Index Fund - Regular Plan - IDCW</t>
  </si>
  <si>
    <t>INF754K01PV6</t>
  </si>
  <si>
    <t>Edelweiss CRISIL IBX 50:50 Gilt Plus SDL Sep 2028 Index Fund - Direct Plan - Growth</t>
  </si>
  <si>
    <t>INF754K01PW4</t>
  </si>
  <si>
    <t>INF754K01PX2</t>
  </si>
  <si>
    <t>Edelweiss CRISIL IBX 50:50 Gilt Plus SDL Sep 2028 Index Fund - Direct Plan - IDCW</t>
  </si>
  <si>
    <t>INF754K01PR4</t>
  </si>
  <si>
    <t>Edelweiss CRISIL IBX 50:50 Gilt Plus SDL Sep 2028 Index Fund - Regular Plan - Growth</t>
  </si>
  <si>
    <t>INF754K01PS2</t>
  </si>
  <si>
    <t>INF754K01PT0</t>
  </si>
  <si>
    <t>Edelweiss CRISIL IBX 50:50 Gilt Plus SDL Sep 2028 Index Fund - Regular Plan - IDCW</t>
  </si>
  <si>
    <t>INF754K01RK5</t>
  </si>
  <si>
    <t>Edelweiss CRISIL IBX 50:50 Gilt Plus SDL Short Duration Index fund - Direct Plan - Growth</t>
  </si>
  <si>
    <t>INF754K01RL3</t>
  </si>
  <si>
    <t>INF754K01RM1</t>
  </si>
  <si>
    <t>Edelweiss CRISIL IBX 50:50 Gilt Plus SDL Short Duration Index fund - Direct Plan - IDCW</t>
  </si>
  <si>
    <t>INF754K01RG3</t>
  </si>
  <si>
    <t>Edelweiss CRISIL IBX 50:50 Gilt Plus SDL Short Duration Index fund - Regular Plan - Growth</t>
  </si>
  <si>
    <t>INF754K01RH1</t>
  </si>
  <si>
    <t>INF754K01RI9</t>
  </si>
  <si>
    <t>Edelweiss CRISIL IBX 50:50 Gilt Plus SDL Short Duration Index fund - Regular Plan - IDCW</t>
  </si>
  <si>
    <t>INF754K01UG7</t>
  </si>
  <si>
    <t>Edelweiss CRISIL IBX AAA Bond NBFC HFC Jun 2027 Index Fund - Direct Plan - Growth Option</t>
  </si>
  <si>
    <t>INF754K01UH5</t>
  </si>
  <si>
    <t>INF754K01UI3</t>
  </si>
  <si>
    <t>Edelweiss CRISIL IBX AAA Bond NBFC HFC Jun 2027 Index Fund - Direct Plan - IDCW Option</t>
  </si>
  <si>
    <t>INF754K01UK9</t>
  </si>
  <si>
    <t>Edelweiss CRISIL IBX AAA Bond NBFC HFC Jun 2027 Index Fund - Regular Plan - Growth Option</t>
  </si>
  <si>
    <t>INF754K01UL7</t>
  </si>
  <si>
    <t>INF754K01UM5</t>
  </si>
  <si>
    <t>Edelweiss CRISIL IBX AAA Bond NBFC HFC Jun 2027 Index Fund - Regular Plan - IDCW Option</t>
  </si>
  <si>
    <t>INF754K01TP0</t>
  </si>
  <si>
    <t>Edelweiss CRISIL IBX AAA Financial Services - Jan 2028 Index Fund - Direct - Growth</t>
  </si>
  <si>
    <t>INF754K01TQ8</t>
  </si>
  <si>
    <t>INF754K01TR6</t>
  </si>
  <si>
    <t>Edelweiss CRISIL IBX AAA Financial Services - Jan 2028 Index Fund - Direct - IDCW - Payout</t>
  </si>
  <si>
    <t>INF754K01TT2</t>
  </si>
  <si>
    <t>Edelweiss CRISIL IBX AAA Financial Services - Jan 2028 Index Fund - Regular - Growth</t>
  </si>
  <si>
    <t>INF754K01TU0</t>
  </si>
  <si>
    <t>INF754K01TV8</t>
  </si>
  <si>
    <t>Edelweiss CRISIL IBX AAA Financial Services - Jan 2028 Index Fund - Regular - IDCW - Payout</t>
  </si>
  <si>
    <t>INF754K01OH8</t>
  </si>
  <si>
    <t>INF754K01OI6</t>
  </si>
  <si>
    <t>Edelweiss CRISIL PSU Plus SDL 50:50 Oct 2025 Index Fund - Direct Plan - IDCW Payout</t>
  </si>
  <si>
    <t>INF754K01OG0</t>
  </si>
  <si>
    <t>Edelweiss CRISIL PSU Plus SDL 50:50 Oct 2025 Index Fund - Direct Plan Growth</t>
  </si>
  <si>
    <t>INF754K01OD7</t>
  </si>
  <si>
    <t>INF754K01OE5</t>
  </si>
  <si>
    <t>Edelweiss CRISIL PSU Plus SDL 50:50 Oct 2025 Index Fund - Regular Plan - IDCW Payout</t>
  </si>
  <si>
    <t>INF754K01OC9</t>
  </si>
  <si>
    <t>Edelweiss CRISIL PSU Plus SDL 50:50 Oct 2025 Index Fund - Regular Plan Growth</t>
  </si>
  <si>
    <t>INF754K01LW3</t>
  </si>
  <si>
    <t>INF754K01LX1</t>
  </si>
  <si>
    <t>Edelweiss MSCI India Domestic &amp; World Healthcare 45 Index Fund - Direct Plan - IDCW Option</t>
  </si>
  <si>
    <t>INF754K01LS1</t>
  </si>
  <si>
    <t>INF754K01LT9</t>
  </si>
  <si>
    <t>Edelweiss MSCI India Domestic &amp; World Healthcare 45 Index Fund - Regular Plan - IDCW Option</t>
  </si>
  <si>
    <t>INF754K01LV5</t>
  </si>
  <si>
    <t>Edelweiss MSCI India Domestic &amp; World Healthcare 45 Index Fund Direct Plan - Growth</t>
  </si>
  <si>
    <t>INF754K01LR3</t>
  </si>
  <si>
    <t>Edelweiss MSCI India Domestic &amp; World Healthcare 45 index Fund Regular Plan - Growth</t>
  </si>
  <si>
    <t>INF754K01NJ6</t>
  </si>
  <si>
    <t>Edelweiss Nifty 100 Quality 30 Index Fund Direct Plan Growth</t>
  </si>
  <si>
    <t>INF754K01NK4</t>
  </si>
  <si>
    <t>INF754K01NL2</t>
  </si>
  <si>
    <t>Edelweiss Nifty 100 Quality 30 Index Fund Direct Plan IDCW</t>
  </si>
  <si>
    <t>INF754K01NF4</t>
  </si>
  <si>
    <t>Edelweiss Nifty 100 Quality 30 Index Fund Regular Plan Growth</t>
  </si>
  <si>
    <t>INF754K01NG2</t>
  </si>
  <si>
    <t>INF754K01NH0</t>
  </si>
  <si>
    <t>Edelweiss Nifty 100 Quality 30 Index Fund Regular Plan IDCW</t>
  </si>
  <si>
    <t>INF754K01NB3</t>
  </si>
  <si>
    <t>Edelweiss Nifty 50 Index Fund Direct Plan Growth</t>
  </si>
  <si>
    <t>INF754K01NC1</t>
  </si>
  <si>
    <t>INF754K01ND9</t>
  </si>
  <si>
    <t>Edelweiss Nifty 50 Index Fund Direct Plan IDCW</t>
  </si>
  <si>
    <t>INF754K01MX9</t>
  </si>
  <si>
    <t>Edelweiss Nifty 50 Index Fund Regular Plan Growth</t>
  </si>
  <si>
    <t>INF754K01MY7</t>
  </si>
  <si>
    <t>INF754K01MZ4</t>
  </si>
  <si>
    <t>Edelweiss Nifty 50 Index Fund Regular Plan IDCW</t>
  </si>
  <si>
    <t>INF754K01SS6</t>
  </si>
  <si>
    <t>Edelweiss Nifty Alpha Low Volatility 30 Index Fund - Direct Plan - Growth</t>
  </si>
  <si>
    <t>INF754K01ST4</t>
  </si>
  <si>
    <t>INF754K01SU2</t>
  </si>
  <si>
    <t>Edelweiss Nifty Alpha Low Volatility 30 Index Fund - Direct Plan - IDCW Payout</t>
  </si>
  <si>
    <t>INF754K01SO5</t>
  </si>
  <si>
    <t>Edelweiss Nifty Alpha Low Volatility 30 Index Fund - Regular Plan - Growth</t>
  </si>
  <si>
    <t>INF754K01SP2</t>
  </si>
  <si>
    <t>INF754K01SQ0</t>
  </si>
  <si>
    <t>Edelweiss Nifty Alpha Low Volatility 30 Index Fund - Regular Plan - IDCW Payout</t>
  </si>
  <si>
    <t>INF754K01NR9</t>
  </si>
  <si>
    <t>Edelweiss NIFTY Large Midcap 250 Index Fund - Direct Plan Growth</t>
  </si>
  <si>
    <t>INF754K01NS7</t>
  </si>
  <si>
    <t>INF754K01NT5</t>
  </si>
  <si>
    <t>Edelweiss NIFTY Large Midcap 250 Index Fund - Direct Plan Payout</t>
  </si>
  <si>
    <t>INF754K01NN8</t>
  </si>
  <si>
    <t>Edelweiss NIFTY Large Midcap 250 Index Fund - Regular Plan Growth</t>
  </si>
  <si>
    <t>INF754K01NO6</t>
  </si>
  <si>
    <t>INF754K01NP3</t>
  </si>
  <si>
    <t>Edelweiss NIFTY Large Midcap 250 Index Fund - Regular Plan Payout</t>
  </si>
  <si>
    <t>INF754K01WR0</t>
  </si>
  <si>
    <t>Edelweiss Nifty LargeMidcap 250 Plus 8-13 yr G-Sec 70-30 Index Fund Direct Plan Growth</t>
  </si>
  <si>
    <t>INF754K01WV2</t>
  </si>
  <si>
    <t>Edelweiss Nifty LargeMidcap 250 Plus 8-13 yr G-Sec 70-30 Index Fund Regular Plan Growth</t>
  </si>
  <si>
    <t>INF754K01WZ3</t>
  </si>
  <si>
    <t>INF754K01XA4</t>
  </si>
  <si>
    <t>Edelweiss Nifty LargeMidcap250 Plus 8-13 yr G-Sec 70-30 Index Fund - Direct Plan - Quarterly IDCW</t>
  </si>
  <si>
    <t>INF754K01XC0</t>
  </si>
  <si>
    <t>INF754K01XD8</t>
  </si>
  <si>
    <t>Edelweiss Nifty LargeMidcap250 Plus 8-13 yr G-Sec 70-30 Index Fund - Regular Plan - Quarterly IDCW</t>
  </si>
  <si>
    <t>INF754K01WS8</t>
  </si>
  <si>
    <t>INF754K01WT6</t>
  </si>
  <si>
    <t>Edelweiss Nifty LargeMidcap250 Plus 8-13 yr G-Sec 70-30 Index Fund Direct Plan Monthly IDCW</t>
  </si>
  <si>
    <t>INF754K01WW0</t>
  </si>
  <si>
    <t>INF754K01WX8</t>
  </si>
  <si>
    <t>Edelweiss Nifty LargeMidcap250 Plus 8-13 yr G-Sec 70-30 Index Fund Regular Plan Monthly IDCW</t>
  </si>
  <si>
    <t>INF754K01QD2</t>
  </si>
  <si>
    <t>Edelweiss Nifty Midcap150 Momentum 50 Index Fund - Direct Plan - Growth</t>
  </si>
  <si>
    <t>INF754K01QE0</t>
  </si>
  <si>
    <t>INF754K01QF7</t>
  </si>
  <si>
    <t>Edelweiss Nifty Midcap150 Momentum 50 Index Fund - Direct Plan - IDCW</t>
  </si>
  <si>
    <t>INF754K01PZ7</t>
  </si>
  <si>
    <t>Edelweiss Nifty Midcap150 Momentum 50 Index Fund - Regular Plan - Growth</t>
  </si>
  <si>
    <t>INF754K01QA8</t>
  </si>
  <si>
    <t>INF754K01QB6</t>
  </si>
  <si>
    <t>Edelweiss Nifty Midcap150 Momentum 50 Index Fund - Regular Plan - IDCW</t>
  </si>
  <si>
    <t>INF754K01QL5</t>
  </si>
  <si>
    <t>Edelweiss Nifty Next 50 Index Fund - Direct Plan - Growth</t>
  </si>
  <si>
    <t>INF754K01QM3</t>
  </si>
  <si>
    <t>INF754K01QN1</t>
  </si>
  <si>
    <t>Edelweiss Nifty Next 50 Index Fund - Direct Plan - IDCW</t>
  </si>
  <si>
    <t>INF754K01QH3</t>
  </si>
  <si>
    <t>Edelweiss Nifty Next 50 Index Fund - Regular Plan - Growth</t>
  </si>
  <si>
    <t>INF754K01QI1</t>
  </si>
  <si>
    <t>INF754K01QJ9</t>
  </si>
  <si>
    <t>Edelweiss Nifty Next 50 Index Fund - Regular Plan - IDCW</t>
  </si>
  <si>
    <t>INF754K01MA7</t>
  </si>
  <si>
    <t>INF754K01MB5</t>
  </si>
  <si>
    <t>Edelweiss NIFTY PSU Bond Plus SDL Apr 2026 50: 50 Index Fund - Regular Plan - IDCW Option</t>
  </si>
  <si>
    <t>INF754K01MD1</t>
  </si>
  <si>
    <t>Edelweiss NIFTY PSU Bond Plus SDL Apr 2026 50:50 Index Fund - Direct Plan - Growth</t>
  </si>
  <si>
    <t>INF754K01ME9</t>
  </si>
  <si>
    <t>INF754K01MF6</t>
  </si>
  <si>
    <t>Edelweiss NIFTY PSU Bond Plus SDL Apr 2026 50:50 Index Fund - Direct Plan - IDCW Option</t>
  </si>
  <si>
    <t>INF754K01LZ6</t>
  </si>
  <si>
    <t>Edelweiss NIFTY PSU Bond Plus SDL Apr 2026 50:50 Index Fund - Regular Plan - Growth</t>
  </si>
  <si>
    <t>INF754K01MU5</t>
  </si>
  <si>
    <t>INF754K01MV3</t>
  </si>
  <si>
    <t>Edelweiss NIFTY PSU Bond Plus SDL Apr 2027 50:50 Index Fund - Direct Plan - IDCW</t>
  </si>
  <si>
    <t>INF754K01MT7</t>
  </si>
  <si>
    <t>Edelweiss NIFTY PSU Bond Plus SDL Apr 2027 50:50 Index Fund - Direct Plan Growth</t>
  </si>
  <si>
    <t>INF754K01MP5</t>
  </si>
  <si>
    <t>Edelweiss NIFTY PSU Bond Plus SDL Apr 2027 50:50 Index Fund - Regular Plan - Growth</t>
  </si>
  <si>
    <t>INF754K01MQ3</t>
  </si>
  <si>
    <t>INF754K01MR1</t>
  </si>
  <si>
    <t>Edelweiss NIFTY PSU Bond Plus SDL Apr 2027 50:50 Index Fund - Regular Plan - IDCW</t>
  </si>
  <si>
    <t>INF754K01QT8</t>
  </si>
  <si>
    <t>Edelweiss Nifty Smallcap 250 Index Fund - Direct Plan - Growth</t>
  </si>
  <si>
    <t>INF754K01QU6</t>
  </si>
  <si>
    <t>INF754K01QV4</t>
  </si>
  <si>
    <t>Edelweiss Nifty Smallcap 250 Index Fund - Direct Plan - IDCW</t>
  </si>
  <si>
    <t>INF754K01QP6</t>
  </si>
  <si>
    <t>Edelweiss Nifty Smallcap 250 Index Fund - Regular Plan - Growth</t>
  </si>
  <si>
    <t>INF754K01QQ4</t>
  </si>
  <si>
    <t>INF754K01QR2</t>
  </si>
  <si>
    <t>Edelweiss Nifty Smallcap 250 Index Fund - Regular Plan - IDCW</t>
  </si>
  <si>
    <t>INF754K01TN5</t>
  </si>
  <si>
    <t>Edelweiss Nifty500 Multicap Momentum Quality 50 Index Fund - Direct - Growth</t>
  </si>
  <si>
    <t>INF754K01TG9</t>
  </si>
  <si>
    <t>INF754K01TH7</t>
  </si>
  <si>
    <t>Edelweiss Nifty500 Multicap Momentum Quality 50 Index Fund - Direct - IDCW - Payout</t>
  </si>
  <si>
    <t>INF754K01TJ3</t>
  </si>
  <si>
    <t>Edelweiss Nifty500 Multicap Momentum Quality 50 Index Fund - Regular - Growth</t>
  </si>
  <si>
    <t>INF754K01TK1</t>
  </si>
  <si>
    <t>INF754K01TL9</t>
  </si>
  <si>
    <t>Edelweiss Nifty500 Multicap Momentum Quality 50 Index Fund - Regular - IDCW - Payout</t>
  </si>
  <si>
    <t>INF090I01GQ8</t>
  </si>
  <si>
    <t>INF090I01GR6</t>
  </si>
  <si>
    <t>Franklin India INDEX FUND- NSE Nifty 50 Index Fund - Direct - IDCW</t>
  </si>
  <si>
    <t>INF090I01890</t>
  </si>
  <si>
    <t>Franklin India Index Fund- NSE Nifty 50 Index Fund - Growth</t>
  </si>
  <si>
    <t>INF090I01874</t>
  </si>
  <si>
    <t>INF090I01882</t>
  </si>
  <si>
    <t>Franklin India INDEX FUND- NSE NIFTY 50 INDEX FUND - IDCW</t>
  </si>
  <si>
    <t>INF090I01GS4</t>
  </si>
  <si>
    <t>Franklin India INDEX FUND- NSE NIFTY 50 INDEX FUND- Direct - Growth</t>
  </si>
  <si>
    <t>INF666M01KT3</t>
  </si>
  <si>
    <t>Groww Nifty 50 Index Fund Direct Growth</t>
  </si>
  <si>
    <t>INF666M01KU1</t>
  </si>
  <si>
    <t>INF666M01KV9</t>
  </si>
  <si>
    <t>Groww Nifty 50 Index Fund Direct IDCW</t>
  </si>
  <si>
    <t>INF666M01KW7</t>
  </si>
  <si>
    <t>Groww Nifty 50 Index Fund Regular Growth</t>
  </si>
  <si>
    <t>INF666M01LJ2</t>
  </si>
  <si>
    <t>INF666M01LK0</t>
  </si>
  <si>
    <t>Groww Nifty 50 Index Fund Regular IDCW</t>
  </si>
  <si>
    <t>INF666M01JK4</t>
  </si>
  <si>
    <t>Groww Nifty India Railways PSU Index Fund - Direct Plan - Growth</t>
  </si>
  <si>
    <t>INF666M01JL2</t>
  </si>
  <si>
    <t>INF666M01JM0</t>
  </si>
  <si>
    <t>Groww Nifty India Railways PSU Index Fund - Direct Plan - IDCW</t>
  </si>
  <si>
    <t>INF666M01JN8</t>
  </si>
  <si>
    <t>Groww Nifty India Railways PSU Index Fund - Regular Plan - Growth</t>
  </si>
  <si>
    <t>INF666M01JO6</t>
  </si>
  <si>
    <t>INF666M01JP3</t>
  </si>
  <si>
    <t>Groww Nifty India Railways PSU Index Fund - Regular Plan - IDCW</t>
  </si>
  <si>
    <t>INF666M01MP7</t>
  </si>
  <si>
    <t>Groww Nifty Midcap 150 Index Fund Direct Growth</t>
  </si>
  <si>
    <t>INF666M01MQ5</t>
  </si>
  <si>
    <t>INF666M01MR3</t>
  </si>
  <si>
    <t>Groww Nifty Midcap 150 Index fund Direct IDCW</t>
  </si>
  <si>
    <t>INF666M01MS1</t>
  </si>
  <si>
    <t>Groww Nifty Midcap 150 Index Fund Regular Growth</t>
  </si>
  <si>
    <t>INF666M01MT9</t>
  </si>
  <si>
    <t>INF666M01MU7</t>
  </si>
  <si>
    <t>Groww Nifty Midcap 150 Index Fund Regular IDCW</t>
  </si>
  <si>
    <t>INF666M01LT1</t>
  </si>
  <si>
    <t>Groww Nifty Next 50 Index Fund Direct Growth</t>
  </si>
  <si>
    <t>INF666M01LU9</t>
  </si>
  <si>
    <t>INF666M01LV7</t>
  </si>
  <si>
    <t>Groww Nifty Next 50 Index Fund Direct IDCW</t>
  </si>
  <si>
    <t>INF666M01LW5</t>
  </si>
  <si>
    <t>Groww Nifty Next 50 Index Fund Regular Growth</t>
  </si>
  <si>
    <t>INF666M01LX3</t>
  </si>
  <si>
    <t>INF666M01LY1</t>
  </si>
  <si>
    <t>Groww Nifty Next 50 Index Fund Regular IDCW</t>
  </si>
  <si>
    <t>INF666M01IF6</t>
  </si>
  <si>
    <t>INF666M01IG4</t>
  </si>
  <si>
    <t>Groww Nifty Non-Cyclical Consumer Index Fund - Direct Plan - IDCW</t>
  </si>
  <si>
    <t>INF666M01IE9</t>
  </si>
  <si>
    <t>Groww Nifty Non-Cyclical Consumer Index Fund - Direct Plan Growth</t>
  </si>
  <si>
    <t>INF666M01IC3</t>
  </si>
  <si>
    <t>INF666M01ID1</t>
  </si>
  <si>
    <t>Groww Nifty Non-Cyclical Consumer Index Fund - IDCW</t>
  </si>
  <si>
    <t>INF666M01IB5</t>
  </si>
  <si>
    <t>Groww Nifty Non-Cyclical Consumer Index Fund - Regular Plan - Growth</t>
  </si>
  <si>
    <t>INF666M01OH0</t>
  </si>
  <si>
    <t>Groww Nifty PSU Bank Index Fund Direct Growth</t>
  </si>
  <si>
    <t>INF666M01OI8</t>
  </si>
  <si>
    <t>INF666M01OJ6</t>
  </si>
  <si>
    <t>Groww Nifty PSU Bank Index Fund Direct IDCW</t>
  </si>
  <si>
    <t>INF666M01OK4</t>
  </si>
  <si>
    <t>Groww Nifty PSU Bank Index Fund Regular Growth</t>
  </si>
  <si>
    <t>INF666M01OL2</t>
  </si>
  <si>
    <t>INF666M01OM0</t>
  </si>
  <si>
    <t>Groww Nifty PSU Bank Index Fund Regular IDCW</t>
  </si>
  <si>
    <t>INF666M01HY9</t>
  </si>
  <si>
    <t>Groww Nifty Smallcap 250 Index Fund - Direct Plan - Growth</t>
  </si>
  <si>
    <t>INF666M01HZ6</t>
  </si>
  <si>
    <t>INF666M01IA7</t>
  </si>
  <si>
    <t>Groww Nifty Smallcap 250 Index Fund - Direct Plan - IDCW</t>
  </si>
  <si>
    <t>INF666M01HV5</t>
  </si>
  <si>
    <t>Groww Nifty Smallcap 250 Index Fund - Regular Plan - Growth</t>
  </si>
  <si>
    <t>INF666M01HW3</t>
  </si>
  <si>
    <t>INF666M01HX1</t>
  </si>
  <si>
    <t>Groww Nifty Smallcap 250 Index Fund - Regular Plan - Regular Plan - IDCW</t>
  </si>
  <si>
    <t>INF666M01HM4</t>
  </si>
  <si>
    <t>Groww Nifty Total Market Index Fund - Direct Plan - Growth</t>
  </si>
  <si>
    <t>INF666M01HN2</t>
  </si>
  <si>
    <t>INF666M01HO0</t>
  </si>
  <si>
    <t>Groww Nifty Total Market Index Fund - Direct Plan - IDCW</t>
  </si>
  <si>
    <t>INF666M01HJ0</t>
  </si>
  <si>
    <t>Groww Nifty Total Market Index Fund - Regular Plan - Growth</t>
  </si>
  <si>
    <t>INF666M01HK8</t>
  </si>
  <si>
    <t>INF666M01HL6</t>
  </si>
  <si>
    <t>Groww Nifty Total Market Index Fund - Regular Plan - IDCW</t>
  </si>
  <si>
    <t>INF179KC1GG9</t>
  </si>
  <si>
    <t>HDFC BSE 500 Index Fund - Growth Option - Direct Plan</t>
  </si>
  <si>
    <t>INF179KC1GH7</t>
  </si>
  <si>
    <t>HDFC BSE 500 Index Fund - Regular Plan - Growth Option</t>
  </si>
  <si>
    <t>INF179KC1JX8</t>
  </si>
  <si>
    <t>HDFC BSE India Sector Leaders Index Fund - Regular Plan - Growth Option</t>
  </si>
  <si>
    <t>INF179KC1JY6</t>
  </si>
  <si>
    <t>HDFC BSE India Sector Leaders India Fund - Direct Plan - Growth Option</t>
  </si>
  <si>
    <t>INF179K01WN9</t>
  </si>
  <si>
    <t>HDFC BSE Sensex Index Fund - Direct Plan</t>
  </si>
  <si>
    <t>INF179K01LA9</t>
  </si>
  <si>
    <t>HDFC BSE Sensex Index Fund - Growth Plan</t>
  </si>
  <si>
    <t>INF179KC1JK5</t>
  </si>
  <si>
    <t>HDFC CRISIL-IBX Financial Services 3-6 Months Debt Index Fund - Direct Growth Plan</t>
  </si>
  <si>
    <t>INF179KC1JJ7</t>
  </si>
  <si>
    <t>HDFC CRISIL-IBX Financial Services 3-6 Months Debt Index Fund - Regular Growth Plan</t>
  </si>
  <si>
    <t>INF179KC1KI7</t>
  </si>
  <si>
    <t>HDFC CRISIL-IBX Financial Services 9-12 Months Debt Index Fund - Direct Growth Plan</t>
  </si>
  <si>
    <t>INF179KC1KH9</t>
  </si>
  <si>
    <t>HDFC CRISIL-IBX Financial Services 9-12 Months Debt Index Fund - Regular Growth Plan</t>
  </si>
  <si>
    <t>INF179KC1CA1</t>
  </si>
  <si>
    <t>HDFC Nifty 100 Equal Weight Index Fund - Direct Plan - Growth Option</t>
  </si>
  <si>
    <t>INF179KC1CB9</t>
  </si>
  <si>
    <t>HDFC Nifty 100 Equal Weight Index Fund - Growth Option</t>
  </si>
  <si>
    <t>INF179KC1BY3</t>
  </si>
  <si>
    <t>HDFC NIFTY 100 Index Fund - Direct Plan - Growth Option</t>
  </si>
  <si>
    <t>INF179KC1BZ0</t>
  </si>
  <si>
    <t>HDFC NIFTY 100 Index Fund - Growth Option</t>
  </si>
  <si>
    <t>INF179K01WM1</t>
  </si>
  <si>
    <t>HDFC Nifty 50 Index Fund - Direct Plan</t>
  </si>
  <si>
    <t>INF179K01KZ8</t>
  </si>
  <si>
    <t>HDFC Nifty 50 Index Fund - Growth Plan</t>
  </si>
  <si>
    <t>INF179KC1FR8</t>
  </si>
  <si>
    <t>HDFC Nifty G-Sec Apr 2029 Index Fund - Growth Option</t>
  </si>
  <si>
    <t>INF179KC1FQ0</t>
  </si>
  <si>
    <t>HDFC Nifty G-Sec Apr 2029 Index Fund - Growth Option - Direct Plan</t>
  </si>
  <si>
    <t>INF179KC1EG4</t>
  </si>
  <si>
    <t>HDFC Nifty G-Sec Dec 2026 Index Fund - Growth Option</t>
  </si>
  <si>
    <t>INF179KC1EE9</t>
  </si>
  <si>
    <t>HDFC Nifty G-Sec Dec 2026 Index Fund - Growth Option - Direct Plan</t>
  </si>
  <si>
    <t>INF179KC1EI0</t>
  </si>
  <si>
    <t>HDFC Nifty G-Sec July 2031 Index Fund - Growth Option</t>
  </si>
  <si>
    <t>INF179KC1EH2</t>
  </si>
  <si>
    <t>HDFC Nifty G-Sec July 2031 Index Fund - Growth Option - Direct Plan</t>
  </si>
  <si>
    <t>INF179KC1EK6</t>
  </si>
  <si>
    <t>HDFC Nifty G-Sec Jun 2027 Index Fund - Growth Option</t>
  </si>
  <si>
    <t>INF179KC1EJ8</t>
  </si>
  <si>
    <t>HDFC Nifty G-Sec Jun 2027 Index Fund - Growth Option - Direct Plan</t>
  </si>
  <si>
    <t>INF179KC1FT4</t>
  </si>
  <si>
    <t>HDFC Nifty G-Sec Jun 2036 Index Fund - Growth Option</t>
  </si>
  <si>
    <t>INF179KC1FS6</t>
  </si>
  <si>
    <t>HDFC Nifty G-Sec Jun 2036 Index Fund - Growth Option - Direct Plan</t>
  </si>
  <si>
    <t>INF179KC1EM2</t>
  </si>
  <si>
    <t>HDFC Nifty G-Sec Sep 2032 Index Fund - Growth Option</t>
  </si>
  <si>
    <t>INF179KC1EL4</t>
  </si>
  <si>
    <t>HDFC Nifty G-Sec Sep 2032 Index Fund - Growth Option - Direct Plan</t>
  </si>
  <si>
    <t>INF179KC1JZ3</t>
  </si>
  <si>
    <t>HDFC Nifty India Consumption Index  Fund - Regular Growth Plan</t>
  </si>
  <si>
    <t>INF179KC1KA4</t>
  </si>
  <si>
    <t>HDFC Nifty India Consumption Index Fund - Direct Growth Plan</t>
  </si>
  <si>
    <t>INF179KC1JB4</t>
  </si>
  <si>
    <t>HDFC Nifty India Digital Index Fund - Growth Option - Direct</t>
  </si>
  <si>
    <t>INF179KC1JA6</t>
  </si>
  <si>
    <t>HDFC Nifty India Digital Index Fund - Growth Option - Regular</t>
  </si>
  <si>
    <t>INF179KC1IP6</t>
  </si>
  <si>
    <t>HDFC NIFTY LargeMidcap 250 Index Fund - Growth Option</t>
  </si>
  <si>
    <t>INF179KC1IQ4</t>
  </si>
  <si>
    <t>HDFC NIFTY LargeMidcap 250 Index Fund - Growth Option - Direct</t>
  </si>
  <si>
    <t>INF179KC1GD6</t>
  </si>
  <si>
    <t>HDFC NIFTY Midcap 150 Index Fund - Growth Option</t>
  </si>
  <si>
    <t>INF179KC1GC8</t>
  </si>
  <si>
    <t>HDFC NIFTY Midcap 150 Index Fund - Growth Option - Direct Plan</t>
  </si>
  <si>
    <t>INF179KC1BQ9</t>
  </si>
  <si>
    <t>HDFC NIFTY Next 50 Index Fund - Direct Plan - Growth Option</t>
  </si>
  <si>
    <t>INF179KC1BR7</t>
  </si>
  <si>
    <t>HDFC NIFTY Next 50 Index Fund - Growth Option</t>
  </si>
  <si>
    <t>INF179KC1ID2</t>
  </si>
  <si>
    <t>HDFC NIFTY Reality Index Fund - Regular Plan</t>
  </si>
  <si>
    <t>INF179KC1IE0</t>
  </si>
  <si>
    <t>HDFC NIFTY Realty Index Fund - Direct Plan</t>
  </si>
  <si>
    <t>INF179KC1FJ5</t>
  </si>
  <si>
    <t>HDFC Nifty SDL Oct 2026 Index Fund - Growth Option</t>
  </si>
  <si>
    <t>INF179KC1FI7</t>
  </si>
  <si>
    <t>HDFC Nifty SDL Oct 2026 Index Fund - Growth Option - Direct Plan</t>
  </si>
  <si>
    <t>INF179KC1GB0</t>
  </si>
  <si>
    <t>HDFC NIFTY SDL Plus G-Sec Jun 2027 40:60 Index Fund - Growth Option</t>
  </si>
  <si>
    <t>INF179KC1GA2</t>
  </si>
  <si>
    <t>HDFC NIFTY SDL Plus G-Sec Jun 2027 40:60 Index Fund - Growth Option - Direct Plan</t>
  </si>
  <si>
    <t>INF179KC1GF1</t>
  </si>
  <si>
    <t>HDFC NIFTY Smallcap 250 Index Fund - Growth Option</t>
  </si>
  <si>
    <t>INF179KC1GE4</t>
  </si>
  <si>
    <t>HDFC NIFTY Smallcap 250 Index Fund - Growth Option - Direct Plan</t>
  </si>
  <si>
    <t>INF179KC1JI9</t>
  </si>
  <si>
    <t>HDFC Nifty Top 20 Equal Weight Index Fund - Direct</t>
  </si>
  <si>
    <t>INF179KC1JH1</t>
  </si>
  <si>
    <t>HDFC Nifty Top 20 Equal Weight Index Fund - Regular Growth</t>
  </si>
  <si>
    <t>INF179KC1IM3</t>
  </si>
  <si>
    <t>HDFCNIVODG</t>
  </si>
  <si>
    <t>HDFC NIFTY100 Low Volatility 30 Index Fund - Direct Plan</t>
  </si>
  <si>
    <t>INF179KC1IL5</t>
  </si>
  <si>
    <t>HDFC NIFTY100 Low Volatility 30 Index Fund - Regular Plan</t>
  </si>
  <si>
    <t>INF179KC1JF5</t>
  </si>
  <si>
    <t>HDFC Nifty100 Quality 30 Index Fund - Direct Plan</t>
  </si>
  <si>
    <t>INF179KC1JE8</t>
  </si>
  <si>
    <t>HDFC Nifty100 Quality 30 Index Fund - Regular Plan</t>
  </si>
  <si>
    <t>INF179KC1IC4</t>
  </si>
  <si>
    <t>HDFC NIFTY200 Momentum 30 Index Fund - Direct Plan</t>
  </si>
  <si>
    <t>INF179KC1IB6</t>
  </si>
  <si>
    <t>HDFC NIFTY200 Momentum 30 Index Fund - Regular Plan</t>
  </si>
  <si>
    <t>INF179KC1BM8</t>
  </si>
  <si>
    <t>HDFC NIFTY50 Equal weight Index Fund - Direct Plan - Growth Option</t>
  </si>
  <si>
    <t>INF179KC1BN6</t>
  </si>
  <si>
    <t>HDFC NIFTY50 Equal weight Index Fund - Growth Option</t>
  </si>
  <si>
    <t>INF179KC1IO9</t>
  </si>
  <si>
    <t>HDFC NIFTY500 Multicap 50:25:25 Index Fund - Direct Plan</t>
  </si>
  <si>
    <t>INF179KC1IN1</t>
  </si>
  <si>
    <t>HDFC NIFTY500 Multicap 50:25:25 index Fund - Regular Plan</t>
  </si>
  <si>
    <t>INF336L01QH7</t>
  </si>
  <si>
    <t>HSBC CRISIL IBX 50:50 Gilt Plus SDL Apr 2028 Index Fund - Direct - Growth</t>
  </si>
  <si>
    <t>INF336L01QI5</t>
  </si>
  <si>
    <t>INF336L01QJ3</t>
  </si>
  <si>
    <t>HSBC CRISIL IBX 50:50 Gilt Plus SDL Apr 2028 Index Fund - Direct - Payout of IDCW</t>
  </si>
  <si>
    <t>INF336L01QK1</t>
  </si>
  <si>
    <t>HSBC CRISIL IBX 50:50 Gilt Plus SDL Apr 2028 Index Fund - Regular - Growth</t>
  </si>
  <si>
    <t>INF336L01QL9</t>
  </si>
  <si>
    <t>INF336L01QM7</t>
  </si>
  <si>
    <t>HSBC CRISIL IBX 50:50 Gilt Plus SDL Apr 2028 Index Fund - Regular - payout of IDCW</t>
  </si>
  <si>
    <t>INF336L01QT2</t>
  </si>
  <si>
    <t>HSBC CRISIL IBX Gilt June 2027 Index Fund - Direct - Growth</t>
  </si>
  <si>
    <t>INF336L01QU0</t>
  </si>
  <si>
    <t>INF336L01QV8</t>
  </si>
  <si>
    <t>HSBC CRISIL IBX Gilt June 2027 Index Fund - Direct - IDCW</t>
  </si>
  <si>
    <t>INF336L01QW6</t>
  </si>
  <si>
    <t>HSBC CRISIL IBX Gilt June 2027 Index Fund - Regular - Growth</t>
  </si>
  <si>
    <t>INF336L01QX4</t>
  </si>
  <si>
    <t>INF336L01QY2</t>
  </si>
  <si>
    <t>HSBC CRISIL IBX Gilt June 2027 Index Fund - Regular - IDCW</t>
  </si>
  <si>
    <t>INF917K01D12</t>
  </si>
  <si>
    <t>HSBC NIFTY 50 INDEX FUND - Direct Growth</t>
  </si>
  <si>
    <t>INF917K01C96</t>
  </si>
  <si>
    <t>INF917K01D04</t>
  </si>
  <si>
    <t>HSBC NIFTY 50 INDEX FUND - Direct IDCW</t>
  </si>
  <si>
    <t>INF917K01D38</t>
  </si>
  <si>
    <t>HSBC NIFTY 50 INDEX FUND - Regular Growth</t>
  </si>
  <si>
    <t>INF917K01D20</t>
  </si>
  <si>
    <t>INF917K01D46</t>
  </si>
  <si>
    <t>HSBC NIFTY 50 INDEX FUND - Regular IDCW</t>
  </si>
  <si>
    <t>INF917K01D79</t>
  </si>
  <si>
    <t>HSBC NIFTY NEXT 50 INDEX FUND - Direct Growth</t>
  </si>
  <si>
    <t>INF917K01D53</t>
  </si>
  <si>
    <t>INF917K01D61</t>
  </si>
  <si>
    <t>HSBC NIFTY NEXT 50 INDEX FUND - Direct IDCW</t>
  </si>
  <si>
    <t>INF917K01D95</t>
  </si>
  <si>
    <t>HSBC NIFTY NEXT 50 INDEX FUND - Regular Growth</t>
  </si>
  <si>
    <t>INF917K01D87</t>
  </si>
  <si>
    <t>INF917K01E03</t>
  </si>
  <si>
    <t>HSBC NIFTY NEXT 50 INDEX FUND - Regular IDCW</t>
  </si>
  <si>
    <t>INF109KB17W7</t>
  </si>
  <si>
    <t>ICICI Prudential BSE Sensex Index Fund - Cumulative Option</t>
  </si>
  <si>
    <t>INF109KB10X0</t>
  </si>
  <si>
    <t>ICICI Prudential BSE Sensex Index Fund - Direct Plan - Cumulative Option</t>
  </si>
  <si>
    <t>INF109KB12X6</t>
  </si>
  <si>
    <t>ICICI Prudential BSE Sensex Index Fund - Direct Plan - IDCW Option</t>
  </si>
  <si>
    <t>INF109KB19W3</t>
  </si>
  <si>
    <t>ICICI Prudential BSE Sensex Index Fund - IDCW Option</t>
  </si>
  <si>
    <t>INF109KC19Z4</t>
  </si>
  <si>
    <t>INF109K1A013</t>
  </si>
  <si>
    <t>ICICI Prudential CRISIL-IBX AAA Bond Financial Services Index -Dec 2026 Fund - Annual IDCW</t>
  </si>
  <si>
    <t>INF109KC18Z6</t>
  </si>
  <si>
    <t>ICICI Prudential CRISIL-IBX AAA Bond Financial Services Index -Dec 2026 Fund - Growth</t>
  </si>
  <si>
    <t>INF109KC16Z0</t>
  </si>
  <si>
    <t>INF109KC17Z8</t>
  </si>
  <si>
    <t>ICICI Prudential CRISIL-IBX AAA Bond Financial Services Index -Dec 2026 Fund- Direct Plan - Annual IDCW</t>
  </si>
  <si>
    <t>INF109KC15Z2</t>
  </si>
  <si>
    <t>ICICI Prudential CRISIL-IBX AAA Bond Financial Services Index -Dec 2026 Fund- Direct Plan - Growth</t>
  </si>
  <si>
    <t>INF109K1A054</t>
  </si>
  <si>
    <t>INF109K1A047</t>
  </si>
  <si>
    <t>ICICI Prudential CRISIL-IBX Financial Services 3-6 Months Debt Index Fund - Annual IDCW</t>
  </si>
  <si>
    <t>INF109K1A070</t>
  </si>
  <si>
    <t>INF109K1A088</t>
  </si>
  <si>
    <t>ICICI Prudential CRISIL-IBX Financial Services 3-6 Months Debt Index Fund - Direct Plan - Annual IDCW</t>
  </si>
  <si>
    <t>INF109K1A062</t>
  </si>
  <si>
    <t>ICICI Prudential CRISIL-IBX Financial Services 3-6 Months Debt Index Fund - Direct Plan - Growth</t>
  </si>
  <si>
    <t>INF109K1A039</t>
  </si>
  <si>
    <t>ICICI Prudential CRISIL-IBX Financial Services 3-6 Months Debt Index Fund - Growth</t>
  </si>
  <si>
    <t>INF109KC1U50</t>
  </si>
  <si>
    <t>ICICI Prudential NASDAQ 100 Index Fund - Direct Plan - Growth</t>
  </si>
  <si>
    <t>INF109KC1U68</t>
  </si>
  <si>
    <t>INF109KC1U76</t>
  </si>
  <si>
    <t>ICICI Prudential NASDAQ 100 Index Fund - Direct Plan - IDCW</t>
  </si>
  <si>
    <t>INF109KC1U27</t>
  </si>
  <si>
    <t>ICICI Prudential NASDAQ 100 Index Fund - Growth</t>
  </si>
  <si>
    <t>INF109KC1U35</t>
  </si>
  <si>
    <t>INF109KC1U43</t>
  </si>
  <si>
    <t>ICICI Prudential NASDAQ 100 Index Fund - IDCW</t>
  </si>
  <si>
    <t>INF109KC11D8</t>
  </si>
  <si>
    <t>ICICI Prudential Nifty 200 Momentum 30 Index Fund - Direct Plan - Growth</t>
  </si>
  <si>
    <t>INF109KC12D6</t>
  </si>
  <si>
    <t>INF109KC13D4</t>
  </si>
  <si>
    <t>ICICI Prudential Nifty 200 Momentum 30 Index Fund - Direct Plan - IDCW</t>
  </si>
  <si>
    <t>INF109KC18C5</t>
  </si>
  <si>
    <t>ICICI Prudential Nifty 200 Momentum 30 Index Fund - Growth</t>
  </si>
  <si>
    <t>INF109KC19C3</t>
  </si>
  <si>
    <t>INF109KC10D0</t>
  </si>
  <si>
    <t>ICICI Prudential Nifty 200 Momentum 30 Index Fund - IDCW</t>
  </si>
  <si>
    <t>INF109K01PI0</t>
  </si>
  <si>
    <t>ICICI Prudential Nifty 50 Index Fund - Cumulative Option</t>
  </si>
  <si>
    <t>INF109K012M7</t>
  </si>
  <si>
    <t>ICICI Prudential Nifty 50 Index Fund - Direct Plan Cumulative Option</t>
  </si>
  <si>
    <t>INF109KB1NL1</t>
  </si>
  <si>
    <t>INF109KB1NM9</t>
  </si>
  <si>
    <t>ICICI Prudential Nifty 50 Index Fund - Direct Plan IDCW Option</t>
  </si>
  <si>
    <t>INF109KB1NN7</t>
  </si>
  <si>
    <t>INF109KB1NO5</t>
  </si>
  <si>
    <t>ICICI Prudential Nifty 50 Index Fund - IDCW Option</t>
  </si>
  <si>
    <t>INF109KC16Y3</t>
  </si>
  <si>
    <t>ICICI Prudential Nifty 500 Index Fund - Direct Plan - Growth</t>
  </si>
  <si>
    <t>INF109KC18Y9</t>
  </si>
  <si>
    <t>INF109KC17Y1</t>
  </si>
  <si>
    <t>ICICI Prudential Nifty 500 Index Fund - Direct Plan - IDCW</t>
  </si>
  <si>
    <t>INF109KC13Y0</t>
  </si>
  <si>
    <t>ICICI Prudential Nifty 500 Index Fund - Growth</t>
  </si>
  <si>
    <t>INF109KC15Y5</t>
  </si>
  <si>
    <t>INF109KC14Y8</t>
  </si>
  <si>
    <t>ICICI Prudential Nifty 500 Index Fund - IDCW</t>
  </si>
  <si>
    <t>INF109KC16J4</t>
  </si>
  <si>
    <t>ICICI Prudential Nifty Auto Index Fund - Direct Plan - Growth</t>
  </si>
  <si>
    <t>INF109KC17J2</t>
  </si>
  <si>
    <t>INF109KC18J0</t>
  </si>
  <si>
    <t>ICICI Prudential Nifty Auto Index Fund - Direct Plan - IDCW</t>
  </si>
  <si>
    <t>INF109KC13J1</t>
  </si>
  <si>
    <t>ICICI Prudential Nifty Auto Index Fund - Growth</t>
  </si>
  <si>
    <t>INF109KC14J9</t>
  </si>
  <si>
    <t>INF109KC15J6</t>
  </si>
  <si>
    <t>ICICI Prudential Nifty Auto Index Fund - IDCW</t>
  </si>
  <si>
    <t>INF109KC11A4</t>
  </si>
  <si>
    <t>ICICI Prudential Nifty Bank Index Fund - Direct Plan Growth</t>
  </si>
  <si>
    <t>INF109KC12A2</t>
  </si>
  <si>
    <t>INF109KC13A0</t>
  </si>
  <si>
    <t>ICICI Prudential Nifty Bank Index Fund - Direct Plan IDCW</t>
  </si>
  <si>
    <t>INF109KC1Z89</t>
  </si>
  <si>
    <t>ICICI Prudential Nifty Bank Index Fund - Growth</t>
  </si>
  <si>
    <t>INF109KC1Z97</t>
  </si>
  <si>
    <t>INF109KC10A6</t>
  </si>
  <si>
    <t>ICICI Prudential Nifty Bank Index Fund - IDCW</t>
  </si>
  <si>
    <t>INF109KC16K2</t>
  </si>
  <si>
    <t>INF109KC17K0</t>
  </si>
  <si>
    <t>ICICI Prudential Nifty G-Sec Dec 2030 Index Fund - Annual IDCW</t>
  </si>
  <si>
    <t>INF109KC19K6</t>
  </si>
  <si>
    <t>INF109KC10L3</t>
  </si>
  <si>
    <t>ICICI Prudential Nifty G-Sec Dec 2030 Index Fund - Direct Plan - Annual IDCW</t>
  </si>
  <si>
    <t>INF109KC18K8</t>
  </si>
  <si>
    <t>ICICI Prudential Nifty G-Sec Dec 2030 Index Fund - Direct Plan - Growth</t>
  </si>
  <si>
    <t>INF109KC15K4</t>
  </si>
  <si>
    <t>ICICI Prudential Nifty G-Sec Dec 2030 Index Fund - Growth</t>
  </si>
  <si>
    <t>INF109KC13E2</t>
  </si>
  <si>
    <t>ICICI Prudential Nifty IT Index Fund - Direct Plan - Growth</t>
  </si>
  <si>
    <t>INF109KC14E0</t>
  </si>
  <si>
    <t>INF109KC15E7</t>
  </si>
  <si>
    <t>ICICI Prudential Nifty IT Index Fund - Direct Plan - IDCW</t>
  </si>
  <si>
    <t>INF109KC10E8</t>
  </si>
  <si>
    <t>ICICI Prudential Nifty IT Index Fund - Growth</t>
  </si>
  <si>
    <t>INF109KC11E6</t>
  </si>
  <si>
    <t>INF109KC12E4</t>
  </si>
  <si>
    <t>ICICI Prudential Nifty IT Index Fund - IDCW</t>
  </si>
  <si>
    <t>INF109KC12U0</t>
  </si>
  <si>
    <t>ICICI Prudential Nifty LargeMidcap 250 Index Fund - Direct Plan - Growth</t>
  </si>
  <si>
    <t>INF109KC13U8</t>
  </si>
  <si>
    <t>INF109KC14U6</t>
  </si>
  <si>
    <t>ICICI Prudential Nifty LargeMidcap 250 Index Fund - Direct Plan - IDCW</t>
  </si>
  <si>
    <t>INF109KC15U3</t>
  </si>
  <si>
    <t>ICICI Prudential Nifty LargeMidcap 250 Index Fund - Growth</t>
  </si>
  <si>
    <t>INF109KC16U1</t>
  </si>
  <si>
    <t>INF109KC17U9</t>
  </si>
  <si>
    <t>ICICI Prudential Nifty LargeMidcap 250 Index Fund - IDCW</t>
  </si>
  <si>
    <t>INF109KC1W58</t>
  </si>
  <si>
    <t>ICICI Prudential Nifty Midcap 150 Index Fund - Direct Plan - Growth</t>
  </si>
  <si>
    <t>INF109KC1W66</t>
  </si>
  <si>
    <t>INF109KC1W74</t>
  </si>
  <si>
    <t>ICICI Prudential Nifty Midcap 150 Index Fund - Direct Plan - IDCW</t>
  </si>
  <si>
    <t>INF109KC1W25</t>
  </si>
  <si>
    <t>ICICI Prudential Nifty Midcap 150 Index Fund - Growth</t>
  </si>
  <si>
    <t>INF109KC1W33</t>
  </si>
  <si>
    <t>INF109KC1W41</t>
  </si>
  <si>
    <t>ICICI Prudential Nifty Midcap 150 Index Fund - IDCW</t>
  </si>
  <si>
    <t>INF109K01Y80</t>
  </si>
  <si>
    <t>ICICI Prudential Nifty Next 50 Index Fund - Direct Plan -  Growth</t>
  </si>
  <si>
    <t>INF109K01Y64</t>
  </si>
  <si>
    <t>INF109K01Y72</t>
  </si>
  <si>
    <t>ICICI Prudential Nifty Next 50 Index Fund - Direct Plan -  IDCW</t>
  </si>
  <si>
    <t>INF109K01IF1</t>
  </si>
  <si>
    <t>ICICI Prudential Nifty Next 50 Index Fund - Growth</t>
  </si>
  <si>
    <t>INF109K01PR1</t>
  </si>
  <si>
    <t>INF109K01IE4</t>
  </si>
  <si>
    <t>ICICI Prudential Nifty Next 50 Index Fund -IDCW</t>
  </si>
  <si>
    <t>INF109KC11M9</t>
  </si>
  <si>
    <t>ICICI Prudential Nifty Pharma Index Fund - Direct Plan - Growth</t>
  </si>
  <si>
    <t>INF109KC12M7</t>
  </si>
  <si>
    <t>INF109KC13M5</t>
  </si>
  <si>
    <t>ICICI Prudential Nifty Pharma Index Fund - Direct Plan - IDCW</t>
  </si>
  <si>
    <t>INF109KC18L6</t>
  </si>
  <si>
    <t>ICICI Prudential Nifty Pharma Index Fund - Growth</t>
  </si>
  <si>
    <t>INF109KC19L4</t>
  </si>
  <si>
    <t>INF109KC10M1</t>
  </si>
  <si>
    <t>ICICI Prudential Nifty Pharma Index Fund - IDCW</t>
  </si>
  <si>
    <t>INF109K1A369</t>
  </si>
  <si>
    <t>ICICI Prudential Nifty Private Bank Index Fund - Direct Plan - Growth</t>
  </si>
  <si>
    <t>INF109K1A351</t>
  </si>
  <si>
    <t>ICICI Prudential Nifty Private Bank Index Fund - Growth</t>
  </si>
  <si>
    <t>INF109KC1S62</t>
  </si>
  <si>
    <t>INF109KC1S70</t>
  </si>
  <si>
    <t>ICICI Prudential Nifty PSU Bond Plus SDL Sep 2027 40:60 Index Fund - Annual - IDCW</t>
  </si>
  <si>
    <t>INF109KC1T46</t>
  </si>
  <si>
    <t>INF109KC1T53</t>
  </si>
  <si>
    <t>ICICI Prudential Nifty PSU Bond Plus SDL Sep 2027 40:60 Index Fund - Direct Plan Annual - IDCW</t>
  </si>
  <si>
    <t>INF109KC1S88</t>
  </si>
  <si>
    <t>ICICI Prudential Nifty PSU Bond Plus SDL Sep 2027 40:60 Index Fund - Direct Plan Growth</t>
  </si>
  <si>
    <t>INF109KC1T12</t>
  </si>
  <si>
    <t>INF109KC1T38</t>
  </si>
  <si>
    <t>ICICI Prudential Nifty PSU Bond Plus SDL Sep 2027 40:60 Index Fund - Direct Plan Quarterly - IDCW</t>
  </si>
  <si>
    <t>INF109KC1T04</t>
  </si>
  <si>
    <t>INF109KC1S96</t>
  </si>
  <si>
    <t>ICICI Prudential Nifty PSU Bond Plus SDL Sep 2027 40:60 Index Fund - Direct Plan Weekly - IDCW</t>
  </si>
  <si>
    <t>INF109KC1S13</t>
  </si>
  <si>
    <t>ICICI Prudential Nifty PSU Bond Plus SDL Sep 2027 40:60 Index Fund - Growth</t>
  </si>
  <si>
    <t>INF109KC1S47</t>
  </si>
  <si>
    <t>INF109KC1S54</t>
  </si>
  <si>
    <t>ICICI Prudential Nifty PSU Bond Plus SDL Sep 2027 40:60 Index Fund - Quarterly - IDCW</t>
  </si>
  <si>
    <t>INF109KC1S39</t>
  </si>
  <si>
    <t>INF109KC1S21</t>
  </si>
  <si>
    <t>ICICI Prudential Nifty PSU Bond Plus SDL Sep 2027 40:60 Index Fund - Weekly - IDCW</t>
  </si>
  <si>
    <t>INF109KC12L9</t>
  </si>
  <si>
    <t>INF109KC13L7</t>
  </si>
  <si>
    <t>ICICI Prudential Nifty SDL Dec 2028 Index Fund - Annual IDCW</t>
  </si>
  <si>
    <t>INF109KC15L2</t>
  </si>
  <si>
    <t>INF109KC16L0</t>
  </si>
  <si>
    <t>ICICI Prudential Nifty SDL Dec 2028 Index Fund - Direct Plan - Annual IDCW</t>
  </si>
  <si>
    <t>INF109KC14L5</t>
  </si>
  <si>
    <t>ICICI Prudential Nifty SDL Dec 2028 Index Fund - Direct Plan - Growth</t>
  </si>
  <si>
    <t>INF109KC11L1</t>
  </si>
  <si>
    <t>ICICI Prudential Nifty SDL Dec 2028 Index Fund - Growth</t>
  </si>
  <si>
    <t>INF109KC11P2</t>
  </si>
  <si>
    <t>INF109KC12P0</t>
  </si>
  <si>
    <t>ICICI Prudential Nifty SDL Sep 2026 Index Fund - Annual IDCW</t>
  </si>
  <si>
    <t>INF109KC14P6</t>
  </si>
  <si>
    <t>INF109KC15P3</t>
  </si>
  <si>
    <t>ICICI Prudential Nifty SDL Sep 2026 Index Fund - Direct Plan - Annual IDCW</t>
  </si>
  <si>
    <t>INF109KC13P8</t>
  </si>
  <si>
    <t>ICICI Prudential Nifty SDL Sep 2026 Index Fund - Direct Plan - Growth</t>
  </si>
  <si>
    <t>INF109KC10P4</t>
  </si>
  <si>
    <t>ICICI Prudential Nifty SDL Sep 2026 Index Fund - Growth</t>
  </si>
  <si>
    <t>INF109KC12B0</t>
  </si>
  <si>
    <t>INF109KC13B8</t>
  </si>
  <si>
    <t>ICICI Prudential Nifty SDL Sep 2027 Index Fund - Annual IDCW</t>
  </si>
  <si>
    <t>INF109KC15B3</t>
  </si>
  <si>
    <t>INF109KC16B1</t>
  </si>
  <si>
    <t>ICICI Prudential Nifty SDL Sep 2027 Index Fund - Direct Plan - Annual IDCW</t>
  </si>
  <si>
    <t>INF109KC14B6</t>
  </si>
  <si>
    <t>ICICI Prudential Nifty SDL Sep 2027 Index Fund - Direct Plan - Growth</t>
  </si>
  <si>
    <t>INF109KC11B2</t>
  </si>
  <si>
    <t>ICICI Prudential Nifty SDL Sep 2027 Index Fund - Growth</t>
  </si>
  <si>
    <t>INF109KC1V18</t>
  </si>
  <si>
    <t>ICICI Prudential Nifty Smallcap 250 Index Fund - Direct Plan - Growth</t>
  </si>
  <si>
    <t>INF109KC1V26</t>
  </si>
  <si>
    <t>INF109KC1V34</t>
  </si>
  <si>
    <t>ICICI Prudential Nifty Smallcap 250 Index Fund - Direct Plan - IDCW</t>
  </si>
  <si>
    <t>INF109KC1U84</t>
  </si>
  <si>
    <t>ICICI Prudential Nifty Smallcap 250 Index Fund - Growth</t>
  </si>
  <si>
    <t>INF109KC1U92</t>
  </si>
  <si>
    <t>INF109KC1V00</t>
  </si>
  <si>
    <t>ICICI Prudential Nifty Smallcap 250 Index Fund - IDCW</t>
  </si>
  <si>
    <t>INF109K1A310</t>
  </si>
  <si>
    <t>ICICI Prudential Nifty Top 15 Equal Weight Index Fund - Direct Plan - Growth</t>
  </si>
  <si>
    <t>INF109K1A336</t>
  </si>
  <si>
    <t>INF109K1A328</t>
  </si>
  <si>
    <t>ICICI Prudential Nifty Top 15 Equal Weight Index Fund - Direct Plan - IDCW</t>
  </si>
  <si>
    <t>INF109K1A286</t>
  </si>
  <si>
    <t>ICICI Prudential Nifty Top 15 Equal Weight Index Fund - Growth</t>
  </si>
  <si>
    <t>INF109K1A302</t>
  </si>
  <si>
    <t>INF109K1A294</t>
  </si>
  <si>
    <t>ICICI Prudential Nifty Top 15 Equal Weight Index Fund - IDCW</t>
  </si>
  <si>
    <t>INF109K1A252</t>
  </si>
  <si>
    <t>ICICI Prudential Nifty200 Quality 30 Index Fund - Direct Plan - Growth</t>
  </si>
  <si>
    <t>INF109K1A278</t>
  </si>
  <si>
    <t>INF109K1A260</t>
  </si>
  <si>
    <t>ICICI Prudential Nifty200 Quality 30 Index Fund - Direct Plan - IDCW</t>
  </si>
  <si>
    <t>INF109K1A229</t>
  </si>
  <si>
    <t>ICICI Prudential Nifty200 Quality 30 Index Fund - Growth</t>
  </si>
  <si>
    <t>INF109K1A245</t>
  </si>
  <si>
    <t>INF109K1A237</t>
  </si>
  <si>
    <t>ICICI Prudential Nifty200 Quality 30 Index Fund - IDCW</t>
  </si>
  <si>
    <t>INF109KC13X2</t>
  </si>
  <si>
    <t>ICICI Prudential Nifty200 Value 30 Index Fund - Direct Plan - Growth</t>
  </si>
  <si>
    <t>INF109KC15X7</t>
  </si>
  <si>
    <t>INF109KC14X0</t>
  </si>
  <si>
    <t>ICICI Prudential Nifty200 Value 30 Index Fund - Direct Plan - IDCW</t>
  </si>
  <si>
    <t>INF109KC10X8</t>
  </si>
  <si>
    <t>ICICI Prudential Nifty200 Value 30 Index Fund - Growth</t>
  </si>
  <si>
    <t>INF109KC12X4</t>
  </si>
  <si>
    <t>INF109KC11X6</t>
  </si>
  <si>
    <t>ICICI Prudential Nifty200 Value 30 Index Fund - IDCW</t>
  </si>
  <si>
    <t>INF109KC10J7</t>
  </si>
  <si>
    <t>ICICI Prudential Nifty50 Equal Weight Index Fund- Direct Plan - Growth</t>
  </si>
  <si>
    <t>INF109KC11J5</t>
  </si>
  <si>
    <t>INF109KC12J3</t>
  </si>
  <si>
    <t>ICICI Prudential Nifty50 Equal Weight Index Fund- Direct Plan - IDCW</t>
  </si>
  <si>
    <t>INF109KC17I4</t>
  </si>
  <si>
    <t>ICICI Prudential Nifty50 Equal Weight Index Fund- Growth</t>
  </si>
  <si>
    <t>INF109KC18I2</t>
  </si>
  <si>
    <t>INF109KC19I0</t>
  </si>
  <si>
    <t>ICICI Prudential Nifty50 Equal Weight Index Fund- IDCW</t>
  </si>
  <si>
    <t>INF109KC16T3</t>
  </si>
  <si>
    <t>ICICI Prudential Nifty50 Value 20 Index Fund - Direct Plan - Growth</t>
  </si>
  <si>
    <t>INF109KC17T1</t>
  </si>
  <si>
    <t>INF109KC18T9</t>
  </si>
  <si>
    <t>ICICI Prudential Nifty50 Value 20 Index Fund - Direct Plan - IDCW</t>
  </si>
  <si>
    <t>INF109KC19T7</t>
  </si>
  <si>
    <t>ICICI Prudential Nifty50 Value 20 Index Fund - Growth</t>
  </si>
  <si>
    <t>INF109KC10U4</t>
  </si>
  <si>
    <t>INF109KC11U2</t>
  </si>
  <si>
    <t>ICICI Prudential Nifty50 Value 20 Index Fund - IDCW</t>
  </si>
  <si>
    <t>INF205KA1775</t>
  </si>
  <si>
    <t>Invesco India Nifty G-sec Jul 2027 Index Fund - Direct Plan - Growth</t>
  </si>
  <si>
    <t>INF205KA1783</t>
  </si>
  <si>
    <t>Invesco India Nifty G-sec Jul 2027 Index Fund - Direct Plan - IDCW Payout</t>
  </si>
  <si>
    <t>INF205KA1759</t>
  </si>
  <si>
    <t>Invesco India Nifty G-sec Jul 2027 Index Fund - Regular Plan - Growth</t>
  </si>
  <si>
    <t>INF205KA1767</t>
  </si>
  <si>
    <t>Invesco India Nifty G-sec Jul 2027 Index Fund - Regular Plan - IDCW Payout</t>
  </si>
  <si>
    <t>INF205KA1817</t>
  </si>
  <si>
    <t>Invesco India Nifty G-sec Sep 2032 Index Fund - Direct Plan - Growth</t>
  </si>
  <si>
    <t>INF205KA1825</t>
  </si>
  <si>
    <t>Invesco India Nifty G-sec Sep 2032 Index Fund - Direct Plan - IDCW Payout</t>
  </si>
  <si>
    <t>INF205KA1791</t>
  </si>
  <si>
    <t>Invesco India Nifty G-sec Sep 2032 Index Fund - Regular Plan - Growth</t>
  </si>
  <si>
    <t>INF205KA1809</t>
  </si>
  <si>
    <t>Invesco India Nifty G-sec Sep 2032 Index Fund - Regular Plan - IDCW Payout</t>
  </si>
  <si>
    <t>INF22M001044</t>
  </si>
  <si>
    <t>JioBlackRock Nifty 50 Index Fund - Direct Plan - Growth Option</t>
  </si>
  <si>
    <t>INF22M001069</t>
  </si>
  <si>
    <t>JioBlackRock Nifty 8-13 yr G-Sec Index Fund - Direct Plan - Growth Option</t>
  </si>
  <si>
    <t>INF22M001077</t>
  </si>
  <si>
    <t>JioBlackRock Nifty Midcap 150 Index Fund - Direct Plan - Growth Option</t>
  </si>
  <si>
    <t>INF22M001085</t>
  </si>
  <si>
    <t>JioBlackRock Nifty Next 50 Index Fund - Direct Plan - Growth Option</t>
  </si>
  <si>
    <t>INF22M001051</t>
  </si>
  <si>
    <t>JioBlackRock Nifty Smallcap 250 Index Fund - Direct Plan - Growth Option</t>
  </si>
  <si>
    <t>INF174KA1OU1</t>
  </si>
  <si>
    <t>Kotak  BSE Housing Index Fund - Regular Plan - Growth Option</t>
  </si>
  <si>
    <t>INF174KA1OV9</t>
  </si>
  <si>
    <t>INF174KA1OW7</t>
  </si>
  <si>
    <t>Kotak  BSE Housing Index Fund - Regular Plan - IDCW Option</t>
  </si>
  <si>
    <t>INF174KA1OX5</t>
  </si>
  <si>
    <t>Kotak BSE Housing Index Fund - Direct Plan - Growth Option</t>
  </si>
  <si>
    <t>INF174KA1OY3</t>
  </si>
  <si>
    <t>INF174KA1OZ0</t>
  </si>
  <si>
    <t>Kotak BSE Housing Index Fund - Direct Plan - IDCW Option</t>
  </si>
  <si>
    <t>INF174KA1SL1</t>
  </si>
  <si>
    <t>Kotak BSE PSU Index Fund - Direct Plan - Growth</t>
  </si>
  <si>
    <t>INF174KA1SM9</t>
  </si>
  <si>
    <t>INF174KA1SN7</t>
  </si>
  <si>
    <t>Kotak BSE PSU Index Fund - Direct Plan - IDCW Payout and Reinvestment</t>
  </si>
  <si>
    <t>INF174KA1SI7</t>
  </si>
  <si>
    <t>Kotak BSE PSU Index Fund - Regular Plan - Growth</t>
  </si>
  <si>
    <t>INF174KA1SJ5</t>
  </si>
  <si>
    <t>INF174KA1SK3</t>
  </si>
  <si>
    <t>Kotak BSE PSU Index Fund - Regular Plan - IDCW Payout and Reinvestment</t>
  </si>
  <si>
    <t>INF174KA1US2</t>
  </si>
  <si>
    <t>Kotak BSE Sensex Index Fund - Regular - Growth</t>
  </si>
  <si>
    <t>INF174KA1UT0</t>
  </si>
  <si>
    <t>INF174KA1UU8</t>
  </si>
  <si>
    <t>Kotak BSE Sensex Index Fund - Regular - IDCW</t>
  </si>
  <si>
    <t>INF174KA1UV6</t>
  </si>
  <si>
    <t>Kotak BSE Sensex Index Fund- Direct - Growth</t>
  </si>
  <si>
    <t>INF174KA1UQ6</t>
  </si>
  <si>
    <t>INF174KA1UR4</t>
  </si>
  <si>
    <t>Kotak BSE Sensex Index Fund- Direct - IDCW</t>
  </si>
  <si>
    <t>INF174KA1UX2</t>
  </si>
  <si>
    <t>Kotak CRISIL - IBX AAA Bond Financial Services Index Dec 2026 Fund - Direct - Growth</t>
  </si>
  <si>
    <t>INF174KA1UY0</t>
  </si>
  <si>
    <t>INF174KA1UZ7</t>
  </si>
  <si>
    <t>Kotak CRISIL - IBX AAA Bond Financial Services Index Dec 2026 Fund - Direct - IDCW</t>
  </si>
  <si>
    <t>INF174KA1VA8</t>
  </si>
  <si>
    <t>Kotak CRISIL - IBX AAA Bond Financial Services Index Dec 2026 Fund - Regular - Growth</t>
  </si>
  <si>
    <t>INF174KA1VB6</t>
  </si>
  <si>
    <t>INF174KA1VC4</t>
  </si>
  <si>
    <t>Kotak CRISIL - IBX AAA Bond Financial Services Index Dec 2026 Fund - Regular - IDCW</t>
  </si>
  <si>
    <t>INF174KA1TF1</t>
  </si>
  <si>
    <t>Kotak CRISIL -IBX AAA Financial Services Index Sep-2027 Fund-DIRECT PLAN-GROWTH Option</t>
  </si>
  <si>
    <t>INF174KA1SU2</t>
  </si>
  <si>
    <t>INF174KA1SV0</t>
  </si>
  <si>
    <t>Kotak CRISIL -IBX AAA Financial Services Index Sep-2027 Fund-DIRECT PLAN-IDCW</t>
  </si>
  <si>
    <t>INF174KA1SW8</t>
  </si>
  <si>
    <t>Kotak CRISIL -IBX AAA Financial Services Index Sep-2027 Fund-REGULAR PLAN-GROWTH</t>
  </si>
  <si>
    <t>INF174KA1SX6</t>
  </si>
  <si>
    <t>INF174KA1SY4</t>
  </si>
  <si>
    <t>Kotak CRISIL-IBX AAA Financial Services Index Sep-2027 Fund-REGULAR PLAN-IDCW</t>
  </si>
  <si>
    <t>INF174KA1VK7</t>
  </si>
  <si>
    <t>Kotak CRISIL-IBX Financial Services 3-6 Months Debt Index Fund-Direct-Growth</t>
  </si>
  <si>
    <t>INF174KA1VL5</t>
  </si>
  <si>
    <t>INF174KA1VM3</t>
  </si>
  <si>
    <t>Kotak CRISIL-IBX Financial Services 3-6 Months Debt Index Fund-Direct-IDCW</t>
  </si>
  <si>
    <t>INF174KA1VN1</t>
  </si>
  <si>
    <t>Kotak CRISIL-IBX Financial Services 3-6 Months Debt Index Fund-Regular-Growth</t>
  </si>
  <si>
    <t>INF174KA1VO9</t>
  </si>
  <si>
    <t>INF174KA1VP6</t>
  </si>
  <si>
    <t>Kotak CRISIL-IBX Financial Services 3-6 Months Debt Index Fund-Regular-IDCW</t>
  </si>
  <si>
    <t>INF174KA1XM9</t>
  </si>
  <si>
    <t>Kotak CRISIL-IBX Financial Services 9 to 12 Months Debt Index Fund - Direct - Growth</t>
  </si>
  <si>
    <t>INF174KA1XN7</t>
  </si>
  <si>
    <t>INF174KA1XO5</t>
  </si>
  <si>
    <t>Kotak CRISIL-IBX Financial Services 9 to 12 Months Debt Index Fund - Direct - IDCW</t>
  </si>
  <si>
    <t>INF174KA1XP2</t>
  </si>
  <si>
    <t>Kotak CRISIL-IBX Financial Services 9 to 12 Months Debt Index Fund - Regular - Growth</t>
  </si>
  <si>
    <t>INF174KA1XQ0</t>
  </si>
  <si>
    <t>INF174KA1XR8</t>
  </si>
  <si>
    <t>Kotak CRISIL-IBX Financial Services 9 to 12 Months Debt Index Fund - Regular - IDCW</t>
  </si>
  <si>
    <t>INF174KA1TY2</t>
  </si>
  <si>
    <t>Kotak Nifty 100 Equal Weight Index Fund - Direct Plan - Growth</t>
  </si>
  <si>
    <t>INF174KA1TZ9</t>
  </si>
  <si>
    <t>INF174KA1UA0</t>
  </si>
  <si>
    <t>Kotak Nifty 100 Equal Weight index Fund - Direct Plan - IDCW Option</t>
  </si>
  <si>
    <t>INF174KA1UB8</t>
  </si>
  <si>
    <t>Kotak Nifty 100 Equal Weight Index Fund - Regular Plan - Growth</t>
  </si>
  <si>
    <t>INF174KA1UC6</t>
  </si>
  <si>
    <t>INF174KA1UD4</t>
  </si>
  <si>
    <t>Kotak Nifty 100 Equal Weight Index Fund - Regular Plan - IDCW Option</t>
  </si>
  <si>
    <t>INF174KA1RZ3</t>
  </si>
  <si>
    <t>Kotak NIFTY 100 Low Volatility 30 Index Fund - Direct plan - Growth option</t>
  </si>
  <si>
    <t>INF174KA1SA4</t>
  </si>
  <si>
    <t>INF174KA1SB2</t>
  </si>
  <si>
    <t>Kotak NIFTY 100 Low Volatility 30 Index Fund - Direct plan - IDCW option</t>
  </si>
  <si>
    <t>INF174KA1RW0</t>
  </si>
  <si>
    <t>Kotak NIFTY 100 Low Volatility 30 Index Fund - Regular plan - Growth option</t>
  </si>
  <si>
    <t>INF174KA1RX8</t>
  </si>
  <si>
    <t>INF174KA1RY6</t>
  </si>
  <si>
    <t>Kotak NIFTY 100 Low Volatility 30 Index Fund - Regular plan - IDCW option</t>
  </si>
  <si>
    <t>INF174KA1OB1</t>
  </si>
  <si>
    <t>Kotak Nifty 200 Momentum 30 Index Fund - Direct Plan - Growth Option</t>
  </si>
  <si>
    <t>INF174KA1OC9</t>
  </si>
  <si>
    <t>INF174KA1OD7</t>
  </si>
  <si>
    <t>Kotak Nifty 200 Momentum 30 Index Fund - Direct Plan - IDCW Payout</t>
  </si>
  <si>
    <t>INF174KA1NY5</t>
  </si>
  <si>
    <t>Kotak Nifty 200 Momentum 30 Index Fund - Regular Plan - Growth Option</t>
  </si>
  <si>
    <t>INF174KA1NZ2</t>
  </si>
  <si>
    <t>INF174KA1OA3</t>
  </si>
  <si>
    <t>Kotak Nifty 200 Momentum 30 Index Fund - Regular Plan - IDCW Payout</t>
  </si>
  <si>
    <t>INF174KA1WN9</t>
  </si>
  <si>
    <t>KOTAK NIFTY 200 QUALITY 30 INDEX FUND - DIRECT PLAN - GROWTH</t>
  </si>
  <si>
    <t>INF174KA1WO7</t>
  </si>
  <si>
    <t>INF174KA1WP4</t>
  </si>
  <si>
    <t>KOTAK NIFTY 200 QUALITY 30 INDEX FUND - DIRECT PLAN - IDCW - PAYOUT AND REINVESTMENT</t>
  </si>
  <si>
    <t>INF174KA1WQ2</t>
  </si>
  <si>
    <t>KOTAK NIFTY 200 QUALITY 30 INDEX FUND - REGULAR PLAN - GROWTH</t>
  </si>
  <si>
    <t>INF174KA1WR0</t>
  </si>
  <si>
    <t>INF174KA1WS8</t>
  </si>
  <si>
    <t>KOTAK NIFTY 200 QUALITY 30 INDEX FUND - REGULAR PLAN - IDCW - PAYOUT AND REINVESTMENT</t>
  </si>
  <si>
    <t>INF174KA1UE2</t>
  </si>
  <si>
    <t>Kotak Nifty 50 Equal Weight Index Fund - Direct Plan - Growth</t>
  </si>
  <si>
    <t>INF174KA1UF9</t>
  </si>
  <si>
    <t>INF174KA1UG7</t>
  </si>
  <si>
    <t>Kotak Nifty 50 Equal Weight Index Fund - Direct Plan - IDCW Option</t>
  </si>
  <si>
    <t>INF174KA1UH5</t>
  </si>
  <si>
    <t>Kotak Nifty 50 Equal Weight Index Fund - Regular Plan - Growth</t>
  </si>
  <si>
    <t>INF174KA1UI3</t>
  </si>
  <si>
    <t>INF174KA1UJ1</t>
  </si>
  <si>
    <t>Kotak Nifty 50 Equal Weight Index Fund - Regular Plan - IDCW Option</t>
  </si>
  <si>
    <t>INF174KA1HA7</t>
  </si>
  <si>
    <t>Kotak Nifty 50 Index Fund - Direct Plan-Growth</t>
  </si>
  <si>
    <t>INF174KA1HB5</t>
  </si>
  <si>
    <t>INF174KA1HC3</t>
  </si>
  <si>
    <t>Kotak Nifty 50 Index Fund - Direct Plan-IDCW Payout</t>
  </si>
  <si>
    <t>INF174KA1GX1</t>
  </si>
  <si>
    <t>Kotak Nifty 50 Index Fund - Regular Plan-Growth</t>
  </si>
  <si>
    <t>INF174KA1GY9</t>
  </si>
  <si>
    <t>INF174KA1GZ6</t>
  </si>
  <si>
    <t>Kotak Nifty 50 Index Fund - Regular Plan-IDCW Payout</t>
  </si>
  <si>
    <t>INF174KA1WY6</t>
  </si>
  <si>
    <t>Kotak Nifty AAA Bond Financial Services Mar 2028 Index Fund - Direct Plan - Growth</t>
  </si>
  <si>
    <t>INF174KA1WZ3</t>
  </si>
  <si>
    <t>INF174KA1WU4</t>
  </si>
  <si>
    <t>Kotak Nifty AAA Bond Financial Services Mar 2028 Index Fund - Direct Plan - IDCW - Payout &amp; Reinvestment</t>
  </si>
  <si>
    <t>INF174KA1WV2</t>
  </si>
  <si>
    <t>Kotak Nifty AAA Bond Financial Services Mar 2028 Index Fund - Regular Plan - Growth</t>
  </si>
  <si>
    <t>INF174KA1WW0</t>
  </si>
  <si>
    <t>INF174KA1WX8</t>
  </si>
  <si>
    <t>Kotak Nifty AAA Bond Financial Services Mar 2028 Index Fund - Regular Plan - IDCW - Payout &amp; Reinvestment</t>
  </si>
  <si>
    <t>INF174KA1XG1</t>
  </si>
  <si>
    <t>Kotak Nifty Alpha 50 Index Fund - Direct Plan - Growth</t>
  </si>
  <si>
    <t>INF174KA1XH9</t>
  </si>
  <si>
    <t>INF174KA1XI7</t>
  </si>
  <si>
    <t>Kotak Nifty Alpha 50 Index Fund - Direct Plan - IDCW - Payout &amp; Reinvestment</t>
  </si>
  <si>
    <t>INF174KA1XJ5</t>
  </si>
  <si>
    <t>Kotak Nifty Alpha 50 Index Fund - Regular Plan - Growth</t>
  </si>
  <si>
    <t>INF174KA1XK3</t>
  </si>
  <si>
    <t>INF174KA1XL1</t>
  </si>
  <si>
    <t>Kotak Nifty Alpha 50 Index Fund - Regular Plan - IDCW - Payout &amp; Reinvestment</t>
  </si>
  <si>
    <t>INF174KA1VE0</t>
  </si>
  <si>
    <t>Kotak Nifty Commodities Index Fund-Direct Growth</t>
  </si>
  <si>
    <t>INF174KA1VF7</t>
  </si>
  <si>
    <t>INF174KA1VG5</t>
  </si>
  <si>
    <t>KOTAK NIFTY COMMODITIES INDEX FUND-DIRECT-IDCW-PAYOUT &amp; REINVESTMENT</t>
  </si>
  <si>
    <t>INF174KA1VH3</t>
  </si>
  <si>
    <t>KOTAK NIFTY COMMODITIES INDEX FUND-REGULAR GROWTH</t>
  </si>
  <si>
    <t>INF174KA1VI1</t>
  </si>
  <si>
    <t>INF174KA1VJ9</t>
  </si>
  <si>
    <t>KOTAK NIFTY COMMODITIES INDEX FUND-REGULAR-IDCW-PAYOUT &amp; REINVESTMENT</t>
  </si>
  <si>
    <t>INF174KA1OR7</t>
  </si>
  <si>
    <t>Kotak Nifty Financial Services Ex-Bank Index Fund - Direct Plan - Growth option</t>
  </si>
  <si>
    <t>INF174KA1OS5</t>
  </si>
  <si>
    <t>INF174KA1OT3</t>
  </si>
  <si>
    <t>Kotak Nifty Financial Services Ex-Bank Index Fund - Direct Plan - IDCW option</t>
  </si>
  <si>
    <t>INF174KA1OO4</t>
  </si>
  <si>
    <t>Kotak Nifty Financial Services Ex-Bank Index Fund - Regular Plan - Growth option</t>
  </si>
  <si>
    <t>INF174KA1OP1</t>
  </si>
  <si>
    <t>INF174KA1OQ9</t>
  </si>
  <si>
    <t>Kotak Nifty Financial Services Ex-Bank Index Fund - Regular Plan - IDCW option</t>
  </si>
  <si>
    <t>INF174KA1PJ1</t>
  </si>
  <si>
    <t>Kotak Nifty G-Sec July 2033 Index Fund - Direct Plan - Growth</t>
  </si>
  <si>
    <t>INF174KA1PK9</t>
  </si>
  <si>
    <t>INF174KA1PL7</t>
  </si>
  <si>
    <t>Kotak Nifty G-Sec July 2033 Index Fund - Direct Plan - IDCW Payout</t>
  </si>
  <si>
    <t>INF174KA1PG7</t>
  </si>
  <si>
    <t>Kotak Nifty G-Sec July 2033 Index Fund - Regular Plan - Growth</t>
  </si>
  <si>
    <t>INF174KA1PH5</t>
  </si>
  <si>
    <t>INF174KA1PI3</t>
  </si>
  <si>
    <t>Kotak Nifty G-Sec July 2033 Index Fund - Regular Plan - IDCW Payout</t>
  </si>
  <si>
    <t>INF174KA1TA2</t>
  </si>
  <si>
    <t>INF174KA1TB0</t>
  </si>
  <si>
    <t>Kotak Nifty India Tourism Index Fund-Direct Plan-IDCW Option</t>
  </si>
  <si>
    <t>INF174KA1SZ1</t>
  </si>
  <si>
    <t>Kotak Nifty India Tourism Index Fund-Direct-Growth Option</t>
  </si>
  <si>
    <t>INF174KA1TC8</t>
  </si>
  <si>
    <t>Kotak Nifty India Tourism Index Fund-Regular plan-Growth</t>
  </si>
  <si>
    <t>INF174KA1TD6</t>
  </si>
  <si>
    <t>INF174KA1TE4</t>
  </si>
  <si>
    <t>Kotak Nifty India Tourism Index Fund-Regular Plan-IDCW Option</t>
  </si>
  <si>
    <t>INF174KA1VQ4</t>
  </si>
  <si>
    <t>KOTAK NIFTY MIDCAP 150 INDEX FUND-DIRECT PLAN-GROWTH</t>
  </si>
  <si>
    <t>INF174KA1VR2</t>
  </si>
  <si>
    <t>INF174KA1VS0</t>
  </si>
  <si>
    <t>KOTAK NIFTY MIDCAP 150 INDEX FUND-DIRECT PLAN-IDCW-PAYOUT AND REINVESTMENT</t>
  </si>
  <si>
    <t>INF174KA1VT8</t>
  </si>
  <si>
    <t>KOTAK NIFTY MIDCAP 150 INDEX FUND-REGULAR PLAN-GROWTH</t>
  </si>
  <si>
    <t>INF174KA1VU6</t>
  </si>
  <si>
    <t>INF174KA1VV4</t>
  </si>
  <si>
    <t>KOTAK NIFTY MIDCAP 150 INDEX FUND-REGULAR PLAN-IDCW PAYOUT AND REINVESTMENT</t>
  </si>
  <si>
    <t>INF174KA1TM7</t>
  </si>
  <si>
    <t>Kotak Nifty Midcap 150 Momentum 50 Index Fund-Direct Plan-Growth</t>
  </si>
  <si>
    <t>INF174KA1TN5</t>
  </si>
  <si>
    <t>INF174KA1TO3</t>
  </si>
  <si>
    <t>Kotak Nifty Midcap 150 Momentum 50 Index Fund-Direct Plan-IDCW option</t>
  </si>
  <si>
    <t>INF174KA1TP0</t>
  </si>
  <si>
    <t>Kotak Nifty Midcap 150 Momentum 50 Index Fund-Regular Plan-Growth</t>
  </si>
  <si>
    <t>INF174KA1TQ8</t>
  </si>
  <si>
    <t>INF174KA1TR6</t>
  </si>
  <si>
    <t>Kotak Nifty Midcap 150 Momentum 50 Index Fund-Regular plan-IDCW option</t>
  </si>
  <si>
    <t>INF174KA1SR8</t>
  </si>
  <si>
    <t>KOTAK NIFTY MIDCAP 50 INDEX FUND-DIRECT PLAN- GROWTH</t>
  </si>
  <si>
    <t>INF174KA1SS6</t>
  </si>
  <si>
    <t>INF174KA1ST4</t>
  </si>
  <si>
    <t>KOTAK NIFTY MIDCAP 50 INDEX FUND-DIRECT PLAN-IDCW PAYOUT AND REINVESTMENT</t>
  </si>
  <si>
    <t>INF174KA1SO5</t>
  </si>
  <si>
    <t>KOTAK NIFTY MIDCAP 50 INDEX FUND-REGULAR PLAN-GROWTH</t>
  </si>
  <si>
    <t>INF174KA1SP2</t>
  </si>
  <si>
    <t>INF174KA1SQ0</t>
  </si>
  <si>
    <t>KOTAK NIFTY MIDCAP 50 INDEX FUND-REGULAR PLAN-IDCW PAYOUT AND REINVESTMENT</t>
  </si>
  <si>
    <t>INF174KA1GA9</t>
  </si>
  <si>
    <t>Kotak Nifty Next 50 Index Fund - Direct Plan - Growth Option</t>
  </si>
  <si>
    <t>INF174KA1FZ8</t>
  </si>
  <si>
    <t>INF174KA1GB7</t>
  </si>
  <si>
    <t>Kotak Nifty Next 50 Index Fund - Direct Plan -Payout of Income Distribution cum capital withdrawal option</t>
  </si>
  <si>
    <t>INF174KA1FX3</t>
  </si>
  <si>
    <t>Kotak Nifty Next 50 Index Fund - Regular Plan - Growth Option</t>
  </si>
  <si>
    <t>INF174KA1FW5</t>
  </si>
  <si>
    <t>INF174KA1FY1</t>
  </si>
  <si>
    <t>Kotak Nifty Next 50 Index Fund - Regular Plan - Payout of Income Distribution cum capital withdrawal option</t>
  </si>
  <si>
    <t>INF174KA1IL2</t>
  </si>
  <si>
    <t>Kotak Nifty SDL Apr  2027 Top 12 Equal Weight Index Fund-Direct Plan-Growth</t>
  </si>
  <si>
    <t>INF174KA1II8</t>
  </si>
  <si>
    <t>Kotak Nifty SDL Apr  2027 Top 12 Equal Weight Index Fund-Regular Plan- Growth</t>
  </si>
  <si>
    <t>INF174KA1IJ6</t>
  </si>
  <si>
    <t>INF174KA1IK4</t>
  </si>
  <si>
    <t>Kotak Nifty SDL Apr  2027 Top 12 Equal Weight Index Fund-Regular Plan-IDCW Option</t>
  </si>
  <si>
    <t>INF174KA1IM0</t>
  </si>
  <si>
    <t>INF174KA1IN8</t>
  </si>
  <si>
    <t>Kotak Nifty SDL Apr 2027 Top 12 Equal Weight Index Fund-Direct Plan-IDCW Option</t>
  </si>
  <si>
    <t>INF174KA1IR9</t>
  </si>
  <si>
    <t>Kotak Nifty SDL Apr 2032 Top 12 Equal Weight Index Fund-Direct Plan- Growth</t>
  </si>
  <si>
    <t>INF174KA1IS7</t>
  </si>
  <si>
    <t>INF174KA1IT5</t>
  </si>
  <si>
    <t>Kotak Nifty SDL Apr 2032 Top 12 Equal Weight Index Fund-Direct Plan-IDCW Option</t>
  </si>
  <si>
    <t>INF174KA1IO6</t>
  </si>
  <si>
    <t>Kotak Nifty SDL Apr 2032 Top 12 Equal Weight Index Fund-Regular Plan-Growth</t>
  </si>
  <si>
    <t>INF174KA1IP3</t>
  </si>
  <si>
    <t>INF174KA1IQ1</t>
  </si>
  <si>
    <t>Kotak Nifty SDL Apr 2032 Top 12 Equal Weight Index Fund-Regular Plan-IDCW Option</t>
  </si>
  <si>
    <t>INF174KA1LC5</t>
  </si>
  <si>
    <t>Kotak Nifty SDL Jul 2026 Index Fund Direct Plan Growth</t>
  </si>
  <si>
    <t>INF174KA1LD3</t>
  </si>
  <si>
    <t>INF174KA1LE1</t>
  </si>
  <si>
    <t>Kotak Nifty SDL Jul 2026 Index Fund Direct Plan IDCW</t>
  </si>
  <si>
    <t>INF174KA1KZ8</t>
  </si>
  <si>
    <t>Kotak Nifty SDL Jul 2026 Index Fund Regular Plan Growth</t>
  </si>
  <si>
    <t>INF174KA1LA9</t>
  </si>
  <si>
    <t>INF174KA1LB7</t>
  </si>
  <si>
    <t>Kotak Nifty SDL Jul 2026 Index Fund Regular Plan IDCW</t>
  </si>
  <si>
    <t>INF174KA1MJ8</t>
  </si>
  <si>
    <t>Kotak Nifty SDL Jul 2033 Index Fund Direct Plan Growth Option</t>
  </si>
  <si>
    <t>INF174KA1MK6</t>
  </si>
  <si>
    <t>INF174KA1ML4</t>
  </si>
  <si>
    <t>Kotak Nifty SDL Jul 2033 Index Fund Direct Plan IDCW</t>
  </si>
  <si>
    <t>INF174KA1MG4</t>
  </si>
  <si>
    <t>Kotak Nifty SDL Jul 2033 Index Fund Regular Plan Growth Option</t>
  </si>
  <si>
    <t>INF174KA1MH2</t>
  </si>
  <si>
    <t>INF174KA1MI0</t>
  </si>
  <si>
    <t>Kotak Nifty SDL Jul 2033 Index Fund Regular Plan IDCW</t>
  </si>
  <si>
    <t>INF174KA1JT3</t>
  </si>
  <si>
    <t>Kotak Nifty SDL Plus AAA PSU Bond Jul 2028 60:40 Index Fund Direct Plan - Growth</t>
  </si>
  <si>
    <t>INF174KA1JU1</t>
  </si>
  <si>
    <t>INF174KA1JV9</t>
  </si>
  <si>
    <t>Kotak Nifty SDL Plus AAA PSU Bond Jul 2028 60:40 Index Fund Direct Plan - IDCW</t>
  </si>
  <si>
    <t>INF174KA1JQ9</t>
  </si>
  <si>
    <t>Kotak Nifty SDL Plus AAA PSU Bond Jul 2028 60:40 Index Fund Regular Plan - Growth</t>
  </si>
  <si>
    <t>INF174KA1JR7</t>
  </si>
  <si>
    <t>INF174KA1JS5</t>
  </si>
  <si>
    <t>Kotak Nifty SDL Plus AAA PSU Bond Jul 2028 60:40 Index Fund Regular Plan - IDCW</t>
  </si>
  <si>
    <t>INF174KA1UL7</t>
  </si>
  <si>
    <t>INF174KA1UM5</t>
  </si>
  <si>
    <t>Kotak Nifty SmallCap 250 Index Fund - Direct - IDCW</t>
  </si>
  <si>
    <t>INF174KA1UK9</t>
  </si>
  <si>
    <t>Kotak Nifty SmallCap 250 Index Fund- Direct - Growth</t>
  </si>
  <si>
    <t>INF174KA1UN3</t>
  </si>
  <si>
    <t>Kotak Nifty SmallCap 250 Index Fund- Regular - Growth</t>
  </si>
  <si>
    <t>INF174KA1UO1</t>
  </si>
  <si>
    <t>INF174KA1UP8</t>
  </si>
  <si>
    <t>Kotak Nifty SmallCap 250 Index Fund- Regular - IDCW</t>
  </si>
  <si>
    <t>INF174KA1NB3</t>
  </si>
  <si>
    <t>Kotak Nifty Smallcap 50 Index Fund - Direct Plan - Growth</t>
  </si>
  <si>
    <t>INF174KA1NC1</t>
  </si>
  <si>
    <t>INF174KA1ND9</t>
  </si>
  <si>
    <t>Kotak Nifty Smallcap 50 Index Fund - Direct Plan - IDCW</t>
  </si>
  <si>
    <t>INF174KA1MY7</t>
  </si>
  <si>
    <t>Kotak Nifty Smallcap 50 Index Fund - Regular Plan - Growth</t>
  </si>
  <si>
    <t>INF174KA1MZ4</t>
  </si>
  <si>
    <t>INF174KA1NA5</t>
  </si>
  <si>
    <t>Kotak Nifty Smallcap 50 Index Fund - Regular Plan - IDCW</t>
  </si>
  <si>
    <t>INF174KA1WD0</t>
  </si>
  <si>
    <t>Kotak Nifty Top 10 Equal Weight Index Fund-Direct Plan-Growth</t>
  </si>
  <si>
    <t>INF174KA1WE8</t>
  </si>
  <si>
    <t>INF174KA1WF5</t>
  </si>
  <si>
    <t>Kotak Nifty Top 10 Equal Weight Index Fund-Direct Plan-IDCW-Payout and Reinvestment</t>
  </si>
  <si>
    <t>INF174KA1WG3</t>
  </si>
  <si>
    <t>Kotak Nifty Top 10 Equal Weight Index Fund-Regular Plan-Growth</t>
  </si>
  <si>
    <t>INF174KA1WH1</t>
  </si>
  <si>
    <t>INF174KA1WI9</t>
  </si>
  <si>
    <t>Kotak Nifty Top 10 Equal Weight Index Fund-Regular Plan-IDCW Payout and Reinvestment</t>
  </si>
  <si>
    <t>INF174KA1YP0</t>
  </si>
  <si>
    <t>Kotak Nifty200 Value 30 Index Fund - Direct - Growth</t>
  </si>
  <si>
    <t>INF174KA1YQ8</t>
  </si>
  <si>
    <t>INF174KA1YR6</t>
  </si>
  <si>
    <t>Kotak Nifty200 Value 30 Index Fund - Direct - IDCW</t>
  </si>
  <si>
    <t>INF174KA1YS4</t>
  </si>
  <si>
    <t>Kotak Nifty200 Value 30 Index Fund - Regular - Growth</t>
  </si>
  <si>
    <t>INF174KA1YT2</t>
  </si>
  <si>
    <t>INF174KA1YU0</t>
  </si>
  <si>
    <t>Kotak Nifty200 Value 30 Index Fund - Regular - IDCW</t>
  </si>
  <si>
    <t>INF174KA1YC8</t>
  </si>
  <si>
    <t>Kotak Nifty500 Momentum 50 Index Fund - Direct Plan - Growth</t>
  </si>
  <si>
    <t>INF174KA1YD6</t>
  </si>
  <si>
    <t>INF174KA1YE4</t>
  </si>
  <si>
    <t>Kotak Nifty500 Momentum 50 Index Fund - Direct Plan - IDCW - Payout &amp; Investment</t>
  </si>
  <si>
    <t>INF174KA1YF1</t>
  </si>
  <si>
    <t>Kotak Nifty500 Momentum 50 Index Fund - Regular Plan - Growth</t>
  </si>
  <si>
    <t>INF174KA1YG9</t>
  </si>
  <si>
    <t>INF174KA1YH7</t>
  </si>
  <si>
    <t>Kotak Nifty500 Momentum 50 Index Fund - Regular Plan - IDCW - Payout &amp; Reinvestment</t>
  </si>
  <si>
    <t>INF767K01FJ4</t>
  </si>
  <si>
    <t>LIC MF BSE Sensex Index Fund-Direct Plan-Growth</t>
  </si>
  <si>
    <t>INF767K01FI6</t>
  </si>
  <si>
    <t>INF767K01FK2</t>
  </si>
  <si>
    <t>LIC MF BSE Sensex Index Fund-Direct Plan-IDCW</t>
  </si>
  <si>
    <t>INF767K01139</t>
  </si>
  <si>
    <t>LIC MF BSE Sensex Index Fund-Regular Plan-Growth</t>
  </si>
  <si>
    <t>INF767K01121</t>
  </si>
  <si>
    <t>INF767K01113</t>
  </si>
  <si>
    <t>LIC MF BSE Sensex Index Fund-Regular Plan-IDCW</t>
  </si>
  <si>
    <t>INF767K01FF2</t>
  </si>
  <si>
    <t>LIC MF Nifty 50 Index Fund-Direct Plan-Growth</t>
  </si>
  <si>
    <t>INF767K01FG0</t>
  </si>
  <si>
    <t>INF767K01FH8</t>
  </si>
  <si>
    <t>LIC MF Nifty 50 Index Fund-Direct Plan-IDCW</t>
  </si>
  <si>
    <t>INF767K01162</t>
  </si>
  <si>
    <t>LIC MF Nifty 50 Index Fund-Regular Plan-Growth</t>
  </si>
  <si>
    <t>INF767K01154</t>
  </si>
  <si>
    <t>INF767K01147</t>
  </si>
  <si>
    <t>LIC MF Nifty 50 Index Fund-Regular Plan-IDCW</t>
  </si>
  <si>
    <t>INF397L01AW2</t>
  </si>
  <si>
    <t>LIC MF Nifty Next 50 Index Fund-Direct Plan-Growth</t>
  </si>
  <si>
    <t>INF397L01AY8</t>
  </si>
  <si>
    <t>INF397L01AX0</t>
  </si>
  <si>
    <t>LIC MF Nifty Next 50 Index Fund-Direct Plan-IDCW</t>
  </si>
  <si>
    <t>INF397L01174</t>
  </si>
  <si>
    <t>LIC MF Nifty Next 50 Index Fund-Regular Plan-Growth</t>
  </si>
  <si>
    <t>INF397L01166</t>
  </si>
  <si>
    <t>INF397L01182</t>
  </si>
  <si>
    <t>LIC MF Nifty Next 50 Index Fund-Regular Plan-IDCW</t>
  </si>
  <si>
    <t>INF769K01IX5</t>
  </si>
  <si>
    <t>Mirae Asset CRISIL IBX Gilt Index - April 2033 Index Fund - Direct Plan - Growth</t>
  </si>
  <si>
    <t>INF769K01IW7</t>
  </si>
  <si>
    <t>INF769K01IY3</t>
  </si>
  <si>
    <t>Mirae Asset CRISIL IBX Gilt Index - April 2033 Index Fund - Direct Plan - IDCW</t>
  </si>
  <si>
    <t>INF769K01IU1</t>
  </si>
  <si>
    <t>Mirae Asset CRISIL IBX Gilt Index - April 2033 Index Fund - Regular Plan - Growth</t>
  </si>
  <si>
    <t>INF769K01IT3</t>
  </si>
  <si>
    <t>INF769K01IV9</t>
  </si>
  <si>
    <t>Mirae Asset CRISIL IBX Gilt Index - April 2033 Index Fund - Regular Plan - IDCW</t>
  </si>
  <si>
    <t>INF769K01OS3</t>
  </si>
  <si>
    <t>Mirae Asset CRISIL-IBX Financial Services 9-12 Months Debt Index Fund - Direct Plan - Growth</t>
  </si>
  <si>
    <t>INF769K01OU9</t>
  </si>
  <si>
    <t>INF769K01OT1</t>
  </si>
  <si>
    <t>Mirae Asset CRISIL-IBX Financial Services 9-12 Months Debt Index Fund - Direct Plan - IDCW</t>
  </si>
  <si>
    <t>INF769K01OP9</t>
  </si>
  <si>
    <t>Mirae Asset CRISIL-IBX Financial Services 9-12 Months Debt Index Fund - Regular Plan - Growth</t>
  </si>
  <si>
    <t>INF769K01OR5</t>
  </si>
  <si>
    <t>INF769K01OQ7</t>
  </si>
  <si>
    <t>Mirae Asset CRISIL-IBX Financial Services 9-12 Months Debt Index Fund - Regular Plan - IDCW</t>
  </si>
  <si>
    <t>INF769K01MQ1</t>
  </si>
  <si>
    <t>Mirae Asset Nifty 50 Index Fund - Direct Plan - Growth</t>
  </si>
  <si>
    <t>INF769K01MN8</t>
  </si>
  <si>
    <t>INF769K01MM0</t>
  </si>
  <si>
    <t>Mirae Asset Nifty 50 Index Fund - Direct Plan - IDCW</t>
  </si>
  <si>
    <t>INF769K01MO6</t>
  </si>
  <si>
    <t>Mirae Asset Nifty 50 Index Fund - Regular Plan - Growth</t>
  </si>
  <si>
    <t>INF769K01MP3</t>
  </si>
  <si>
    <t>INF769K01MR9</t>
  </si>
  <si>
    <t>Mirae Asset Nifty 50 Index Fund - Regular Plan - IDCW</t>
  </si>
  <si>
    <t>INF769K01MJ6</t>
  </si>
  <si>
    <t>Mirae Asset Nifty LargeMidcap 250 Index Fund - Direct Plan - Growth</t>
  </si>
  <si>
    <t>INF769K01ML2</t>
  </si>
  <si>
    <t>INF769K01MK4</t>
  </si>
  <si>
    <t>Mirae Asset Nifty LargeMidcap 250 Index Fund - Direct Plan - IDCW</t>
  </si>
  <si>
    <t>INF769K01MG2</t>
  </si>
  <si>
    <t>Mirae Asset Nifty LargeMidcap 250 Index Fund - Regular Plan - Growth</t>
  </si>
  <si>
    <t>INF769K01MI8</t>
  </si>
  <si>
    <t>INF769K01MH0</t>
  </si>
  <si>
    <t>Mirae Asset Nifty LargeMidcap 250 Index Fund - Regular Plan - IDCW</t>
  </si>
  <si>
    <t>INF769K01IG0</t>
  </si>
  <si>
    <t>INF769K01II6</t>
  </si>
  <si>
    <t>Mirae Asset Nifty SDL Jun 2027 Index Fund - Direct Plan - IDCW</t>
  </si>
  <si>
    <t>INF769K01IE5</t>
  </si>
  <si>
    <t>Mirae Asset Nifty SDL Jun 2027 Index Fund - Regular Plan - Growth</t>
  </si>
  <si>
    <t>INF769K01ID7</t>
  </si>
  <si>
    <t>INF769K01IF2</t>
  </si>
  <si>
    <t>Mirae Asset Nifty SDL Jun 2027 Index Fund - Regular Plan - IDCW</t>
  </si>
  <si>
    <t>INF769K01IH8</t>
  </si>
  <si>
    <t>Mirae Asset Nifty SDL Jun 2027 Index Fund -Direct Plan - Growth</t>
  </si>
  <si>
    <t>INF769K01JZ8</t>
  </si>
  <si>
    <t>Mirae Asset Nifty SDL June 2028 Index Fund - Direct Plan - Growth</t>
  </si>
  <si>
    <t>INF769K01JY1</t>
  </si>
  <si>
    <t>INF769K01KA9</t>
  </si>
  <si>
    <t>Mirae Asset Nifty SDL June 2028 Index Fund - Direct Plan - IDCW</t>
  </si>
  <si>
    <t>INF769K01JV7</t>
  </si>
  <si>
    <t>INF769K01JX3</t>
  </si>
  <si>
    <t>Mirae Asset Nifty SDL June 2028 Index Fund - Regular Plan - IDCW</t>
  </si>
  <si>
    <t>INF769K01JW5</t>
  </si>
  <si>
    <t>Mirae Asset Nifty SDL June 2028 Index Fund -Regular Plan - Growth</t>
  </si>
  <si>
    <t>INF769K01MD9</t>
  </si>
  <si>
    <t>Mirae Asset Nifty Total Market Index Fund - Direct Plan - Growth</t>
  </si>
  <si>
    <t>INF769K01ME7</t>
  </si>
  <si>
    <t>INF769K01MF4</t>
  </si>
  <si>
    <t>Mirae Asset Nifty Total Market Index Fund - Direct Plan - IDCW</t>
  </si>
  <si>
    <t>INF769K01MA5</t>
  </si>
  <si>
    <t>Mirae Asset Nifty Total Market Index Fund - Regular Plan - Growth</t>
  </si>
  <si>
    <t>INF769K01MB3</t>
  </si>
  <si>
    <t>INF769K01MC1</t>
  </si>
  <si>
    <t>Mirae Asset Nifty Total Market Index Fund - Regular Plan - IDCW</t>
  </si>
  <si>
    <t>INF247L01FM9</t>
  </si>
  <si>
    <t>Motilal Oswal BSE 1000 Index Fund - Direct Plan - Growth</t>
  </si>
  <si>
    <t>INF247L01FN7</t>
  </si>
  <si>
    <t>Motilal Oswal BSE 1000 Index Fund - Regular Plan - Growth</t>
  </si>
  <si>
    <t>INF247L01BF2</t>
  </si>
  <si>
    <t>Motilal Oswal BSE Enhanced Value Index Fund-Direct plan</t>
  </si>
  <si>
    <t>INF247L01BG0</t>
  </si>
  <si>
    <t>Motilal Oswal BSE Enhanced Value Index Fund-Regular plan</t>
  </si>
  <si>
    <t>INF247L01BC9</t>
  </si>
  <si>
    <t>Motilal Oswal BSE Financials ex Bank 30 Index Fund Direct Growth</t>
  </si>
  <si>
    <t>INF247L01BD7</t>
  </si>
  <si>
    <t>Motilal Oswal BSE Financials ex Bank 30 Index Fund Regular Growth</t>
  </si>
  <si>
    <t>INF247L01AY5</t>
  </si>
  <si>
    <t>Motilal Oswal BSE Low Volatility Index Fund-Direct plan</t>
  </si>
  <si>
    <t>INF247L01AZ2</t>
  </si>
  <si>
    <t>Motilal Oswal BSE Low Volatility Index Fund-Regular plan</t>
  </si>
  <si>
    <t>INF247L01BI6</t>
  </si>
  <si>
    <t>Motilal Oswal BSE Quality Index Fund-Direct plan</t>
  </si>
  <si>
    <t>INF247L01BJ4</t>
  </si>
  <si>
    <t>Motilal Oswal BSE Quality Index Fund-Regular plan</t>
  </si>
  <si>
    <t>INF247L01AV1</t>
  </si>
  <si>
    <t>Motilal Oswal Nifty 200 Momentum 30 Index Fund-Direct Plan</t>
  </si>
  <si>
    <t>INF247L01AW9</t>
  </si>
  <si>
    <t>Motilal Oswal Nifty 200 Momentum 30 Index Fund-Regular Plan</t>
  </si>
  <si>
    <t>INF247L01AE7</t>
  </si>
  <si>
    <t>Motilal Oswal Nifty 50 Index Fund - Direct plan - Growth</t>
  </si>
  <si>
    <t>INF247L01AF4</t>
  </si>
  <si>
    <t>Motilal Oswal Nifty 50 Index Fund - Regular plan - Growth</t>
  </si>
  <si>
    <t>INF247L01957</t>
  </si>
  <si>
    <t>Motilal Oswal Nifty 500 Index Fund - Direct Plan</t>
  </si>
  <si>
    <t>INF247L01940</t>
  </si>
  <si>
    <t>Motilal Oswal Nifty 500 Index Fund - Regular Plan</t>
  </si>
  <si>
    <t>INF247L01DL6</t>
  </si>
  <si>
    <t>Motilal Oswal Nifty 500 Momentum 50 Index Fund-Direct Plan-Growth</t>
  </si>
  <si>
    <t>INF247L01DM4</t>
  </si>
  <si>
    <t>Motilal Oswal Nifty 500 Momentum 50 Index Fund-Regular Plan-Growth</t>
  </si>
  <si>
    <t>INF247L01882</t>
  </si>
  <si>
    <t>Motilal Oswal Nifty Bank Index - Regular Plan</t>
  </si>
  <si>
    <t>INF247L01890</t>
  </si>
  <si>
    <t>Motilal Oswal Nifty Bank Index Fund - Direct Plan</t>
  </si>
  <si>
    <t>INF247L01EB5</t>
  </si>
  <si>
    <t>Motilal Oswal Nifty Capital Market Index Fund - Direct Plan - Growth</t>
  </si>
  <si>
    <t>INF247L01EC3</t>
  </si>
  <si>
    <t>Motilal Oswal Nifty Capital Market Index Fund - Regular Plan - Growth</t>
  </si>
  <si>
    <t>INF247L01CW5</t>
  </si>
  <si>
    <t>Motilal Oswal Nifty India Defence Index Fund Direct Plan Growth</t>
  </si>
  <si>
    <t>INF247L01CV7</t>
  </si>
  <si>
    <t>Motilal Oswal Nifty India Defence Index Fund Regular Plan Growth</t>
  </si>
  <si>
    <t>INF247L01BQ9</t>
  </si>
  <si>
    <t>Motilal Oswal Nifty Microcap 250 Index Fund- Direct- Growth Option</t>
  </si>
  <si>
    <t>INF247L01BR7</t>
  </si>
  <si>
    <t>Motilal Oswal Nifty Microcap 250 Index Fund- Regular- Growth Option</t>
  </si>
  <si>
    <t>INF247L01916</t>
  </si>
  <si>
    <t>Motilal Oswal Nifty Midcap 150 Index Fund - Direct Plan</t>
  </si>
  <si>
    <t>INF247L01908</t>
  </si>
  <si>
    <t>Motilal Oswal Nifty Midcap 150 Index Fund - Regular Plan</t>
  </si>
  <si>
    <t>INF247L01DW3</t>
  </si>
  <si>
    <t>Motilal Oswal Nifty MidSmall Financial Services Index Fund - Direct Plan- Growth</t>
  </si>
  <si>
    <t>INF247L01DX1</t>
  </si>
  <si>
    <t>Motilal Oswal Nifty MidSmall Financial Services Index Fund-Regular Plan-Growth</t>
  </si>
  <si>
    <t>INF247L01EA7</t>
  </si>
  <si>
    <t>Motilal Oswal Nifty MidSmall Healthcare Index Fund- Direct Plan-Growth</t>
  </si>
  <si>
    <t>INF247L01DT9</t>
  </si>
  <si>
    <t>Motilal Oswal Nifty MidSmall Healthcare Index Fund-Regular Plan-Growth</t>
  </si>
  <si>
    <t>INF247L01DU7</t>
  </si>
  <si>
    <t>Motilal Oswal Nifty MidSmall India Consumption Index Fund - Direct Plan- Growth</t>
  </si>
  <si>
    <t>INF247L01DV5</t>
  </si>
  <si>
    <t>Motilal Oswal Nifty MidSmall India Consumption Index Fund-Regular Plan-Growth</t>
  </si>
  <si>
    <t>INF247L01DY9</t>
  </si>
  <si>
    <t>Motilal Oswal Nifty MidSmall IT and Telecom Index Fund - Direct Plan- Growth</t>
  </si>
  <si>
    <t>INF247L01DZ6</t>
  </si>
  <si>
    <t>Motilal Oswal Nifty MidSmall IT and Telecom Index Fund-Regular Plan-Growth</t>
  </si>
  <si>
    <t>INF247L01AC1</t>
  </si>
  <si>
    <t>Motilal Oswal Nifty Next 50 Index Fund - Direct plan - Growth</t>
  </si>
  <si>
    <t>INF247L01AD9</t>
  </si>
  <si>
    <t>Motilal Oswal Nifty Next 50 Index Fund - Regular plan - Growth</t>
  </si>
  <si>
    <t>INF247L01924</t>
  </si>
  <si>
    <t>Motilal Oswal Nifty Smallcap 250 Index - Regular Plan</t>
  </si>
  <si>
    <t>INF247L01932</t>
  </si>
  <si>
    <t>Motilal Oswal Nifty Smallcap 250 Index Fund- Direct Plan</t>
  </si>
  <si>
    <t>INF247L01AG2</t>
  </si>
  <si>
    <t>Motilal Oswal S&amp;P 500 Index Fund - Direct Plan Growth</t>
  </si>
  <si>
    <t>INF247L01AH0</t>
  </si>
  <si>
    <t>Motilal Oswal S&amp;P 500 Index Fund - Regular Plan Growth</t>
  </si>
  <si>
    <t>INF959L01HK9</t>
  </si>
  <si>
    <t>NAVI BSE SENSEX INDEX FUND - DIRECT PLAN - GROWTH</t>
  </si>
  <si>
    <t>INF959L01HJ1</t>
  </si>
  <si>
    <t>NAVI BSE SENSEX INDEX FUND - REGULAR PLAN - GROWTH</t>
  </si>
  <si>
    <t>INF959L01FP2</t>
  </si>
  <si>
    <t>Navi Nifty 50 Index Fund-Direct Plan-Growth</t>
  </si>
  <si>
    <t>INF959L01FQ0</t>
  </si>
  <si>
    <t>Navi Nifty 50 Index Fund-Regular Plan-Growth</t>
  </si>
  <si>
    <t>INF959L01HO1</t>
  </si>
  <si>
    <t>NAVI NIFTY 500 MULTICAP 50-25-25 DIRECT PLAN</t>
  </si>
  <si>
    <t>INF959L01HN3</t>
  </si>
  <si>
    <t>NAVI NIFTY 500 MULTICAP 50-25-25 REGULAR PLAN</t>
  </si>
  <si>
    <t>INF959L01FT4</t>
  </si>
  <si>
    <t>Navi Nifty Bank Index Fund- Direct Plan- Growth</t>
  </si>
  <si>
    <t>INF959L01FU2</t>
  </si>
  <si>
    <t>Navi Nifty Bank Index Fund- Regular Plan- Growth</t>
  </si>
  <si>
    <t>INF959L01GD6</t>
  </si>
  <si>
    <t>Navi Nifty India Manufacturing Index Fund- Direct Plan- Growth</t>
  </si>
  <si>
    <t>INF959L01GE4</t>
  </si>
  <si>
    <t>Navi Nifty India Manufacturing Index Fund- Regular Plan- Growth</t>
  </si>
  <si>
    <t>INF959L01FX6</t>
  </si>
  <si>
    <t>Navi Nifty Midcap 150 Index Fund Direct Plan- Growth</t>
  </si>
  <si>
    <t>INF959L01FY4</t>
  </si>
  <si>
    <t>Navi Nifty Midcap 150 Index Fund Regular Plan- Growth</t>
  </si>
  <si>
    <t>INF959L01HS2</t>
  </si>
  <si>
    <t>Navi Nifty Midsmall 400 Index Fund - Regular - Growth</t>
  </si>
  <si>
    <t>INF959L01HR4</t>
  </si>
  <si>
    <t>Navi Nifty midsmallcap 400 Index Fund- Direct - Growth</t>
  </si>
  <si>
    <t>INF959L01FR8</t>
  </si>
  <si>
    <t>Navi Nifty Next 50 Index Fund- Direct Plan- Growth</t>
  </si>
  <si>
    <t>INF959L01FS6</t>
  </si>
  <si>
    <t>Navi Nifty Next 50 Index Fund- Regular Plan- Growth</t>
  </si>
  <si>
    <t>INF959L01HQ6</t>
  </si>
  <si>
    <t>Navi Nifty Smallcap 250 Momentum quality index fund- Direct Plan</t>
  </si>
  <si>
    <t>INF959L01HP8</t>
  </si>
  <si>
    <t>Navi Nifty Smallcap 250 Momentum quality index fund- Regular Plan</t>
  </si>
  <si>
    <t>INF959L01HM5</t>
  </si>
  <si>
    <t>Navi NiftyIT Index Fund - Direct Plan- Growth</t>
  </si>
  <si>
    <t>INF959L01HL7</t>
  </si>
  <si>
    <t>Navi NiftyIT Index Fund - Regular Plan -Growth</t>
  </si>
  <si>
    <t>INF204KC1FE5</t>
  </si>
  <si>
    <t>INF204KC1FF2</t>
  </si>
  <si>
    <t>Nippon India BSE Sensex Next 30 Index -Direct Plan - IDCW Payout</t>
  </si>
  <si>
    <t>INF204KC1FA3</t>
  </si>
  <si>
    <t>Nippon India BSE Sensex Next 30 Index Fund - Regular Plan-Growth Option</t>
  </si>
  <si>
    <t>INF204KC1FB1</t>
  </si>
  <si>
    <t>INF204KC1FC9</t>
  </si>
  <si>
    <t>Nippon India BSE Sensex Next 30 Index Fund -Regular Plan- IDCW Payout</t>
  </si>
  <si>
    <t>INF204KC1FD7</t>
  </si>
  <si>
    <t>Nippon India BSE Sensex Next 30 Index Fund- Direct Plan- Growth Option</t>
  </si>
  <si>
    <t>INF204KC1DM3</t>
  </si>
  <si>
    <t>Nippon India CRISIL - IBX AAA Financial Services - Dec 2026 Index Fund - Direct Plan - Growth Option</t>
  </si>
  <si>
    <t>INF204KC1DN1</t>
  </si>
  <si>
    <t>INF204KC1DO9</t>
  </si>
  <si>
    <t>Nippon India CRISIL - IBX AAA Financial Services - Dec 2026 Index Fund - Direct Plan - IDCW Option</t>
  </si>
  <si>
    <t>INF204KC1DJ9</t>
  </si>
  <si>
    <t>Nippon India CRISIL - IBX AAA Financial Services - Dec 2026 Index Fund - Regular Plan - Growth Option</t>
  </si>
  <si>
    <t>INF204KC1DK7</t>
  </si>
  <si>
    <t>INF204KC1DL5</t>
  </si>
  <si>
    <t>Nippon India CRISIL - IBX AAA Financial Services - Dec 2026 Index Fund - Regular Plan - IDCW Option</t>
  </si>
  <si>
    <t>INF204KC1DS0</t>
  </si>
  <si>
    <t>Nippon India CRISIL - IBX AAA Financial Services - Jan 2028 Index Fund - Direct Plan - Growth Option</t>
  </si>
  <si>
    <t>INF204KC1DT8</t>
  </si>
  <si>
    <t>INF204KC1DU6</t>
  </si>
  <si>
    <t>Nippon India CRISIL - IBX AAA Financial Services - Jan 2028 Index Fund - Direct Plan - IDCW Option</t>
  </si>
  <si>
    <t>INF204KC1DP6</t>
  </si>
  <si>
    <t>Nippon India CRISIL - IBX AAA Financial Services - Jan 2028 Index Fund - Regular Plan - Growth Option</t>
  </si>
  <si>
    <t>INF204KC1DQ4</t>
  </si>
  <si>
    <t>INF204KC1DR2</t>
  </si>
  <si>
    <t>Nippon India CRISIL - IBX AAA Financial Services - Jan 2028 Index Fund - Regular Plan - IDCW Option</t>
  </si>
  <si>
    <t>INF204KC1GX3</t>
  </si>
  <si>
    <t>Nippon India CRISIL-IBX Financial Services 3-6 Months Debt Index Fund- Direct Plan- Growth Option</t>
  </si>
  <si>
    <t>INF204KC1GY1</t>
  </si>
  <si>
    <t>INF204KC1GZ8</t>
  </si>
  <si>
    <t>Nippon India CRISIL-IBX Financial Services 3-6 Months Debt Index Fund- Direct Plan-IDCW Option</t>
  </si>
  <si>
    <t>INF204KC1GU9</t>
  </si>
  <si>
    <t>Nippon India CRISIL-IBX Financial Services 3-6 Months Debt Index Fund- Regular Plan- Growth Option</t>
  </si>
  <si>
    <t>INF204KC1GV7</t>
  </si>
  <si>
    <t>INF204KC1GW5</t>
  </si>
  <si>
    <t>Nippon India CRISIL-IBX Financial Services 3-6 Months Debt Index Fund- Regular Plan- IDCW Option</t>
  </si>
  <si>
    <t>INF204KC1GR5</t>
  </si>
  <si>
    <t>Nippon India CRISIL-IBX Financial Services 9-12 Months Debt Index Fund -Direct Plan - Growth Option</t>
  </si>
  <si>
    <t>INF204KC1GS3</t>
  </si>
  <si>
    <t>INF204KC1GT1</t>
  </si>
  <si>
    <t>Nippon India CRISIL-IBX Financial Services 9-12 Months Debt Index Fund -Direct Plan-IDCW Option</t>
  </si>
  <si>
    <t>INF204KC1GO2</t>
  </si>
  <si>
    <t>Nippon India CRISIL-IBX Financial Services 9-12 Months Debt Index Fund -Regular Plan - Growth Option</t>
  </si>
  <si>
    <t>INF204KC1GP9</t>
  </si>
  <si>
    <t>INF204KC1GQ7</t>
  </si>
  <si>
    <t>Nippon India CRISIL-IBX Financial Services 9-12 Months Debt Index Fund -Regular Plan - IDCW Option</t>
  </si>
  <si>
    <t>INF204K01IQ7</t>
  </si>
  <si>
    <t>INF204K01IT1</t>
  </si>
  <si>
    <t>NIPPON INDIA INDEX FUND - BSE SENSEX PLAN - ANNUAL - IDCW Option</t>
  </si>
  <si>
    <t>INF204K01K64</t>
  </si>
  <si>
    <t>INF204K01K72</t>
  </si>
  <si>
    <t>NIPPON INDIA INDEX FUND - BSE SENSEX PLAN - DIRECT Plan - ANNUAL - IDCW Option</t>
  </si>
  <si>
    <t>INF204K01K98</t>
  </si>
  <si>
    <t>INF204K01L06</t>
  </si>
  <si>
    <t>NIPPON INDIA INDEX FUND - BSE SENSEX PLAN - DIRECT Plan - HALF YEARLY - IDCW Option</t>
  </si>
  <si>
    <t>INF204K01L14</t>
  </si>
  <si>
    <t>INF204K01L22</t>
  </si>
  <si>
    <t>NIPPON INDIA INDEX FUND - BSE SENSEX PLAN - DIRECT Plan - QUARTERLY - IDCW Option</t>
  </si>
  <si>
    <t>INF204K01K56</t>
  </si>
  <si>
    <t>Nippon India Index Fund - BSE Sensex Plan - Direct Plan Growth Plan - Bonus Option</t>
  </si>
  <si>
    <t>INF204K01K80</t>
  </si>
  <si>
    <t>Nippon India Index Fund - BSE Sensex Plan - Direct Plan Growth Plan - Growth Option</t>
  </si>
  <si>
    <t>INF204K01IN4</t>
  </si>
  <si>
    <t>Nippon India Index Fund - BSE Sensex Plan - Growth Plan - Bonus Option</t>
  </si>
  <si>
    <t>INF204K01IM6</t>
  </si>
  <si>
    <t>Nippon India Index Fund - BSE Sensex Plan - Growth Plan - Growth Option</t>
  </si>
  <si>
    <t>INF204K01IP9</t>
  </si>
  <si>
    <t>INF204K01IS3</t>
  </si>
  <si>
    <t>NIPPON INDIA INDEX FUND - BSE SENSEX PLAN - HALF YEARLY - IDCW Option</t>
  </si>
  <si>
    <t>INF204K01IO2</t>
  </si>
  <si>
    <t>INF204K01IR5</t>
  </si>
  <si>
    <t>NIPPON INDIA INDEX FUND - BSE SENSEX PLAN - QUARTERLY - IDCW Option</t>
  </si>
  <si>
    <t>INF204K01II4</t>
  </si>
  <si>
    <t>INF204K01IL8</t>
  </si>
  <si>
    <t>NIPPON INDIA INDEX FUND - NIFTY 50 PLAN - ANNUAL - IDCW Option</t>
  </si>
  <si>
    <t>INF204K01H10</t>
  </si>
  <si>
    <t>INF204K01H28</t>
  </si>
  <si>
    <t>NIPPON INDIA INDEX FUND - NIFTY 50 PLAN - DIRECT Plan - ANNUAL - IDCW Option</t>
  </si>
  <si>
    <t>INF204K01H44</t>
  </si>
  <si>
    <t>INF204K01H51</t>
  </si>
  <si>
    <t>NIPPON INDIA INDEX FUND - NIFTY 50 PLAN - DIRECT Plan - HALF YEARLY - IDCW Option</t>
  </si>
  <si>
    <t>INF204K01H69</t>
  </si>
  <si>
    <t>INF204K01H77</t>
  </si>
  <si>
    <t>NIPPON INDIA INDEX FUND - NIFTY 50 PLAN - DIRECT Plan - QUARTERLY - IDCW Option</t>
  </si>
  <si>
    <t>INF204K01H02</t>
  </si>
  <si>
    <t>Nippon India Index Fund - Nifty 50 Plan - Direct Plan Growth Plan - Bonus Option</t>
  </si>
  <si>
    <t>INF204K01H36</t>
  </si>
  <si>
    <t>Nippon India Index Fund - Nifty 50 Plan - Direct Plan Growth Plan - Growth Option</t>
  </si>
  <si>
    <t>INF204K01IF0</t>
  </si>
  <si>
    <t>Nippon India Index Fund - Nifty 50 Plan - Growth Plan - Bonus Option</t>
  </si>
  <si>
    <t>INF204K01IE3</t>
  </si>
  <si>
    <t>Nippon India Index Fund - Nifty 50 Plan - Growth Plan - Growth Option</t>
  </si>
  <si>
    <t>INF204K01IH6</t>
  </si>
  <si>
    <t>INF204K01IK0</t>
  </si>
  <si>
    <t>NIPPON INDIA INDEX FUND - NIFTY 50 PLAN - HALF YEARLY - IDCW Option</t>
  </si>
  <si>
    <t>INF204K01IG8</t>
  </si>
  <si>
    <t>INF204K01IJ2</t>
  </si>
  <si>
    <t>NIPPON INDIA INDEX FUND - NIFTY 50 PLAN - QUARTERLY - IDCW Option</t>
  </si>
  <si>
    <t>INF204KB12Z0</t>
  </si>
  <si>
    <t>Nippon India Nifty 50 Value 20 Index Fund - Direct Plan - Growth Option</t>
  </si>
  <si>
    <t>INF204KB13Z8</t>
  </si>
  <si>
    <t>INF204KB14Z6</t>
  </si>
  <si>
    <t>NIPPON INDIA NIFTY 50 VALUE 20 INDEX FUND - DIRECT Plan - IDCW Option</t>
  </si>
  <si>
    <t>INF204KB10Z4</t>
  </si>
  <si>
    <t>INF204KB11Z2</t>
  </si>
  <si>
    <t>NIPPON INDIA NIFTY 50 VALUE 20 INDEX FUND - IDCW Option</t>
  </si>
  <si>
    <t>INF204KB19Y8</t>
  </si>
  <si>
    <t>Nippon India Nifty 50 Value 20 Index Fund - Regular Plan - Growth Option</t>
  </si>
  <si>
    <t>INF204KC1DA8</t>
  </si>
  <si>
    <t>Nippon India Nifty 500 Equal Weight Index Fund - Direct Plan - Growth Option</t>
  </si>
  <si>
    <t>INF204KC1DB6</t>
  </si>
  <si>
    <t>INF204KC1DC4</t>
  </si>
  <si>
    <t>Nippon India Nifty 500 Equal Weight Index Fund - Direct Plan - IDCW Option</t>
  </si>
  <si>
    <t>INF204KC1CX2</t>
  </si>
  <si>
    <t>Nippon India Nifty 500 Equal Weight Index Fund - Regular Plan - Growth Option</t>
  </si>
  <si>
    <t>INF204KC1CY0</t>
  </si>
  <si>
    <t>INF204KC1CZ7</t>
  </si>
  <si>
    <t>Nippon India Nifty 500 Equal Weight Index Fund - Regular Plan - IDCW Option</t>
  </si>
  <si>
    <t>INF204KC1EQ2</t>
  </si>
  <si>
    <t>Nippon India Nifty 500 Low Volatility 50 Index Fund - Direct Plan - Growth Option</t>
  </si>
  <si>
    <t>INF204KC1ER0</t>
  </si>
  <si>
    <t>INF204KC1ES8</t>
  </si>
  <si>
    <t>Nippon India Nifty 500 Low Volatility 50 Index Fund - Direct Plan - IDCW Plan</t>
  </si>
  <si>
    <t>INF204KC1EO7</t>
  </si>
  <si>
    <t>INF204KC1EP4</t>
  </si>
  <si>
    <t>Nippon India Nifty 500 Low Volatility 50 Index Fund - Regular Pan - IDCW Option</t>
  </si>
  <si>
    <t>INF204KC1EN9</t>
  </si>
  <si>
    <t>Nippon India Nifty 500 Low Volatility 50 Index Fund - Regular Plan - Growth Option</t>
  </si>
  <si>
    <t>INF204KC1DG5</t>
  </si>
  <si>
    <t>Nippon India Nifty 500 Momentum 50 Index Fund - Direct Plan - Growth Option</t>
  </si>
  <si>
    <t>INF204KC1DH3</t>
  </si>
  <si>
    <t>INF204KC1DI1</t>
  </si>
  <si>
    <t>Nippon India Nifty 500 Momentum 50 Index Fund - Direct Plan - IDCW Option</t>
  </si>
  <si>
    <t>INF204KC1DD2</t>
  </si>
  <si>
    <t>Nippon India Nifty 500 Momentum 50 Index Fund - Regular Plan - Growth Option</t>
  </si>
  <si>
    <t>INF204KC1DE0</t>
  </si>
  <si>
    <t>INF204KC1DF7</t>
  </si>
  <si>
    <t>Nippon India Nifty 500 Momentum 50 Index Fund - Regular Plan - IDCW Option</t>
  </si>
  <si>
    <t>INF204KC1EW0</t>
  </si>
  <si>
    <t>Nippon India Nifty 500 Quality 50 Index Fund - Direct Plan - Growth Option</t>
  </si>
  <si>
    <t>INF204KC1EX8</t>
  </si>
  <si>
    <t>INF204KC1EY6</t>
  </si>
  <si>
    <t>Nippon India Nifty 500 Quality 50 Index Fund - Direct Plan - IDCW Option</t>
  </si>
  <si>
    <t>INF204KC1ET6</t>
  </si>
  <si>
    <t>Nippon India Nifty 500 Quality 50 Index Fund - Regular Plan - Growth Option</t>
  </si>
  <si>
    <t>INF204KC1EU4</t>
  </si>
  <si>
    <t>INF204KC1EV2</t>
  </si>
  <si>
    <t>Nippon India Nifty 500 Quality 50 Index Fund - Regular Plan - IDCW Option</t>
  </si>
  <si>
    <t>INF204KC1527</t>
  </si>
  <si>
    <t>Nippon India Nifty AAA CPSE Bond Plus SDL - Apr 2027 Maturity 60:40 Index Fund - Direct Plan - Growth Option</t>
  </si>
  <si>
    <t>INF204KC1535</t>
  </si>
  <si>
    <t>Nippon India Nifty AAA CPSE Bond Plus SDL - Apr 2027 Maturity 60:40 Index Fund - Direct Plan - IDCW Option</t>
  </si>
  <si>
    <t>INF204KC1493</t>
  </si>
  <si>
    <t>Nippon India Nifty AAA CPSE Bond Plus SDL - Apr 2027 Maturity 60:40 Index Fund - Regular Plan - Growth Option</t>
  </si>
  <si>
    <t>INF204KC1519</t>
  </si>
  <si>
    <t>Nippon India Nifty AAA CPSE Bond Plus SDL - Apr 2027 Maturity 60:40 Index Fund - Regular Plan - IDCW Option</t>
  </si>
  <si>
    <t>INF204KC1683</t>
  </si>
  <si>
    <t>Nippon India Nifty AAA PSU Bond Plus SDL - Sep 2026 Maturity 50:50 Index Fund-Direct Plan-Growth Option</t>
  </si>
  <si>
    <t>INF204KC1691</t>
  </si>
  <si>
    <t>Nippon India Nifty AAA PSU Bond Plus SDL - Sep 2026 Maturity 50:50 Index Fund-Direct Plan-IDCW Option</t>
  </si>
  <si>
    <t>INF204KC1659</t>
  </si>
  <si>
    <t>Nippon India Nifty AAA PSU Bond Plus SDL - Sep 2026 Maturity 50:50 Index Fund-Regular Plan-Growth Option</t>
  </si>
  <si>
    <t>INF204KC1667</t>
  </si>
  <si>
    <t>Nippon India Nifty AAA PSU Bond Plus SDL - Sep 2026 Maturity 50:50 Index Fund-Regular Plan-IDCW Option</t>
  </si>
  <si>
    <t>INF204KC1584</t>
  </si>
  <si>
    <t>Nippon India Nifty Alpha Low Volatility 30 Index Fund - Direct Plan - Growth Option</t>
  </si>
  <si>
    <t>INF204KC1592</t>
  </si>
  <si>
    <t>Nippon India Nifty Alpha Low Volatility 30 Index Fund - Direct Plan - IDCW Option</t>
  </si>
  <si>
    <t>INF204KC1550</t>
  </si>
  <si>
    <t>Nippon India Nifty Alpha Low Volatility 30 Index Fund - Regular Plan - Growth Option</t>
  </si>
  <si>
    <t>INF204KC1568</t>
  </si>
  <si>
    <t>Nippon India Nifty Alpha Low Volatility 30 Index Fund - Regular Plan - IDCW Option</t>
  </si>
  <si>
    <t>INF204KC1EE8</t>
  </si>
  <si>
    <t>Nippon India Nifty Auto Index Fund - Direct Plan- Growth Option</t>
  </si>
  <si>
    <t>INF204KC1EF5</t>
  </si>
  <si>
    <t>INF204KC1EG3</t>
  </si>
  <si>
    <t>Nippon India Nifty Auto Index Fund - Direct Plan- IDCW Option</t>
  </si>
  <si>
    <t>INF204KC1EB4</t>
  </si>
  <si>
    <t>Nippon India Nifty Auto Index Fund - Regular Plan- Growth Option</t>
  </si>
  <si>
    <t>INF204KC1EC2</t>
  </si>
  <si>
    <t>INF204KC1ED0</t>
  </si>
  <si>
    <t>Nippon India Nifty Auto Index Fund - Regular Plan- IDCW Option</t>
  </si>
  <si>
    <t>INF204KC1BY2</t>
  </si>
  <si>
    <t>Nippon India Nifty Bank Index Fund - Direct Plan - Growth Option</t>
  </si>
  <si>
    <t>INF204KC1BZ9</t>
  </si>
  <si>
    <t>INF204KC1CA0</t>
  </si>
  <si>
    <t>Nippon India Nifty Bank Index Fund - Direct Plan - IDCW Option</t>
  </si>
  <si>
    <t>INF204KC1BV8</t>
  </si>
  <si>
    <t>Nippon India Nifty Bank Index Fund - Regular Plan - Growth Option</t>
  </si>
  <si>
    <t>INF204KC1BW6</t>
  </si>
  <si>
    <t>INF204KC1BX4</t>
  </si>
  <si>
    <t>Nippon India Nifty Bank Index Fund - Regular Plan - IDCW Option</t>
  </si>
  <si>
    <t>INF204KC1AC0</t>
  </si>
  <si>
    <t>Nippon India Nifty G-Sec Jun 2036 Maturity Index Fund-Direct Plan-Growth Option</t>
  </si>
  <si>
    <t>INF204KC1AD8</t>
  </si>
  <si>
    <t>INF204KC1AE6</t>
  </si>
  <si>
    <t>Nippon India Nifty G-Sec Jun 2036 Maturity Index fund-Direct Plan-IDCW Option</t>
  </si>
  <si>
    <t>INF204KC1998</t>
  </si>
  <si>
    <t>Nippon India Nifty G-Sec Jun 2036 Maturity Index Fund-Regular Plan-Growth Option</t>
  </si>
  <si>
    <t>INF204KC1AA4</t>
  </si>
  <si>
    <t>INF204KC1AB2</t>
  </si>
  <si>
    <t>Nippon India Nifty G-Sec Jun 2036 Maturity Index Fund-Regular Plan-IDCW Option</t>
  </si>
  <si>
    <t>INF204KC1AO5</t>
  </si>
  <si>
    <t>Nippon India Nifty G-Sec Oct 2028 Maturity Index Fund-Direct Plan-Growth Option</t>
  </si>
  <si>
    <t>INF204KC1AP2</t>
  </si>
  <si>
    <t>Nippon India Nifty G-Sec Oct 2028 Maturity Index Fund-Direct Plan-IDCW Option</t>
  </si>
  <si>
    <t>INF204KC1AL1</t>
  </si>
  <si>
    <t>Nippon India Nifty G-Sec Oct 2028 Maturity Index Fund-Regular Plan-Growth Option</t>
  </si>
  <si>
    <t>INF204KC1AM9</t>
  </si>
  <si>
    <t>Nippon India Nifty G-Sec Oct 2028 Maturity Index Fund-Regular Plan-IDCW Option</t>
  </si>
  <si>
    <t>INF204KC1881</t>
  </si>
  <si>
    <t>Nippon India Nifty G-Sec Sep 2027 Maturity Index Fund-Direct Plan-Growth Option</t>
  </si>
  <si>
    <t>INF204KC1899</t>
  </si>
  <si>
    <t>INF204KC1907</t>
  </si>
  <si>
    <t>Nippon India Nifty G-Sec Sep 2027 Maturity Index Fund-Direct Plan-IDCW Option</t>
  </si>
  <si>
    <t>INF204KC1857</t>
  </si>
  <si>
    <t>Nippon India Nifty G-Sec Sep 2027 Maturity Index Fund-Regular Plan-Growth Option</t>
  </si>
  <si>
    <t>INF204KC1865</t>
  </si>
  <si>
    <t>INF204KC1873</t>
  </si>
  <si>
    <t>Nippon India Nifty G-Sec Sep 2027 Maturity Index Fund-Regular Plan-IDCW Option</t>
  </si>
  <si>
    <t>INF204KC1GM6</t>
  </si>
  <si>
    <t>INF204KC1GN4</t>
  </si>
  <si>
    <t>Nippon India Nifty India Manufacturing Index - Direct Plan- IDCW Option</t>
  </si>
  <si>
    <t>INF204KC1GL8</t>
  </si>
  <si>
    <t>Nippon India Nifty India Manufacturing Index Fund- Direct Plan- Growth Option</t>
  </si>
  <si>
    <t>INF204KC1GJ2</t>
  </si>
  <si>
    <t>INF204KC1GK0</t>
  </si>
  <si>
    <t>Nippon India Nifty India Manufacturing Index- Regular Plan-IDCW Option</t>
  </si>
  <si>
    <t>INF204KC1GI4</t>
  </si>
  <si>
    <t>Nippon India Nifty India Manufacturing Index-Regular Plan-Growth Option</t>
  </si>
  <si>
    <t>INF204KC1CE2</t>
  </si>
  <si>
    <t>Nippon India Nifty IT Index Fund - Direct Plan - Growth Option</t>
  </si>
  <si>
    <t>INF204KC1CF9</t>
  </si>
  <si>
    <t>INF204KC1CG7</t>
  </si>
  <si>
    <t>Nippon India Nifty IT Index Fund - Direct Plan - IDCW Option</t>
  </si>
  <si>
    <t>INF204KC1CB8</t>
  </si>
  <si>
    <t>Nippon India Nifty IT Index Fund - Regular Plan - Growth Option</t>
  </si>
  <si>
    <t>INF204KC1CC6</t>
  </si>
  <si>
    <t>INF204KC1CD4</t>
  </si>
  <si>
    <t>Nippon India Nifty IT Index Fund - Regular Plan - IDCW Option</t>
  </si>
  <si>
    <t>INF204KB18Z7</t>
  </si>
  <si>
    <t>Nippon India Nifty Midcap 150 Index Fund - Direct Plan - Growth Option</t>
  </si>
  <si>
    <t>INF204KB19Z5</t>
  </si>
  <si>
    <t>INF204KC1014</t>
  </si>
  <si>
    <t>NIPPON INDIA NIFTY MIDCAP 150 INDEX FUND - DIRECT Plan - IDCW Option</t>
  </si>
  <si>
    <t>INF204KB16Z1</t>
  </si>
  <si>
    <t>INF204KB17Z9</t>
  </si>
  <si>
    <t>NIPPON INDIA NIFTY MIDCAP 150 INDEX FUND - IDCW Option</t>
  </si>
  <si>
    <t>INF204KB15Z3</t>
  </si>
  <si>
    <t>Nippon India Nifty Midcap 150 Index Fund - Regular Plan - Growth Option</t>
  </si>
  <si>
    <t>INF204KC1DY8</t>
  </si>
  <si>
    <t>Nippon India Nifty Realty Index Fund-Direct Plan- Growth Option</t>
  </si>
  <si>
    <t>INF204KC1DZ5</t>
  </si>
  <si>
    <t>INF204KC1EA6</t>
  </si>
  <si>
    <t>Nippon India Nifty Realty Index Fund-Direct Plan- IDCW Option</t>
  </si>
  <si>
    <t>INF204KC1DV4</t>
  </si>
  <si>
    <t>Nippon India Nifty Realty Index Fund-Regular Plan- Growth Option</t>
  </si>
  <si>
    <t>INF204KC1DW2</t>
  </si>
  <si>
    <t>INF204KC1DX0</t>
  </si>
  <si>
    <t>Nippon India Nifty Realty Index Fund-Regular Plan- IDCW Option</t>
  </si>
  <si>
    <t>INF204KC1741</t>
  </si>
  <si>
    <t>Nippon India Nifty SDL Plus G-Sec - Jun 2028 Maturity 70:30 Index Fund-Direct Plan-Growth Option</t>
  </si>
  <si>
    <t>INF204KC1758</t>
  </si>
  <si>
    <t>INF204KC1766</t>
  </si>
  <si>
    <t>Nippon India Nifty SDL Plus G-Sec - Jun 2028 Maturity 70:30 Index Fund-Direct Plan-IDCW Option</t>
  </si>
  <si>
    <t>INF204KC1725</t>
  </si>
  <si>
    <t>INF204KC1733</t>
  </si>
  <si>
    <t>Nippon India Nifty SDL Plus G-Sec - Jun 2028 Maturity 70:30 Index Fund-Regular Plan IDCW Option</t>
  </si>
  <si>
    <t>INF204KC1717</t>
  </si>
  <si>
    <t>Nippon India Nifty SDL Plus G-Sec - Jun 2028 Maturity 70:30 Index Fund-Regular Plan-Growth Option</t>
  </si>
  <si>
    <t>INF204KC1AG1</t>
  </si>
  <si>
    <t>INF204KC1AH9</t>
  </si>
  <si>
    <t>Nippon India Nifty SDL Plus G-Sec - Jun 2029 Maturity 70:30 Index Fund-Regular Plan-IDCW Option</t>
  </si>
  <si>
    <t>INF204KC1AI7</t>
  </si>
  <si>
    <t>Nippon India Nifty SDL Plus G-Sec-Jun 2029 Maturity 70:30 Index Fund-Direct Plan-Growth Option</t>
  </si>
  <si>
    <t>INF204KC1AJ5</t>
  </si>
  <si>
    <t>INF204KC1AK3</t>
  </si>
  <si>
    <t>Nippon India Nifty SDL Plus G-Sec-Jun 2029 Maturity 70:30 Index Fund-Direct Plan-IDCW Option</t>
  </si>
  <si>
    <t>INF204KC1AF3</t>
  </si>
  <si>
    <t>Nippon India Nifty SDL Plus G-Sec-Jun 2029 Maturity 70:30 Index Fund-Regular Plan- Growth Option</t>
  </si>
  <si>
    <t>INF204KB15W0</t>
  </si>
  <si>
    <t>Nippon India Nifty Smallcap 250 Index Fund - Direct Plan - Growth Option</t>
  </si>
  <si>
    <t>INF204KB16W8</t>
  </si>
  <si>
    <t>INF204KB17W6</t>
  </si>
  <si>
    <t>NIPPON INDIA NIFTY SMALLCAP 250 INDEX FUND - DIRECT Plan - IDCW Option</t>
  </si>
  <si>
    <t>INF204KB13W5</t>
  </si>
  <si>
    <t>INF204KB14W3</t>
  </si>
  <si>
    <t>NIPPON INDIA NIFTY SMALLCAP 250 INDEX FUND - IDCW Option</t>
  </si>
  <si>
    <t>INF204KB12W7</t>
  </si>
  <si>
    <t>Nippon India Nifty Smallcap 250 Index Fund - Regular Plan - Growth Option</t>
  </si>
  <si>
    <t>INF663L01X21</t>
  </si>
  <si>
    <t>PGIM India CRISIL IBX Gilt Index - Apr 2028 Fund - Direct Plan, Growth Option</t>
  </si>
  <si>
    <t>INF663L01X39</t>
  </si>
  <si>
    <t>INF663L01X47</t>
  </si>
  <si>
    <t>PGIM India CRISIL IBX Gilt Index - Apr 2028 Fund - Direct Plan, IDCW Option</t>
  </si>
  <si>
    <t>INF663L01X54</t>
  </si>
  <si>
    <t>PGIM India CRISIL IBX Gilt Index - Apr 2028 Fund - Regular Plan, Growth Option</t>
  </si>
  <si>
    <t>INF663L01X62</t>
  </si>
  <si>
    <t>INF663L01X70</t>
  </si>
  <si>
    <t>PGIM India CRISIL IBX Gilt Index - Apr 2028 Fund - Regular Plan, IDCW Option</t>
  </si>
  <si>
    <t>INF200KB1688</t>
  </si>
  <si>
    <t>SBI BSE PSU BANK INDEX FUND- Direct Plan- Growth</t>
  </si>
  <si>
    <t>INF200KB1704</t>
  </si>
  <si>
    <t>INF200KB1696</t>
  </si>
  <si>
    <t>SBI BSE PSU BANK INDEX FUND- Direct Plan- Income Distribution Cum Capital Withdrawal Option (IDCW)</t>
  </si>
  <si>
    <t>INF200KB1654</t>
  </si>
  <si>
    <t>SBI BSE PSU BANK INDEX FUND- Regular Plan- Growth</t>
  </si>
  <si>
    <t>INF200KB1662</t>
  </si>
  <si>
    <t>INF200KB1670</t>
  </si>
  <si>
    <t>SBI BSE PSU BANK INDEX FUND- Regular Plan- Income Distribution Cum Capital Withdrawal Option (IDCW)</t>
  </si>
  <si>
    <t>INF200KA16Y4</t>
  </si>
  <si>
    <t>SBI BSE Sensex Index Fund - Direct Plan - Growth</t>
  </si>
  <si>
    <t>INF200KA17Y2</t>
  </si>
  <si>
    <t>INF200KA18Y0</t>
  </si>
  <si>
    <t>SBI BSE Sensex Index Fund - Direct Plan - IDCW</t>
  </si>
  <si>
    <t>INF200KA13Y1</t>
  </si>
  <si>
    <t>SBI BSE Sensex Index Fund - Regular Plan - Growth</t>
  </si>
  <si>
    <t>INF200KA14Y9</t>
  </si>
  <si>
    <t>INF200KA15Y6</t>
  </si>
  <si>
    <t>SBI BSE Sensex Index Fund - Regular Plan - IDCW</t>
  </si>
  <si>
    <t>INF200KA13D5</t>
  </si>
  <si>
    <t>SBI CPSE Bond Plus SDL Sep 2026 50:50 Index Fund - Direct Plan - Growth</t>
  </si>
  <si>
    <t>INF200KA14D3</t>
  </si>
  <si>
    <t>INF200KA15D0</t>
  </si>
  <si>
    <t>SBI CPSE Bond Plus SDL Sep 2026 50:50 Index Fund - Direct Plan - Income Distribution cum Capital Withdrawal Option (IDCW)</t>
  </si>
  <si>
    <t>INF200KA10D1</t>
  </si>
  <si>
    <t>SBI CPSE Bond Plus SDL Sep 2026 50:50 Index Fund - Regular Plan - Growth</t>
  </si>
  <si>
    <t>INF200KA11D9</t>
  </si>
  <si>
    <t>INF200KA12D7</t>
  </si>
  <si>
    <t>SBI CPSE Bond Plus SDL Sep 2026 50:50 Index Fund - Regular Plan - Income Distribution cum Capital Withdrawal Option (IDCW)</t>
  </si>
  <si>
    <t>INF200KA18Q6</t>
  </si>
  <si>
    <t>SBI CRISIL IBX Gilt Index - April 2029 Fund - Direct Plan - Growth</t>
  </si>
  <si>
    <t>INF200KA19Q4</t>
  </si>
  <si>
    <t>INF200KA10R1</t>
  </si>
  <si>
    <t>SBI CRISIL IBX Gilt Index - April 2029 Fund - Direct Plan - Income Distribution cum Capital Withdrawal Option (IDCW)</t>
  </si>
  <si>
    <t>INF200KA15Q2</t>
  </si>
  <si>
    <t>SBI CRISIL IBX Gilt Index - April 2029 Fund - Regular Plan - Growth</t>
  </si>
  <si>
    <t>INF200KA16Q0</t>
  </si>
  <si>
    <t>INF200KA17Q8</t>
  </si>
  <si>
    <t>SBI CRISIL IBX Gilt Index - April 2029 Fund - Regular Plan - Income Distribution cum Capital Withdrawal Option (IDCW)</t>
  </si>
  <si>
    <t>INF200KA12Q9</t>
  </si>
  <si>
    <t>SBI |CRISIL IBX Gilt Index - June 2036 Fund - Direct Plan - Growth</t>
  </si>
  <si>
    <t>INF200KA13Q7</t>
  </si>
  <si>
    <t>INF200KA14Q5</t>
  </si>
  <si>
    <t>SBI CRISIL IBX Gilt Index - June 2036 Fund - Direct Plan - Income Distribution cum Capital Withdrawal Option (IDCW)</t>
  </si>
  <si>
    <t>INF200KA19P6</t>
  </si>
  <si>
    <t>SBI CRISIL IBX Gilt Index - June 2036 Fund - Regular Plan - Growth</t>
  </si>
  <si>
    <t>INF200KA10Q3</t>
  </si>
  <si>
    <t>INF200KA11Q1</t>
  </si>
  <si>
    <t>SBI CRISIL IBX Gilt Index - June 2036 Fund - Regular Plan - Income Distribution cum Capital Withdrawal Option (IDCW)</t>
  </si>
  <si>
    <t>INF200KA14R3</t>
  </si>
  <si>
    <t>SBI CRISIL IBX SDL Index - September 2027 Fund - Direct Plan - Growth</t>
  </si>
  <si>
    <t>INF200KA15R0</t>
  </si>
  <si>
    <t>INF200KA16R8</t>
  </si>
  <si>
    <t>SBI CRISIL IBX SDL Index - September 2027 Fund - Direct Plan - Income Distribution cum Capital Withdrawal Option (IDCW)</t>
  </si>
  <si>
    <t>INF200KA11R9</t>
  </si>
  <si>
    <t>SBI CRISIL IBX SDL Index - September 2027 Fund - Regular Plan - Growth</t>
  </si>
  <si>
    <t>INF200KA12R7</t>
  </si>
  <si>
    <t>INF200KA13R5</t>
  </si>
  <si>
    <t>SBI CRISIL IBX SDL Index - September 2027 Fund - Regular Plan - Income Distribution cum Capital Withdrawal Option (IDCW)</t>
  </si>
  <si>
    <t>INF200KB1381</t>
  </si>
  <si>
    <t>SBI Nifty 500 Index Fund- Direct Plan- Growth</t>
  </si>
  <si>
    <t>INF200KB1399</t>
  </si>
  <si>
    <t>INF200KB1407</t>
  </si>
  <si>
    <t>SBI Nifty 500 Index Fund- Direct Plan- Income Distribution Cum Capital Withdrawal (IDCW)</t>
  </si>
  <si>
    <t>INF200KB1357</t>
  </si>
  <si>
    <t>SBI Nifty 500 Index Fund- Regular Plan- Growth</t>
  </si>
  <si>
    <t>INF200KB1365</t>
  </si>
  <si>
    <t>INF200KB1373</t>
  </si>
  <si>
    <t>SBI Nifty 500 Index Fund- Regular Plan- Income Distribution Cum Capital Withdrawal (IDCW)</t>
  </si>
  <si>
    <t>INF200KB1548</t>
  </si>
  <si>
    <t>INF200KB1555</t>
  </si>
  <si>
    <t>SBI Nifty Bank Index Fund- Regular Plan- Income Distribution Cum Capital Withdrawal Option</t>
  </si>
  <si>
    <t>INF200KB1563</t>
  </si>
  <si>
    <t>SBI Nifty Bank Index Fund-Direct Plan- Growth</t>
  </si>
  <si>
    <t>INF200KB1571</t>
  </si>
  <si>
    <t>INF200KB1589</t>
  </si>
  <si>
    <t>SBI Nifty Bank Index Fund-Direct Plan- Income Distribution Cum Capital Withdrawal Option</t>
  </si>
  <si>
    <t>INF200KB1530</t>
  </si>
  <si>
    <t>SBI Nifty Bank Index Fund-Regular Plan- Growth</t>
  </si>
  <si>
    <t>INF200K01TE8</t>
  </si>
  <si>
    <t>SBI NIFTY INDEX FUND - DIRECT PLAN - GROWTH</t>
  </si>
  <si>
    <t>INF200K01TC2</t>
  </si>
  <si>
    <t>INF200K01TD0</t>
  </si>
  <si>
    <t>SBI Nifty Index Fund - Direct Plan - Income Distribution cum Capital Withdrawal Option (IDCW)</t>
  </si>
  <si>
    <t>INF200K01537</t>
  </si>
  <si>
    <t>SBI NIFTY INDEX FUND - REGULAR PLAN - GROWTH</t>
  </si>
  <si>
    <t>INF200K01545</t>
  </si>
  <si>
    <t>INF200K01552</t>
  </si>
  <si>
    <t>SBI Nifty Index Fund - Regular Plan - Income Distribution cum Capital Withdrawal Option (IDCW)</t>
  </si>
  <si>
    <t>INF200KB1449</t>
  </si>
  <si>
    <t>SBI Nifty India Consumption Index Fund- Direct Plan- Growth</t>
  </si>
  <si>
    <t>INF200KB1456</t>
  </si>
  <si>
    <t>INF200KB1464</t>
  </si>
  <si>
    <t>SBI Nifty India Consumption Index Fund- Direct Plan- IDCW Payout</t>
  </si>
  <si>
    <t>INF200KB1415</t>
  </si>
  <si>
    <t>SBI Nifty India Consumption Index Fund- Regular Plan- Growth</t>
  </si>
  <si>
    <t>INF200KB1423</t>
  </si>
  <si>
    <t>INF200KB1431</t>
  </si>
  <si>
    <t>SBI Nifty India Consumption Index Fund- Regular Plan- IDCW Payout</t>
  </si>
  <si>
    <t>INF200KB1621</t>
  </si>
  <si>
    <t>SBI Nifty IT Index Fund - Direct Plan - Growth</t>
  </si>
  <si>
    <t>INF200KB1639</t>
  </si>
  <si>
    <t>INF200KB1647</t>
  </si>
  <si>
    <t>SBI Nifty IT Index Fund - Direct Plan - Income Distribution Cum Withdrawal Option (IDCW)</t>
  </si>
  <si>
    <t>INF200KB1597</t>
  </si>
  <si>
    <t>SBI Nifty IT Index Fund - Regular Plan - Growth</t>
  </si>
  <si>
    <t>INF200KB1605</t>
  </si>
  <si>
    <t>INF200KB1613</t>
  </si>
  <si>
    <t>SBI Nifty IT Index Fund - Regular Plan - Income Distribution Cum Capital Withdrawal Option (IDCW)</t>
  </si>
  <si>
    <t>INF200KA10P5</t>
  </si>
  <si>
    <t>SBI Nifty Midcap 150 Index Fund - Direct Plan - Growth</t>
  </si>
  <si>
    <t>INF200KA11P3</t>
  </si>
  <si>
    <t>INF200KA12P1</t>
  </si>
  <si>
    <t>SBI Nifty Midcap 150 Index Fund - Direct Plan - Income Distribution cum Capital Withdrawal Option (IDCW)</t>
  </si>
  <si>
    <t>INF200KA17O3</t>
  </si>
  <si>
    <t>SBI Nifty Midcap 150 Index Fund - Regular Plan - Growth</t>
  </si>
  <si>
    <t>INF200KA18O1</t>
  </si>
  <si>
    <t>INF200KA19O9</t>
  </si>
  <si>
    <t>SBI Nifty Midcap 150 Index Fund - Regular Plan - Income Distribution cum Capital Withdrawal Option (IDCW)</t>
  </si>
  <si>
    <t>INF200KA1W00</t>
  </si>
  <si>
    <t>SBI Nifty Next 50 Index Fund - Direct Plan - Growth</t>
  </si>
  <si>
    <t>INF200KA1W18</t>
  </si>
  <si>
    <t>INF200KA1W26</t>
  </si>
  <si>
    <t>SBI Nifty Next 50 Index Fund - Direct Plan - Income Distribution cum Capital Withdrawal Option (IDCW)</t>
  </si>
  <si>
    <t>INF200KA1V76</t>
  </si>
  <si>
    <t>SBI Nifty Next 50 Index Fund - Regular Plan - Growth</t>
  </si>
  <si>
    <t>INF200KA1V84</t>
  </si>
  <si>
    <t>INF200KA1V92</t>
  </si>
  <si>
    <t>SBI Nifty Next 50 Index Fund - Regular Plan - Income Distribution cum Capital Withdrawal Option (IDCW)</t>
  </si>
  <si>
    <t>INF200KA16P2</t>
  </si>
  <si>
    <t>SBI Nifty Smallcap 250 Index Fund - Direct Plan - Growth</t>
  </si>
  <si>
    <t>INF200KA17P0</t>
  </si>
  <si>
    <t>INF200KA18P8</t>
  </si>
  <si>
    <t>SBI Nifty Smallcap 250 Index Fund - Direct Plan - Income Distribution cum Capital Withdrawal Option (IDCW)</t>
  </si>
  <si>
    <t>INF200KA13P9</t>
  </si>
  <si>
    <t>SBI Nifty Smallcap 250 Index Fund - Regular Plan - Growth</t>
  </si>
  <si>
    <t>INF200KA14P7</t>
  </si>
  <si>
    <t>INF200KA15P4</t>
  </si>
  <si>
    <t>SBI Nifty Smallcap 250 Index Fund - Regular Plan - Income Distribution cum Capital Withdrawal Option (IDCW)</t>
  </si>
  <si>
    <t>INF200KB1936</t>
  </si>
  <si>
    <t>SBI Nifty100 Low Volatility 30 Index Fund- Direct Plan- Growth</t>
  </si>
  <si>
    <t>INF200KB1902</t>
  </si>
  <si>
    <t>SBI Nifty100 Low Volatility 30 Index Fund- Regular Plan- Growth</t>
  </si>
  <si>
    <t>INF200KB1910</t>
  </si>
  <si>
    <t>INF200KB1928</t>
  </si>
  <si>
    <t>SBI Nifty100 Low Volatility 30 Index Fund- Regular Plan- Income Cum Distribution Capital Withdrawal Option (IDCW)</t>
  </si>
  <si>
    <t>INF200KB1944</t>
  </si>
  <si>
    <t>INF200KB1951</t>
  </si>
  <si>
    <t>SBI Nifty100 Low Volatility 30 Index Fund-Direct  Plan- Income Cum Distribution Capital Withdrawal Option (IDCW)</t>
  </si>
  <si>
    <t>INF200KB1878</t>
  </si>
  <si>
    <t>SBI Nifty200 Momentum 30 Index Fund- Direct Plan- Growth</t>
  </si>
  <si>
    <t>INF200KB1886</t>
  </si>
  <si>
    <t>INF200KB1894</t>
  </si>
  <si>
    <t>SBI Nifty200 Momentum 30 Index Fund- Direct Plan- Income Cum Distribution Capital Withdrawal Option (IDCW)</t>
  </si>
  <si>
    <t>INF200KB1845</t>
  </si>
  <si>
    <t>SBI Nifty200 Momentum 30 Index Fund- Regular Plan- Growth</t>
  </si>
  <si>
    <t>INF200KB1852</t>
  </si>
  <si>
    <t>INF200KB1860</t>
  </si>
  <si>
    <t>SBI Nifty200 Momentum 30 Index Fund- Regular Plan- Income Distribution Cum Capital Withdrawal Option (IDCW)</t>
  </si>
  <si>
    <t>INF200KB1829</t>
  </si>
  <si>
    <t>INF200KB1837</t>
  </si>
  <si>
    <t>SBI Nifty200 Quality 30 Index Fund- Direct Plan- Income Distribution Cum Capital Withdrawal Option</t>
  </si>
  <si>
    <t>INF200KB1795</t>
  </si>
  <si>
    <t>INF200KB1803</t>
  </si>
  <si>
    <t>SBI Nifty200 Quality 30 Index Fund- Regular Plan- Income Cum Distribution Withdrawal Option</t>
  </si>
  <si>
    <t>INF200KB1811</t>
  </si>
  <si>
    <t>SBI Nifty200 Quality 30 Index Fund-Direct Plan- Growth</t>
  </si>
  <si>
    <t>INF200KB1787</t>
  </si>
  <si>
    <t>SBI Nifty200 Quality 30 Index Fund-Regular Plan- Growth</t>
  </si>
  <si>
    <t>INF200KB1027</t>
  </si>
  <si>
    <t>SBI Nifty50 Equal Weight Index Fund - Direct Plan - Growth</t>
  </si>
  <si>
    <t>INF200KB1035</t>
  </si>
  <si>
    <t>INF200KB1043</t>
  </si>
  <si>
    <t>SBI Nifty50 Equal Weight Index Fund - Direct Plan - Income Distribution Cum Capital Withdrawal Option</t>
  </si>
  <si>
    <t>INF200KA18Z7</t>
  </si>
  <si>
    <t>SBI Nifty50 Equal Weight Index Fund - Regular Plan - Growth</t>
  </si>
  <si>
    <t>INF200KA19Z5</t>
  </si>
  <si>
    <t>INF200KB1019</t>
  </si>
  <si>
    <t>SBI Nifty50 Equal Weight Index Fund - Regular Plan - Income Distribution Cum Capital Withdrawal Option</t>
  </si>
  <si>
    <t>INF173K01EZ4</t>
  </si>
  <si>
    <t>Sundaram Nifty 100 Equal Weight Fund (Formerly Known as Principal Nifty 100 Equal Weight Fund) - Direct Plan - Growth Option</t>
  </si>
  <si>
    <t>INF173K01EW1</t>
  </si>
  <si>
    <t>INF173K01EX9</t>
  </si>
  <si>
    <t>Sundaram Nifty 100 Equal Weight Fund (Formerly Known as Principal Nifty 100 Equal Weight Fund)- Direct Plan - Income Distribution CUM Capital Withdrawal Option</t>
  </si>
  <si>
    <t>INF173K01AG2</t>
  </si>
  <si>
    <t>Sundaram Nifty 100 Equal Weight Fund (Formerly Known as Principal Nifty 100 Equal Weight Fund)-Growth</t>
  </si>
  <si>
    <t>INF173K01AH0</t>
  </si>
  <si>
    <t>INF173K01AI8</t>
  </si>
  <si>
    <t>Sundaram Nifty 100 Equal Weight Fund (Formerly Known as Principal Nifty 100 Equal Weight Fund-Income Distribution CUM Capital Withdrawal</t>
  </si>
  <si>
    <t>INF277KA1EP8</t>
  </si>
  <si>
    <t>Tata BSE Multicap Consumption 50:30:20 Index Fund - Direct Plan Growth Option</t>
  </si>
  <si>
    <t>INF277KA1ER4</t>
  </si>
  <si>
    <t>Tata BSE Multicap Consumption 50:30:20 Index Fund - Direct Plan IDCW Payout Option</t>
  </si>
  <si>
    <t>INF277KA1EQ6</t>
  </si>
  <si>
    <t>Tata BSE Multicap Consumption 50:30:20 Index Fund - Direct Plan IDCW Reinvestment Option</t>
  </si>
  <si>
    <t>INF277KA1EM5</t>
  </si>
  <si>
    <t>Tata BSE Multicap Consumption 50:30:20 Index Fund - Regular Plan Growth Option</t>
  </si>
  <si>
    <t>INF277KA1EO1</t>
  </si>
  <si>
    <t>Tata BSE Multicap Consumption 50:30:20 Index Fund - Regular Plan IDCW Payout Option</t>
  </si>
  <si>
    <t>INF277KA1EN3</t>
  </si>
  <si>
    <t>Tata BSE Multicap Consumption 50:30:20 Index Fund - Regular Plan IDCW Reinvestment Option</t>
  </si>
  <si>
    <t>INF277KA1DK1</t>
  </si>
  <si>
    <t>Tata BSE Quality Index Fund Direct plan Growth Option</t>
  </si>
  <si>
    <t>INF277KA1DO3</t>
  </si>
  <si>
    <t>Tata BSE Quality Index Fund Direct plan IDCW Payout Option</t>
  </si>
  <si>
    <t>INF277KA1DP0</t>
  </si>
  <si>
    <t>Tata BSE Quality Index Fund Direct plan IDCW Reinvestment Option</t>
  </si>
  <si>
    <t>INF277KA1DH7</t>
  </si>
  <si>
    <t>Tata BSE Quality Index Fund Regular plan Growth Option</t>
  </si>
  <si>
    <t>INF277KA1DJ3</t>
  </si>
  <si>
    <t>Tata BSE Quality Index Fund Regular plan IDCW Payout Option</t>
  </si>
  <si>
    <t>INF277KA1DI5</t>
  </si>
  <si>
    <t>Tata BSE Quality Index Fund Regular plan IDCW Reinvestment Option</t>
  </si>
  <si>
    <t>INF277KA1DA2</t>
  </si>
  <si>
    <t>Tata BSE Select Business Groups Index Fund - Direct Growth</t>
  </si>
  <si>
    <t>INF277KA1DC8</t>
  </si>
  <si>
    <t>Tata BSE Select Business Groups Index Fund - Direct IDCW Payout</t>
  </si>
  <si>
    <t>INF277KA1DB0</t>
  </si>
  <si>
    <t>Tata BSE Select Business Groups Index Fund - Direct IDCW Reinvestment</t>
  </si>
  <si>
    <t>INF277KA1CX6</t>
  </si>
  <si>
    <t>Tata BSE Select Business Groups Index Fund - Regular Growth</t>
  </si>
  <si>
    <t>INF277KA1CZ1</t>
  </si>
  <si>
    <t>Tata BSE Select Business Groups Index Fund - Regular IDCW Payout</t>
  </si>
  <si>
    <t>INF277KA1CY4</t>
  </si>
  <si>
    <t>Tata BSE Select Business Groups Index Fund - Regular IDCW Reinvestment</t>
  </si>
  <si>
    <t>INF277K01PK1</t>
  </si>
  <si>
    <t>Tata S&amp;P BSE Sensex Index Fund - Direct Plan</t>
  </si>
  <si>
    <t>INF277K01758</t>
  </si>
  <si>
    <t>Tata S&amp;P BSE Sensex Index Fund -Regular Plan</t>
  </si>
  <si>
    <t>INF277KA1554</t>
  </si>
  <si>
    <t>TATA CRISIL-IBX GILT INDEX - APRIL 2026 INDEX FUND - DIRECT PLAN - GROWTH</t>
  </si>
  <si>
    <t>INF277KA1570</t>
  </si>
  <si>
    <t>TATA CRISIL-IBX GILT INDEX - APRIL 2026 INDEX FUND - DIRECT PLAN - IDCW PAYOUT</t>
  </si>
  <si>
    <t>INF277KA1562</t>
  </si>
  <si>
    <t>TATA CRISIL-IBX GILT INDEX - APRIL 2026 INDEX FUND - DIRECT PLAN - IDCW REINVESTMENT</t>
  </si>
  <si>
    <t>INF277KA1588</t>
  </si>
  <si>
    <t>TATA CRISIL-IBX GILT INDEX - APRIL 2026 INDEX FUND - REGULAR PLAN - GROWTH</t>
  </si>
  <si>
    <t>INF277KA1604</t>
  </si>
  <si>
    <t>TATA CRISIL-IBX GILT INDEX - APRIL 2026 INDEX FUND - REGULAR PLAN - IDCW PAYOUT</t>
  </si>
  <si>
    <t>INF277KA1596</t>
  </si>
  <si>
    <t>TATA CRISIL-IBX GILT INDEX - APRIL 2026 INDEX FUND - REGULAR PLAN - IDCW REINVESTMENT</t>
  </si>
  <si>
    <t>INF277K01PJ3</t>
  </si>
  <si>
    <t>Tata Nifty 50 Index Fund -Direct Plan</t>
  </si>
  <si>
    <t>INF277K01741</t>
  </si>
  <si>
    <t>Tata Nifty 50 Index Fund -Regular Plan</t>
  </si>
  <si>
    <t>INF277KA1AU6</t>
  </si>
  <si>
    <t>Tata Nifty Auto Index Fund - Direct Plan - Growth</t>
  </si>
  <si>
    <t>INF277KA1AV4</t>
  </si>
  <si>
    <t>Tata Nifty Auto Index Fund - Direct Plan - IDCW payout</t>
  </si>
  <si>
    <t>INF277KA1AW2</t>
  </si>
  <si>
    <t>Tata Nifty Auto Index Fund - Direct Plan - IDCW Reinvestment</t>
  </si>
  <si>
    <t>INF277KA1AR2</t>
  </si>
  <si>
    <t>Tata Nifty Auto Index Fund - Regular Plan - Growth</t>
  </si>
  <si>
    <t>INF277KA1AS0</t>
  </si>
  <si>
    <t>Tata Nifty Auto Index Fund - Regular Plan - IDCW Payout</t>
  </si>
  <si>
    <t>INF277KA1AT8</t>
  </si>
  <si>
    <t>Tata Nifty Auto Index Fund - Regular Plan - IDCW Reinvestment</t>
  </si>
  <si>
    <t>INF277KA1CO5</t>
  </si>
  <si>
    <t>Tata Nifty Capital Markets Index Fund - Direct Plan Growth Option</t>
  </si>
  <si>
    <t>INF277KA1CQ0</t>
  </si>
  <si>
    <t>Tata Nifty Capital Markets Index Fund - Direct Plan IDCW Payout Option</t>
  </si>
  <si>
    <t>INF277KA1CP2</t>
  </si>
  <si>
    <t>Tata Nifty Capital Markets Index Fund - Direct Plan IDCW Reinvestment Option</t>
  </si>
  <si>
    <t>INF277KA1CL1</t>
  </si>
  <si>
    <t>Tata Nifty Capital Markets Index Fund - Regular Plan Growth Option</t>
  </si>
  <si>
    <t>INF277KA1CN7</t>
  </si>
  <si>
    <t>Tata Nifty Capital Markets Index Fund - Regular Plan IDCW Payout Option</t>
  </si>
  <si>
    <t>INF277KA1CM9</t>
  </si>
  <si>
    <t>Tata Nifty Capital Markets Index Fund - Regular Plan IDCW Reinvestment Option</t>
  </si>
  <si>
    <t>INF277KA1BA6</t>
  </si>
  <si>
    <t>Tata Nifty Financial Services Index Fund - Direct Plan - Growth</t>
  </si>
  <si>
    <t>INF277KA1BB4</t>
  </si>
  <si>
    <t>Tata Nifty Financial Services Index Fund - Direct Plan - IDCW Payout</t>
  </si>
  <si>
    <t>INF277KA1BC2</t>
  </si>
  <si>
    <t>Tata Nifty Financial Services Index Fund - Direct Plan - IDCW Reinvestment</t>
  </si>
  <si>
    <t>INF277KA1AX0</t>
  </si>
  <si>
    <t>Tata Nifty Financial Services Index Fund - Regular Plan - Growth</t>
  </si>
  <si>
    <t>INF277KA1AY8</t>
  </si>
  <si>
    <t>Tata Nifty Financial Services Index Fund - Regular Plan - IDCW Payout</t>
  </si>
  <si>
    <t>INF277KA1AZ5</t>
  </si>
  <si>
    <t>Tata Nifty Financial Services Index Fund - Regular Plan - IDCW Reinvestment</t>
  </si>
  <si>
    <t>INF277KA1794</t>
  </si>
  <si>
    <t>Tata Nifty G Sec Dec 2026 Index Fund-Direct Plan-Growth</t>
  </si>
  <si>
    <t>INF277KA1810</t>
  </si>
  <si>
    <t>Tata Nifty G Sec Dec 2026 Index Fund-Direct Plan-IDCW Payout</t>
  </si>
  <si>
    <t>INF277KA1802</t>
  </si>
  <si>
    <t>Tata Nifty G Sec Dec 2026 Index Fund-Direct Plan-IDCW Reinvestment</t>
  </si>
  <si>
    <t>INF277KA1828</t>
  </si>
  <si>
    <t>Tata Nifty G Sec Dec 2026 Index Fund-Regular Plan-Growth</t>
  </si>
  <si>
    <t>INF277KA1844</t>
  </si>
  <si>
    <t>Tata Nifty G Sec Dec 2026 Index Fund-Regular Plan-IDCW Payout</t>
  </si>
  <si>
    <t>INF277KA1836</t>
  </si>
  <si>
    <t>Tata Nifty G SEc Dec 2026 Index Fund-Regular Plan-IDCW Reinvestment</t>
  </si>
  <si>
    <t>INF277KA1737</t>
  </si>
  <si>
    <t>Tata Nifty G-Sec Dec 2029 Index Fund - Direct Plan - Growth</t>
  </si>
  <si>
    <t>INF277KA1752</t>
  </si>
  <si>
    <t>Tata Nifty G-Sec Dec 2029 Index Fund - Direct Plan - IDCW Payout</t>
  </si>
  <si>
    <t>INF277KA1745</t>
  </si>
  <si>
    <t>Tata Nifty G-Sec Dec 2029 Index Fund - Direct Plan - IDCW Reinvestment</t>
  </si>
  <si>
    <t>INF277KA1760</t>
  </si>
  <si>
    <t>Tata Nifty G-Sec Dec 2029 Index Fund - Regular Plan - Growth</t>
  </si>
  <si>
    <t>INF277KA1786</t>
  </si>
  <si>
    <t>Tata Nifty G-Sec Dec 2029 Index Fund - Regular Plan - IDCW Payout</t>
  </si>
  <si>
    <t>INF277KA1778</t>
  </si>
  <si>
    <t>Tata Nifty G-Sec Dec 2029 Index Fund - Regular Plan - IDCW Reinvestment</t>
  </si>
  <si>
    <t>INF277KA1CC0</t>
  </si>
  <si>
    <t>Tata Nifty India Tourism Index Fund - Direct - Growth</t>
  </si>
  <si>
    <t>INF277KA1CD8</t>
  </si>
  <si>
    <t>Tata Nifty India Tourism Index Fund - Direct - IDCW Payout</t>
  </si>
  <si>
    <t>INF277KA1CE6</t>
  </si>
  <si>
    <t>Tata Nifty India Tourism Index Fund - Direct - IDCW Reinvestment</t>
  </si>
  <si>
    <t>INF277KA1BZ3</t>
  </si>
  <si>
    <t>Tata Nifty India Tourism Index Fund - Regular - Growth</t>
  </si>
  <si>
    <t>INF277KA1CA4</t>
  </si>
  <si>
    <t>Tata Nifty India Tourism Index Fund - Regular - IDCW Payout</t>
  </si>
  <si>
    <t>INF277KA1CB2</t>
  </si>
  <si>
    <t>Tata Nifty India Tourism Index Fund - Regular - IDCW Reinvestment</t>
  </si>
  <si>
    <t>INF277KA1DZ9</t>
  </si>
  <si>
    <t>Tata Nifty Midcap 150 Index Fund - Direct Plan - Growth Option</t>
  </si>
  <si>
    <t>INF277KA1EB8</t>
  </si>
  <si>
    <t>Tata Nifty Midcap 150 Index Fund - Direct Plan - IDCW Payout Option</t>
  </si>
  <si>
    <t>INF277KA1EA0</t>
  </si>
  <si>
    <t>Tata Nifty Midcap 150 Index Fund - Direct Plan - IDCW Reinvestment Option</t>
  </si>
  <si>
    <t>INF277KA1DW6</t>
  </si>
  <si>
    <t>Tata Nifty Midcap 150 Index Fund - Regular Plan - Growth Option</t>
  </si>
  <si>
    <t>INF277KA1DY2</t>
  </si>
  <si>
    <t>Tata Nifty Midcap 150 Index Fund - Regular Plan - IDCW Payout Option</t>
  </si>
  <si>
    <t>INF277KA1DX4</t>
  </si>
  <si>
    <t>Tata Nifty Midcap 150 Index Fund - Regular Plan - IDCW Reinvestment Option</t>
  </si>
  <si>
    <t>INF277KA1612</t>
  </si>
  <si>
    <t>Tata Nifty Midcap 150 Momentum 50 Index Fund - Growth - Direct Plan</t>
  </si>
  <si>
    <t>INF277KA1646</t>
  </si>
  <si>
    <t>Tata Nifty Midcap 150 Momentum 50 Index Fund - Growth - Regular Plan</t>
  </si>
  <si>
    <t>INF277KA1638</t>
  </si>
  <si>
    <t>Tata Nifty Midcap 150 Momentum 50 Index Fund - IDCW Payout - Direct Plan</t>
  </si>
  <si>
    <t>INF277KA1661</t>
  </si>
  <si>
    <t>Tata Nifty Midcap 150 Momentum 50 Index Fund - IDCW Payout - Regular Plan</t>
  </si>
  <si>
    <t>INF277KA1620</t>
  </si>
  <si>
    <t>Tata Nifty Midcap 150 Momentum 50 Index Fund - IDCW Reinvestment - Direct Plan</t>
  </si>
  <si>
    <t>INF277KA1653</t>
  </si>
  <si>
    <t>Tata Nifty Midcap 150 Momentum 50 Index Fund - IDCW Reinvestment - Regular Plan</t>
  </si>
  <si>
    <t>INF277KA1BG3</t>
  </si>
  <si>
    <t>Tata Nifty MidSmall Healthcare Index Fund - Direct Plan - Growth</t>
  </si>
  <si>
    <t>INF277KA1BH1</t>
  </si>
  <si>
    <t>Tata Nifty MidSmall Healthcare Index Fund - Direct Plan - IDCW Payout</t>
  </si>
  <si>
    <t>INF277KA1BI9</t>
  </si>
  <si>
    <t>Tata Nifty MidSmall Healthcare Index Fund - Direct Plan - IDCW Reinvestment</t>
  </si>
  <si>
    <t>INF277KA1BD0</t>
  </si>
  <si>
    <t>Tata Nifty MidSmall Healthcare Index Fund - Regular Plan - Growth</t>
  </si>
  <si>
    <t>INF277KA1BE8</t>
  </si>
  <si>
    <t>Tata Nifty MidSmall Healthcare Index Fund - Regular Plan - IDCW Payout</t>
  </si>
  <si>
    <t>INF277KA1BF5</t>
  </si>
  <si>
    <t>Tata Nifty MidSmall Healthcare Index Fund - Regular Plan - IDCW Reinvestment</t>
  </si>
  <si>
    <t>INF277KA1EJ1</t>
  </si>
  <si>
    <t>Tata Nifty Next 50 Index Fund - Direct Plan Growth Option</t>
  </si>
  <si>
    <t>INF277KA1EL7</t>
  </si>
  <si>
    <t>Tata Nifty Next 50 Index Fund - Direct Plan IDCW Payout Option</t>
  </si>
  <si>
    <t>INF277KA1EK9</t>
  </si>
  <si>
    <t>Tata Nifty Next 50 Index Fund - Direct Plan IDCW Reinvestment Option</t>
  </si>
  <si>
    <t>INF277KA1EG7</t>
  </si>
  <si>
    <t>Tata Nifty Next 50 Index Fund - Regular Plan Growth Option</t>
  </si>
  <si>
    <t>INF277KA1EI3</t>
  </si>
  <si>
    <t>Tata Nifty Next 50 Index Fund - Regular Plan IDCW Payout Option</t>
  </si>
  <si>
    <t>INF277KA1EH5</t>
  </si>
  <si>
    <t>Tata Nifty Next 50 Index Fund - Regular Plan IDCW Reinvestment Option</t>
  </si>
  <si>
    <t>INF277KA1AO9</t>
  </si>
  <si>
    <t>Tata Nifty Realty Index Fund - Direct Plan - Growth</t>
  </si>
  <si>
    <t>INF277KA1AP6</t>
  </si>
  <si>
    <t>Tata Nifty Realty Index Fund - Direct Plan - IDCW Payout</t>
  </si>
  <si>
    <t>INF277KA1AQ4</t>
  </si>
  <si>
    <t>Tata Nifty Realty Index Fund - Direct Plan - IDCW Reinvestment</t>
  </si>
  <si>
    <t>INF277KA1AL5</t>
  </si>
  <si>
    <t>Tata Nifty Realty Index Fund - Regular Plan - Growth</t>
  </si>
  <si>
    <t>INF277KA1AM3</t>
  </si>
  <si>
    <t>Tata Nifty Realty Index Fund - Regular Plan - IDCW Payout</t>
  </si>
  <si>
    <t>INF277KA1AN1</t>
  </si>
  <si>
    <t>Tata Nifty Realty Index Fund - Regular Plan - IDCW Reinvestment</t>
  </si>
  <si>
    <t>INF277KA1414</t>
  </si>
  <si>
    <t>Tata Nifty SDL Plus AAA PSU Bond Dec 6040 Index Fund -Regular Plan-IDCW Payout</t>
  </si>
  <si>
    <t>INF277KA1372</t>
  </si>
  <si>
    <t>Tata Nifty SDL Plus AAA PSU Bond Dec 6040 Index Fund- Direct Plan-Growth</t>
  </si>
  <si>
    <t>INF277KA1398</t>
  </si>
  <si>
    <t>Tata Nifty SDL Plus AAA PSU Bond Dec 6040 Index Fund-Direct Plan- IDCW Reinvestment</t>
  </si>
  <si>
    <t>INF277KA1380</t>
  </si>
  <si>
    <t>Tata Nifty SDL Plus AAA PSU Bond Dec 6040 Index Fund-Direct Plan-IDCW Payout</t>
  </si>
  <si>
    <t>INF277KA1406</t>
  </si>
  <si>
    <t>Tata Nifty SDL Plus AAA PSU Bond Dec 6040 Index Fund-Regular Plan -Growth</t>
  </si>
  <si>
    <t>INF277KA1422</t>
  </si>
  <si>
    <t>Tata Nifty SDL Plus AAA PSU Bond Dec 6040 Index Fund-Regular Plan- IDCW Reinvestment</t>
  </si>
  <si>
    <t>INF277KA1CJ5</t>
  </si>
  <si>
    <t>Tata Nifty200 Alpha 30 Index Fund - Direct - IDCW Payout</t>
  </si>
  <si>
    <t>INF277KA1CK3</t>
  </si>
  <si>
    <t>Tata Nifty200 Alpha 30 Index Fund - Direct - IDCW Reinvestment</t>
  </si>
  <si>
    <t>INF277KA1CI7</t>
  </si>
  <si>
    <t>Tata Nifty200 Alpha 30 Index Fund - Direct -Growth</t>
  </si>
  <si>
    <t>INF277KA1CG1</t>
  </si>
  <si>
    <t>Tata Nifty200 Alpha 30 Index Fund - Regular - IDCW Payout</t>
  </si>
  <si>
    <t>INF277KA1CH9</t>
  </si>
  <si>
    <t>Tata Nifty200 Alpha 30 Index Fund - Regular - IDCW Reinvestment</t>
  </si>
  <si>
    <t>INF277KA1CF3</t>
  </si>
  <si>
    <t>Tata Nifty200 Alpha 30 Index Fund - Regular -Growth</t>
  </si>
  <si>
    <t>INF277KA1BM1</t>
  </si>
  <si>
    <t>Tata Nifty500 Multicap India Manufacturing 50:30:20 Index Fund -Direct Plan-Growth</t>
  </si>
  <si>
    <t>INF277KA1BN9</t>
  </si>
  <si>
    <t>Tata Nifty500 Multicap India Manufacturing 50:30:20 Index Fund -Direct Plan-IDCW-Payout</t>
  </si>
  <si>
    <t>INF277KA1BO7</t>
  </si>
  <si>
    <t>Tata Nifty500 Multicap India Manufacturing 50:30:20 Index Fund -Direct Plan-IDCW-Reinvestment</t>
  </si>
  <si>
    <t>INF277KA1BL3</t>
  </si>
  <si>
    <t>Tata Nifty500 Multicap India Manufacturing 50:30:20 Index Fund -Regular Plan -IDCW-Reinvestment</t>
  </si>
  <si>
    <t>INF277KA1BJ7</t>
  </si>
  <si>
    <t>Tata Nifty500 Multicap India Manufacturing 50:30:20 Index Fund -Regular Plan-Growth</t>
  </si>
  <si>
    <t>INF277KA1BK5</t>
  </si>
  <si>
    <t>Tata Nifty500 Multicap India Manufacturing 50:30:20 Index Fund -Regular Plan-IDCW Payout</t>
  </si>
  <si>
    <t>INF277KA1BS8</t>
  </si>
  <si>
    <t>Tata Nifty500 Multicap Infrastructure 50:30:20 Index Fund - Direct Plan - Growth</t>
  </si>
  <si>
    <t>INF277KA1BT6</t>
  </si>
  <si>
    <t>Tata Nifty500 Multicap Infrastructure 50:30:20 Index Fund - Direct Plan - IDCW Payout</t>
  </si>
  <si>
    <t>INF277KA1BU4</t>
  </si>
  <si>
    <t>Tata Nifty500 Multicap Infrastructure 50:30:20 Index Fund - Direct Plan - IDCW Reinvestment</t>
  </si>
  <si>
    <t>INF277KA1BP4</t>
  </si>
  <si>
    <t>Tata Nifty500 Multicap Infrastructure 50:30:20 Index Fund - Regular Plan - Growth</t>
  </si>
  <si>
    <t>INF277KA1BQ2</t>
  </si>
  <si>
    <t>Tata Nifty500 Multicap Infrastructure 50:30:20 Index Fund - Regular Plan - IDCW Payout</t>
  </si>
  <si>
    <t>INF277KA1BR0</t>
  </si>
  <si>
    <t>Tata Nifty500 Multicap Infrastructure 50:30:20 Index Fund - Regular Plan - IDCW Reinvestment</t>
  </si>
  <si>
    <t>INF044D01CQ5</t>
  </si>
  <si>
    <t>Taurus Nifty 50 Index Fund - Direct Plan - Growth</t>
  </si>
  <si>
    <t>INF044D01CR3</t>
  </si>
  <si>
    <t>INF044D01CS1</t>
  </si>
  <si>
    <t>Taurus Nifty 50 Index Fund - Direct Plan - Payout of Income Distribution cum Capital Withdrawal option</t>
  </si>
  <si>
    <t>INF044D01948</t>
  </si>
  <si>
    <t>Taurus Nifty 50 Index Fund - Regular Plan - Growth</t>
  </si>
  <si>
    <t>INF044D01914</t>
  </si>
  <si>
    <t>INF044D01922</t>
  </si>
  <si>
    <t>Taurus Nifty 50 Index Fund - Regular Plan - Payout of Income Distribution cum Capital Withdrawal option</t>
  </si>
  <si>
    <t>INF789FC12T1</t>
  </si>
  <si>
    <t>UTI Nifty Next 50 Index Fund - Direct Plan - Growth Option</t>
  </si>
  <si>
    <t>INF789FC11T3</t>
  </si>
  <si>
    <t>UTI Nifty Next 50 Index Fund - Regular Plan - Growth Option</t>
  </si>
  <si>
    <t>INF789F1AYR1</t>
  </si>
  <si>
    <t>UTI BSE Housing Index Fund - Direct Plan - Growth Option</t>
  </si>
  <si>
    <t>INF789F1AYS9</t>
  </si>
  <si>
    <t>UTI BSE Housing Index Fund - Regular Plan - Growth Option</t>
  </si>
  <si>
    <t>INF789F1AVF2</t>
  </si>
  <si>
    <t>UTI BSE Low Volatility Index Fund - Direct Plan  - Growth Option</t>
  </si>
  <si>
    <t>INF789F1AVE5</t>
  </si>
  <si>
    <t>UTI BSE Low Volatility Index Fund - Regular Plan - Growth Option</t>
  </si>
  <si>
    <t>INF789F1AVD7</t>
  </si>
  <si>
    <t>UTI BSE Sensex Index Fund - Direct Plan - Growth Option</t>
  </si>
  <si>
    <t>INF789F1AVC9</t>
  </si>
  <si>
    <t>UTI BSE Sensex Index Fund - Regular Plan  -Growth Option</t>
  </si>
  <si>
    <t>INF789F1AWX3</t>
  </si>
  <si>
    <t>UTI CRISIL SDL Maturity April 2033 Index Fund - Direct Plan - Growth Option</t>
  </si>
  <si>
    <t>INF789F1AWW5</t>
  </si>
  <si>
    <t>UTI CRISIL SDL Maturity April 2033 Index Fund - Regular Plan - Growth Option</t>
  </si>
  <si>
    <t>INF789F1AWZ8</t>
  </si>
  <si>
    <t>UTI CRISIL SDL Maturity June 2027 Index Fund - Direct Plan - Growth Option</t>
  </si>
  <si>
    <t>INF789F1AWY1</t>
  </si>
  <si>
    <t>UTI CRISIL SDL Maturity June 2027 Index Fund - Regular Plan - Growth Option</t>
  </si>
  <si>
    <t>INF789F1AUT5</t>
  </si>
  <si>
    <t>UTI Nifty 200 Momentum 30 Index Fund - Direct Plan - Growth Option</t>
  </si>
  <si>
    <t>INF789F1AUS7</t>
  </si>
  <si>
    <t>UTI Nifty 200 Momentum 30 Index Fund - Regular Plan - Growth Option</t>
  </si>
  <si>
    <t>INF789F1AZH9</t>
  </si>
  <si>
    <t>UTI Nifty 200 Quality 30 Index Fund - Direct Plan - Growth Option</t>
  </si>
  <si>
    <t>INF789F1AZG1</t>
  </si>
  <si>
    <t>UTI Nifty 200 Quality 30 Index Fund - Regular Plan - Growth Option</t>
  </si>
  <si>
    <t>INF789F01WY2</t>
  </si>
  <si>
    <t>INF789F01WZ9</t>
  </si>
  <si>
    <t>UTI Nifty 50 Index Fund - Direct Plan - IDCW</t>
  </si>
  <si>
    <t>INF789F01XA0</t>
  </si>
  <si>
    <t>UTI Nifty 50 Index Fund - Growth Option- Direct</t>
  </si>
  <si>
    <t>INF789F01JN2</t>
  </si>
  <si>
    <t>UTI Nifty 50 Index Fund - Regular Plan - Growth Option</t>
  </si>
  <si>
    <t>INF789F01JL6</t>
  </si>
  <si>
    <t>INF789F01JM4</t>
  </si>
  <si>
    <t>UTI Nifty 50 Index Fund - Regular Plan - IDCW</t>
  </si>
  <si>
    <t>INF789F1AYN0</t>
  </si>
  <si>
    <t>UTI Nifty 500 Value 50 Index Fund - Direct Plan - Growth Option</t>
  </si>
  <si>
    <t>INF789F1AYO8</t>
  </si>
  <si>
    <t>UTI Nifty 500 Value 50 Index Fund - Regular Plan - Growth Option</t>
  </si>
  <si>
    <t>INF789F1AZM9</t>
  </si>
  <si>
    <t>UTI Nifty Alpha Low-Volatility 30 Index Fund - Direct Plan - Growth Option</t>
  </si>
  <si>
    <t>INF789F1AZL1</t>
  </si>
  <si>
    <t>UTI Nifty Alpha Low-Volatility 30 Index Fund - Regular Plan - Growth Option</t>
  </si>
  <si>
    <t>INF789F1AB48</t>
  </si>
  <si>
    <t>UTI Nifty India Manufacturing Index Fund - Direct Plan - Growth Option</t>
  </si>
  <si>
    <t>INF789F1AB30</t>
  </si>
  <si>
    <t>UTI Nifty India Manufacturing Index Fund - Regular Plan - Growth Option</t>
  </si>
  <si>
    <t>INF789F1AZO5</t>
  </si>
  <si>
    <t>UTI Nifty Midcap 150 Index Fund - Direct Plan - Growth Option</t>
  </si>
  <si>
    <t>INF789F1AZN7</t>
  </si>
  <si>
    <t>UTI Nifty Midcap 150 Index Fund - Regular Plan - Growth Option</t>
  </si>
  <si>
    <t>INF789F1AVH8</t>
  </si>
  <si>
    <t>UTI Nifty Midcap 150 Quality 50 Index Fund - Direct Plan - Growth Option</t>
  </si>
  <si>
    <t>INF789F1AVG0</t>
  </si>
  <si>
    <t>UTI Nifty Midcap 150 Quality 50 Index Fund - Regular Plan - Growth Option</t>
  </si>
  <si>
    <t>INF789F1AB22</t>
  </si>
  <si>
    <t>UTI Nifty Midsmallcap 400 Momentum Quality 100 Index Fund - Direct Plan - Growth Option</t>
  </si>
  <si>
    <t>INF789F1AB06</t>
  </si>
  <si>
    <t>UTI Nifty Midsmallcap 400 Momentum Quality 100 Index Fund - Regular Plan - Growth Option</t>
  </si>
  <si>
    <t>INF789F1AZJ5</t>
  </si>
  <si>
    <t>UTI Nifty Private Bank Index Fund - Direct Plan - Growth Option</t>
  </si>
  <si>
    <t>INF789F1AZI7</t>
  </si>
  <si>
    <t>UTI Nifty Private Bank Index Fund - Regular Plan - Growth Option</t>
  </si>
  <si>
    <t>INF789F1AXL6</t>
  </si>
  <si>
    <t>UTI NIFTY SDL Plus AAA PSU Bond Apr 2026 75:25 Index Fund - Direct Plan - Growth Option</t>
  </si>
  <si>
    <t>INF789F1AXK8</t>
  </si>
  <si>
    <t>UTI NIFTY SDL Plus AAA PSU Bond Apr 2026 75:25 Index Fund - Regular Plan - Growth Option</t>
  </si>
  <si>
    <t>INF789F1AXR3</t>
  </si>
  <si>
    <t>UTI NIFTY SDL Plus AAA PSU Bond Apr 2028- 75:25 Index Fund - Direct Plan - Growth Option</t>
  </si>
  <si>
    <t>INF789F1AXQ5</t>
  </si>
  <si>
    <t>UTI NIFTY SDL Plus AAA PSU Bond Apr 2028- 75:25 Index Fund - Regular Plan - Growth Option</t>
  </si>
  <si>
    <t>INF789F1AYP5</t>
  </si>
  <si>
    <t>UTI Nifty50 Equal Weight Index Fund - Direct Plan - Growth Option</t>
  </si>
  <si>
    <t>INF789F1AYQ3</t>
  </si>
  <si>
    <t>UTI Nifty50 Equal Weight Index Fund - Regular Plan - Growth Option</t>
  </si>
  <si>
    <t>INF789F1AD04</t>
  </si>
  <si>
    <t>UTI Nifty500 Shariah Index Fund - Direct Plan Growth Option</t>
  </si>
  <si>
    <t>INF789F1AC96</t>
  </si>
  <si>
    <t>UTI Nifty500 Shariah Index Fund - Regular Plan Growth Option</t>
  </si>
  <si>
    <t>INF0R8F01174</t>
  </si>
  <si>
    <t>Zerodha BSE SENSEX Index Fund</t>
  </si>
  <si>
    <t>INF0R8F01026</t>
  </si>
  <si>
    <t>Zerodha ELSS Tax Saver Nifty LargeMidcap 250 Index Fund - Direct Plan - Growth option</t>
  </si>
  <si>
    <t>INF0R8F01158</t>
  </si>
  <si>
    <t>Zerodha Nifty 50 Index Fund - Direct Plan - Growth</t>
  </si>
  <si>
    <t>INF0R8F01018</t>
  </si>
  <si>
    <t>Zerodha Nifty LargeMidcap 250 Index Fund - Direct Plan - Growth option</t>
  </si>
  <si>
    <t>INF0R8F01208</t>
  </si>
  <si>
    <t>Zerodha Nifty LargeMidcap250 Plus 8-13 Yr G-Sec 70:30 Index Fund - Direct Plan - Growth Option</t>
  </si>
  <si>
    <t>INF0R8F01190</t>
  </si>
  <si>
    <t>Zerodha Nifty MidSmallcap400 50:50 Index Fund - Direct Plan - Growth Option</t>
  </si>
  <si>
    <t>INF0R8F01182</t>
  </si>
  <si>
    <t>Zerodha Nifty Short Duration G-Sec Index Fund - Direct Plan - Growth Option</t>
  </si>
  <si>
    <t>INF579M01BC3</t>
  </si>
  <si>
    <t>360 ONE Silver ETF</t>
  </si>
  <si>
    <t>INF209KB10E8</t>
  </si>
  <si>
    <t>Aditya Birla Sun Life BSE Sensex ETF</t>
  </si>
  <si>
    <t>INF209KC1670</t>
  </si>
  <si>
    <t>Aditya Birla Sun Life BSE Top 10 Banks ETF</t>
  </si>
  <si>
    <t>INF209KC1142</t>
  </si>
  <si>
    <t>Aditya Birla Sun Life Crisil 10 Year Gilt ETF</t>
  </si>
  <si>
    <t>INF209KC1134</t>
  </si>
  <si>
    <t>ADITYA BIRLA SUN LIFE CRISIL BROAD BASED GILT ETF</t>
  </si>
  <si>
    <t>INF209KB18T9</t>
  </si>
  <si>
    <t>Aditya Birla Sun Life CRISIL Liquid Overnight ETF - IDCW Daily Reinvestment with Weekly Payout</t>
  </si>
  <si>
    <t>INF209KC1662</t>
  </si>
  <si>
    <t>Aditya Birla Sun Life MSCI India ETF</t>
  </si>
  <si>
    <t>INF209KB14K7</t>
  </si>
  <si>
    <t>Aditya Birla Sun Life Nifty 200 Momentum 30 ETF</t>
  </si>
  <si>
    <t>INF209KB15K4</t>
  </si>
  <si>
    <t>Aditya Birla Sun Life Nifty 200 Quality 30 ETF</t>
  </si>
  <si>
    <t>INF209KB19D1</t>
  </si>
  <si>
    <t>Aditya Birla Sun Life Nifty 50 ETF</t>
  </si>
  <si>
    <t>INF209KB17D5</t>
  </si>
  <si>
    <t>Aditya Birla Sun Life Nifty Bank ETF</t>
  </si>
  <si>
    <t>INF209KB10C2</t>
  </si>
  <si>
    <t>Aditya Birla Sun Life Nifty Healthcare ETF</t>
  </si>
  <si>
    <t>INF209KB11D8</t>
  </si>
  <si>
    <t>Aditya Birla Sun Life Nifty IT ETF</t>
  </si>
  <si>
    <t>INF209KB16D7</t>
  </si>
  <si>
    <t>Aditya Birla Sunlife Nifty Next 50 ETF</t>
  </si>
  <si>
    <t>INF209KB19Z4</t>
  </si>
  <si>
    <t>Aditya Birla Sun Life Nifty PSE ETF</t>
  </si>
  <si>
    <t>INF209KB19F6</t>
  </si>
  <si>
    <t>Aditya Birla Sun Life Silver ETF</t>
  </si>
  <si>
    <t>INF1J2R01056</t>
  </si>
  <si>
    <t>ANGEL ONE NIFTY 1D RATE LIQUID ETF - GROWTH</t>
  </si>
  <si>
    <t>INF1J2R01064</t>
  </si>
  <si>
    <t>ANGEL ONE NIFTY 50 ETF</t>
  </si>
  <si>
    <t>INF1J2R01015</t>
  </si>
  <si>
    <t>ANGEL ONE NIFTY TOTAL MARKET ETF</t>
  </si>
  <si>
    <t>INF1J2R01148</t>
  </si>
  <si>
    <t>ANGEL ONE NIFTY TOTAL MARKET MOMENTUM QUALITY 50 ETF</t>
  </si>
  <si>
    <t>INF1J2R01171</t>
  </si>
  <si>
    <t>ANGEL ONE SILVER ETF</t>
  </si>
  <si>
    <t>INF846K010Q0</t>
  </si>
  <si>
    <t>Axis BSE Sensex ETF</t>
  </si>
  <si>
    <t>INF846K01W98</t>
  </si>
  <si>
    <t>Axis Nifty 50 ETF</t>
  </si>
  <si>
    <t>INF846K01X63</t>
  </si>
  <si>
    <t>Axis NIFTY Bank ETF</t>
  </si>
  <si>
    <t>INF846K01Z12</t>
  </si>
  <si>
    <t>Axis NIFTY Healthcare ETF</t>
  </si>
  <si>
    <t>INF846K016C7</t>
  </si>
  <si>
    <t>Axis NIFTY India Consumption ETF</t>
  </si>
  <si>
    <t>INF846K01Y96</t>
  </si>
  <si>
    <t>Axis IT ETF</t>
  </si>
  <si>
    <t>INF846KA1119</t>
  </si>
  <si>
    <t>Axis Nifty500 Value 50 ETF</t>
  </si>
  <si>
    <t>INF846K011K1</t>
  </si>
  <si>
    <t>Axis Silver ETF</t>
  </si>
  <si>
    <t>INF0QA701854</t>
  </si>
  <si>
    <t>Bajaj Finserv Nifty 1D Rate Liquid ETF</t>
  </si>
  <si>
    <t>INF0QA701722</t>
  </si>
  <si>
    <t>Bajaj Finserv Nifty 50 ETF</t>
  </si>
  <si>
    <t>INF0QA701714</t>
  </si>
  <si>
    <t>Bajaj Finserv Nifty Bank ETF</t>
  </si>
  <si>
    <t>INF194KA1T91</t>
  </si>
  <si>
    <t>BANDHAN BSE Sensex ETF</t>
  </si>
  <si>
    <t>INF194KA1U07</t>
  </si>
  <si>
    <t>BANDHAN Nifty 50 ETF</t>
  </si>
  <si>
    <t>INF194KB1KI9</t>
  </si>
  <si>
    <t>Bandhan Silver ETF</t>
  </si>
  <si>
    <t>INF251K01TL6</t>
  </si>
  <si>
    <t>Baroda BNP Paribas Nifty Bank ETF</t>
  </si>
  <si>
    <t>INF740KA1UM0</t>
  </si>
  <si>
    <t>DSP BSE Liquid Rate ETF</t>
  </si>
  <si>
    <t>INF740KA1SZ6</t>
  </si>
  <si>
    <t>DSP BSE Sensex ETF</t>
  </si>
  <si>
    <t>INF740KA1VE5</t>
  </si>
  <si>
    <t>DSP BSE SENSEX Next 30 ETF</t>
  </si>
  <si>
    <t>INF740KA1YH2</t>
  </si>
  <si>
    <t>DSP BSE Top 10 Banks ETF</t>
  </si>
  <si>
    <t>INF740KA1WV7</t>
  </si>
  <si>
    <t>DSP MSCI INDIA ETF</t>
  </si>
  <si>
    <t>INF740KA1EU7</t>
  </si>
  <si>
    <t>DSP NIFTY 1D Rate Liquid ETF</t>
  </si>
  <si>
    <t>INF740KA1QK2</t>
  </si>
  <si>
    <t>DSP Nifty 50 Equal Weight ETF</t>
  </si>
  <si>
    <t>INF740KA1CL0</t>
  </si>
  <si>
    <t>DSP Nifty 50 ETF</t>
  </si>
  <si>
    <t>INF740KA1RX3</t>
  </si>
  <si>
    <t>DSP Nifty Bank ETF</t>
  </si>
  <si>
    <t>INF740KA1UF4</t>
  </si>
  <si>
    <t>DSP Nifty Healthcare ETF</t>
  </si>
  <si>
    <t>INF740KA1SX1</t>
  </si>
  <si>
    <t>DSP Nifty IT ETF</t>
  </si>
  <si>
    <t>INF740KA1WW5</t>
  </si>
  <si>
    <t>DSP Nifty Midcap 150 ETF</t>
  </si>
  <si>
    <t>INF740KA1QL0</t>
  </si>
  <si>
    <t>DSP Nifty Midcap 150 Quality 50 ETF</t>
  </si>
  <si>
    <t>INF740KA1XU7</t>
  </si>
  <si>
    <t>DSP Nifty Next 50 ETF</t>
  </si>
  <si>
    <t>INF740KA1TA7</t>
  </si>
  <si>
    <t>DSP Nifty Private Bank ETF</t>
  </si>
  <si>
    <t>INF740KA1SY9</t>
  </si>
  <si>
    <t>DSP Nifty PSU Bank ETF</t>
  </si>
  <si>
    <t>INF740KA1WX3</t>
  </si>
  <si>
    <t>DSP Nifty Smallcap 250 ETF</t>
  </si>
  <si>
    <t>INF740KA1UR9</t>
  </si>
  <si>
    <t>DSP Nifty Top 10 Equal Weight ETF</t>
  </si>
  <si>
    <t>INF740KA1WU9</t>
  </si>
  <si>
    <t>DSP Nifty500 Flexicap Quality 30 ETF</t>
  </si>
  <si>
    <t>INF740KA1RE3</t>
  </si>
  <si>
    <t>DSP Silver ETF</t>
  </si>
  <si>
    <t>INF754K01KO2</t>
  </si>
  <si>
    <t>Bharat Bond ETF - April 2030</t>
  </si>
  <si>
    <t>INF754K01OB1</t>
  </si>
  <si>
    <t>BHARAT Bond ETF - April 2032</t>
  </si>
  <si>
    <t>INF754K01QX0</t>
  </si>
  <si>
    <t>BHARAT Bond ETF - April 2033</t>
  </si>
  <si>
    <t>INF754K01LD3</t>
  </si>
  <si>
    <t>BHARAT Bond ETF April 2025</t>
  </si>
  <si>
    <t>INF754K01LE1</t>
  </si>
  <si>
    <t>BHARAT Bond ETF- April 2031</t>
  </si>
  <si>
    <t>INF754K01TX4</t>
  </si>
  <si>
    <t>Edelweiss BSE Capital Markets &amp; Insurance  ETF - Growth</t>
  </si>
  <si>
    <t>INF754K01VY8</t>
  </si>
  <si>
    <t>Edelweiss BSE Sensex ETF - Growth</t>
  </si>
  <si>
    <t>INF754K01VW2</t>
  </si>
  <si>
    <t>Edelweiss Nifty 1D Rate Liquid ETF - Growth</t>
  </si>
  <si>
    <t>INF754K01VX0</t>
  </si>
  <si>
    <t>Edelweiss Nifty 50 ETF - Growth</t>
  </si>
  <si>
    <t>INF754K01TE4</t>
  </si>
  <si>
    <t>Edelweiss Nifty Bank ETF - Growth</t>
  </si>
  <si>
    <t>INF754K01VV4</t>
  </si>
  <si>
    <t>Edelweiss Nifty LargeMidcap 250 ETF - Growth</t>
  </si>
  <si>
    <t>INF754K01TF1</t>
  </si>
  <si>
    <t>Edelweiss Nifty500 Multicap Momentum Quality 50 ETF - Growth</t>
  </si>
  <si>
    <t>INF754K01SF3</t>
  </si>
  <si>
    <t>Edelweiss Silver ETF</t>
  </si>
  <si>
    <t>INF666M01OD9</t>
  </si>
  <si>
    <t>Groww BSE Hospitals ETF</t>
  </si>
  <si>
    <t>INF666M01LM6</t>
  </si>
  <si>
    <t>Groww BSE Power ETF</t>
  </si>
  <si>
    <t>INF666M01IP5</t>
  </si>
  <si>
    <t>Groww Nifty 1D Rate Liquid ETF</t>
  </si>
  <si>
    <t>INF666M01JV1</t>
  </si>
  <si>
    <t>Groww Nifty 200 ETF</t>
  </si>
  <si>
    <t>INF666M01LL8</t>
  </si>
  <si>
    <t>Groww Nifty 50 ETF</t>
  </si>
  <si>
    <t>INF666M01LB9</t>
  </si>
  <si>
    <t>Groww Nifty 500 Low Volatility 50 ETF</t>
  </si>
  <si>
    <t>INF666M01KJ4</t>
  </si>
  <si>
    <t>Groww Nifty 500 Momentum 50 ETF</t>
  </si>
  <si>
    <t>INF666M01MM4</t>
  </si>
  <si>
    <t>Groww Nifty Capital Markets ETF</t>
  </si>
  <si>
    <t>INF666M01NP5</t>
  </si>
  <si>
    <t>Groww Nifty Chemicals ETF</t>
  </si>
  <si>
    <t>INF666M01IH2</t>
  </si>
  <si>
    <t>GROWW NIFTY EV &amp; NEW AGE AUTOMOTIVE ETF</t>
  </si>
  <si>
    <t>INF666M01IO8</t>
  </si>
  <si>
    <t>Groww Nifty India Defence ETF</t>
  </si>
  <si>
    <t>INF666M01LI4</t>
  </si>
  <si>
    <t>Groww Nifty India Internet ETF</t>
  </si>
  <si>
    <t>INF666M01JJ6</t>
  </si>
  <si>
    <t>Groww Nifty India Railways PSU ETF</t>
  </si>
  <si>
    <t>INF666M01NI0</t>
  </si>
  <si>
    <t>Groww Nifty Metal ETF</t>
  </si>
  <si>
    <t>INF666M01MV5</t>
  </si>
  <si>
    <t>Groww Nifty Midcap 150 ETF</t>
  </si>
  <si>
    <t>INF666M01LZ8</t>
  </si>
  <si>
    <t>Groww Nifty Next 50 ETF</t>
  </si>
  <si>
    <t>INF666M01NQ3</t>
  </si>
  <si>
    <t>Groww Nifty PSE ETF</t>
  </si>
  <si>
    <t>INF666M01OG2</t>
  </si>
  <si>
    <t>Groww Nifty PSU Bank ETF</t>
  </si>
  <si>
    <t>INF666M01MN2</t>
  </si>
  <si>
    <t>Groww Nifty Realty ETF</t>
  </si>
  <si>
    <t>INF666M01MO0</t>
  </si>
  <si>
    <t>Groww Nifty Smallcap250 ETF</t>
  </si>
  <si>
    <t>INF666M01OF4</t>
  </si>
  <si>
    <t>Groww Silver ETF</t>
  </si>
  <si>
    <t>INF179KC1EZ4</t>
  </si>
  <si>
    <t>HDFC BSE 500 ETF - Growth Option</t>
  </si>
  <si>
    <t>INF179KC1HX2</t>
  </si>
  <si>
    <t>HDFC BSE Sensex ETF - Growth Plan</t>
  </si>
  <si>
    <t>INF179KC1HR4</t>
  </si>
  <si>
    <t>HDFC NIFTY 100 ETF - Growth Option</t>
  </si>
  <si>
    <t>INF179KC1JG3</t>
  </si>
  <si>
    <t>HDFC NIFTY 1D RATE LIQUID ETF GROWTH</t>
  </si>
  <si>
    <t>INF179KC1965</t>
  </si>
  <si>
    <t>HDFC NIFTY 50 ETF - Growth Plan</t>
  </si>
  <si>
    <t>INF179KC1HY0</t>
  </si>
  <si>
    <t>HDFC NIFTY Bank ETF - GROWTH</t>
  </si>
  <si>
    <t>INF179KC1DJ0</t>
  </si>
  <si>
    <t>HDFC NIFTY GROWTH SECTORS 15 ETF - Growth Option</t>
  </si>
  <si>
    <t>INF179KC1IA8</t>
  </si>
  <si>
    <t>HDFC NIFTY IT ETF - Growth option</t>
  </si>
  <si>
    <t>INF179KC1HT0</t>
  </si>
  <si>
    <t>HDFC NIFTY Midcap 150 ETF - Growth Option</t>
  </si>
  <si>
    <t>INF179KC1HS2</t>
  </si>
  <si>
    <t>HDFC NIFTY NEXT 50 ETF - Growth Option</t>
  </si>
  <si>
    <t>INF179KC1HZ7</t>
  </si>
  <si>
    <t>HDFC NIFTY Private Bank ETF - Growth Option</t>
  </si>
  <si>
    <t>INF179KC1HW4</t>
  </si>
  <si>
    <t>HDFC NIFTY PSU BANK ETF</t>
  </si>
  <si>
    <t>INF179KC1FB2</t>
  </si>
  <si>
    <t>HDFC NIFTY Smallcap 250 ETF - Growth Option</t>
  </si>
  <si>
    <t>INF179KC1HU8</t>
  </si>
  <si>
    <t>HDFC NIFTY100 Low Volatility 30 ETF - Growth Option</t>
  </si>
  <si>
    <t>INF179KC1DL6</t>
  </si>
  <si>
    <t>HDFC NIFTY100 QUALITY 30 ETF - Growth Option</t>
  </si>
  <si>
    <t>INF179KC1HV6</t>
  </si>
  <si>
    <t>HDFC NIFTY200 MOMENTUM 30 ETF - Growth Option</t>
  </si>
  <si>
    <t>INF179KC1DK8</t>
  </si>
  <si>
    <t>HDFC NIFTY 50 VALUE 20 ETF - Growth Option</t>
  </si>
  <si>
    <t>INF179KC1DI2</t>
  </si>
  <si>
    <t>HDFC Silver ETF - Growth Option</t>
  </si>
  <si>
    <t>INF109KB15Y7</t>
  </si>
  <si>
    <t>BHARAT 22 ETF</t>
  </si>
  <si>
    <t>INF109KC1V59</t>
  </si>
  <si>
    <t>ICICI Prudential BSE 500 ETF</t>
  </si>
  <si>
    <t>INF109K1A021</t>
  </si>
  <si>
    <t>ICICI Prudential BSE Liquid Rate ETF - Growth</t>
  </si>
  <si>
    <t>INF109KC1KT9</t>
  </si>
  <si>
    <t>ICICI Prudential BSE Liquid Rate ETF - IDCW</t>
  </si>
  <si>
    <t>INF109KC10W0</t>
  </si>
  <si>
    <t>ICICI Prudential BSE Midcap Select ETF</t>
  </si>
  <si>
    <t>INF346A01034</t>
  </si>
  <si>
    <t>ICICI Prudential BSE Sensex ETF</t>
  </si>
  <si>
    <t>INF109KC18O0</t>
  </si>
  <si>
    <t>ICICI Prudential Nifty 10 yr Benchmark G-sec ETF</t>
  </si>
  <si>
    <t>INF109KC16V9</t>
  </si>
  <si>
    <t>ICICI Prudential Nifty 100 ETF</t>
  </si>
  <si>
    <t>INF109KC19U5</t>
  </si>
  <si>
    <t>ICICI Prudential Nifty 100 Low Volatility 30 ETF</t>
  </si>
  <si>
    <t>INF109KC17C7</t>
  </si>
  <si>
    <t>ICICI Prudential Nifty 200 Momentum 30 ETF</t>
  </si>
  <si>
    <t>INF109KC18V5</t>
  </si>
  <si>
    <t>ICICI Prudential Nifty 200 Quality 30 ETF</t>
  </si>
  <si>
    <t>INF109KC14A8</t>
  </si>
  <si>
    <t>ICICI Prudential Nifty 5 yr Benchmark G-SEC ETF</t>
  </si>
  <si>
    <t>INF109K012R6</t>
  </si>
  <si>
    <t>ICICI Prudential Nifty 50 ETF</t>
  </si>
  <si>
    <t>INF109KC17V7</t>
  </si>
  <si>
    <t>ICICI Prudential Nifty Alpha Low- Volatility 30 ETF</t>
  </si>
  <si>
    <t>INF109KC10V2</t>
  </si>
  <si>
    <t>ICICI Prudential Nifty Auto ETF</t>
  </si>
  <si>
    <t>INF109KC15I8</t>
  </si>
  <si>
    <t>ICICI Prudential Nifty Bank ETF</t>
  </si>
  <si>
    <t>INF109KC19O8</t>
  </si>
  <si>
    <t>ICICI Prudential Nifty Commodities ETF</t>
  </si>
  <si>
    <t>INF109K1A153</t>
  </si>
  <si>
    <t>ICICI Prudential Nifty EV &amp; New Age Automotive ETF</t>
  </si>
  <si>
    <t>INF109KC17L8</t>
  </si>
  <si>
    <t>ICICI Prudential Nifty Financial Services Ex-BaNk ETF</t>
  </si>
  <si>
    <t>INF109KC19V3</t>
  </si>
  <si>
    <t>ICICI Prudential Nifty FMCG ETF</t>
  </si>
  <si>
    <t>INF109KC1Q72</t>
  </si>
  <si>
    <t>ICICI Prudential Nifty Healthcare ETF</t>
  </si>
  <si>
    <t>INF109KC1V42</t>
  </si>
  <si>
    <t>ICICI Prudential Nifty India Consumption ETF</t>
  </si>
  <si>
    <t>INF109KC16E5</t>
  </si>
  <si>
    <t>ICICI Prudential Nifty Infrastructure ETF</t>
  </si>
  <si>
    <t>INF109KC16I6</t>
  </si>
  <si>
    <t>ICICI Prudential Nifty IT ETF</t>
  </si>
  <si>
    <t>INF109KC19W1</t>
  </si>
  <si>
    <t>ICICI Prudential Nifty Metal ETF</t>
  </si>
  <si>
    <t>INF109KC11W8</t>
  </si>
  <si>
    <t>ICICI Prudential Nifty Midcap 150 ETF</t>
  </si>
  <si>
    <t>INF109KC1NS5</t>
  </si>
  <si>
    <t>ICICI Prudential Nifty Next 50 ETF</t>
  </si>
  <si>
    <t>INF109KC18W3</t>
  </si>
  <si>
    <t>ICICI Prudential Nifty Oil &amp; Gas ETF</t>
  </si>
  <si>
    <t>INF109KC18U7</t>
  </si>
  <si>
    <t>ICICI Prudential Nifty Private Bank ETF</t>
  </si>
  <si>
    <t>INF109KC10S8</t>
  </si>
  <si>
    <t>ICICI Prudential Nifty PSU Bank ETF</t>
  </si>
  <si>
    <t>INF109K1A344</t>
  </si>
  <si>
    <t>ICICI Prudential Nifty Top 15 Equal Weight ETF</t>
  </si>
  <si>
    <t>INF109KC16X5</t>
  </si>
  <si>
    <t>ICICI Prudential Nifty200 Value 30 ETF</t>
  </si>
  <si>
    <t>INF109KC11V0</t>
  </si>
  <si>
    <t>ICICI Prudential Nifty50 Value 20 ETF</t>
  </si>
  <si>
    <t>INF109KC1Y56</t>
  </si>
  <si>
    <t>ICICI PRUDENTIAL SILVER ETF</t>
  </si>
  <si>
    <t>INF205K01DA9</t>
  </si>
  <si>
    <t>Invesco India Nifty 50 Exchange Traded Fund</t>
  </si>
  <si>
    <t>INF174KA1JD7</t>
  </si>
  <si>
    <t>Kotak BSE Sensex ETF</t>
  </si>
  <si>
    <t>INF174KA1VD2</t>
  </si>
  <si>
    <t>Kotak MSCI India ETF</t>
  </si>
  <si>
    <t>INF174KA1UW4</t>
  </si>
  <si>
    <t>Kotak Nifty 100 Equal Weight ETF</t>
  </si>
  <si>
    <t>INF174KA1IY5</t>
  </si>
  <si>
    <t>Kotak Nifty 100 Low Volatility 30 ETF</t>
  </si>
  <si>
    <t>INF174KA1LV5</t>
  </si>
  <si>
    <t>Kotak Nifty 1D Rate Liquid ETF</t>
  </si>
  <si>
    <t>INF174KA1XS6</t>
  </si>
  <si>
    <t>Kotak Nifty 200 Momentum 30 ETF</t>
  </si>
  <si>
    <t>INF174K014P6</t>
  </si>
  <si>
    <t>Kotak Nifty 50 ETF</t>
  </si>
  <si>
    <t>INF174KA1ZE1</t>
  </si>
  <si>
    <t>Kotak Nifty 50 Value 20 ETF - Payout of Income Distribution cum capital withdrawal option</t>
  </si>
  <si>
    <t>INF174KA1IA5</t>
  </si>
  <si>
    <t>Kotak Nifty Alpha 50 ETF</t>
  </si>
  <si>
    <t>INF174KA1ZB7</t>
  </si>
  <si>
    <t>Kotak Nifty Bank ETF</t>
  </si>
  <si>
    <t>INF174KA1XV0</t>
  </si>
  <si>
    <t>Kotak Nifty Chemicals ETF</t>
  </si>
  <si>
    <t>INF174KA1ZF8</t>
  </si>
  <si>
    <t>Kotak Nifty India Consumption ETF</t>
  </si>
  <si>
    <t>INF174KA1GC5</t>
  </si>
  <si>
    <t>Kotak Nifty IT ETF</t>
  </si>
  <si>
    <t>INF174KA1VW2</t>
  </si>
  <si>
    <t>Kotak Nifty Midcap 150 ETF</t>
  </si>
  <si>
    <t>INF174KA1ZC5</t>
  </si>
  <si>
    <t>Kotak Nifty Midcap 50 ETF</t>
  </si>
  <si>
    <t>INF174KA1JF2</t>
  </si>
  <si>
    <t>Kotak Nifty MNC ETF</t>
  </si>
  <si>
    <t>INF174KA1YO3</t>
  </si>
  <si>
    <t>Kotak Nifty Next 50 ETF</t>
  </si>
  <si>
    <t>INF373I01023</t>
  </si>
  <si>
    <t>Kotak Nifty PSU Bank ETF</t>
  </si>
  <si>
    <t>INF174KA1WT6</t>
  </si>
  <si>
    <t>Kotak Nifty200 Quality 30 ETF</t>
  </si>
  <si>
    <t>INF174KA1ZD3</t>
  </si>
  <si>
    <t>Kotak Silver ETF</t>
  </si>
  <si>
    <t>INF767K01OT5</t>
  </si>
  <si>
    <t>LIC MF BSE Sensex ETF</t>
  </si>
  <si>
    <t>INF767K01PC8</t>
  </si>
  <si>
    <t>LIC MF Nifty 100 ETF</t>
  </si>
  <si>
    <t>INF767K01OS7</t>
  </si>
  <si>
    <t>LIC MF Nifty 50 ETF</t>
  </si>
  <si>
    <t>INF767K01MV5</t>
  </si>
  <si>
    <t>LIC MF Nifty 8-13 yr G-Sec ETF</t>
  </si>
  <si>
    <t>INF767K01RN1</t>
  </si>
  <si>
    <t>LIC MF Nifty Midcap 100 ETF</t>
  </si>
  <si>
    <t>INF769K01OA1</t>
  </si>
  <si>
    <t>Mirae Asset BSE 200 Equal Weight ETF</t>
  </si>
  <si>
    <t>INF769K01PY8</t>
  </si>
  <si>
    <t>Mirae Asset BSE 500 Dividend Leaders 50 ETF</t>
  </si>
  <si>
    <t>INF769K01QC2</t>
  </si>
  <si>
    <t>Mirae Asset BSE India Defence ETF</t>
  </si>
  <si>
    <t>INF769K01ON4</t>
  </si>
  <si>
    <t>Mirae Asset BSE Select IPO ETF</t>
  </si>
  <si>
    <t>INF769K01KT9</t>
  </si>
  <si>
    <t>Mirae Asset BSE Sensex ETF</t>
  </si>
  <si>
    <t>INF769K01HS7</t>
  </si>
  <si>
    <t>Mirae Asset Hang Seng TECH ETF</t>
  </si>
  <si>
    <t>INF769K01GS9</t>
  </si>
  <si>
    <t>Mirae Asset Nifty 100 ESG Sector Leaders ETF</t>
  </si>
  <si>
    <t>INF769K01JU9</t>
  </si>
  <si>
    <t>Mirae Asset Nifty 100 Low Volatility 30 ETF</t>
  </si>
  <si>
    <t>INF769K01MY5</t>
  </si>
  <si>
    <t>Mirae Asset Nifty 1D Rate Liquid ETF - Growth</t>
  </si>
  <si>
    <t>INF769K01KS1</t>
  </si>
  <si>
    <t>Mirae Asset Nifty 1D Rate Liquid ETF-IDCW</t>
  </si>
  <si>
    <t>INF769K01KU7</t>
  </si>
  <si>
    <t>Mirae Asset Nifty 200 Alpha 30 ETF</t>
  </si>
  <si>
    <t>INF769K01EG9</t>
  </si>
  <si>
    <t>Mirae Asset Nifty 50 ETF</t>
  </si>
  <si>
    <t>INF769K01QA6</t>
  </si>
  <si>
    <t>Mirae Asset Nifty 500 Healthcare ETF</t>
  </si>
  <si>
    <t>INF769K01QV2</t>
  </si>
  <si>
    <t>Mirae Asset Nifty 500 Value 50 ETF</t>
  </si>
  <si>
    <t>INF769K01KF8</t>
  </si>
  <si>
    <t>Mirae Asset Nifty 8-13 yr Gsec ETF</t>
  </si>
  <si>
    <t>INF769K01KR3</t>
  </si>
  <si>
    <t>Mirae Asset Nifty Bank ETF</t>
  </si>
  <si>
    <t>INF769K01PR2</t>
  </si>
  <si>
    <t>Mirae Asset Nifty Energy ETF</t>
  </si>
  <si>
    <t>INF769K01LQ3</t>
  </si>
  <si>
    <t>Mirae Asset Nifty EV and New Age Automotive ETF</t>
  </si>
  <si>
    <t>INF769K01HI8</t>
  </si>
  <si>
    <t>Mirae Asset Nifty Financial Services ETF</t>
  </si>
  <si>
    <t>INF769K01QB4</t>
  </si>
  <si>
    <t>Mirae Asset Nifty India Infrastructure &amp; Logistics ETF</t>
  </si>
  <si>
    <t>INF769K01PB6</t>
  </si>
  <si>
    <t>Mirae Asset Nifty India Internet ETF</t>
  </si>
  <si>
    <t>INF769K01IB1</t>
  </si>
  <si>
    <t>Mirae Asset Nifty India Manufacturing ETF</t>
  </si>
  <si>
    <t>INF769K01NS5</t>
  </si>
  <si>
    <t>Mirae Asset Nifty India New Age Consumption ETF</t>
  </si>
  <si>
    <t>INF769K01KV5</t>
  </si>
  <si>
    <t>Mirae Asset Nifty IT ETF</t>
  </si>
  <si>
    <t>INF769K01LY7</t>
  </si>
  <si>
    <t>Mirae Asset Nifty Metal ETF</t>
  </si>
  <si>
    <t>INF769K01IC9</t>
  </si>
  <si>
    <t>Mirae Asset Nifty Midcap 150 ETF</t>
  </si>
  <si>
    <t>INF769K01LJ8</t>
  </si>
  <si>
    <t>Mirae Asset Nifty MidSmallcap400 Momentum Quality 100 ETF</t>
  </si>
  <si>
    <t>INF769K01FN2</t>
  </si>
  <si>
    <t>Mirae Asset Nifty Next 50 ETF</t>
  </si>
  <si>
    <t>INF769K01LZ4</t>
  </si>
  <si>
    <t>Mirae Asset Nifty PSU Bank ETF</t>
  </si>
  <si>
    <t>INF769K01PQ4</t>
  </si>
  <si>
    <t>Mirae Asset Nifty Smallcap 250 ETF</t>
  </si>
  <si>
    <t>INF769K01LC3</t>
  </si>
  <si>
    <t>Mirae Asset Nifty Smallcap 250 Momentum Quality 100 ETF</t>
  </si>
  <si>
    <t>INF769K01PZ5</t>
  </si>
  <si>
    <t>Mirae Asset Nifty Top 20 Equal Weight ETF</t>
  </si>
  <si>
    <t>INF769K01OO2</t>
  </si>
  <si>
    <t>Mirae Asset Nifty 50 Equal Weight ETF</t>
  </si>
  <si>
    <t>INF769K01LX9</t>
  </si>
  <si>
    <t>Mirae Asset Nifty500 Multicap 50:25:25 ETF</t>
  </si>
  <si>
    <t>INF769K01HF4</t>
  </si>
  <si>
    <t>Mirae Asset NYSE FANG + ETF</t>
  </si>
  <si>
    <t>INF769K01HP3</t>
  </si>
  <si>
    <t>Mirae Asset S&amp;P 500 Top 50 ETF</t>
  </si>
  <si>
    <t>INF769K01KG6</t>
  </si>
  <si>
    <t>Mirae Asset Silver ETF</t>
  </si>
  <si>
    <t>INF247L01BE5</t>
  </si>
  <si>
    <t>Motilal Oswal BSE Enhanced Value ETF</t>
  </si>
  <si>
    <t>INF247L01BB1</t>
  </si>
  <si>
    <t>Motilal Oswal BSE Healthcare ETF</t>
  </si>
  <si>
    <t>INF247L01FL1</t>
  </si>
  <si>
    <t>Motilal Oswal BSE India Infrastructure ETF</t>
  </si>
  <si>
    <t>INF247L01BL0</t>
  </si>
  <si>
    <t>Motilal Oswal BSE Low Volatility ETF</t>
  </si>
  <si>
    <t>INF247L01BH8</t>
  </si>
  <si>
    <t>Motilal Oswal BSE Quality ETF</t>
  </si>
  <si>
    <t>INF247L01GI5</t>
  </si>
  <si>
    <t>Motilal Oswal BSE Select IPO ETF</t>
  </si>
  <si>
    <t>INF247L01GV8</t>
  </si>
  <si>
    <t>Motilal Oswal BSE Top 10 Banks ETF</t>
  </si>
  <si>
    <t>INF247L01AP3</t>
  </si>
  <si>
    <t>Motilal Oswal Nasdaq 100 ETF (MOFN100)</t>
  </si>
  <si>
    <t>INF247L01AU3</t>
  </si>
  <si>
    <t>Motilal Oswal Nasdaq Q50 ETF</t>
  </si>
  <si>
    <t>INF247L01GG9</t>
  </si>
  <si>
    <t>Motilal Oswal Nifty 100 ETF</t>
  </si>
  <si>
    <t>INF247L01BK2</t>
  </si>
  <si>
    <t>Motilal Oswal Nifty 200 Momentum 30 ETF</t>
  </si>
  <si>
    <t>INF247L01AK4</t>
  </si>
  <si>
    <t>Motilal Oswal Nifty 5 year Benchmark G-sec ETF</t>
  </si>
  <si>
    <t>INF247L01FC0</t>
  </si>
  <si>
    <t>MOTILAL OSWAL NIFTY 50 EQUAL WEIGHT ETF</t>
  </si>
  <si>
    <t>INF247L01536</t>
  </si>
  <si>
    <t>Motilal Oswal Nifty 50 ETF</t>
  </si>
  <si>
    <t>INF247L01BU1</t>
  </si>
  <si>
    <t>Motilal Oswal Nifty 500 ETF</t>
  </si>
  <si>
    <t>INF247L01DK8</t>
  </si>
  <si>
    <t>Motilal Oswal Nifty 500 Momentum 50 ETF</t>
  </si>
  <si>
    <t>INF247L01FR8</t>
  </si>
  <si>
    <t>Motilal Oswal Nifty Alpha 50 ETF</t>
  </si>
  <si>
    <t>INF247L01EV3</t>
  </si>
  <si>
    <t>Motilal Oswal Nifty Capital Market ETF</t>
  </si>
  <si>
    <t>INF247L01GH7</t>
  </si>
  <si>
    <t>Motilal Oswal Nifty Energy ETF</t>
  </si>
  <si>
    <t>INF247L01DJ0</t>
  </si>
  <si>
    <t>Motilal Oswal Nifty India Defence ETF</t>
  </si>
  <si>
    <t>INF247L01FK3</t>
  </si>
  <si>
    <t>Motilal Oswal Nifty India Manufacturing ETF</t>
  </si>
  <si>
    <t>INF247L01FP2</t>
  </si>
  <si>
    <t>Motilal Oswal Nifty India Tourism ETF</t>
  </si>
  <si>
    <t>INF247L01023</t>
  </si>
  <si>
    <t>Motilal Oswal Nifty Midcap 100 ETF</t>
  </si>
  <si>
    <t>INF247L01FQ0</t>
  </si>
  <si>
    <t>Motilal Oswal Nifty Midcap150 Momentum 50 ETF</t>
  </si>
  <si>
    <t>INF247L01GK1</t>
  </si>
  <si>
    <t>Motilal Oswal Nifty MNC ETF</t>
  </si>
  <si>
    <t>INF247L01FD8</t>
  </si>
  <si>
    <t>MOTILAL OSWAL NIFTY NEXT 50 ETF</t>
  </si>
  <si>
    <t>INF247L01FO5</t>
  </si>
  <si>
    <t>Motilal Oswal Nifty PSE ETF</t>
  </si>
  <si>
    <t>INF247L01CI4</t>
  </si>
  <si>
    <t>Motilal Oswal Nifty Realty ETF</t>
  </si>
  <si>
    <t>INF247L01GJ3</t>
  </si>
  <si>
    <t>Motilal Oswal Nifty Services Sector ETF</t>
  </si>
  <si>
    <t>INF247L01CH6</t>
  </si>
  <si>
    <t>Motilal Oswal Nifty Smallcap 250 ETF</t>
  </si>
  <si>
    <t>INF247L01FZ1</t>
  </si>
  <si>
    <t>Motilal Oswal Silver ETF</t>
  </si>
  <si>
    <t>INF457M01133</t>
  </si>
  <si>
    <t>CPSE ETF</t>
  </si>
  <si>
    <t>INF204KC1EZ3</t>
  </si>
  <si>
    <t>Nippon India BSE Sensex Next 30 ETF</t>
  </si>
  <si>
    <t>INF204KA1UN7</t>
  </si>
  <si>
    <t>Nippon India ETF BSE Sensex</t>
  </si>
  <si>
    <t>INF204KB15D0</t>
  </si>
  <si>
    <t>Nippon India ETF BSE Sensex Next 50</t>
  </si>
  <si>
    <t>INF204KB19I1</t>
  </si>
  <si>
    <t>Nippon India ETF Hang Seng BeES</t>
  </si>
  <si>
    <t>INF204K014N5</t>
  </si>
  <si>
    <t>Nippon India ETF Nifty 100</t>
  </si>
  <si>
    <t>INF732E01037</t>
  </si>
  <si>
    <t>Nippon India ETF Nifty 1D Rate Liquid BeES - DAILY IDCW Option</t>
  </si>
  <si>
    <t>INF204KC1030</t>
  </si>
  <si>
    <t>Nippon India ETF Nifty 5 yr Benchmark G-Sec</t>
  </si>
  <si>
    <t>INF204KB14I2</t>
  </si>
  <si>
    <t>Nippon India ETF Nifty 50 BeES</t>
  </si>
  <si>
    <t>INF732E01128</t>
  </si>
  <si>
    <t>Nippon India ETF Nifty 50 Shariah BeES</t>
  </si>
  <si>
    <t>INF204KB18I3</t>
  </si>
  <si>
    <t>Nippon India ETF Nifty 50 Value 20</t>
  </si>
  <si>
    <t>INF204KB1882</t>
  </si>
  <si>
    <t>Nippon India ETF Nifty 8-13 yr G-Sec Long Term Gilt</t>
  </si>
  <si>
    <t>INF204KB15I9</t>
  </si>
  <si>
    <t>Nippon India ETF Nifty Bank BeES</t>
  </si>
  <si>
    <t>INF204KA1MS3</t>
  </si>
  <si>
    <t>Nippon India ETF Nifty Dividend Opportunities 50</t>
  </si>
  <si>
    <t>INF204KA1LD7</t>
  </si>
  <si>
    <t>Nippon India ETF Nifty India Consumption</t>
  </si>
  <si>
    <t>INF732E01268</t>
  </si>
  <si>
    <t>Nippon India ETF Nifty Infrastructure BeES</t>
  </si>
  <si>
    <t>INF204KB15V2</t>
  </si>
  <si>
    <t>Nippon India ETF Nifty IT</t>
  </si>
  <si>
    <t>INF204KB1V68</t>
  </si>
  <si>
    <t>Nippon India ETF Nifty Midcap 150</t>
  </si>
  <si>
    <t>INF732E01045</t>
  </si>
  <si>
    <t>Nippon India ETF Nifty Next 50 Junior BeES</t>
  </si>
  <si>
    <t>INF204KB16I7</t>
  </si>
  <si>
    <t>Nippon India ETF Nifty PSU Bank BeES</t>
  </si>
  <si>
    <t>INF204KC1022</t>
  </si>
  <si>
    <t>Nippon India ETF Nifty SDL Apr 2026 Top 20 Equal Weight</t>
  </si>
  <si>
    <t>INF204KC1FU1</t>
  </si>
  <si>
    <t>Nippon India Nifty 1D Rate Liquid ETF-Growth</t>
  </si>
  <si>
    <t>INF204KC1337</t>
  </si>
  <si>
    <t>Nippon India Nifty Auto ETF</t>
  </si>
  <si>
    <t>INF204KC1GH6</t>
  </si>
  <si>
    <t>Nippon India Nifty India Manufacturing ETF</t>
  </si>
  <si>
    <t>INF204KC1089</t>
  </si>
  <si>
    <t>Nippon India Nifty Pharma ETF</t>
  </si>
  <si>
    <t>INF204KC1402</t>
  </si>
  <si>
    <t>Nippon India Silver ETF</t>
  </si>
  <si>
    <t>INF082J01499</t>
  </si>
  <si>
    <t>Quantum Nifty 50 ETF</t>
  </si>
  <si>
    <t>INF200KA1572</t>
  </si>
  <si>
    <t>SBI BSE 100 ETF</t>
  </si>
  <si>
    <t>INF200KB1712</t>
  </si>
  <si>
    <t>SBI BSE PSU BANK ETF</t>
  </si>
  <si>
    <t>INF200K01VT2</t>
  </si>
  <si>
    <t>SBI BSE SENSEX ETF</t>
  </si>
  <si>
    <t>INF200KA1VQ2</t>
  </si>
  <si>
    <t>SBI BSE Sensex Next 50 ETF</t>
  </si>
  <si>
    <t>INF200KA1JT1</t>
  </si>
  <si>
    <t>SBI Nifty 10 yr Benchmark G-Sec ETF</t>
  </si>
  <si>
    <t>INF200KB1969</t>
  </si>
  <si>
    <t>SBI Nifty 1D Rate Liquid ETF - Growth</t>
  </si>
  <si>
    <t>INF200KA13Z8</t>
  </si>
  <si>
    <t>SBI NIFTY 1D Rate Liquid ETF - IDCW</t>
  </si>
  <si>
    <t>INF200KA1WX6</t>
  </si>
  <si>
    <t>SBI Nifty 200 Quality 30 ETF</t>
  </si>
  <si>
    <t>INF200KA1FS1</t>
  </si>
  <si>
    <t>SBI Nifty 50 ETF</t>
  </si>
  <si>
    <t>INF200KA1580</t>
  </si>
  <si>
    <t>SBI Nifty Bank ETF</t>
  </si>
  <si>
    <t>INF200KA1X17</t>
  </si>
  <si>
    <t>SBI Nifty Consumption ETF</t>
  </si>
  <si>
    <t>INF200KA1S14</t>
  </si>
  <si>
    <t>SBI Nifty IT ETF</t>
  </si>
  <si>
    <t>INF200KB1AK8</t>
  </si>
  <si>
    <t>SBI Nifty Midcap 150 ETF</t>
  </si>
  <si>
    <t>INF200KB1AJ0</t>
  </si>
  <si>
    <t>SBI Nifty Midcap 150 Momentum 50 ETF</t>
  </si>
  <si>
    <t>INF200KA1598</t>
  </si>
  <si>
    <t>SBI Nifty Next 50 ETF</t>
  </si>
  <si>
    <t>INF200KA1S22</t>
  </si>
  <si>
    <t>SBI Nifty Private Bank ETF</t>
  </si>
  <si>
    <t>INF200KB1282</t>
  </si>
  <si>
    <t>SBI Nifty50 Equal Weight ETF</t>
  </si>
  <si>
    <t>INF200KB1217</t>
  </si>
  <si>
    <t>SBI Silver ETF</t>
  </si>
  <si>
    <t>INF680P01422</t>
  </si>
  <si>
    <t>Shriram Nifty 1D Rate Liquid ETF - Growth</t>
  </si>
  <si>
    <t>INF277K015R5</t>
  </si>
  <si>
    <t>Tata Nifty 50 Exchange Traded Fund</t>
  </si>
  <si>
    <t>INF277KA1364</t>
  </si>
  <si>
    <t>Tata Nifty India Digital Exchange Traded Fund</t>
  </si>
  <si>
    <t>INF277K010X4</t>
  </si>
  <si>
    <t>Tata Nifty Private Bank Exchange Traded Fund</t>
  </si>
  <si>
    <t>INF277KA1984</t>
  </si>
  <si>
    <t>Tata Silver Exchange Traded Fund</t>
  </si>
  <si>
    <t>INF789F1AUU3</t>
  </si>
  <si>
    <t>UTI - BSE Sensex Next 50 Exchange Traded Fund</t>
  </si>
  <si>
    <t>INF789F1AUW9</t>
  </si>
  <si>
    <t>UTI Nifty Next 50 Exchange Traded Fund</t>
  </si>
  <si>
    <t>INF789FB1X58</t>
  </si>
  <si>
    <t>UTI BSE Sensex ETF</t>
  </si>
  <si>
    <t>INF789F1AZF3</t>
  </si>
  <si>
    <t>UTI Nifty 10 yr Benchmark G-Sec ETF</t>
  </si>
  <si>
    <t>INF789F1AZE6</t>
  </si>
  <si>
    <t>UTI Nifty 5 yr Benchmark G-Sec ETF</t>
  </si>
  <si>
    <t>INF789F1AZC0</t>
  </si>
  <si>
    <t>UTI Nifty 50 ETF</t>
  </si>
  <si>
    <t>INF789F1AUV1</t>
  </si>
  <si>
    <t>UTI Nifty Bank ETF</t>
  </si>
  <si>
    <t>INF789F1AZD8</t>
  </si>
  <si>
    <t>UTI Nifty IT ETF</t>
  </si>
  <si>
    <t>INF789F1AYX9</t>
  </si>
  <si>
    <t>UTI Nifty Midcap 150 Exchange Traded Fund</t>
  </si>
  <si>
    <t>INF789F1AYK6</t>
  </si>
  <si>
    <t>UTI Silver Exchange Traded Fund</t>
  </si>
  <si>
    <t>INF0R8F01067</t>
  </si>
  <si>
    <t>Zerodha Nifty 100 ETF</t>
  </si>
  <si>
    <t>INF0R8F01034</t>
  </si>
  <si>
    <t>Zerodha Nifty 1D Rate Liquid ETF - Growth Option</t>
  </si>
  <si>
    <t>INF0R8F01166</t>
  </si>
  <si>
    <t>Zerodha Nifty 50 ETF</t>
  </si>
  <si>
    <t>INF0R8F01133</t>
  </si>
  <si>
    <t>Zerodha Nifty 8-13 Yr G-Sec ETF</t>
  </si>
  <si>
    <t>INF0R8F01059</t>
  </si>
  <si>
    <t>Zerodha Nifty Midcap 150 ETF</t>
  </si>
  <si>
    <t>INF0R8F01141</t>
  </si>
  <si>
    <t>Zerodha Nifty Smallcap 100 ETF</t>
  </si>
  <si>
    <t>INF0R8F01091</t>
  </si>
  <si>
    <t>Zerodha Silver ETF</t>
  </si>
  <si>
    <t>INF209KB1E84</t>
  </si>
  <si>
    <t>ADITYA BIRLA SUN LIFE BAL BHAVISHYA YOJNA DIRECT GROWTH</t>
  </si>
  <si>
    <t>INF209KB1E76</t>
  </si>
  <si>
    <t>ADITYA BIRLA SUN LIFE BAL BHAVISHYA YOJNA REGULAR GROWTH</t>
  </si>
  <si>
    <t>INF209KB1F18</t>
  </si>
  <si>
    <t>INF209KB1F26</t>
  </si>
  <si>
    <t>ADITYA BIRLA SUN LIFE BAL BHAVISHYA YOJNA- Direct - IDCW</t>
  </si>
  <si>
    <t>INF209KB1E92</t>
  </si>
  <si>
    <t>INF209KB1F00</t>
  </si>
  <si>
    <t>ADITYA BIRLA SUN LIFE BAL BHAVISHYA YOJNA- Regular - IDCW</t>
  </si>
  <si>
    <t>INF846K01WO1</t>
  </si>
  <si>
    <t>Axis Children's Fund - Lock in - Direct Growth</t>
  </si>
  <si>
    <t>INF846K01WP8</t>
  </si>
  <si>
    <t>Axis Children's Fund - Lock in - Direct Plan - IDCW</t>
  </si>
  <si>
    <t>INF846K01WJ1</t>
  </si>
  <si>
    <t>Axis Children's Fund - Lock in - Regular Growth</t>
  </si>
  <si>
    <t>INF846K01WK9</t>
  </si>
  <si>
    <t>Axis Children's Fund - Lock in - Regular Plan - IDCW</t>
  </si>
  <si>
    <t>INF846K01WR4</t>
  </si>
  <si>
    <t>Axis Children's Fund - No Lock in - Direct Growth</t>
  </si>
  <si>
    <t>INF846K01WS2</t>
  </si>
  <si>
    <t>INF846K01WQ6</t>
  </si>
  <si>
    <t>Axis Children's Fund - No Lock in - Direct Plan - IDCW</t>
  </si>
  <si>
    <t>INF846K01WM5</t>
  </si>
  <si>
    <t>Axis Children's Fund - No Lock in - Regular Plan - Growth</t>
  </si>
  <si>
    <t>INF846K01WN3</t>
  </si>
  <si>
    <t>INF846K01WL7</t>
  </si>
  <si>
    <t>Axis Children's Fund - No Lock in - Regular Plan - IDCW</t>
  </si>
  <si>
    <t>INF251K01UE9</t>
  </si>
  <si>
    <t>Baroda BNP Paribas Children's Fund - Direct Plan - Growth Option</t>
  </si>
  <si>
    <t>INF251K01UC3</t>
  </si>
  <si>
    <t>Baroda BNP Paribas Children's Fund - Regular Plan - Growth Option</t>
  </si>
  <si>
    <t>INF251K01UD1</t>
  </si>
  <si>
    <t>Baroda BNP Paribas Children's Fund - Regular Plan - IDCW Option</t>
  </si>
  <si>
    <t>INF179KC1IX0</t>
  </si>
  <si>
    <t>HDFC Childrens Fund - Direct Plan</t>
  </si>
  <si>
    <t>INF179KC1IY8</t>
  </si>
  <si>
    <t>HDFC Childrens Fund - Growth Plan</t>
  </si>
  <si>
    <t>HDFC Childrens Fund Savings Plan-Direct Plan</t>
  </si>
  <si>
    <t>HDFC Childrens Fund-Savings</t>
  </si>
  <si>
    <t>INF109K01Y49</t>
  </si>
  <si>
    <t>ICICI Prudential Children's Fund - Direct Plan</t>
  </si>
  <si>
    <t>INF109K01605</t>
  </si>
  <si>
    <t>ICICI Prudential Children's Fund - Regular Plan</t>
  </si>
  <si>
    <t>INF767K01FB1</t>
  </si>
  <si>
    <t>LIC MF Children's Fund-Direct Plan-Growth</t>
  </si>
  <si>
    <t>INF767K01048</t>
  </si>
  <si>
    <t>LIC MF Children's Fund-Regular Plan-Growth</t>
  </si>
  <si>
    <t>INF200KA1R07</t>
  </si>
  <si>
    <t>SBI Children's Fund - Investment Plan - Direct Plan - Growth</t>
  </si>
  <si>
    <t>INF200KA1Q99</t>
  </si>
  <si>
    <t>SBI Children's Fund - Investment Plan - Regular Plan - Growth</t>
  </si>
  <si>
    <t>INF200K01QR6</t>
  </si>
  <si>
    <t>SBI Children's Fund - Savings Plan - DIRECT PLAN - GROWTH</t>
  </si>
  <si>
    <t>INF200K01776</t>
  </si>
  <si>
    <t>SBI Children's Fund - Savings Plan - REGULAR PLAN - GROWTH</t>
  </si>
  <si>
    <t>INF277K01AJ5</t>
  </si>
  <si>
    <t>Tata Childrens Fund -Regular Plan-Growth Option</t>
  </si>
  <si>
    <t>INF277K01QW4</t>
  </si>
  <si>
    <t>Tata Childrens Fund-Direct Plan-Growth Option</t>
  </si>
  <si>
    <t>INF582M01JK3</t>
  </si>
  <si>
    <t>Union Children's Fund - Direct Plan - Growth Option</t>
  </si>
  <si>
    <t>INF582M01JL1</t>
  </si>
  <si>
    <t>Union Children's Fund - Direct Plan - IDCW Option</t>
  </si>
  <si>
    <t>INF582M01JI7</t>
  </si>
  <si>
    <t>Union Children's Fund - Regular Plan - Growth Option</t>
  </si>
  <si>
    <t>INF582M01JJ5</t>
  </si>
  <si>
    <t>Union Children's Fund - Regular Plan - IDCW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</si>
  <si>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</si>
  <si>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</si>
  <si>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</si>
  <si>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</si>
  <si>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</si>
  <si>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</si>
  <si>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INF209KB1I31</t>
  </si>
  <si>
    <t>INF209KB1I49</t>
  </si>
  <si>
    <t>Aditya Birla Sun Life Retirement Fund-The 30s Plan-Direct - Payout of IDCW</t>
  </si>
  <si>
    <t>INF209KB1I23</t>
  </si>
  <si>
    <t>Aditya Birla Sun Life Retirement Fund-The 30s Plan-Direct Growth</t>
  </si>
  <si>
    <t>INF209KB1I07</t>
  </si>
  <si>
    <t>INF209KB1I15</t>
  </si>
  <si>
    <t>Aditya Birla Sun Life Retirement Fund-The 30s Plan-Regular - Payout of IDCW</t>
  </si>
  <si>
    <t>INF209KB1H99</t>
  </si>
  <si>
    <t>Aditya Birla Sun Life Retirement Fund-The 30s Plan-Regular Growth</t>
  </si>
  <si>
    <t>INF209KB1I98</t>
  </si>
  <si>
    <t>INF209KB1J06</t>
  </si>
  <si>
    <t>Aditya Birla Sun Life Retirement Fund-The 40s Plan- Direct - Payout of IDCW</t>
  </si>
  <si>
    <t>INF209KB1I80</t>
  </si>
  <si>
    <t>Aditya Birla Sun Life Retirement Fund-The 40s Plan-Direct Plan-Growth</t>
  </si>
  <si>
    <t>INF209KB1I64</t>
  </si>
  <si>
    <t>Aditya Birla Sun Life Retirement Fund-The 40s Plan-Regular - Payout of IDCW</t>
  </si>
  <si>
    <t>INF209KB1I56</t>
  </si>
  <si>
    <t>INF209KB1I72</t>
  </si>
  <si>
    <t>Aditya Birla Sun Life Retirement Fund-The 40s Plan-Regular Plan-Growth</t>
  </si>
  <si>
    <t>INF209KB1J55</t>
  </si>
  <si>
    <t>INF209KB1J63</t>
  </si>
  <si>
    <t>Aditya Birla Sun Life Retirement Fund-The 50s Plan- Direct - Payout of IDCW</t>
  </si>
  <si>
    <t>INF209KB1J22</t>
  </si>
  <si>
    <t>INF209KB1J30</t>
  </si>
  <si>
    <t>Aditya Birla Sun Life Retirement Fund-The 50s Plan- Regular - Payout of IDCW</t>
  </si>
  <si>
    <t>INF209KB1J48</t>
  </si>
  <si>
    <t>Aditya Birla Sun Life Retirement Fund-The 50s Plan-Direct Plan-Growth</t>
  </si>
  <si>
    <t>INF209KB1J14</t>
  </si>
  <si>
    <t>Aditya Birla Sun Life Retirement Fund-The 50s Plan-Regular Plan-Growth</t>
  </si>
  <si>
    <t>INF209KB1K11</t>
  </si>
  <si>
    <t>INF209KB1K29</t>
  </si>
  <si>
    <t>Aditya Birla Sun Life Retirement Fund-The 50s Plus-Debt Plan - Direct - Payout of IDCW</t>
  </si>
  <si>
    <t>INF209KB1J89</t>
  </si>
  <si>
    <t>INF209KB1J97</t>
  </si>
  <si>
    <t>Aditya Birla Sun Life Retirement Fund-The 50s Plus-Debt Plan - Regular - Payout of IDCW</t>
  </si>
  <si>
    <t>INF209KB1K03</t>
  </si>
  <si>
    <t>Aditya Birla Sun Life Retirement Fund-The 50s Plus-Debt Plan-Direct Plan-Growth</t>
  </si>
  <si>
    <t>INF209KB1J71</t>
  </si>
  <si>
    <t>Aditya Birla Sun Life Retirement Fund-The 50s Plus-Debt Plan-Regular Plan-Growth</t>
  </si>
  <si>
    <t>INF846K01S86</t>
  </si>
  <si>
    <t>Axis Retirement Fund - Aggressive Plan - Direct Growth</t>
  </si>
  <si>
    <t>INF846K01S94</t>
  </si>
  <si>
    <t>Axis Retirement Fund - Aggressive Plan - Direct Plan - IDCW</t>
  </si>
  <si>
    <t>INF846K01T02</t>
  </si>
  <si>
    <t>Axis Retirement Fund - Aggressive Plan - Regular Growth</t>
  </si>
  <si>
    <t>INF846K01T10</t>
  </si>
  <si>
    <t>Axis Retirement Fund - Aggressive Plan - Regular Plan - IDCW</t>
  </si>
  <si>
    <t>INF846K01T69</t>
  </si>
  <si>
    <t>Axis Retirement Fund - Conservative Plan - Direct Growth</t>
  </si>
  <si>
    <t>INF846K01T77</t>
  </si>
  <si>
    <t>Axis Retirement Fund - Conservative Plan - Direct Plan - IDCW</t>
  </si>
  <si>
    <t>INF846K01T85</t>
  </si>
  <si>
    <t>Axis Retirement Fund - Conservative Plan - Regular Growth</t>
  </si>
  <si>
    <t>INF846K01T93</t>
  </si>
  <si>
    <t>Axis Retirement Fund - Conservative Plan - Regular Plan - IDCW</t>
  </si>
  <si>
    <t>INF846K01T28</t>
  </si>
  <si>
    <t>Axis Retirement Fund - Dynamic Plan - Direct Growth</t>
  </si>
  <si>
    <t>INF846K01T36</t>
  </si>
  <si>
    <t>Axis Retirement Fund - Dynamic Plan - Direct Plan - IDCW</t>
  </si>
  <si>
    <t>INF846K01T44</t>
  </si>
  <si>
    <t>Axis Retirement Fund - Dynamic Plan - Regular Growth</t>
  </si>
  <si>
    <t>INF846K01T51</t>
  </si>
  <si>
    <t>Axis Retirement Fund - Dynamic Plan - Regular Plan - IDCW</t>
  </si>
  <si>
    <t>INF194KB1GU2</t>
  </si>
  <si>
    <t>Bandhan Retirement Fund - Direct Plan - Growth</t>
  </si>
  <si>
    <t>INF194KB1GV0</t>
  </si>
  <si>
    <t>INF194KB1GW8</t>
  </si>
  <si>
    <t>Bandhan Retirement Fund - Direct Plan - IDCW</t>
  </si>
  <si>
    <t>INF194KB1GN7</t>
  </si>
  <si>
    <t>Bandhan Retirement Fund - Regular Plan - Growth</t>
  </si>
  <si>
    <t>INF194KB1GO5</t>
  </si>
  <si>
    <t>INF194KB1GP2</t>
  </si>
  <si>
    <t>Bandhan Retirement Fund - Regular Plan - IDCW</t>
  </si>
  <si>
    <t>INF251K01TJ0</t>
  </si>
  <si>
    <t>Baroda BNP Paribas Retirement Fund - Direct plan - Growth option</t>
  </si>
  <si>
    <t>INF251K01TK8</t>
  </si>
  <si>
    <t>Baroda BNP Paribas Retirement Fund - Direct plan - IDCW option</t>
  </si>
  <si>
    <t>INF251K01TH4</t>
  </si>
  <si>
    <t>Baroda BNP Paribas Retirement Fund - Regular plan - Growth option</t>
  </si>
  <si>
    <t>INF251K01TI2</t>
  </si>
  <si>
    <t>Baroda BNP Paribas Retirement Fund - Regular plan - IDCW option</t>
  </si>
  <si>
    <t>INF090I01JZ3</t>
  </si>
  <si>
    <t>Franklin India Retirement Fund - Direct - Growth</t>
  </si>
  <si>
    <t>INF090I01KA4</t>
  </si>
  <si>
    <t>INF090I01KB2</t>
  </si>
  <si>
    <t>Franklin India Retirement Fund - Direct - IDCW</t>
  </si>
  <si>
    <t>INF090I01510</t>
  </si>
  <si>
    <t>Franklin India Retirement Fund - Growth</t>
  </si>
  <si>
    <t>INF090I01528</t>
  </si>
  <si>
    <t>INF090I01536</t>
  </si>
  <si>
    <t>Franklin India Retirement Fund - IDCW</t>
  </si>
  <si>
    <t>INF179KB1MG8</t>
  </si>
  <si>
    <t>HDFC Retirement Savings Fund - Equity Plan - Growth Option</t>
  </si>
  <si>
    <t>INF179KB1MF0</t>
  </si>
  <si>
    <t>HDFC Retirement Savings Fund - Equity Plan - Growth Option - Direct Plan</t>
  </si>
  <si>
    <t>INF179KB1MK0</t>
  </si>
  <si>
    <t>HDFC Retirement Savings Fund - Hybrid-Debt Plan - Growth Option</t>
  </si>
  <si>
    <t>INF179KB1MJ2</t>
  </si>
  <si>
    <t>HDFC Retirement Savings Fund - Hybrid-Debt Plan - Growth Option - Direct Plan</t>
  </si>
  <si>
    <t>INF179KB1MI4</t>
  </si>
  <si>
    <t>HDFC Retirement Savings Fund - Hybrid-Equity Plan - Growth Option</t>
  </si>
  <si>
    <t>INF179KB1MH6</t>
  </si>
  <si>
    <t>HDFC Retirement Savings Fund - Hybrid-Equity Plan - Growth Option - Direct Plan</t>
  </si>
  <si>
    <t>INF109KC1TW4</t>
  </si>
  <si>
    <t>ICICI Prudential Retirement Fund - Hybrid Aggressive - Direct Plan - Growth Option</t>
  </si>
  <si>
    <t>INF109KC1TX2</t>
  </si>
  <si>
    <t>ICICI Prudential Retirement Fund - Hybrid Aggressive - Direct Plan - IDCW Option</t>
  </si>
  <si>
    <t>INF109KC1TU8</t>
  </si>
  <si>
    <t>ICICI Prudential Retirement Fund - Hybrid Aggressive - Growth Option</t>
  </si>
  <si>
    <t>INF109KC1TV6</t>
  </si>
  <si>
    <t>ICICI Prudential Retirement Fund - Hybrid Aggressive - IDCW Option</t>
  </si>
  <si>
    <t>INF109KC1UA8</t>
  </si>
  <si>
    <t>ICICI Prudential Retirement Fund - Hybrid Conservative - Direct Plan - Growth Option</t>
  </si>
  <si>
    <t>INF109KC1UB6</t>
  </si>
  <si>
    <t>ICICI Prudential Retirement Fund - Hybrid Conservative - Direct Plan - IDCW Option</t>
  </si>
  <si>
    <t>INF109KC1TY0</t>
  </si>
  <si>
    <t>ICICI Prudential Retirement Fund - Hybrid Conservative - Growth Option</t>
  </si>
  <si>
    <t>INF109KC1TZ7</t>
  </si>
  <si>
    <t>ICICI Prudential Retirement Fund - Hybrid Conservative - IDCW Option</t>
  </si>
  <si>
    <t>INF109KC1UE0</t>
  </si>
  <si>
    <t>ICICI Prudential Retirement Fund - Pure Debt - Direct Plan - Growth Option</t>
  </si>
  <si>
    <t>INF109KC1UF7</t>
  </si>
  <si>
    <t>ICICI Prudential Retirement Fund - Pure Debt - Direct Plan - IDCW Option</t>
  </si>
  <si>
    <t>INF109KC1UC4</t>
  </si>
  <si>
    <t>ICICI Prudential Retirement Fund - Pure Debt - Growth Option</t>
  </si>
  <si>
    <t>INF109KC1UD2</t>
  </si>
  <si>
    <t>ICICI Prudential Retirement Fund - Pure Debt - IDCW Option</t>
  </si>
  <si>
    <t>INF109KC1TS2</t>
  </si>
  <si>
    <t>ICICI Prudential Retirement Fund - Pure Equity - Direct Plan - Growth Option</t>
  </si>
  <si>
    <t>INF109KC1TT0</t>
  </si>
  <si>
    <t>ICICI Prudential Retirement Fund - Pure Equity - Direct Plan - IDCW Option</t>
  </si>
  <si>
    <t>INF109KC1TQ6</t>
  </si>
  <si>
    <t>ICICI Prudential Retirement Fund - Pure Equity - Growth Option</t>
  </si>
  <si>
    <t>INF109KC1TR4</t>
  </si>
  <si>
    <t>ICICI Prudential Retirement Fund - Pure Equity - IDCW Option</t>
  </si>
  <si>
    <t>INF204KA1C71</t>
  </si>
  <si>
    <t>NIPPON INDIA RETIREMENT FUND - INCOME GENERATION SCHEME - Direct Plan - IDCW Option</t>
  </si>
  <si>
    <t>INF204KA1C63</t>
  </si>
  <si>
    <t>NIPPON INDIA RETIREMENT FUND - INCOME GENERATION SCHEME - IDCW Option</t>
  </si>
  <si>
    <t>INF204KA1C30</t>
  </si>
  <si>
    <t>Nippon India Retirement Fund- Income Generation Scheme- Direct Plan- Growth Plan - Growth Option</t>
  </si>
  <si>
    <t>INF204KA1C55</t>
  </si>
  <si>
    <t>Nippon India Retirement Fund- Income Generation Scheme- Direct Plan-Growth Plan- Bonus Option</t>
  </si>
  <si>
    <t>INF204KA1C48</t>
  </si>
  <si>
    <t>Nippon India Retirement Fund- Income Generation Scheme- Growth Plan- Bonus Option</t>
  </si>
  <si>
    <t>INF204KA1C22</t>
  </si>
  <si>
    <t>Nippon India Retirement Fund- Income Generation Scheme-Growth Plan - Growth Option</t>
  </si>
  <si>
    <t>INF204KA1C14</t>
  </si>
  <si>
    <t>NIPPON INDIA RETIREMENT FUND - WEALTH CREATION SCHEME - Direct Plan - IDCW Option</t>
  </si>
  <si>
    <t>INF204KA1C06</t>
  </si>
  <si>
    <t>NIPPON INDIA RETIREMENT FUND - WEALTH CREATION SCHEME - IDCW Option</t>
  </si>
  <si>
    <t>INF204KA1B72</t>
  </si>
  <si>
    <t>Nippon India Retirement Fund- Wealth Creation Scheme- Direct Plan- Growth Plan - Growth Option</t>
  </si>
  <si>
    <t>INF204KA1B98</t>
  </si>
  <si>
    <t>Nippon India Retirement Fund- Wealth Creation Scheme- Direct Plan-Growth Plan- Bonus Option</t>
  </si>
  <si>
    <t>INF204KA1B64</t>
  </si>
  <si>
    <t>Nippon India Retirement Fund- Wealth Creation Scheme- Growth Plan - Growth Option</t>
  </si>
  <si>
    <t>INF204KA1B80</t>
  </si>
  <si>
    <t>Nippon India Retirement Fund- Wealth Creation Scheme- Growth Plan- Bonus Option</t>
  </si>
  <si>
    <t>INF663L01Y61</t>
  </si>
  <si>
    <t>PGIM India Retirement Fund - Direct Plan - Growth Option</t>
  </si>
  <si>
    <t>INF663L01Y79</t>
  </si>
  <si>
    <t>PGIM India Retirement Fund - Direct Plan - IDCW Payout Option</t>
  </si>
  <si>
    <t>INF663L01Y46</t>
  </si>
  <si>
    <t>PGIM India Retirement Fund - Regular Plan - Growth Option</t>
  </si>
  <si>
    <t>INF663L01Y53</t>
  </si>
  <si>
    <t>PGIM India Retirement Fund - Regular Plan - IDCW Payout Option</t>
  </si>
  <si>
    <t>INF200KA1S97</t>
  </si>
  <si>
    <t>SBI Retirement Benefit Fund - Aggressive Hybrid Plan - Direct Plan - Growth</t>
  </si>
  <si>
    <t>INF200KA1T05</t>
  </si>
  <si>
    <t>SBI Retirement Benefit Fund - Aggressive Hybrid Plan - Direct Plan - Income Distribution cum Capital Withdrawal Option (IDCW)</t>
  </si>
  <si>
    <t>INF200KA1S71</t>
  </si>
  <si>
    <t>SBI Retirement Benefit Fund - Aggressive Hybrid Plan - Regular Plan - Growth</t>
  </si>
  <si>
    <t>INF200KA1S89</t>
  </si>
  <si>
    <t>SBI Retirement Benefit Fund - Aggressive Hybrid Plan - Regular Plan - Income Distribution cum Capital Withdrawal Option (IDCW)</t>
  </si>
  <si>
    <t>INF200KA1S55</t>
  </si>
  <si>
    <t>SBI Retirement Benefit Fund - Aggressive Plan - Direct Plan - Growth</t>
  </si>
  <si>
    <t>INF200KA1S63</t>
  </si>
  <si>
    <t>SBI Retirement Benefit Fund - Aggressive Plan - Direct Plan - Income Distribution cum Capital Withdrawal Option (IDCW)</t>
  </si>
  <si>
    <t>INF200KA1S30</t>
  </si>
  <si>
    <t>SBI Retirement Benefit Fund - Aggressive Plan - Regular Plan - Growth</t>
  </si>
  <si>
    <t>INF200KA1S48</t>
  </si>
  <si>
    <t>SBI Retirement Benefit Fund - Aggressive Plan - Regular Plan - Income Distribution cum Capital Withdrawal Option (IDCW)</t>
  </si>
  <si>
    <t>INF200KA1T70</t>
  </si>
  <si>
    <t>SBI Retirement Benefit Fund - Conservative Hybrid Plan - Direct Plan - Growth</t>
  </si>
  <si>
    <t>INF200KA1T88</t>
  </si>
  <si>
    <t>SBI Retirement Benefit Fund - Conservative Hybrid Plan - Direct Plan - Income Distribution cum Capital Withdrawal Option (IDCW)</t>
  </si>
  <si>
    <t>INF200KA1T54</t>
  </si>
  <si>
    <t>SBI Retirement Benefit Fund - Conservative Hybrid Plan - Regular Plan - Growth</t>
  </si>
  <si>
    <t>INF200KA1T62</t>
  </si>
  <si>
    <t>SBI Retirement Benefit Fund - Conservative Hybrid Plan - Regular Plan - Income Distribution cum Capital Withdrawal Option (IDCW)</t>
  </si>
  <si>
    <t>INF200KA1T39</t>
  </si>
  <si>
    <t>SBI Retirement Benefit Fund - Conservative Plan - Direct Plan - Growth</t>
  </si>
  <si>
    <t>INF200KA1T47</t>
  </si>
  <si>
    <t>SBI Retirement Benefit Fund - Conservative Plan - Direct Plan - Income Distribution cum Capital Withdrawal Option (IDCW)</t>
  </si>
  <si>
    <t>INF200KA1T13</t>
  </si>
  <si>
    <t>SBI Retirement Benefit Fund - Conservative Plan - Regular Plan - Growth</t>
  </si>
  <si>
    <t>INF200KA1T21</t>
  </si>
  <si>
    <t>SBI Retirement Benefit Fund - Conservative Plan - Regular Plan - Income Distribution cum Capital Withdrawal Option (IDCW)</t>
  </si>
  <si>
    <t>INF277K01QM5</t>
  </si>
  <si>
    <t>Tata Retirement Savings Fund- Conservative Plan-Direct Plan-Growth Option</t>
  </si>
  <si>
    <t>INF277K01FI6</t>
  </si>
  <si>
    <t>Tata Retirement Savings Fund- Conservative Plan-Regular Plan-Growth Option</t>
  </si>
  <si>
    <t>INF277K01QN3</t>
  </si>
  <si>
    <t>Tata Retirement Savings Fund- Moderate Plan -Direct Plan-Growth Option</t>
  </si>
  <si>
    <t>INF277K01FH8</t>
  </si>
  <si>
    <t>Tata Retirement Savings Fund- Moderate Plan-Regular Plan-Growth Option</t>
  </si>
  <si>
    <t>INF277K01FG0</t>
  </si>
  <si>
    <t>Tata Retirement Savings Fund - Progressive Plan -Regular Plan-Growth Option</t>
  </si>
  <si>
    <t>INF277K01QO1</t>
  </si>
  <si>
    <t>Tata Retirement Savings Fund- Progressive Plan -Direct Plan-Growth Option</t>
  </si>
  <si>
    <t>INF582M01IK5</t>
  </si>
  <si>
    <t>Union Retirement Fund - Direct Plan - Growth Option</t>
  </si>
  <si>
    <t>INF582M01IL3</t>
  </si>
  <si>
    <t>Union Retirement Fund - Direct Plan - IDCW Option</t>
  </si>
  <si>
    <t>INF582M01IM1</t>
  </si>
  <si>
    <t>Union Retirement Fund - Regular Plan - Growth Option</t>
  </si>
  <si>
    <t>INF582M01IN9</t>
  </si>
  <si>
    <t>Union Retirement Fund - Regular Plan - IDCW Option</t>
  </si>
  <si>
    <t>UTI Retirement Fund - Regular Plan</t>
  </si>
  <si>
    <t>UTI Retirement Fund- Direct Plan</t>
  </si>
  <si>
    <t>INF174KA1DD0</t>
  </si>
  <si>
    <t>Kotak Monthly Interval Plan Series 4-Direct Plan- Dividend Reinvestment</t>
  </si>
  <si>
    <t>INF174KA1DB4</t>
  </si>
  <si>
    <t>Kotak Monthly Interval Plan Series 4-Direct Plan- Growth</t>
  </si>
  <si>
    <t>INF174KA1DC2</t>
  </si>
  <si>
    <t>Kotak Monthly Interval Plan Series 4-Regular Plan- Dividend Reinvestment</t>
  </si>
  <si>
    <t>INF174KA1CZ5</t>
  </si>
  <si>
    <t>Kotak Monthly Interval Plan Series 4-Regular Plan- Growth</t>
  </si>
  <si>
    <t>INF174KA1913</t>
  </si>
  <si>
    <t>Kotak Quarterly Interval Plan Series 12-Direct Plan-Growth</t>
  </si>
  <si>
    <t>INF174KA1863</t>
  </si>
  <si>
    <t>Kotak Quarterly Interval Plan Series 12-Regular Plan-Dividend Payout</t>
  </si>
  <si>
    <t>INF174KA1889</t>
  </si>
  <si>
    <t>Kotak Quarterly Interval Plan Series 12-Regular Plan-Growth</t>
  </si>
  <si>
    <t>INF174KA1CI1</t>
  </si>
  <si>
    <t>Kotak Quarterly Interval Plan Series13- Direct Plan- Dividend Payout</t>
  </si>
  <si>
    <t>INF174KA1CJ9</t>
  </si>
  <si>
    <t>Kotak Quarterly Interval Plan Series13- Direct Plan- Growth</t>
  </si>
  <si>
    <t>INF174KA1CG5</t>
  </si>
  <si>
    <t>Kotak Quarterly Interval Plan Series13- Regular Plan- Dividend Payout</t>
  </si>
  <si>
    <t>INF174KA1CH3</t>
  </si>
  <si>
    <t>Kotak Quarterly Interval Plan Series13- Regular Plan- Growth</t>
  </si>
  <si>
    <t>INF204K01B81</t>
  </si>
  <si>
    <t>Nippon India Annual Interval Fund - Series I - Direct Plan Growth Plan - Growth</t>
  </si>
  <si>
    <t>INF204K01ED4</t>
  </si>
  <si>
    <t>INF204K01EE2</t>
  </si>
  <si>
    <t>NIPPON INDIA ANNUAL INTERVAL FUND - SERIES I - IDCW Option</t>
  </si>
  <si>
    <t>INF204K01EA0</t>
  </si>
  <si>
    <t>INF204K01EB8</t>
  </si>
  <si>
    <t>NIPPON INDIA ANNUAL INTERVAL FUND - SERIES I - RETAIL Plan - IDCW Option</t>
  </si>
  <si>
    <t>INF204K01EC6</t>
  </si>
  <si>
    <t>Nippon India Interval Fund Annual Interval Fund Series-I- Growth Option</t>
  </si>
  <si>
    <t>INF204K01DZ9</t>
  </si>
  <si>
    <t>Nippon India Interval Fund Annual Interval Fund Series-I-Retail Plan Growth Option</t>
  </si>
  <si>
    <t>INF204KB1P74</t>
  </si>
  <si>
    <t>Nippon India Interval Fund V - Series 2 - Direct Plan - Dividend Payout Option</t>
  </si>
  <si>
    <t>INF204KB1P66</t>
  </si>
  <si>
    <t>Nippon India Interval Fund V - Series 2 - Direct Plan - Growth Option</t>
  </si>
  <si>
    <t>INF204KB1P58</t>
  </si>
  <si>
    <t>Nippon India Interval Fund V - Series 2 - Dividend Payout Option</t>
  </si>
  <si>
    <t>INF204KB1P41</t>
  </si>
  <si>
    <t>Nippon India Interval Fund V - Series 2 - Growth Option</t>
  </si>
  <si>
    <t>INF204KB1M51</t>
  </si>
  <si>
    <t>Nippon India Interval Fund V- Series 1- Direct Plan- Dividend Option</t>
  </si>
  <si>
    <t>INF204KB1M44</t>
  </si>
  <si>
    <t>Nippon India Interval Fund V- Series 1- Direct Plan-Growth Option</t>
  </si>
  <si>
    <t>INF204KB1M36</t>
  </si>
  <si>
    <t>Nippon India Interval Fund V- Series 1- Dividend Option</t>
  </si>
  <si>
    <t>INF204KB1M28</t>
  </si>
  <si>
    <t>Nippon India Interval Fund V- Series 1- Growth Option</t>
  </si>
  <si>
    <t>INF204K01DR6</t>
  </si>
  <si>
    <t>INF204K01DS4</t>
  </si>
  <si>
    <t>Nippon India Interval Fund-Quarterly Interval Fund Serie-II-Institutional Plan -Dividend Option</t>
  </si>
  <si>
    <t>INF204K01DN5</t>
  </si>
  <si>
    <t>Nippon India Interval Fund-Quarterly Interval Fund Series-II-Growth Option</t>
  </si>
  <si>
    <t>INF204K01F46</t>
  </si>
  <si>
    <t>INF204K01F53</t>
  </si>
  <si>
    <t>NIPPON INDIA QUARTERLY INTERVAL FUND - SERIES II - Direct Plan - IDCW Option</t>
  </si>
  <si>
    <t>INF204K01F61</t>
  </si>
  <si>
    <t>Nippon India Quarterly Interval Fund - Series II - Direct Plan Growth Plan - Growth</t>
  </si>
  <si>
    <t>INF204K01DO3</t>
  </si>
  <si>
    <t>INF204K01DP0</t>
  </si>
  <si>
    <t>NIPPON INDIA QUARTERLY INTERVAL FUND - SERIES II - IDCW Option</t>
  </si>
  <si>
    <t>INF204K01M47</t>
  </si>
  <si>
    <t>INF204K01M54</t>
  </si>
  <si>
    <t>Nippon India Yearly Interval Fund - Series 1 - Direct Plan - Dividend Plan - Dividend Option</t>
  </si>
  <si>
    <t>INF204K01M39</t>
  </si>
  <si>
    <t>Nippon India Yearly Interval Fund - Series 1 - Direct Plan - Growth Plan - Growth Option</t>
  </si>
  <si>
    <t>INF204K01M13</t>
  </si>
  <si>
    <t>INF204K01M21</t>
  </si>
  <si>
    <t>Nippon India Yearly Interval Fund - Series 1 - Dividend Plan - Dividend Option</t>
  </si>
  <si>
    <t>INF204K01M05</t>
  </si>
  <si>
    <t>Nippon India Yearly Interval Fund - Series 1 - Growth Plan - Growth Option</t>
  </si>
  <si>
    <t>INF204KA12F4</t>
  </si>
  <si>
    <t>Reliance Interval Fund -IV -Series 2 - Direct Plan - Dividend Payout Option</t>
  </si>
  <si>
    <t>INF204KA13F2</t>
  </si>
  <si>
    <t>Reliance Interval Fund -IV -Series 2 - Direct Plan - Growth Option</t>
  </si>
  <si>
    <t>INF204KA10F8</t>
  </si>
  <si>
    <t>Reliance Interval Fund -IV -Series 2 - Dividend Payout Option</t>
  </si>
  <si>
    <t>INF204KA11F6</t>
  </si>
  <si>
    <t>Reliance Interval Fund -IV -Series 2 - Growth Option</t>
  </si>
  <si>
    <t>INF204KA14I4</t>
  </si>
  <si>
    <t>Reliance Interval Fund IV- Series 3- Direct Plan-Dividend Payout Option</t>
  </si>
  <si>
    <t>INF204KA15I1</t>
  </si>
  <si>
    <t>Reliance Interval Fund IV- Series 3- Direct Plan-Growth option</t>
  </si>
  <si>
    <t>INF204KA12I8</t>
  </si>
  <si>
    <t>Reliance Interval Fund IV- Series 3- Dividend Payout Option</t>
  </si>
  <si>
    <t>INF204KA13I6</t>
  </si>
  <si>
    <t>Reliance Interval Fund IV- Series 3- Growth option</t>
  </si>
  <si>
    <t>INF761K01DS3</t>
  </si>
  <si>
    <t>BANK OF INDIA Mid Cap Tax Fund Series 1 Direct Plan Growth</t>
  </si>
  <si>
    <t>INF761K01DT1</t>
  </si>
  <si>
    <t>BANK OF INDIA Mid Cap Tax Fund Series 1 Direct Plan IDCW</t>
  </si>
  <si>
    <t>INF761K01DU9</t>
  </si>
  <si>
    <t>BANK OF INDIA Mid Cap Tax Fund Series 1 Regular Plan Growth</t>
  </si>
  <si>
    <t>INF761K01DV7</t>
  </si>
  <si>
    <t>BANK OF INDIA Mid Cap Tax Fund Series 1 Regular Plan IDCW</t>
  </si>
  <si>
    <t>INF761K01EL6</t>
  </si>
  <si>
    <t>BANK OF INDIA Midcap Tax Fund Series 2 Direct Plan Growth</t>
  </si>
  <si>
    <t>INF761K01EK8</t>
  </si>
  <si>
    <t>BANK OF INDIA Midcap Tax Fund Series 2 Direct Plan IDCW</t>
  </si>
  <si>
    <t>INF761K01EN2</t>
  </si>
  <si>
    <t>BANK OF INDIA Midcap Tax Fund Series 2 Regular Plan Growth</t>
  </si>
  <si>
    <t>INF761K01EM4</t>
  </si>
  <si>
    <t>BANK OF INDIA Midcap Tax Fund Series 2 Regular Plan IDCW</t>
  </si>
  <si>
    <t>INF109KC1077</t>
  </si>
  <si>
    <t>ICICI Prudential Long Term Wealth Enhancement Fund - Cumulative Option</t>
  </si>
  <si>
    <t>INF109KC1093</t>
  </si>
  <si>
    <t>ICICI Prudential Long Term Wealth Enhancement Fund - Direct Plan Cumulative Option</t>
  </si>
  <si>
    <t>INF109KC1101</t>
  </si>
  <si>
    <t>ICICI Prudential Long Term Wealth Enhancement Fund - Direct Plan IDCW Option</t>
  </si>
  <si>
    <t>INF109KC1085</t>
  </si>
  <si>
    <t>ICICI Prudential Long Term Wealth Enhancement Fund - IDCW Option</t>
  </si>
  <si>
    <t>INF109KA1XQ0</t>
  </si>
  <si>
    <t>ICICI Prudential R.I.G.H.T. Fund Dividend</t>
  </si>
  <si>
    <t>INF109KA1XP2</t>
  </si>
  <si>
    <t>ICICI Prudential R.I.G.H.T. Fund Growth</t>
  </si>
  <si>
    <t>INF204K01ON2</t>
  </si>
  <si>
    <t>Reliance Equity Linked Saving Fund - Series I - Dividend Plan</t>
  </si>
  <si>
    <t>INF204K01OM4</t>
  </si>
  <si>
    <t>Reliance Equity Linked Saving Fund - Series I - Growth Plan</t>
  </si>
  <si>
    <t>INF200KA1HN8</t>
  </si>
  <si>
    <t>SBI Long Term Advantage Fund - Series III - Direct Plan - Growth</t>
  </si>
  <si>
    <t>INF200KA1HO6</t>
  </si>
  <si>
    <t>SBI Long Term Advantage Fund - Series III - Direct Plan - Income Distribution cum Capital Withdrawal Option (IDCW)</t>
  </si>
  <si>
    <t>INF200KA1HL2</t>
  </si>
  <si>
    <t>SBI Long Term Advantage Fund - Series III - Regular Plan - Growth</t>
  </si>
  <si>
    <t>INF200KA1HM0</t>
  </si>
  <si>
    <t>SBI Long Term Advantage Fund - Series III - Regular Plan - Income Distribution cum Capital Withdrawal Option (IDCW)</t>
  </si>
  <si>
    <t>INF200KA1LS9</t>
  </si>
  <si>
    <t>SBI Long Term Advantage Fund - Series IV - Direct Plan - Growth</t>
  </si>
  <si>
    <t>INF200KA1LT7</t>
  </si>
  <si>
    <t>SBI Long Term Advantage Fund - Series IV - Direct Plan - Income Distribution cum Capital Withdrawal Option (IDCW)</t>
  </si>
  <si>
    <t>INF200KA1LQ3</t>
  </si>
  <si>
    <t>SBI Long Term Advantage Fund - Series IV - Regular Plan - Growth</t>
  </si>
  <si>
    <t>INF200KA1LR1</t>
  </si>
  <si>
    <t>SBI Long Term Advantage Fund - Series IV - Regular Plan - Income Distribution cum Capital Withdrawal Option (IDCW)</t>
  </si>
  <si>
    <t>INF200KA1RW8</t>
  </si>
  <si>
    <t>SBI Long Term Advantage Fund - Series V - Direct Plan - Growth</t>
  </si>
  <si>
    <t>INF200KA1RX6</t>
  </si>
  <si>
    <t>SBI Long Term Advantage Fund - Series V - Direct Plan - Income Distribution cum Capital Withdrawal Option (IDCW)</t>
  </si>
  <si>
    <t>INF200KA1RV0</t>
  </si>
  <si>
    <t>SBI Long Term Advantage Fund - Series V - Regular Plan - Income Distribution cum Capital Withdrawal Option (IDCW)</t>
  </si>
  <si>
    <t>INF200KA1RU2</t>
  </si>
  <si>
    <t>SBI Long Term Advantage Fund Series V - Regular Plan - Growth</t>
  </si>
  <si>
    <t>INF200KA1TO1</t>
  </si>
  <si>
    <t>SBI Long Term Advantage Fund - Series VI - Direct Plan - Growth</t>
  </si>
  <si>
    <t>INF200KA1TP8</t>
  </si>
  <si>
    <t>SBI Long Term Advantage Fund - Series VI - Direct Plan - Income Distribution cum Capital Withdrawal Option (IDCW)</t>
  </si>
  <si>
    <t>INF200KA1TM5</t>
  </si>
  <si>
    <t>SBI Long Term Advantage Fund - Series VI - Regular Plan - Growth</t>
  </si>
  <si>
    <t>INF200KA1TN3</t>
  </si>
  <si>
    <t>SBI Long Term Advantage Fund - Series VI - Regular Plan - Income Distribution cum Capital Withdrawal Option (IDCW)</t>
  </si>
  <si>
    <t>INF903JA1443</t>
  </si>
  <si>
    <t>Sundaram Long Term Micro Cap Tax Advantage Fund Series III Direct Plan - Growth</t>
  </si>
  <si>
    <t>INF903JA1450</t>
  </si>
  <si>
    <t>Sundaram Long Term Micro Cap Tax Advantage Fund Series III Direct Plan - Payout of Income Distribution cum Capital Withdrawal (IDCW)</t>
  </si>
  <si>
    <t>INF903JA1427</t>
  </si>
  <si>
    <t>Sundaram Long Term Micro Cap Tax Advantage Fund Series III Regular Plan - Growth</t>
  </si>
  <si>
    <t>INF903JA1435</t>
  </si>
  <si>
    <t>Sundaram Long Term Micro Cap Tax Advantage Fund Series III Regular Plan - Payout of Income Distribution cum Capital Withdrawal (IDCW)</t>
  </si>
  <si>
    <t>INF903JA1526</t>
  </si>
  <si>
    <t>Sundaram Long Term Micro Cap Tax Advantage Fund Series IV Direct Plan - Growth</t>
  </si>
  <si>
    <t>INF903JA1534</t>
  </si>
  <si>
    <t>Sundaram Long Term Micro Cap Tax Advantage Fund Series IV Direct Plan - Payout of Income Distribution cum Capital Withdrawal (IDCW)</t>
  </si>
  <si>
    <t>INF903JA1500</t>
  </si>
  <si>
    <t>Sundaram Long Term Micro Cap Tax Advantage Fund Series IV Regular Plan - Growth</t>
  </si>
  <si>
    <t>INF903JA1518</t>
  </si>
  <si>
    <t>Sundaram Long Term Micro Cap Tax Advantage Fund Series IV Regular Plan - Payout of Income Distribution cum Capital Withdrawal (IDCW)</t>
  </si>
  <si>
    <t>INF903JA1AZ0</t>
  </si>
  <si>
    <t>Sundaram Long Term Micro Cap Tax Advantage Fund Series VI Direct Plan - Growth</t>
  </si>
  <si>
    <t>INF903JA1BA1</t>
  </si>
  <si>
    <t>Sundaram Long Term Micro Cap Tax Advantage Fund Series VI Direct Plan - Payout of Income Distribution cum Capital Withdrawal (IDCW)</t>
  </si>
  <si>
    <t>INF903JA1AX5</t>
  </si>
  <si>
    <t>Sundaram Long Term Micro Cap Tax Advantage Fund Series VI Regular Plan - Growth</t>
  </si>
  <si>
    <t>INF903JA1AY3</t>
  </si>
  <si>
    <t>Sundaram Long Term Micro Cap Tax Advantage Fund Series VI Regular Plan - Payout of Income Distribution cum Capital Withdrawal (IDCW)</t>
  </si>
  <si>
    <t>INF903JA1955</t>
  </si>
  <si>
    <t>Sundaram Long Term Micro Cap Tax Advantage Fund Series V Direct Plan - Growth</t>
  </si>
  <si>
    <t>INF903JA1963</t>
  </si>
  <si>
    <t>Sundaram Long Term Micro Cap Tax Advantage Fund Series V Direct Plan - Payout of Income Distribution cum Capital Withdrawal (IDCW)</t>
  </si>
  <si>
    <t>INF903JA1930</t>
  </si>
  <si>
    <t>Sundaram Long Term Micro Cap Tax Advantage Fund Series V Regular Plan - Growth</t>
  </si>
  <si>
    <t>INF903JA1948</t>
  </si>
  <si>
    <t>Sundaram Long Term Micro Cap Tax Advantage Fund Series V Regular Plan - Payout of Income Distribution cum Capital Withdrawal (IDCW)</t>
  </si>
  <si>
    <t>INF903J014A9</t>
  </si>
  <si>
    <t>Sundaram Long Term Tax Advantage Fund Series I Direct Plan - Growth</t>
  </si>
  <si>
    <t>INF903J015A6</t>
  </si>
  <si>
    <t>Sundaram Long Term Tax Advantage Fund Series I Direct Plan - Payout of Income Distribution cum Capital Withdrawal (IDCW)</t>
  </si>
  <si>
    <t>INF903J012A3</t>
  </si>
  <si>
    <t>Sundaram Long Term Tax Advantage Fund Series I Regular Plan - Growth</t>
  </si>
  <si>
    <t>INF903J013A1</t>
  </si>
  <si>
    <t>Sundaram Long Term Tax Advantage Fund Series I Regular Plan - Payout of Income Distribution cum Capital Withdrawal (IDCW)</t>
  </si>
  <si>
    <t>INF903JA1BT1</t>
  </si>
  <si>
    <t>Sundaram Long Term Tax Advantage Fund Series III Direct Plan - Growth</t>
  </si>
  <si>
    <t>INF903JA1BU9</t>
  </si>
  <si>
    <t>Sundaram Long Term Tax Advantage Fund Series III Direct Plan - Payout of Income Distribution cum Capital Withdrawal (IDCW)</t>
  </si>
  <si>
    <t>INF903JA1BR5</t>
  </si>
  <si>
    <t>Sundaram Long Term Tax Advantage Fund Series III Regular Plan - Growth</t>
  </si>
  <si>
    <t>INF903JA1BS3</t>
  </si>
  <si>
    <t>Sundaram Long Term Tax Advantage Fund Series III Regular Plan - Payout of Income Distribution cum Capital Withdrawal (IDCW)</t>
  </si>
  <si>
    <t>INF903JA1CZ6</t>
  </si>
  <si>
    <t>Sundaram Long Term Tax Advantage Fund Series IV Direct Plan - Growth</t>
  </si>
  <si>
    <t>INF903JA1DA7</t>
  </si>
  <si>
    <t>Sundaram Long Term Tax Advantage Fund Series IV Direct Plan - Payout of Income Distribution cum Capital Withdrawal (IDCW)</t>
  </si>
  <si>
    <t>INF903JA1CX1</t>
  </si>
  <si>
    <t>Sundaram Long Term Tax Advantage Fund Series IV Regular Plan - Growth</t>
  </si>
  <si>
    <t>INF903JA1CY9</t>
  </si>
  <si>
    <t>Sundaram Long Term Tax Advantage Fund Series IV Regular Plan - Payout of Income Distribution cum Capital Withdrawal (IDCW)</t>
  </si>
  <si>
    <t>INF903J011W9</t>
  </si>
  <si>
    <t>Sundaram Long Term Tax Advantage Fund Series II Direct Plan - Growth</t>
  </si>
  <si>
    <t>INF903J012W7</t>
  </si>
  <si>
    <t>Sundaram Long Term Tax Advantage Fund Series II Direct Plan - Payout of Income Distribution cum Capital Withdrawal (IDCW)</t>
  </si>
  <si>
    <t>INF903J019V4</t>
  </si>
  <si>
    <t>Sundaram Long Term Tax Advantage Fund Series II Regular Plan - Growth</t>
  </si>
  <si>
    <t>INF903J010W1</t>
  </si>
  <si>
    <t>Sundaram Long Term Tax Advantage Fund Series II Regular Plan - Payout of Income Distribution cum Capital Withdrawal (IDCW)</t>
  </si>
  <si>
    <t>INF789FB19N1</t>
  </si>
  <si>
    <t>UTI Long Term Advantage Fund Series III - Direct Plan - Growth Option</t>
  </si>
  <si>
    <t>INF789FB18N3</t>
  </si>
  <si>
    <t>UTI Long Term Advantage Fund Series III - Direct Plan - IDCW</t>
  </si>
  <si>
    <t>INF789FB17N5</t>
  </si>
  <si>
    <t>UTI Long Term Advantage Fund Series III - Regular Plan - Growth Option</t>
  </si>
  <si>
    <t>INF789FB16N7</t>
  </si>
  <si>
    <t>UTI Long Term Advantage Fund Series III - Regular Plan - IDCW</t>
  </si>
  <si>
    <t>INF789FC1FE5</t>
  </si>
  <si>
    <t>UTI Long Term Advantage Fund Series IV - Direct Plan - Growth Option</t>
  </si>
  <si>
    <t>INF789FC1FD7</t>
  </si>
  <si>
    <t>UTI Long Term Advantage Fund Series IV - Direct Plan - IDCW</t>
  </si>
  <si>
    <t>INF789FC1FC9</t>
  </si>
  <si>
    <t>UTI Long Term Advantage Fund Series IV - Regular Plan - Growth Option</t>
  </si>
  <si>
    <t>INF789FC1FB1</t>
  </si>
  <si>
    <t>UTI Long Term Advantage Fund Series IV - Regular Plan - IDCW</t>
  </si>
  <si>
    <t>INF789FC1HT9</t>
  </si>
  <si>
    <t>UTI Long Term Advantage Fund Series V - Direct Plan - Growth Option</t>
  </si>
  <si>
    <t>INF789FC1HS1</t>
  </si>
  <si>
    <t>UTI Long Term Advantage Fund Series V - Direct Plan - IDCW</t>
  </si>
  <si>
    <t>INF789FC1HR3</t>
  </si>
  <si>
    <t>UTI Long Term Advantage Fund Series V - Regular Plan - Growth Option</t>
  </si>
  <si>
    <t>INF789FC1HQ5</t>
  </si>
  <si>
    <t>UTI Long Term Advantage Fund Series V - Regular Plan - IDCW</t>
  </si>
  <si>
    <t>INF789FC1V82</t>
  </si>
  <si>
    <t>UTI Long Term Advantage Fund Series VI - Direct Plan - Growth Option</t>
  </si>
  <si>
    <t>INF789FC1V74</t>
  </si>
  <si>
    <t>UTI Long Term Advantage Fund Series VI - Direct Plan - IDCW</t>
  </si>
  <si>
    <t>INF789FC1V66</t>
  </si>
  <si>
    <t>UTI Long Term Advantage Fund Series VI - Regular Plan - Growth Option</t>
  </si>
  <si>
    <t>INF789FC1V58</t>
  </si>
  <si>
    <t>UTI Long Term Advantage Fund Series VI - Regular Plan - IDCW</t>
  </si>
  <si>
    <t>UTI - Master Equity Plan Unit Scheme</t>
  </si>
  <si>
    <t>INF179KC1AL2</t>
  </si>
  <si>
    <t>HDFC Equity Opp Fund - II - 1100D June 2017 (1) - Growth Option</t>
  </si>
  <si>
    <t>INF179KC1AJ6</t>
  </si>
  <si>
    <t>HDFC Equity Opp Fund - II - 1100D June 2017 (1) - Growth Option - Direct Plan</t>
  </si>
  <si>
    <t>INF179KC1AM0</t>
  </si>
  <si>
    <t>HDFC Equity Opp Fund - II - 1100D June 2017 (1) - IDCW Option</t>
  </si>
  <si>
    <t>INF179KC1AK4</t>
  </si>
  <si>
    <t>HDFC Equity Opp Fund - II - 1100D June 2017 (1) - IDCW Option - Direct Plan</t>
  </si>
  <si>
    <t>INF179KC1AH0</t>
  </si>
  <si>
    <t>HDFC Equity Opp Fund - II - 1126D May 2017 (1) - Growth Option</t>
  </si>
  <si>
    <t>INF179KC1AF4</t>
  </si>
  <si>
    <t>HDFC Equity Opp Fund - II - 1126D May 2017 (1) - Growth Option - Direct Plan</t>
  </si>
  <si>
    <t>INF179KC1AI8</t>
  </si>
  <si>
    <t>HDFC Equity Opp Fund - II - 1126D May 2017 (1) - IDCW Option</t>
  </si>
  <si>
    <t>INF179KC1AG2</t>
  </si>
  <si>
    <t>HDFC Equity Opp Fund - II - 1126D May 2017 (1) - IDCW Option - Direct Plan</t>
  </si>
  <si>
    <t>INF109KC1BL5</t>
  </si>
  <si>
    <t>ICICI Prudential Bharat Consumption Fund - Series 1 - Cumulative Option</t>
  </si>
  <si>
    <t>INF109KC1BN1</t>
  </si>
  <si>
    <t>ICICI Prudential Bharat Consumption Fund - Series 1 - Direct Plan - Cumulative Option</t>
  </si>
  <si>
    <t>INF109KC1BO9</t>
  </si>
  <si>
    <t>ICICI Prudential Bharat Consumption Fund - Series 1 - Direct Plan - IDCW Option</t>
  </si>
  <si>
    <t>INF109KC1BM3</t>
  </si>
  <si>
    <t>ICICI Prudential Bharat Consumption Fund - Series 1 - IDCW Option</t>
  </si>
  <si>
    <t>INF109KC1CV2</t>
  </si>
  <si>
    <t>ICICI Prudential Bharat Consumption Fund - Series 2 - Cumulative Option</t>
  </si>
  <si>
    <t>INF109KC1CX8</t>
  </si>
  <si>
    <t>ICICI Prudential Bharat Consumption Fund - Series 2 - Direct Plan - Cumulative Option</t>
  </si>
  <si>
    <t>INF109KC1CY6</t>
  </si>
  <si>
    <t>ICICI Prudential Bharat Consumption Fund - Series 2 - Direct Plan - IDCW Option</t>
  </si>
  <si>
    <t>INF109KC1CW0</t>
  </si>
  <si>
    <t>ICICI Prudential Bharat Consumption Fund - Series 2 - IDCW Option</t>
  </si>
  <si>
    <t>INF109KC1GQ3</t>
  </si>
  <si>
    <t>ICICI Prudential Bharat Consumption Fund - Series 3 - Cumulative Option</t>
  </si>
  <si>
    <t>INF109KC1GS9</t>
  </si>
  <si>
    <t>ICICI Prudential Bharat Consumption Fund - Series 3 - Direct Plan - Cumulative Option</t>
  </si>
  <si>
    <t>INF109KC1GT7</t>
  </si>
  <si>
    <t>ICICI Prudential Bharat Consumption Fund - Series 3 - Direct Plan - IDCW Option</t>
  </si>
  <si>
    <t>INF109KC1GR1</t>
  </si>
  <si>
    <t>ICICI Prudential Bharat Consumption Fund - Series 3 - IDCW Option</t>
  </si>
  <si>
    <t>INF109KC1IU1</t>
  </si>
  <si>
    <t>ICICI Prudential Bharat Consumption Fund - Series 4 - Cumulative Option</t>
  </si>
  <si>
    <t>INF109KC1IW7</t>
  </si>
  <si>
    <t>ICICI Prudential Bharat Consumption Fund - Series 4 - Direct Plan - Cumulative Option</t>
  </si>
  <si>
    <t>INF109KC1IX5</t>
  </si>
  <si>
    <t>ICICI Prudential Bharat Consumption Fund - Series 4 - Direct Plan - IDCW Option</t>
  </si>
  <si>
    <t>INF109KC1IV9</t>
  </si>
  <si>
    <t>ICICI Prudential Bharat Consumption Fund - Series 4 - IDCW Option</t>
  </si>
  <si>
    <t>INF109KC1NO4</t>
  </si>
  <si>
    <t>ICICI Prudential Bharat Consumption Fund - Series 5 - Cumulative Option</t>
  </si>
  <si>
    <t>INF109KC1NQ9</t>
  </si>
  <si>
    <t>ICICI Prudential Bharat Consumption Fund - Series 5 - Direct Plan - Cumulative Option</t>
  </si>
  <si>
    <t>INF109KC1NR7</t>
  </si>
  <si>
    <t>ICICI Prudential Bharat Consumption Fund - Series 5 - Direct Plan - IDCW Option</t>
  </si>
  <si>
    <t>INF109KC1NP1</t>
  </si>
  <si>
    <t>ICICI Prudential Bharat Consumption Fund - Series 5 - IDCW Option</t>
  </si>
  <si>
    <t>INF109KB1MX8</t>
  </si>
  <si>
    <t>ICICI Prudential Business Cycle Fund - Series 1  Cumulative Option</t>
  </si>
  <si>
    <t>INF109KB1MV2</t>
  </si>
  <si>
    <t>ICICI Prudential Business Cycle Fund - Series 1 Direct Plan Cumulative Option</t>
  </si>
  <si>
    <t>INF109KB1MW0</t>
  </si>
  <si>
    <t>ICICI Prudential Business Cycle Fund - Series 1 Direct Plan Dividend Option</t>
  </si>
  <si>
    <t>INF109KB1MY6</t>
  </si>
  <si>
    <t>ICICI Prudential Business Cycle Fund - Series 1 Dividend Option</t>
  </si>
  <si>
    <t>INF109KB1OH7</t>
  </si>
  <si>
    <t>ICICI Prudential Business Cycle Fund - Series 2  Cumulative Option</t>
  </si>
  <si>
    <t>INF109KB1OI5</t>
  </si>
  <si>
    <t>ICICI Prudential Business Cycle Fund - Series 2  Dividend Option</t>
  </si>
  <si>
    <t>INF109KB1OF1</t>
  </si>
  <si>
    <t>ICICI Prudential Business Cycle Fund - Series 2 Direct Plan Cumulative Option</t>
  </si>
  <si>
    <t>INF109KB1OG9</t>
  </si>
  <si>
    <t>ICICI Prudential Business Cycle Fund - Series 2 Direct Plan Dividend Option</t>
  </si>
  <si>
    <t>INF109KB1PX1</t>
  </si>
  <si>
    <t>ICICI Prudential Business Cycle Fund - Series 3 Cumulative option</t>
  </si>
  <si>
    <t>INF109KB1PZ6</t>
  </si>
  <si>
    <t>ICICI Prudential Business Cycle Fund - Series 3 Direct Plan Cumulative option</t>
  </si>
  <si>
    <t>INF109KB1QA7</t>
  </si>
  <si>
    <t>ICICI Prudential Business Cycle Fund - Series 3 Direct Plan Dividend option</t>
  </si>
  <si>
    <t>INF109KB1PY9</t>
  </si>
  <si>
    <t>ICICI Prudential Business Cycle Fund - Series 3 Dividend option</t>
  </si>
  <si>
    <t>INF109KA1LK8</t>
  </si>
  <si>
    <t>ICICI Prudential Equity Savings Fund - Series 1  - Dividend</t>
  </si>
  <si>
    <t>INF109KA1LJ0</t>
  </si>
  <si>
    <t>ICICI Prudential Equity Savings Fund - Series 1 - Cumulative</t>
  </si>
  <si>
    <t>INF109KA1LL6</t>
  </si>
  <si>
    <t>ICICI Prudential Equity Savings Fund - Series 1 Direct Plan - Cumulative</t>
  </si>
  <si>
    <t>INF109KA1LM4</t>
  </si>
  <si>
    <t>ICICI Prudential Equity Savings Fund - Series 1 Direct Plan - Dividend</t>
  </si>
  <si>
    <t>INF109KB12R8</t>
  </si>
  <si>
    <t>ICICI Prudential Growth Fund- Series 1 Direct Dividend</t>
  </si>
  <si>
    <t>INF109KB13R6</t>
  </si>
  <si>
    <t>ICICI Prudential Growth Fund- Series 1 Dividend</t>
  </si>
  <si>
    <t>INF109KC1796</t>
  </si>
  <si>
    <t>ICICI Prudential Growth Fund - Series 2 Direct Dividend</t>
  </si>
  <si>
    <t>INF109KC1804</t>
  </si>
  <si>
    <t>ICICI Prudential Growth Fund - Series 2 Dividend</t>
  </si>
  <si>
    <t>INF109KA1S17</t>
  </si>
  <si>
    <t>ICICI Prudential Growth Fund - Series 3 Direct IDCW</t>
  </si>
  <si>
    <t>INF109KA1S09</t>
  </si>
  <si>
    <t>ICICI Prudential Growth Fund - Series 3 IDCW</t>
  </si>
  <si>
    <t>INF109KA1Y76</t>
  </si>
  <si>
    <t>ICICI Prudential Growth Fund - Series 4 Direct Dividend</t>
  </si>
  <si>
    <t>INF109KA1Y68</t>
  </si>
  <si>
    <t>ICICI Prudential Growth Fund - Series 4 Dividend</t>
  </si>
  <si>
    <t>INF109KA13K3</t>
  </si>
  <si>
    <t>ICICI Prudential Growth Fund - Series 5 Direct Dividend</t>
  </si>
  <si>
    <t>INF109KA12K5</t>
  </si>
  <si>
    <t>ICICI Prudential Growth Fund - Series 5 Dividend</t>
  </si>
  <si>
    <t>INF109KA14O3</t>
  </si>
  <si>
    <t>ICICI Prudential Growth Fund - Series 6  Dividend</t>
  </si>
  <si>
    <t>INF109KA15O0</t>
  </si>
  <si>
    <t>ICICI Prudential Growth Fund - Series 6 Direct Dividend</t>
  </si>
  <si>
    <t>INF109KA18P1</t>
  </si>
  <si>
    <t>ICICI Prudential Growth Fund - Series 7  Dividend</t>
  </si>
  <si>
    <t>INF109KA19P9</t>
  </si>
  <si>
    <t>ICICI Prudential Growth Fund - Series 7 Direct Dividend</t>
  </si>
  <si>
    <t>INF109KA19R5</t>
  </si>
  <si>
    <t>ICICI Prudential Growth Fund - Series 8  Dividend</t>
  </si>
  <si>
    <t>INF109KA10S2</t>
  </si>
  <si>
    <t>ICICI Prudential Growth Fund - Series 8 Direct Dividend</t>
  </si>
  <si>
    <t>INF109KB1128</t>
  </si>
  <si>
    <t>ICICI Prudential India Recovery Fund - Series 1 Direct Dividend</t>
  </si>
  <si>
    <t>INF109KB1110</t>
  </si>
  <si>
    <t>ICICI Prudential India Recovery Fund - Series 1 Dividend</t>
  </si>
  <si>
    <t>INF109KB1300</t>
  </si>
  <si>
    <t>ICICI Prudential India Recovery Fund - Series 2 Direct Dividend</t>
  </si>
  <si>
    <t>INF109KB1292</t>
  </si>
  <si>
    <t>ICICI Prudential India Recovery Fund - Series 2 Dividend</t>
  </si>
  <si>
    <t>INF109KB1MD0</t>
  </si>
  <si>
    <t>ICICI Prudential India Recovery Fund - Series 3 Cumulative Option</t>
  </si>
  <si>
    <t>INF109KB1ME8</t>
  </si>
  <si>
    <t>ICICI Prudential India Recovery Fund - Series 3 Direct Plan Cumulative Option</t>
  </si>
  <si>
    <t>INF109KB1LQ4</t>
  </si>
  <si>
    <t>ICICI Prudential India Recovery Fund - Series 3 Direct Plan Dividend Option</t>
  </si>
  <si>
    <t>INF109KB1LP6</t>
  </si>
  <si>
    <t>ICICI Prudential India Recovery Fund - Series 3 Dividend Option</t>
  </si>
  <si>
    <t>INF109KB1QX9</t>
  </si>
  <si>
    <t>ICICI Prudential India Recovery Fund - Series 4 Cumulative Option</t>
  </si>
  <si>
    <t>INF109KB1QY7</t>
  </si>
  <si>
    <t>ICICI Prudential India Recovery Fund - Series 4 Direct Plan Cumulative Option</t>
  </si>
  <si>
    <t>INF109KB1QW1</t>
  </si>
  <si>
    <t>ICICI Prudential India Recovery Fund - Series 4 Direct Plan Dividend Option</t>
  </si>
  <si>
    <t>INF109KB1QV3</t>
  </si>
  <si>
    <t>ICICI Prudential India Recovery Fund - Series 4 Dividend Option</t>
  </si>
  <si>
    <t>INF109KB1UT9</t>
  </si>
  <si>
    <t>ICICI Prudential India Recovery Fund - Series 5 Cumulative Option</t>
  </si>
  <si>
    <t>INF109KB1UU7</t>
  </si>
  <si>
    <t>ICICI Prudential India Recovery Fund - Series 5 Direct Plan Cumulative Option</t>
  </si>
  <si>
    <t>INF109KB1US1</t>
  </si>
  <si>
    <t>ICICI Prudential India Recovery Fund - Series 5 Direct Plan Dividend Option</t>
  </si>
  <si>
    <t>INF109KB1UR3</t>
  </si>
  <si>
    <t>ICICI Prudential India Recovery Fund - Series 5 Dividend Option</t>
  </si>
  <si>
    <t>INF109KB1WJ6</t>
  </si>
  <si>
    <t>ICICI Prudential India Recovery Fund - Series 7 Direct Plan Dividend Option</t>
  </si>
  <si>
    <t>INF109KB1WI8</t>
  </si>
  <si>
    <t>ICICI Prudential India Recovery Fund - Series 7 Dividend Option</t>
  </si>
  <si>
    <t>INF109KB1J57</t>
  </si>
  <si>
    <t>ICICI Prudential Value Fund - Series 1 - Direct Dividend</t>
  </si>
  <si>
    <t>INF109KB1J40</t>
  </si>
  <si>
    <t>ICICI Prudential Value Fund - Series 1 -Dividend</t>
  </si>
  <si>
    <t>INF109KB1L87</t>
  </si>
  <si>
    <t>ICICI Prudential Value Fund - Series 10 - Cumulative Option</t>
  </si>
  <si>
    <t>INF109KB1M03</t>
  </si>
  <si>
    <t>ICICI Prudential Value Fund - Series 10 - Direct Plan - Cumulative Option</t>
  </si>
  <si>
    <t>INF109KB1M11</t>
  </si>
  <si>
    <t>ICICI Prudential Value Fund - Series 10 - Direct Plan - Dividend Option</t>
  </si>
  <si>
    <t>INF109KB1L95</t>
  </si>
  <si>
    <t>ICICI Prudential Value Fund - Series 10 - Dividend Option</t>
  </si>
  <si>
    <t>INF109KB1M60</t>
  </si>
  <si>
    <t>ICICI Prudential Value Fund - Series 11 - Cumulative Option</t>
  </si>
  <si>
    <t>INF109KB1M86</t>
  </si>
  <si>
    <t>ICICI Prudential Value Fund - Series 11 - Direct Plan - Cumulative Option</t>
  </si>
  <si>
    <t>INF109KB1M94</t>
  </si>
  <si>
    <t>ICICI Prudential Value Fund - Series 11 - Direct Plan - Dividend Option</t>
  </si>
  <si>
    <t>INF109KB1M78</t>
  </si>
  <si>
    <t>ICICI Prudential Value Fund - Series 11 - Dividend Option</t>
  </si>
  <si>
    <t>INF109KB1X91</t>
  </si>
  <si>
    <t>ICICI Prudential Value Fund - Series 12 - Direct Plan - Dividend Option</t>
  </si>
  <si>
    <t>INF109KB1X75</t>
  </si>
  <si>
    <t>ICICI Prudential Value Fund - Series 12 - Dividend Option</t>
  </si>
  <si>
    <t>INF109KB13C8</t>
  </si>
  <si>
    <t>ICICI Prudential Value Fund - Series 13 - Direct Plan - Dividend Option</t>
  </si>
  <si>
    <t>INF109KB11C2</t>
  </si>
  <si>
    <t>ICICI Prudential Value Fund - Series 13 - Dividend Option</t>
  </si>
  <si>
    <t>INF109KB16J6</t>
  </si>
  <si>
    <t>ICICI Prudential Value Fund - Series 14 - Cumulative Option</t>
  </si>
  <si>
    <t>INF109KB18J2</t>
  </si>
  <si>
    <t>ICICI Prudential Value Fund - Series 14 - Direct Plan - Cumulative Option</t>
  </si>
  <si>
    <t>INF109KB19J0</t>
  </si>
  <si>
    <t>ICICI Prudential Value Fund - Series 14 - Direct Plan - Dividend Option</t>
  </si>
  <si>
    <t>INF109KB17J4</t>
  </si>
  <si>
    <t>ICICI Prudential Value Fund - Series 14 - Dividend Option</t>
  </si>
  <si>
    <t>INF109KB16S7</t>
  </si>
  <si>
    <t>ICICI Prudential Value Fund - Series 15 - Cumulative Option</t>
  </si>
  <si>
    <t>INF109KB18S3</t>
  </si>
  <si>
    <t>ICICI Prudential Value Fund - Series 15 - Direct Plan - Cumulative Option</t>
  </si>
  <si>
    <t>INF109KB19S1</t>
  </si>
  <si>
    <t>ICICI Prudential Value Fund - Series 15 - Direct Plan - Dividend Option</t>
  </si>
  <si>
    <t>INF109KB17S5</t>
  </si>
  <si>
    <t>ICICI Prudential Value Fund - Series 15 - Dividend Option</t>
  </si>
  <si>
    <t>INF109KB15T7</t>
  </si>
  <si>
    <t>ICICI Prudential Value Fund - Series 16 - Cumulative Option</t>
  </si>
  <si>
    <t>INF109KB17T3</t>
  </si>
  <si>
    <t>ICICI Prudential Value Fund - Series 16 - Direct Plan - Cumulative Option</t>
  </si>
  <si>
    <t>INF109KB18T1</t>
  </si>
  <si>
    <t>ICICI Prudential Value Fund - Series 16 - Direct Plan - Dividend Option</t>
  </si>
  <si>
    <t>INF109KB16T5</t>
  </si>
  <si>
    <t>ICICI Prudential Value Fund - Series 16 - Dividend Option</t>
  </si>
  <si>
    <t>INF109KB11W0</t>
  </si>
  <si>
    <t>ICICI Prudential Value Fund - Series 17 - Cumulative Option</t>
  </si>
  <si>
    <t>INF109KB19V5</t>
  </si>
  <si>
    <t>ICICI Prudential Value Fund - Series 17 - Direct Plan - Cumulative Option</t>
  </si>
  <si>
    <t>INF109KB10W2</t>
  </si>
  <si>
    <t>ICICI Prudential Value Fund - Series 17 - Direct Plan - IDCW Option</t>
  </si>
  <si>
    <t>INF109KB12W8</t>
  </si>
  <si>
    <t>ICICI Prudential Value Fund - Series 17 - IDCW Option</t>
  </si>
  <si>
    <t>INF109KB11Y6</t>
  </si>
  <si>
    <t>ICICI Prudential Value Fund - Series 18 - Cumulative Option</t>
  </si>
  <si>
    <t>INF109KB13Y2</t>
  </si>
  <si>
    <t>ICICI Prudential Value Fund - Series 18 - Direct Plan - Cumulative Option</t>
  </si>
  <si>
    <t>INF109KB14Y0</t>
  </si>
  <si>
    <t>ICICI Prudential Value Fund - Series 18 - Direct Plan - IDCW Option</t>
  </si>
  <si>
    <t>INF109KB12Y4</t>
  </si>
  <si>
    <t>ICICI Prudential Value Fund - Series 18 - IDCW Option</t>
  </si>
  <si>
    <t>INF109KB16Z2</t>
  </si>
  <si>
    <t>ICICI Prudential Value Fund - Series 19 - Cumulative Option</t>
  </si>
  <si>
    <t>INF109KB18Z8</t>
  </si>
  <si>
    <t>ICICI Prudential Value Fund - Series 19 - Direct Plan - Cumulative Option</t>
  </si>
  <si>
    <t>INF109KB19Z6</t>
  </si>
  <si>
    <t>ICICI Prudential Value Fund - Series 19 - Direct Plan - IDCW Option</t>
  </si>
  <si>
    <t>INF109KB17Z0</t>
  </si>
  <si>
    <t>ICICI Prudential Value Fund - Series 19 - IDCW Option</t>
  </si>
  <si>
    <t>INF109KB1L38</t>
  </si>
  <si>
    <t>ICICI Prudential Value Fund - Series 2 - Direct Dividend</t>
  </si>
  <si>
    <t>INF109KB1L20</t>
  </si>
  <si>
    <t>ICICI Prudential Value Fund - Series 2 - Dividend</t>
  </si>
  <si>
    <t>INF109KC1333</t>
  </si>
  <si>
    <t>ICICI Prudential Value Fund - Series 20 - Cumulative Option</t>
  </si>
  <si>
    <t>INF109KC1358</t>
  </si>
  <si>
    <t>ICICI Prudential Value Fund - Series 20 - Direct Plan - Cumulative Option</t>
  </si>
  <si>
    <t>INF109KC1366</t>
  </si>
  <si>
    <t>ICICI Prudential Value Fund - Series 20 - Direct Plan - IDCW Option</t>
  </si>
  <si>
    <t>INF109KC1341</t>
  </si>
  <si>
    <t>ICICI Prudential Value Fund - Series 20 - IDCW Option</t>
  </si>
  <si>
    <t>INF109KA1OE5</t>
  </si>
  <si>
    <t>ICICI Prudential Value Fund - Series 3 - Direct Dividend</t>
  </si>
  <si>
    <t>INF109KA1OD7</t>
  </si>
  <si>
    <t>ICICI Prudential Value Fund - Series 3 - Dividend</t>
  </si>
  <si>
    <t>INF109KA1TQ8</t>
  </si>
  <si>
    <t>ICICI Prudential Value Fund - Series 4  Dividend</t>
  </si>
  <si>
    <t>INF109KA1TP0</t>
  </si>
  <si>
    <t>ICICI Prudential Value Fund - Series 4 Cumulative Option</t>
  </si>
  <si>
    <t>INF109KA1TR6</t>
  </si>
  <si>
    <t>ICICI Prudential Value Fund - Series 4 Direct Plan Cumulative Option</t>
  </si>
  <si>
    <t>INF109KA1TS4</t>
  </si>
  <si>
    <t>ICICI Prudential Value Fund - Series 4 Direct Plan Dividend</t>
  </si>
  <si>
    <t>INF109KA1J00</t>
  </si>
  <si>
    <t>ICICI Prudential Value Fund - Series 5  Cumulative Option</t>
  </si>
  <si>
    <t>INF109KA1J26</t>
  </si>
  <si>
    <t>ICICI Prudential Value Fund - Series 5 Direct Plan Cumulative Option</t>
  </si>
  <si>
    <t>INF109KA1J34</t>
  </si>
  <si>
    <t>ICICI Prudential Value Fund - Series 5 Direct Plan Dividend Option</t>
  </si>
  <si>
    <t>INF109KA1J18</t>
  </si>
  <si>
    <t>ICICI Prudential Value Fund - Series 5 Dividend Option</t>
  </si>
  <si>
    <t>INF109KB1557</t>
  </si>
  <si>
    <t>ICICI Prudential Value Fund - Series 6  Cumulative Option</t>
  </si>
  <si>
    <t>INF109KB1565</t>
  </si>
  <si>
    <t>ICICI Prudential Value Fund - Series 6  Dividend Option</t>
  </si>
  <si>
    <t>INF109KB1573</t>
  </si>
  <si>
    <t>ICICI Prudential Value Fund - Series 6 Direct Plan Cumulative Option</t>
  </si>
  <si>
    <t>INF109KB1581</t>
  </si>
  <si>
    <t>ICICI Prudential Value Fund - Series 6 Direct Plan Dividend Option</t>
  </si>
  <si>
    <t>INF109KB1EW7</t>
  </si>
  <si>
    <t>ICICI Prudential Value Fund - Series 7 Direct Plan Dividend Option</t>
  </si>
  <si>
    <t>INF109KB1EU1</t>
  </si>
  <si>
    <t>ICICI Prudential Value Fund - Series 7 Dividend Option</t>
  </si>
  <si>
    <t>INF109KC1JK0</t>
  </si>
  <si>
    <t>ICICI Prudential Value Fund - Series 8 Direct Plan Dividend Option</t>
  </si>
  <si>
    <t>INF109KC1JJ2</t>
  </si>
  <si>
    <t>ICICI Prudential Value Fund - Series 8 Dividend Option</t>
  </si>
  <si>
    <t>INF109KB1I25</t>
  </si>
  <si>
    <t>ICICI Prudential Value Fund - Series 9 - Cumulative Option</t>
  </si>
  <si>
    <t>INF109KB1I41</t>
  </si>
  <si>
    <t>ICICI Prudential Value Fund - Series 9 - Direct Plan - Cumulative Option</t>
  </si>
  <si>
    <t>INF109KB1I58</t>
  </si>
  <si>
    <t>ICICI Prudential Value Fund - Series 9 - Direct Plan - Dividend Option</t>
  </si>
  <si>
    <t>INF109KB1I33</t>
  </si>
  <si>
    <t>ICICI Prudential Value Fund - Series 9 - Dividend Option</t>
  </si>
  <si>
    <t>INF174K01P57</t>
  </si>
  <si>
    <t>Kotak India Gorwth Fund - Series I - Direct Plan - Dividend</t>
  </si>
  <si>
    <t>INF174K01P40</t>
  </si>
  <si>
    <t>Kotak India Gorwth Fund - Series I - Direct Plan - Growth</t>
  </si>
  <si>
    <t>INF174K01P32</t>
  </si>
  <si>
    <t>Kotak India Gorwth Fund - Series I - Regular Plan - Dividend</t>
  </si>
  <si>
    <t>INF174K01P24</t>
  </si>
  <si>
    <t>Kotak India Gorwth Fund - Series I - Regular Plan - Growth</t>
  </si>
  <si>
    <t>INF174KA1GD3</t>
  </si>
  <si>
    <t>Kotak India Growth Fund Series 4 - Regular Plan- Growth option</t>
  </si>
  <si>
    <t>INF174KA1GF8</t>
  </si>
  <si>
    <t>Kotak India Growth Fund Series 4-Direct Plan - Growth Option</t>
  </si>
  <si>
    <t>INF174KA1GG6</t>
  </si>
  <si>
    <t>Kotak India Growth Fund Series 4-Direct Plan-ayout of Income Distribution cum capital withdrawal option</t>
  </si>
  <si>
    <t>INF174KA1GE1</t>
  </si>
  <si>
    <t>Kotak India Growth Fund Series 4-Regular Plan-ayout of Income Distribution cum capital withdrawal option</t>
  </si>
  <si>
    <t>INF174K014X0</t>
  </si>
  <si>
    <t xml:space="preserve">Kotak India Growth Fund Series 5-Direct PLan-ayout of Income Distribution cum capital withdrawal option </t>
  </si>
  <si>
    <t>INF174K013X2</t>
  </si>
  <si>
    <t>Kotak India Growth Fund Series 5-Direct Plan-Growth Option</t>
  </si>
  <si>
    <t>INF174K012X4</t>
  </si>
  <si>
    <t xml:space="preserve">Kotak India Growth Fund Series 5-Regular Plan-ayout of Income Distribution cum capital withdrawal option </t>
  </si>
  <si>
    <t>INF174K011X6</t>
  </si>
  <si>
    <t>Kotak India Growth Fund Series 5-Regular Plan-Growth Option</t>
  </si>
  <si>
    <t>INF174KA1525</t>
  </si>
  <si>
    <t>Kotak India Growth Fund Series 7 - Direct Plan - Growth Option</t>
  </si>
  <si>
    <t>INF174KA1517</t>
  </si>
  <si>
    <t xml:space="preserve">Kotak India Growth Fund Series 7 - Regular Plan - ayout of Income Distribution cum capital withdrawal option </t>
  </si>
  <si>
    <t>INF174KA1509</t>
  </si>
  <si>
    <t>Kotak India Growth Fund Series 7 - Regular Plan - Growth Option</t>
  </si>
  <si>
    <t>INF174KA1533</t>
  </si>
  <si>
    <t xml:space="preserve">Kotak India Growth Fund Series 7 -Direct Plan  -ayout of Income Distribution cum capital withdrawal option </t>
  </si>
  <si>
    <t>INF204KB1RR3</t>
  </si>
  <si>
    <t>Nippon India Capital Builder Fund IV- Series A- Direct Plan-Dividend Payout Option</t>
  </si>
  <si>
    <t>INF204KB1RQ5</t>
  </si>
  <si>
    <t>Nippon India Capital Builder Fund IV- Series A- Direct Plan-Growth Option</t>
  </si>
  <si>
    <t>INF204KB1RP7</t>
  </si>
  <si>
    <t>Nippon India Capital Builder Fund IV- Series A- Dividend Payout Option</t>
  </si>
  <si>
    <t>INF204KB1RO0</t>
  </si>
  <si>
    <t>Nippon India Capital Builder Fund IV- Series A- Growth Option</t>
  </si>
  <si>
    <t>INF204KB1ST7</t>
  </si>
  <si>
    <t>Nippon India Capital Builder Fund IV- Series C- Direct Plan-Dividend Payout Option</t>
  </si>
  <si>
    <t>INF204KB1SS9</t>
  </si>
  <si>
    <t>Nippon India Capital Builder Fund IV- Series C- Direct Plan-Growth Option</t>
  </si>
  <si>
    <t>INF204KB1SR1</t>
  </si>
  <si>
    <t>Nippon India Capital Builder Fund IV- Series C- Dividend Payout Option</t>
  </si>
  <si>
    <t>INF204KB1SQ3</t>
  </si>
  <si>
    <t>Nippon India Capital Builder Fund IV- Series C- Growth Option</t>
  </si>
  <si>
    <t>INF204KB1TI8</t>
  </si>
  <si>
    <t>Nippon India Capital Builder Fund IV- Series D- Direct Plan- Growth Option</t>
  </si>
  <si>
    <t>INF204KB1TJ6</t>
  </si>
  <si>
    <t>Nippon India Capital Builder Fund IV- Series D- Direct Plan-Dividend Payout Option</t>
  </si>
  <si>
    <t>INF204KB1TH0</t>
  </si>
  <si>
    <t>Nippon India Capital Builder Fund IV- Series D- Dividend Payout Option</t>
  </si>
  <si>
    <t>INF204KB1TG2</t>
  </si>
  <si>
    <t>Nippon India Capital Builder Fund IV- Series D- Growth Option</t>
  </si>
  <si>
    <t>INF204KB1UH8</t>
  </si>
  <si>
    <t>NIPPON INDIA FIXED HORIZON FUND - XXXVI - SERIES 1 - DIRECT Plan - IDCW Option</t>
  </si>
  <si>
    <t>INF204KB1UF2</t>
  </si>
  <si>
    <t>NIPPON INDIA FIXED HORIZON FUND - XXXVI - SERIES 1 - IDCW Option</t>
  </si>
  <si>
    <t>INF204KB1UG0</t>
  </si>
  <si>
    <t>Nippon India Fixed Horizon Fund XXXVI- Series 1- Direct Plan-Growth Option</t>
  </si>
  <si>
    <t>INF204KB1UE5</t>
  </si>
  <si>
    <t>Nippon India Fixed Horizon Fund XXXVI- Series 1- Growth Option</t>
  </si>
  <si>
    <t>INF204KB1I57</t>
  </si>
  <si>
    <t>NIPPON INDIA - INDIA OPPORTUNITIES FUND - SERIES A - DIRECT Plan - IDCW Option</t>
  </si>
  <si>
    <t>INF204KB1I32</t>
  </si>
  <si>
    <t>NIPPON INDIA - INDIA OPPORTUNITIES FUND - SERIES A - IDCW Option</t>
  </si>
  <si>
    <t>INF204KB1I40</t>
  </si>
  <si>
    <t>Nippon India India Opportunities Fund - Series A - Direct Plan - Growth Option</t>
  </si>
  <si>
    <t>INF204KB1I24</t>
  </si>
  <si>
    <t>Nippon India India Opportunities Fund - Series A - Growth Option</t>
  </si>
  <si>
    <t>INF204KA1ZJ4</t>
  </si>
  <si>
    <t>Reliance Capital Builder Fund II - Series B - Direct Plan - Dividend Payout Option</t>
  </si>
  <si>
    <t>INF204KA1ZI6</t>
  </si>
  <si>
    <t>Reliance Capital Builder Fund II - Series B - Direct Plan - Growth Option</t>
  </si>
  <si>
    <t>INF204KA1ZH8</t>
  </si>
  <si>
    <t>Reliance Capital Builder Fund II - Series B - Dividend Payout Option</t>
  </si>
  <si>
    <t>INF204KA1ZG0</t>
  </si>
  <si>
    <t>Reliance Capital Builder Fund II - Series B - Growth Option</t>
  </si>
  <si>
    <t>INF204KA1F86</t>
  </si>
  <si>
    <t>Reliance Capital Builder Fund II - Series C - Direct Plan - Dividend Payout Option</t>
  </si>
  <si>
    <t>INF204KA1F78</t>
  </si>
  <si>
    <t>Reliance Capital Builder Fund II - Series C - Direct Plan - Growth Option</t>
  </si>
  <si>
    <t>INF204KA1F60</t>
  </si>
  <si>
    <t>Reliance Capital Builder Fund II - Series C - Dividend Payout Option</t>
  </si>
  <si>
    <t>INF204KA1F52</t>
  </si>
  <si>
    <t>Reliance Capital Builder Fund II - Series C - Growth Option</t>
  </si>
  <si>
    <t>INF204KA1YL3</t>
  </si>
  <si>
    <t>Reliance Capital Builder Fund II- Series A- Direct Plan-Dividend Payout Option</t>
  </si>
  <si>
    <t>INF204KA1YK5</t>
  </si>
  <si>
    <t>Reliance Capital Builder Fund II- Series A- Direct Plan-Growth Option</t>
  </si>
  <si>
    <t>INF204KA1YJ7</t>
  </si>
  <si>
    <t>Reliance Capital Builder Fund II- Series A- Dividend Payout Option</t>
  </si>
  <si>
    <t>INF204KA1YI9</t>
  </si>
  <si>
    <t>Reliance Capital Builder Fund II- Series A- Growth Option</t>
  </si>
  <si>
    <t>INF204KA16D0</t>
  </si>
  <si>
    <t>Reliance Capital Builder Fund III - Series A - Direct Plan - Dividend Payout Option</t>
  </si>
  <si>
    <t>INF204KA15D2</t>
  </si>
  <si>
    <t>Reliance Capital Builder Fund III - Series A - Direct Plan - Growth Option</t>
  </si>
  <si>
    <t>INF204KA14D5</t>
  </si>
  <si>
    <t>Reliance Capital Builder Fund III - Series A - Dividend Payout Option</t>
  </si>
  <si>
    <t>INF204KA13D7</t>
  </si>
  <si>
    <t>Reliance Capital Builder Fund III - Series A - Growth Option</t>
  </si>
  <si>
    <t>INF204KA1RY0</t>
  </si>
  <si>
    <t>Reliance Capital Builder Fund- Series A- Direct Plan- Dividend Payout Opotion</t>
  </si>
  <si>
    <t>INF204KA1RX2</t>
  </si>
  <si>
    <t>Reliance Capital Builder Fund- Series A- Direct Plan- Growth Option</t>
  </si>
  <si>
    <t>INF204KA1RW4</t>
  </si>
  <si>
    <t>Reliance Capital Builder Fund- Series A- Dividend Payout Option</t>
  </si>
  <si>
    <t>INF204KA1RV6</t>
  </si>
  <si>
    <t>Reliance Capital Builder Fund- Series A- Growth Option</t>
  </si>
  <si>
    <t>INF204KA1SW2</t>
  </si>
  <si>
    <t>Reliance Capital Builder Fund- Series B- Direct Plan- Dividend Payout Option</t>
  </si>
  <si>
    <t>INF204KA1SV4</t>
  </si>
  <si>
    <t>Reliance Capital Builder Fund- Series B- Direct Plan- Growth Opiton</t>
  </si>
  <si>
    <t>INF204KA1SU6</t>
  </si>
  <si>
    <t>Reliance Capital Builder Fund- Series B- Dividend Payout Option</t>
  </si>
  <si>
    <t>INF204KA1ST8</t>
  </si>
  <si>
    <t>Reliance Capital Builder Fund- Series B- Growth Option</t>
  </si>
  <si>
    <t>INF204KA1UE6</t>
  </si>
  <si>
    <t>Reliance Capital Builder Fund- Series C- Direct Plan- Dividend Payout Option</t>
  </si>
  <si>
    <t>INF204KA1UD8</t>
  </si>
  <si>
    <t>Reliance Capital Builder Fund- Series C- Direct Plan- Growth Option</t>
  </si>
  <si>
    <t>INF204KA1UC0</t>
  </si>
  <si>
    <t>Reliance Capital Builder Fund- Series C- Dividend Payout Option</t>
  </si>
  <si>
    <t>INF204KA1UB2</t>
  </si>
  <si>
    <t>Reliance Capital Builder Fund- Series C- Growth Option</t>
  </si>
  <si>
    <t>INF204K018R7</t>
  </si>
  <si>
    <t>Reliance Close Ended Equity Fund - Series A - Direct Plan - Dividend Payout Option</t>
  </si>
  <si>
    <t>INF204K017R9</t>
  </si>
  <si>
    <t>Reliance Close Ended Equity Fund - Series A - Direct Plan - Growth Option</t>
  </si>
  <si>
    <t>INF204K016R1</t>
  </si>
  <si>
    <t>Reliance Close Ended Equity Fund - Series A - Dividend Payout Option</t>
  </si>
  <si>
    <t>INF204K015R3</t>
  </si>
  <si>
    <t>Reliance Close Ended Equity Fund - Series A - Growth Option</t>
  </si>
  <si>
    <t>INF204K012S8</t>
  </si>
  <si>
    <t>Reliance Close Ended Equity Fund - Series B - Direct Plan - Dividend Payout Option</t>
  </si>
  <si>
    <t>INF204K011S0</t>
  </si>
  <si>
    <t>Reliance Close Ended Equity Fund - Series B - Direct Plan - Growth Option</t>
  </si>
  <si>
    <t>INF204K010S2</t>
  </si>
  <si>
    <t>Reliance Close Ended Equity Fund - Series B - Dividend Payout Option</t>
  </si>
  <si>
    <t>INF204K019R5</t>
  </si>
  <si>
    <t>Reliance Close Ended Equity Fund - Series B - Growth Option</t>
  </si>
  <si>
    <t>INF204KA1OW1</t>
  </si>
  <si>
    <t>Reliance Close Ended Equity Fund II- Series A- Direct Plan- Dividend Payout Option</t>
  </si>
  <si>
    <t>INF204KA1OV3</t>
  </si>
  <si>
    <t>Reliance Close Ended Equity Fund II- Series A- Direct Plan- Growth Option</t>
  </si>
  <si>
    <t>INF204KA1OU5</t>
  </si>
  <si>
    <t>Reliance Close Ended Equity Fund II- Series A- Dividend Payout Option</t>
  </si>
  <si>
    <t>INF204KA1OT7</t>
  </si>
  <si>
    <t>Reliance Close Ended Equity Fund II- Series A- Growth Option</t>
  </si>
  <si>
    <t>INF789FC1Q55</t>
  </si>
  <si>
    <t>UTI Focussed Equity Fund Series - 1 (2195 Days) - Direct Plan - Dividend Option</t>
  </si>
  <si>
    <t>INF789FC1Q63</t>
  </si>
  <si>
    <t>UTI Focussed Equity Fund Series - 1 (2195 Days) - Direct Plan - Growth Option</t>
  </si>
  <si>
    <t>INF789FC1Q30</t>
  </si>
  <si>
    <t>UTI Focussed Equity Fund Series - 1 (2195 Days) - Regular Plan - Dividend Option</t>
  </si>
  <si>
    <t>INF789FC1Q48</t>
  </si>
  <si>
    <t>UTI Focussed Equity Fund Series - 1 (2195 Days) - Regular Plan - Growth Option</t>
  </si>
  <si>
    <t>INF789FC1T37</t>
  </si>
  <si>
    <t>UTI Focussed Equity Fund - Series IV (1104 Days) - Direct Plan - Dividend  Option</t>
  </si>
  <si>
    <t>INF789FC1T45</t>
  </si>
  <si>
    <t>UTI Focussed Equity Fund - Series IV (1104 Days) - Direct Plan - Growth Option</t>
  </si>
  <si>
    <t>INF789FC1T11</t>
  </si>
  <si>
    <t>UTI Focussed Equity Fund - Series IV (1104 Days) - Regular Plan - Dividend Option</t>
  </si>
  <si>
    <t>INF789FC1T29</t>
  </si>
  <si>
    <t>UTI Focussed Equity Fund - Series IV (1104 Days) - Regular Plan - Growth Option</t>
  </si>
  <si>
    <t>INF789FC1X15</t>
  </si>
  <si>
    <t>UTI Focussed Equity Fund - Series V (1102 Days) - Direct Plan - Dividend Option</t>
  </si>
  <si>
    <t>INF789FC1X23</t>
  </si>
  <si>
    <t>UTI Focussed Equity Fund - Series V (1102 Days) - Direct Plan - Growth Option</t>
  </si>
  <si>
    <t>INF789FC1W99</t>
  </si>
  <si>
    <t>UTI Focussed Equity Fund - Series V (1102 Days) - Regular Plan - Dividend Option</t>
  </si>
  <si>
    <t>INF789FC1X07</t>
  </si>
  <si>
    <t>UTI Focussed Equity Fund - Series V (1102 Days) - Regular Plan - Growth Option</t>
  </si>
  <si>
    <t>INF789FC12G8</t>
  </si>
  <si>
    <t>UTI Focussed Equity Fund - Series VI (1150 Days) - Direct Plan - Growth Option</t>
  </si>
  <si>
    <t>INF789FC11G0</t>
  </si>
  <si>
    <t>UTI Focussed Equity Fund - Series VI (1150 Days) - Direct Plan - IDCW</t>
  </si>
  <si>
    <t>INF789FC10G2</t>
  </si>
  <si>
    <t>UTI Focussed Equity Fund - Series VI (1150 Days) - Regular Plan - Growth Option</t>
  </si>
  <si>
    <t>INF789FC19F5</t>
  </si>
  <si>
    <t>UTI Focussed Equity Fund - Series VI (1150 Days) - Regular Plan - IDCW</t>
  </si>
  <si>
    <t>INF789FC18D2</t>
  </si>
  <si>
    <t>UTI Long Term Advantage Fund Series VII - Direct Plan - Growth Option</t>
  </si>
  <si>
    <t>INF789FC17D4</t>
  </si>
  <si>
    <t>UTI Long Term Advantage Fund Series VII - Direct Plan - IDCW</t>
  </si>
  <si>
    <t>INF789FC16D6</t>
  </si>
  <si>
    <t>UTI Long Term Advantage Fund Series VII - Regular Plan - Growth Option</t>
  </si>
  <si>
    <t>INF789FC15D8</t>
  </si>
  <si>
    <t>UTI Long Term Advantage Fund Series VII - Regular Plan - IDCW</t>
  </si>
  <si>
    <t>INF209KB11Y4</t>
  </si>
  <si>
    <t>Aditya Birla Sun Life Fixed Maturity Plan - Series UQ (92 days) - Direct Plan - Growth Option</t>
  </si>
  <si>
    <t>INF209KB12Y2</t>
  </si>
  <si>
    <t>Aditya Birla Sun Life Fixed Maturity Plan - Series UQ (92 days) - Direct Plan - Payout of IDCW Option</t>
  </si>
  <si>
    <t>INF209KB19X9</t>
  </si>
  <si>
    <t>Aditya Birla Sun Life Fixed Maturity Plan - Series UQ (92 days) - Regular Plan - Growth Option</t>
  </si>
  <si>
    <t>INF209KB10Y6</t>
  </si>
  <si>
    <t>Aditya Birla Sun Life Fixed Maturity Plan - Series UQ (92 days) - Regular Plan - Payout of IDCW Option</t>
  </si>
  <si>
    <t>INF209KB15Y5</t>
  </si>
  <si>
    <t>Aditya Birla Sun Life Fixed Maturity Plan - Series UR (85 days) - Direct Plan - Growth Option</t>
  </si>
  <si>
    <t>INF209KB16Y3</t>
  </si>
  <si>
    <t>Aditya Birla Sun Life Fixed Maturity Plan - Series UR (85 days) - Direct Plan - Payout of IDCW Option</t>
  </si>
  <si>
    <t>INF209KB13Y0</t>
  </si>
  <si>
    <t>Aditya Birla Sun Life Fixed Maturity Plan - Series UR (85 days) - Regular Plan - Growth Option</t>
  </si>
  <si>
    <t>INF209KB14Y8</t>
  </si>
  <si>
    <t>Aditya Birla Sun Life Fixed Maturity Plan - Series UR (85 days) - Regular Plan - Payout of IDCW Option</t>
  </si>
  <si>
    <t>INF209KB13Z7</t>
  </si>
  <si>
    <t>Aditya Birla Sun Life Fixed Maturity Plan - Series US (100 days) - Direct Plan - Growth Option</t>
  </si>
  <si>
    <t>INF209KB14Z5</t>
  </si>
  <si>
    <t>Aditya Birla Sun Life Fixed Maturity Plan - Series US (100 days) - Direct Plan - Payout of IDCW Option</t>
  </si>
  <si>
    <t>INF209KB11Z1</t>
  </si>
  <si>
    <t>Aditya Birla Sun Life Fixed Maturity Plan - Series US (100 days) - Regular Plan - Growth Option</t>
  </si>
  <si>
    <t>INF209KB12Z9</t>
  </si>
  <si>
    <t>Aditya Birla Sun Life Fixed Maturity Plan - Series US (100 days) - Regular Plan - Payout of IDCW Option</t>
  </si>
  <si>
    <t>INF209KB12A2</t>
  </si>
  <si>
    <t>Aditya Birla Sun Life Fixed Term Plan - Series TI (1837 days) - Direct Plan - Growth Option</t>
  </si>
  <si>
    <t>INF209KB13A0</t>
  </si>
  <si>
    <t>Aditya Birla Sun Life Fixed Term Plan - Series TI (1837 days) - Direct Plan - Payout of IDCW option</t>
  </si>
  <si>
    <t>INF209KB10A6</t>
  </si>
  <si>
    <t>Aditya Birla Sun Life Fixed Term Plan - Series TI (1837 days) - Regular Plan - Growth Option</t>
  </si>
  <si>
    <t>INF209KB11A4</t>
  </si>
  <si>
    <t>Aditya Birla Sun Life Fixed Term Plan - Series TI (1837 days) - Regular Plan - Payout of IDCW option</t>
  </si>
  <si>
    <t>INF209KB16A3</t>
  </si>
  <si>
    <t>Aditya Birla Sun Life Fixed Term Plan - Series TJ (1838 days) - Direct Plan - Growth Option</t>
  </si>
  <si>
    <t>INF209KB17A1</t>
  </si>
  <si>
    <t>Aditya Birla Sun Life Fixed Term Plan - Series TJ (1838 days) - Direct Plan - Payout of IDCW Option</t>
  </si>
  <si>
    <t>INF209KB14A8</t>
  </si>
  <si>
    <t>Aditya Birla Sun Life Fixed Term Plan - Series TJ (1838 days) - Regular Plan - Growth Option</t>
  </si>
  <si>
    <t>INF209KB15A5</t>
  </si>
  <si>
    <t>Aditya Birla Sun Life Fixed Term Plan - Series TJ (1838 days) - Regular Plan - Payout of IDCW Option</t>
  </si>
  <si>
    <t>INF209KB14H3</t>
  </si>
  <si>
    <t>Aditya Birla Sun Life Fixed Term Plan - Series TQ (1879 days) - Direct Plan - Growth Option</t>
  </si>
  <si>
    <t>INF209KB12H7</t>
  </si>
  <si>
    <t>Aditya Birla Sun Life Fixed Term Plan - Series TQ (1879 days) - Regular Plan - Growth Option</t>
  </si>
  <si>
    <t>INF209KB13H5</t>
  </si>
  <si>
    <t>Aditya Birla Sun Life Fixed Term Plan - Series TQ (1879 days) - Regular Plan - Payout of IDCW option</t>
  </si>
  <si>
    <t>INF209KB18P7</t>
  </si>
  <si>
    <t>Aditya Birla Sun Life Fixed Term Plan - Series UB (1224 days) - Direct Plan Growth Option</t>
  </si>
  <si>
    <t>INF209KB17P9</t>
  </si>
  <si>
    <t>Aditya Birla Sun Life Fixed Term Plan - Series UB (1224 days) - Regular Plan - Payout of IDCW Option</t>
  </si>
  <si>
    <t>INF209KB16P1</t>
  </si>
  <si>
    <t>Aditya Birla Sun Life Fixed Term Plan - Series UB (1224 days)- Regular Plan - Growth Option</t>
  </si>
  <si>
    <t>INF209KB18S1</t>
  </si>
  <si>
    <t>Aditya Birla Sun Life Fixed Term Plan - Series UF (180 days) - Direct Plan - Growth Option</t>
  </si>
  <si>
    <t>INF209KB19S9</t>
  </si>
  <si>
    <t>Aditya Birla Sun Life Fixed Term Plan - Series UF (180 days) - Direct Plan - Payout of IDCW Option</t>
  </si>
  <si>
    <t>INF209KB16S5</t>
  </si>
  <si>
    <t>Aditya Birla Sun Life Fixed Term Plan - Series UF (180 days) - Regular Plan - Growth Option</t>
  </si>
  <si>
    <t>INF209KB17S3</t>
  </si>
  <si>
    <t>Aditya Birla Sun Life Fixed Term Plan - Series UF (180 days) - Regular Plan - Payout of IDCW Option</t>
  </si>
  <si>
    <t>INF209KB13V6</t>
  </si>
  <si>
    <t>Aditya Birla Sun Life Fixed Term Plan - Series UJ (1110 days) - Direct Plan - Growth Option</t>
  </si>
  <si>
    <t>INF209KB14V4</t>
  </si>
  <si>
    <t>Aditya Birla Sun Life Fixed Term Plan - Series UJ (1110 days) - Direct Plan - Payout of IDCW Option</t>
  </si>
  <si>
    <t>INF209KB11V0</t>
  </si>
  <si>
    <t>Aditya Birla Sun Life Fixed Term Plan - Series UJ (1110 days) - Regular Plan - Growth Option</t>
  </si>
  <si>
    <t>INF209KB12V8</t>
  </si>
  <si>
    <t>Aditya Birla Sun Life Fixed Term Plan - Series UJ (1110 days) - Regular Plan - Payout of IDCW Option</t>
  </si>
  <si>
    <t>INF846KA1440</t>
  </si>
  <si>
    <t>Axis Fixed Maturity Plan - Series 129 (108 Days) - Direct Plan - Growth</t>
  </si>
  <si>
    <t>INF846KA1465</t>
  </si>
  <si>
    <t>Axis Fixed Maturity Plan - Series 129 (108 Days) - Direct Plan - IDCW</t>
  </si>
  <si>
    <t>INF846KA1432</t>
  </si>
  <si>
    <t>Axis Fixed Maturity Plan - Series 129 (108 Days) - Regular Plan - Growth</t>
  </si>
  <si>
    <t>INF846KA1457</t>
  </si>
  <si>
    <t>Axis Fixed Maturity Plan - Series 129 (108 Days) - Regular Plan - IDCW</t>
  </si>
  <si>
    <t>INF846KA1481</t>
  </si>
  <si>
    <t>Axis Fixed Maturity Plan - Series 130 (92 Days) - Direct Plan - Growth</t>
  </si>
  <si>
    <t>INF846KA1507</t>
  </si>
  <si>
    <t>Axis Fixed Maturity Plan - Series 130 (92 Days) - Direct Plan - IDCW</t>
  </si>
  <si>
    <t>INF846KA1473</t>
  </si>
  <si>
    <t>Axis Fixed Maturity Plan - Series 130 (92 Days) - Regular Plan - Growth</t>
  </si>
  <si>
    <t>INF846KA1499</t>
  </si>
  <si>
    <t>Axis Fixed Maturity Plan - Series 130 (92 Days) - Regular Plan - IDCW</t>
  </si>
  <si>
    <t>INF846K011Q8</t>
  </si>
  <si>
    <t>Axis Fixed Term Plan - Series 113 (1228 Days) - Direct Plan - Growth</t>
  </si>
  <si>
    <t>INF846K012Q6</t>
  </si>
  <si>
    <t>Axis Fixed Term Plan - Series 113 (1228 Days) - Direct Plan - Quarterly IDCW</t>
  </si>
  <si>
    <t>INF846K014Q2</t>
  </si>
  <si>
    <t>Axis Fixed Term Plan - Series 113 (1228 Days) - Regular Plan - Growth</t>
  </si>
  <si>
    <t>INF846K016Q7</t>
  </si>
  <si>
    <t>Axis Fixed Term Plan - Series 113 (1228 Days) - Regular Plan - Half Yearly IDCW</t>
  </si>
  <si>
    <t>INF846K015Q9</t>
  </si>
  <si>
    <t>Axis Fixed Term Plan - Series 113 (1228 Days) - Regular Plan - Quarterly IDCW</t>
  </si>
  <si>
    <t>INF194KB1JD2</t>
  </si>
  <si>
    <t>Bandhan Fixed Maturity Plan (FMP) - Series 209 (93 Days) - Direct Plan - Growth</t>
  </si>
  <si>
    <t>INF194KB1JE0</t>
  </si>
  <si>
    <t>Bandhan Fixed Maturity Plan (FMP) - Series 209 (93 Days) - Direct Plan - IDCW</t>
  </si>
  <si>
    <t>INF194KB1JG5</t>
  </si>
  <si>
    <t>Bandhan Fixed Maturity Plan (FMP) - Series 209 (93 Days) - Regular Plan - Growth</t>
  </si>
  <si>
    <t>INF194KB1JH3</t>
  </si>
  <si>
    <t>Bandhan Fixed Maturity Plan (FMP) - Series 209 (93 Days) - Regular Plan - IDCW</t>
  </si>
  <si>
    <t>INF194KB1793</t>
  </si>
  <si>
    <t>BANDHAN Fixed Term Plan Series 179 DIRECT PLAN HALF YEARLY-IDCW (3652 days)</t>
  </si>
  <si>
    <t>INF194KB1777</t>
  </si>
  <si>
    <t>BANDHAN Fixed Term Plan Series 179 DIRECT PLAN-GROWTH (3652 days)</t>
  </si>
  <si>
    <t>INF194KB1769</t>
  </si>
  <si>
    <t>BANDHAN Fixed Term Plan Series 179 REGULAR PLAN PERIODIC-IDCW (3652 days)</t>
  </si>
  <si>
    <t>INF194KB1736</t>
  </si>
  <si>
    <t>BANDHAN Fixed Term Plan Series 179 REGULAR PLAN-GROWTH (3652 days)</t>
  </si>
  <si>
    <t>INF194KB1298</t>
  </si>
  <si>
    <t>IDFC Fixed Term Plan Series 167 REGULAR PLAN HALF YEARLY-IDCW (1202 days)</t>
  </si>
  <si>
    <t>INF194KB1280</t>
  </si>
  <si>
    <t>IDFC Fixed Term Plan Series 167 REGULAR PLAN QUARTERLY-IDCW (1202 days)</t>
  </si>
  <si>
    <t>INF194KB1272</t>
  </si>
  <si>
    <t>IDFC Fixed Term Plan Series 167 REGULAR PLAN-GROWTH (1202 days)</t>
  </si>
  <si>
    <t>INF740KA1QH8</t>
  </si>
  <si>
    <t>DSP FMP Series - 264 - 60M - 17D - Direct - Growth</t>
  </si>
  <si>
    <t>INF740KA1QI6</t>
  </si>
  <si>
    <t>INF740KA1QJ4</t>
  </si>
  <si>
    <t>DSP FMP Series - 264 - 60M - 17D - Direct - IDCW</t>
  </si>
  <si>
    <t>INF740KA1QF2</t>
  </si>
  <si>
    <t>INF740KA1QG0</t>
  </si>
  <si>
    <t>DSP FMP Series - 264 - 60M - 17D - Regular - IDCW</t>
  </si>
  <si>
    <t>INF740KA1QE5</t>
  </si>
  <si>
    <t>DSP FMP Series - 264 - 60M - 17D - Regular Plan - Growth</t>
  </si>
  <si>
    <t>INF740KA1YL4</t>
  </si>
  <si>
    <t>DSP FMP Series - 267 - 1172 Days - Direct - Growth</t>
  </si>
  <si>
    <t>INF740KA1YM2</t>
  </si>
  <si>
    <t>INF740KA1YN0</t>
  </si>
  <si>
    <t>DSP FMP Series - 267 - 1172 Days - Direct - IDCW</t>
  </si>
  <si>
    <t>INF740KA1YI0</t>
  </si>
  <si>
    <t>DSP FMP Series - 267 - 1172 Days - Regular - Growth</t>
  </si>
  <si>
    <t>INF740KA1YJ8</t>
  </si>
  <si>
    <t>INF740KA1YK6</t>
  </si>
  <si>
    <t>DSP FMP Series - 267 - 1172 Days - Regular - IDCW</t>
  </si>
  <si>
    <t>INF740KA1RO2</t>
  </si>
  <si>
    <t>DSP FMP Series - 268 - 1281 Days - Direct - Growth</t>
  </si>
  <si>
    <t>INF740KA1RQ7</t>
  </si>
  <si>
    <t>INF740KA1RP9</t>
  </si>
  <si>
    <t>DSP FMP Series - 268 - 1281 Days - Direct - IDCW</t>
  </si>
  <si>
    <t>INF740KA1RL8</t>
  </si>
  <si>
    <t>DSP FMP Series - 268 - 1281 Days - Regular - Growth</t>
  </si>
  <si>
    <t>INF740KA1RN4</t>
  </si>
  <si>
    <t>INF740KA1RM6</t>
  </si>
  <si>
    <t>DSP FMP Series - 268 - 1281 Days - Regular - IDCW</t>
  </si>
  <si>
    <t>INF740KA1YR1</t>
  </si>
  <si>
    <t>DSP FMP Series - 270 - 1172 Days - Direct - Growth</t>
  </si>
  <si>
    <t>INF740KA1YS9</t>
  </si>
  <si>
    <t>INF740KA1YT7</t>
  </si>
  <si>
    <t>DSP FMP Series - 270 - 1172 Days - Direct - IDCW</t>
  </si>
  <si>
    <t>INF740KA1YO8</t>
  </si>
  <si>
    <t>DSP FMP Series - 270 - 1172 Days - Regular - Growth</t>
  </si>
  <si>
    <t>INF740KA1YP5</t>
  </si>
  <si>
    <t>INF740KA1YQ3</t>
  </si>
  <si>
    <t>DSP FMP Series - 270 - 1172 Days - Regular - IDCW</t>
  </si>
  <si>
    <t>INF179KC1HC6</t>
  </si>
  <si>
    <t>HDFC Charity Fund for Cancer Cure - IDCW Option - 50% IDCW Donation Option</t>
  </si>
  <si>
    <t>INF179KC1HD4</t>
  </si>
  <si>
    <t>HDFC Charity Fund for Cancer Cure - IDCW Option - 75% IDCW Donation Option</t>
  </si>
  <si>
    <t>INF179KC1HA0</t>
  </si>
  <si>
    <t>HDFC Charity Fund for Cancer Cure - IDCW Option - Direct Plan - 50% IDCW Donation Option</t>
  </si>
  <si>
    <t>INF179KC1HB8</t>
  </si>
  <si>
    <t>HDFC Charity Fund for Cancer Cure - IDCW Option - Direct Plan - 75% IDCW Donation Option</t>
  </si>
  <si>
    <t>INF179KC1932</t>
  </si>
  <si>
    <t>HDFC FMP 1100D April 2019 (1) - Growth Option</t>
  </si>
  <si>
    <t>INF179KC1908</t>
  </si>
  <si>
    <t>HDFC FMP 1100D April 2019 (1) - Growth Option - Direct Plan</t>
  </si>
  <si>
    <t>INF179KC1940</t>
  </si>
  <si>
    <t>HDFC FMP 1100D April 2019 (1) - IDCW Option</t>
  </si>
  <si>
    <t>INF179KC1916</t>
  </si>
  <si>
    <t>HDFC FMP 1100D April 2019 (1) - IDCW Option - Direct Plan</t>
  </si>
  <si>
    <t>INF179KC1957</t>
  </si>
  <si>
    <t>HDFC FMP 1100D April 2019 (1) - Quarterly IDCW Option</t>
  </si>
  <si>
    <t>INF179KC1924</t>
  </si>
  <si>
    <t>HDFC FMP 1100D April 2019 (1) - Quarterly IDCW Option - Direct Plan</t>
  </si>
  <si>
    <t>INF179KC1692</t>
  </si>
  <si>
    <t>HDFC FMP 1118D March 2019 (1) - Growth Option</t>
  </si>
  <si>
    <t>INF179KC1668</t>
  </si>
  <si>
    <t>HDFC FMP 1118D March 2019 (1) - Growth Option - Direct Plan</t>
  </si>
  <si>
    <t>INF179KC1700</t>
  </si>
  <si>
    <t>HDFC FMP 1118D March 2019 (1) - IDCW Option</t>
  </si>
  <si>
    <t>INF179KC1676</t>
  </si>
  <si>
    <t>HDFC FMP 1118D March 2019 (1) - IDCW Option - Direct Plan</t>
  </si>
  <si>
    <t>INF179KC1718</t>
  </si>
  <si>
    <t>HDFC FMP 1118D March 2019 (1) - Quarterly IDCW Option</t>
  </si>
  <si>
    <t>INF179KC1635</t>
  </si>
  <si>
    <t>HDFC FMP 1120D March 2019 (1) - Growth Option</t>
  </si>
  <si>
    <t>INF179KC1601</t>
  </si>
  <si>
    <t>HDFC FMP 1120D March 2019 (1) - Growth Option - Direct Plan</t>
  </si>
  <si>
    <t>INF179KC1643</t>
  </si>
  <si>
    <t>HDFC FMP 1120D March 2019 (1) - IDCW Option</t>
  </si>
  <si>
    <t>INF179KC1619</t>
  </si>
  <si>
    <t>HDFC FMP 1120D March 2019 (1) - IDCW Option - Direct Plan</t>
  </si>
  <si>
    <t>INF179KC1650</t>
  </si>
  <si>
    <t>HDFC FMP 1120D March 2019 (1) - Quarterly IDCW Option</t>
  </si>
  <si>
    <t>INF179KC1627</t>
  </si>
  <si>
    <t>HDFC FMP 1120D March 2019 (1) - Quarterly IDCW Option - Direct Plan</t>
  </si>
  <si>
    <t>INF179KC1510</t>
  </si>
  <si>
    <t>HDFC FMP 1126D March 2019 (1) - Growth Option</t>
  </si>
  <si>
    <t>INF179KC1486</t>
  </si>
  <si>
    <t>HDFC FMP 1126D March 2019 (1) - Growth Option - Direct Plan</t>
  </si>
  <si>
    <t>INF179KC1528</t>
  </si>
  <si>
    <t>HDFC FMP 1126D March 2019 (1) - IDCW Option</t>
  </si>
  <si>
    <t>INF179KC1494</t>
  </si>
  <si>
    <t>HDFC FMP 1126D March 2019 (1) - IDCW Option - Direct Plan</t>
  </si>
  <si>
    <t>INF179KC1536</t>
  </si>
  <si>
    <t>HDFC FMP 1126D March 2019 (1) - Quarterly IDCW Option</t>
  </si>
  <si>
    <t>INF179KC1502</t>
  </si>
  <si>
    <t>HDFC FMP 1126D March 2019 (1) - Quarterly IDCW Option - Direct Plan</t>
  </si>
  <si>
    <t>INF179KC1577</t>
  </si>
  <si>
    <t>HDFC FMP 1127D March 2019 (1) - Growth Option</t>
  </si>
  <si>
    <t>INF179KC1544</t>
  </si>
  <si>
    <t>HDFC FMP 1127D March 2019 (1) - Growth Option - Direct Plan</t>
  </si>
  <si>
    <t>INF179KC1585</t>
  </si>
  <si>
    <t>HDFC FMP 1127D March 2019 (1) - IDCW Option</t>
  </si>
  <si>
    <t>INF179KC1551</t>
  </si>
  <si>
    <t>HDFC FMP 1127D March 2019 (1) - IDCW Option - Direct Plan</t>
  </si>
  <si>
    <t>INF179KC1593</t>
  </si>
  <si>
    <t>HDFC FMP 1127D March 2019 (1) - Quarterly IDCW Option</t>
  </si>
  <si>
    <t>INF179KC1569</t>
  </si>
  <si>
    <t>HDFC FMP 1127D March 2019 (1) - Quarterly IDCW Option - Direct Plan</t>
  </si>
  <si>
    <t>INF179KC1452</t>
  </si>
  <si>
    <t>HDFC FMP 1133D February 2019 (1) - Growth Option</t>
  </si>
  <si>
    <t>INF179KC1429</t>
  </si>
  <si>
    <t>HDFC FMP 1133D February 2019 (1) - Growth Option - Direct Plan</t>
  </si>
  <si>
    <t>INF179KC1460</t>
  </si>
  <si>
    <t>HDFC FMP 1133D February 2019 (1) - IDCW Option</t>
  </si>
  <si>
    <t>INF179KC1437</t>
  </si>
  <si>
    <t>HDFC FMP 1133D February 2019 (1) - IDCW Option - Direct Plan</t>
  </si>
  <si>
    <t>INF179KC1478</t>
  </si>
  <si>
    <t>HDFC FMP 1133D February 2019 (1) - Quarterly IDCW Option</t>
  </si>
  <si>
    <t>INF179KC1445</t>
  </si>
  <si>
    <t>HDFC FMP 1133D February 2019 (1) - Quarterly IDCW Option - Direct Plan</t>
  </si>
  <si>
    <t>INF179KC1395</t>
  </si>
  <si>
    <t>HDFC FMP 1146D February 2019 (1) - Growth Option</t>
  </si>
  <si>
    <t>INF179KC1361</t>
  </si>
  <si>
    <t>HDFC FMP 1146D February 2019 (1) - Growth Option - Direct Plan</t>
  </si>
  <si>
    <t>INF179KC1403</t>
  </si>
  <si>
    <t>HDFC FMP 1146D February 2019 (1) - IDCW Option</t>
  </si>
  <si>
    <t>INF179KC1379</t>
  </si>
  <si>
    <t>HDFC FMP 1146D February 2019 (1) - IDCW Option - Direct Plan</t>
  </si>
  <si>
    <t>INF179KC1411</t>
  </si>
  <si>
    <t>HDFC FMP 1146D February 2019 (1) - Quarterly IDCW Option</t>
  </si>
  <si>
    <t>INF179KC1387</t>
  </si>
  <si>
    <t>HDFC FMP 1146D February 2019 (1) - Quarterly IDCW Option - Direct Plan</t>
  </si>
  <si>
    <t>INF179KC1338</t>
  </si>
  <si>
    <t>HDFC FMP 1154D February 2019 (1) - Growth Option</t>
  </si>
  <si>
    <t>INF179KC1304</t>
  </si>
  <si>
    <t>HDFC FMP 1154D February 2019 (1) - Growth Option - Direct Plan</t>
  </si>
  <si>
    <t>INF179KC1346</t>
  </si>
  <si>
    <t>HDFC FMP 1154D February 2019 (1) - IDCW Option</t>
  </si>
  <si>
    <t>INF179KC1312</t>
  </si>
  <si>
    <t>HDFC FMP 1154D February 2019 (1) - IDCW Option - Direct Plan</t>
  </si>
  <si>
    <t>INF179KC1353</t>
  </si>
  <si>
    <t>HDFC FMP 1154D February 2019 (1) - Quarterly IDCW Option</t>
  </si>
  <si>
    <t>INF179KC1320</t>
  </si>
  <si>
    <t>HDFC FMP 1154D February 2019 (1) - Quarterly IDCW Option - Direct Plan</t>
  </si>
  <si>
    <t>INF179KC1CX3</t>
  </si>
  <si>
    <t>HDFC FMP 1158D July 2022 - Growth Option</t>
  </si>
  <si>
    <t>INF179KC1CU9</t>
  </si>
  <si>
    <t>HDFC FMP 1158D July 2022 - Growth Option - Direct Plan</t>
  </si>
  <si>
    <t>INF179KC1CY1</t>
  </si>
  <si>
    <t>HDFC FMP 1158D July 2022 - IDCW Option</t>
  </si>
  <si>
    <t>INF179KC1CV7</t>
  </si>
  <si>
    <t>HDFC FMP 1158D July 2022 - IDCW Option - Direct Plan</t>
  </si>
  <si>
    <t>INF179KC1CZ8</t>
  </si>
  <si>
    <t>HDFC FMP 1158D July 2022 - Quarterly IDCW Option</t>
  </si>
  <si>
    <t>INF179KC1CW5</t>
  </si>
  <si>
    <t>HDFC FMP 1158D July 2022 - Quarterly IDCW Option - Direct Plan</t>
  </si>
  <si>
    <t>INF179KC1CL8</t>
  </si>
  <si>
    <t>HDFC FMP 1162D March 2022 - Growth Option</t>
  </si>
  <si>
    <t>INF179KC1CI4</t>
  </si>
  <si>
    <t>HDFC FMP 1162D March 2022 - Growth Option - Direct Plan</t>
  </si>
  <si>
    <t>INF179KC1CM6</t>
  </si>
  <si>
    <t>HDFC FMP 1162D March 2022 - IDCW Option</t>
  </si>
  <si>
    <t>INF179KC1CJ2</t>
  </si>
  <si>
    <t>HDFC FMP 1162D March 2022 - IDCW Option - Direct Plan</t>
  </si>
  <si>
    <t>INF179KC1CN4</t>
  </si>
  <si>
    <t>HDFC FMP 1162D March 2022 - Quarterly Dividend Option</t>
  </si>
  <si>
    <t>INF179KC1CK0</t>
  </si>
  <si>
    <t>HDFC FMP 1162D March 2022 - Quarterly Dividend Option - Direct Plan</t>
  </si>
  <si>
    <t>INF179KC1270</t>
  </si>
  <si>
    <t>HDFC FMP 1168D January 2019 (1) - Growth Option</t>
  </si>
  <si>
    <t>INF179KC1247</t>
  </si>
  <si>
    <t>HDFC FMP 1168D January 2019 (1) - Growth Option - Direct Plan</t>
  </si>
  <si>
    <t>INF179KC1288</t>
  </si>
  <si>
    <t>HDFC FMP 1168D January 2019 (1) - IDCW Option</t>
  </si>
  <si>
    <t>INF179KC1254</t>
  </si>
  <si>
    <t>HDFC FMP 1168D January 2019 (1) - IDCW Option - Direct Plan</t>
  </si>
  <si>
    <t>INF179KC1296</t>
  </si>
  <si>
    <t>HDFC FMP 1168D January 2019 (1) - Quarterly IDCW Option</t>
  </si>
  <si>
    <t>INF179KC1262</t>
  </si>
  <si>
    <t>HDFC FMP 1168D January 2019 (1) - Quarterly IDCW Option - Direct Plan</t>
  </si>
  <si>
    <t>INF179KB1C32</t>
  </si>
  <si>
    <t>HDFC FMP 1170D February 2017 (1) - Direct Option - Dividend Option</t>
  </si>
  <si>
    <t>INF179KB1C24</t>
  </si>
  <si>
    <t>HDFC FMP 1170D February 2017 (1) - Direct Option - Growth Option</t>
  </si>
  <si>
    <t>INF179KB1C40</t>
  </si>
  <si>
    <t>HDFC FMP 1170D February 2017 (1) - Direct Option - Quarterly Dividend Option</t>
  </si>
  <si>
    <t>INF179KB1C65</t>
  </si>
  <si>
    <t>HDFC FMP 1170D February 2017 (1) - Regular Option - Dividend Option</t>
  </si>
  <si>
    <t>INF179KB1C57</t>
  </si>
  <si>
    <t>HDFC FMP 1170D February 2017 (1) - Regular Option - Growth Option</t>
  </si>
  <si>
    <t>INF179KB1C73</t>
  </si>
  <si>
    <t>HDFC FMP 1170D February 2017 (1) - Regular Option - Quarterly Dividend Option</t>
  </si>
  <si>
    <t>INF179KC1213</t>
  </si>
  <si>
    <t>HDFC FMP 1175D January 2019 (1) - Growth Option</t>
  </si>
  <si>
    <t>INF179KC1189</t>
  </si>
  <si>
    <t>HDFC FMP 1175D January 2019 (1) - Growth Option - Direct Plan</t>
  </si>
  <si>
    <t>INF179KC1221</t>
  </si>
  <si>
    <t>HDFC FMP 1175D January 2019 (1) - IDCW Option</t>
  </si>
  <si>
    <t>INF179KC1197</t>
  </si>
  <si>
    <t>HDFC FMP 1175D January 2019 (1) - IDCW Option - Direct Plan</t>
  </si>
  <si>
    <t>INF179KC1239</t>
  </si>
  <si>
    <t>HDFC FMP 1175D January 2019 (1) - Quarterly IDCW Option</t>
  </si>
  <si>
    <t>INF179KC1205</t>
  </si>
  <si>
    <t>HDFC FMP 1175D January 2019 (1) - Quarterly IDCW Option - Direct Plan</t>
  </si>
  <si>
    <t>INF179KC1155</t>
  </si>
  <si>
    <t>HDFC FMP 1182D January 2019 (1) - Growth Option</t>
  </si>
  <si>
    <t>INF179KC1122</t>
  </si>
  <si>
    <t>HDFC FMP 1182D January 2019 (1) - Growth Option - Direct Plan</t>
  </si>
  <si>
    <t>INF179KC1163</t>
  </si>
  <si>
    <t>HDFC FMP 1182D January 2019 (1) - IDCW Option</t>
  </si>
  <si>
    <t>INF179KC1171</t>
  </si>
  <si>
    <t>HDFC FMP 1182D January 2019 (1) - Quarterly IDCW Option</t>
  </si>
  <si>
    <t>INF179KC1148</t>
  </si>
  <si>
    <t>HDFC FMP 1182D January 2019 (1) - Quarterly IDCW Option - Direct Plan</t>
  </si>
  <si>
    <t>INF179KC1098</t>
  </si>
  <si>
    <t>HDFC FMP 1190D January 2019 (1) - Growth Option</t>
  </si>
  <si>
    <t>INF179KC1064</t>
  </si>
  <si>
    <t>HDFC FMP 1190D January 2019 (1) - Growth Option - Direct Plan</t>
  </si>
  <si>
    <t>INF179KC1072</t>
  </si>
  <si>
    <t>HDFC FMP 1190D January 2019 (1) - IDCW Option - Direct Plan</t>
  </si>
  <si>
    <t>INF179KC1114</t>
  </si>
  <si>
    <t>HDFC FMP 1190D January 2019 (1) - Quarterly IDCW Option</t>
  </si>
  <si>
    <t>INF179KC1080</t>
  </si>
  <si>
    <t>HDFC FMP 1190D January 2019 (1) - Quarterly IDCW Option - Direct Plan</t>
  </si>
  <si>
    <t>INF179KC1031</t>
  </si>
  <si>
    <t>HDFC FMP 1196D December 2018 (1) - Growth Option</t>
  </si>
  <si>
    <t>INF179KB19Z9</t>
  </si>
  <si>
    <t>HDFC FMP 1196D December 2018 (1) - Growth Option - Direct Plan</t>
  </si>
  <si>
    <t>INF179KC1049</t>
  </si>
  <si>
    <t>HDFC FMP 1196D December 2018 (1) - IDCW Option</t>
  </si>
  <si>
    <t>INF179KC1015</t>
  </si>
  <si>
    <t>HDFC FMP 1196D December 2018 (1) - IDCW Option - Direct Plan</t>
  </si>
  <si>
    <t>INF179KC1056</t>
  </si>
  <si>
    <t>HDFC FMP 1196D December 2018 (1) - Quarterly IDCW Option</t>
  </si>
  <si>
    <t>INF179KC1023</t>
  </si>
  <si>
    <t>HDFC FMP 1196D December 2018 (1) - Quarterly IDCW Option - Direct Plan</t>
  </si>
  <si>
    <t>INF179KB16Z5</t>
  </si>
  <si>
    <t>HDFC FMP 1203D December 2018 (1) - Growth Option</t>
  </si>
  <si>
    <t>INF179KB13Z2</t>
  </si>
  <si>
    <t>HDFC FMP 1203D December 2018 (1) - Growth Option - Direct Plan</t>
  </si>
  <si>
    <t>INF179KB17Z3</t>
  </si>
  <si>
    <t>HDFC FMP 1203D December 2018 (1) - IDCW Option</t>
  </si>
  <si>
    <t>INF179KB18Z1</t>
  </si>
  <si>
    <t>HDFC FMP 1203D December 2018 (1) - Quarterly IDCW Option</t>
  </si>
  <si>
    <t>INF179KC1EQ3</t>
  </si>
  <si>
    <t>HDFC FMP 1204D December - Growth Option</t>
  </si>
  <si>
    <t>INF179KC1EN0</t>
  </si>
  <si>
    <t>HDFC FMP 1204D December - Growth Option - Direct Plan</t>
  </si>
  <si>
    <t>INF179KC1ER1</t>
  </si>
  <si>
    <t>HDFC FMP 1204D December - IDCW Option</t>
  </si>
  <si>
    <t>INF179KC1EO8</t>
  </si>
  <si>
    <t>HDFC FMP 1204D December - IDCW Option - Direct Plan</t>
  </si>
  <si>
    <t>INF179KC1ES9</t>
  </si>
  <si>
    <t>HDFC FMP 1204D December - Quarterly IDCW Option</t>
  </si>
  <si>
    <t>INF179KC1EP5</t>
  </si>
  <si>
    <t>HDFC FMP 1204D December - Quarterly IDCW Option - Direct Plan</t>
  </si>
  <si>
    <t>INF179KB10Z8</t>
  </si>
  <si>
    <t>HDFC FMP 1211D December 2018 (1) - Growth Option</t>
  </si>
  <si>
    <t>INF179KB17Y6</t>
  </si>
  <si>
    <t>HDFC FMP 1211D December 2018 (1) - Growth Option - Direct Plan</t>
  </si>
  <si>
    <t>INF179KB14Y3</t>
  </si>
  <si>
    <t>HDFC FMP 1218D December 2018 (1) - Growth Option</t>
  </si>
  <si>
    <t>INF179KB11Y9</t>
  </si>
  <si>
    <t>HDFC FMP 1218D December 2018 (1) - Growth Option - Direct Plan</t>
  </si>
  <si>
    <t>INF179KB15Y0</t>
  </si>
  <si>
    <t>HDFC FMP 1218D December 2018 (1) - IDCW Option</t>
  </si>
  <si>
    <t>INF179KB12Y7</t>
  </si>
  <si>
    <t>HDFC FMP 1218D December 2018 (1) - IDCW Option - Direct Plan</t>
  </si>
  <si>
    <t>INF179KB16Y8</t>
  </si>
  <si>
    <t>HDFC FMP 1218D December 2018 (1) - Quarterly IDCW Option</t>
  </si>
  <si>
    <t>HDFC FMP 1218D December 2018(1)-Direct Plan-Quarterly Div Option</t>
  </si>
  <si>
    <t>INF179KB18X6</t>
  </si>
  <si>
    <t>HDFC FMP 1224D DECEMBER 2018 (1) - Growth Option</t>
  </si>
  <si>
    <t>INF179KB15X2</t>
  </si>
  <si>
    <t>HDFC FMP 1224D DECEMBER 2018 (1) - Growth Option - Direct Plan</t>
  </si>
  <si>
    <t>INF179KB19X4</t>
  </si>
  <si>
    <t>HDFC FMP 1224D DECEMBER 2018 (1) - IDCW Option</t>
  </si>
  <si>
    <t>INF179KB16X0</t>
  </si>
  <si>
    <t>HDFC FMP 1224D DECEMBER 2018 (1) - IDCW Option - Direct Plan</t>
  </si>
  <si>
    <t>INF179KB10Y1</t>
  </si>
  <si>
    <t>HDFC FMP 1224D DECEMBER 2018 (1) - Quarterly IDCW Option</t>
  </si>
  <si>
    <t>INF179KB18W8</t>
  </si>
  <si>
    <t>HDFC FMP 1232D NOVEMBER 2018 (1) - Growth Option</t>
  </si>
  <si>
    <t>INF179KB15W4</t>
  </si>
  <si>
    <t>HDFC FMP 1232D NOVEMBER 2018 (1) - Growth Option - Direct Plan</t>
  </si>
  <si>
    <t>INF179KB10X3</t>
  </si>
  <si>
    <t>HDFC FMP 1232D NOVEMBER 2018 (1) - Quarterly IDCW Option</t>
  </si>
  <si>
    <t>INF179KB17W0</t>
  </si>
  <si>
    <t>HDFC FMP 1232D NOVEMBER 2018 (1) - Quarterly IDCW Option - Direct Plan</t>
  </si>
  <si>
    <t>INF179KB12W1</t>
  </si>
  <si>
    <t>HDFC FMP 1246D NOVEMBER 2018 (1) - Growth Option</t>
  </si>
  <si>
    <t>INF179KB19V8</t>
  </si>
  <si>
    <t>HDFC FMP 1246D NOVEMBER 2018 (1) - Growth Option - Direct Plan</t>
  </si>
  <si>
    <t>INF179KB13W9</t>
  </si>
  <si>
    <t>HDFC FMP 1246D NOVEMBER 2018 (1) - IDCW Option</t>
  </si>
  <si>
    <t>INF179KB10W5</t>
  </si>
  <si>
    <t>HDFC FMP 1246D NOVEMBER 2018 (1) - IDCW Option - Direct Plan</t>
  </si>
  <si>
    <t>INF179KB14W7</t>
  </si>
  <si>
    <t>HDFC FMP 1246D NOVEMBER 2018 (1) - Quarterly IDCW Option</t>
  </si>
  <si>
    <t>INF179KB11W3</t>
  </si>
  <si>
    <t>HDFC FMP 1246D NOVEMBER 2018 (1) - Quarterly IDCW Option - Direct Plan</t>
  </si>
  <si>
    <t>INF179KB16V4</t>
  </si>
  <si>
    <t>HDFC FMP 1260D October 2018 (1) - Growth Option</t>
  </si>
  <si>
    <t>INF179KB13V1</t>
  </si>
  <si>
    <t>HDFC FMP 1260D October 2018 (1) - Growth Option - Direct Plan</t>
  </si>
  <si>
    <t>INF179KB15V6</t>
  </si>
  <si>
    <t>HDFC FMP 1260D October 2018 (1) - Quarterly IDCW Option - Direct Plan</t>
  </si>
  <si>
    <t>INF179KB10V7</t>
  </si>
  <si>
    <t>HDFC FMP 1261D October 2018 (1) - Growth Option</t>
  </si>
  <si>
    <t>INF179KB17U4</t>
  </si>
  <si>
    <t>HDFC FMP 1261D October 2018 (1) - Growth Option - Direct Plan</t>
  </si>
  <si>
    <t>INF179KB18U2</t>
  </si>
  <si>
    <t>HDFC FMP 1261D October 2018 (1) - IDCW Option - Direct Plan</t>
  </si>
  <si>
    <t>INF179KB19U0</t>
  </si>
  <si>
    <t>HDFC FMP 1261D October 2018 (1) - Quarterly IDCW Option - Direct Plan</t>
  </si>
  <si>
    <t>INF179KB14U1</t>
  </si>
  <si>
    <t>HDFC FMP 1265D October 2018 (1) - Growth Option</t>
  </si>
  <si>
    <t>INF179KB11U7</t>
  </si>
  <si>
    <t>HDFC FMP 1265D October 2018 (1) - Growth Option - Direct Plan</t>
  </si>
  <si>
    <t>INF179KB15U8</t>
  </si>
  <si>
    <t>HDFC FMP 1265D October 2018 (1) - IDCW Option</t>
  </si>
  <si>
    <t>INF179KB12U5</t>
  </si>
  <si>
    <t>HDFC FMP 1265D October 2018 (1) - IDCW Option - Direct Plan</t>
  </si>
  <si>
    <t>INF179KB16U6</t>
  </si>
  <si>
    <t>HDFC FMP 1265D October 2018 (1) - Quarterly IDCW Option</t>
  </si>
  <si>
    <t>INF179KB13U3</t>
  </si>
  <si>
    <t>HDFC FMP 1265D October 2018 (1)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</si>
  <si>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</si>
  <si>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</si>
  <si>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</si>
  <si>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</si>
  <si>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</si>
  <si>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</si>
  <si>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INF179KB18T4</t>
  </si>
  <si>
    <t>HDFC FMP 1274D October 2018 (1) - Growth Option</t>
  </si>
  <si>
    <t>INF179KB15T0</t>
  </si>
  <si>
    <t>HDFC FMP 1274D October 2018 (1) - Growth Option - Direct Plan</t>
  </si>
  <si>
    <t>INF179KB19T2</t>
  </si>
  <si>
    <t>HDFC FMP 1274D October 2018 (1) - IDCW Option</t>
  </si>
  <si>
    <t>INF179KB16T8</t>
  </si>
  <si>
    <t>HDFC FMP 1274D October 2018 (1) - IDCW Option - Direct Plan</t>
  </si>
  <si>
    <t>INF179KB10U9</t>
  </si>
  <si>
    <t>HDFC FMP 1274D October 2018 (1) - Quarterly IDCW Option</t>
  </si>
  <si>
    <t>INF179KB17T6</t>
  </si>
  <si>
    <t>HDFC FMP 1274D October 2018 (1) - Quarterly IDCW Option - Direct Plan</t>
  </si>
  <si>
    <t>INF179KB16S0</t>
  </si>
  <si>
    <t>HDFC FMP 1280D October 2018 (1) - Growth Option</t>
  </si>
  <si>
    <t>INF179KB13S7</t>
  </si>
  <si>
    <t>HDFC FMP 1280D October 2018 (1) - Growth Option - Direct Plan</t>
  </si>
  <si>
    <t>INF179KB18S6</t>
  </si>
  <si>
    <t>HDFC FMP 1280D October 2018 (1) - Quarterly IDCW Option</t>
  </si>
  <si>
    <t>INF179KB12T7</t>
  </si>
  <si>
    <t>HDFC FMP 1344D October 2018 (1) - Growth Option</t>
  </si>
  <si>
    <t>INF179KB19S4</t>
  </si>
  <si>
    <t>HDFC FMP 1344D October 2018 (1) - Growth Option - Direct Plan</t>
  </si>
  <si>
    <t>INF179KB13T5</t>
  </si>
  <si>
    <t>HDFC FMP 1344D October 2018 (1) - IDCW Option</t>
  </si>
  <si>
    <t>INF179KB10T1</t>
  </si>
  <si>
    <t>HDFC FMP 1344D October 2018 (1) - IDCW Option - Direct Plan</t>
  </si>
  <si>
    <t>INF179KB14T3</t>
  </si>
  <si>
    <t>HDFC FMP 1344D October 2018 (1) - Quarterly IDCW Option</t>
  </si>
  <si>
    <t>INF179KB11T9</t>
  </si>
  <si>
    <t>HDFC FMP 1344D October 2018 (1)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</si>
  <si>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</si>
  <si>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</si>
  <si>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</si>
  <si>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</si>
  <si>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</si>
  <si>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</si>
  <si>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INF179KB10S3</t>
  </si>
  <si>
    <t>HDFC FMP 1372D September 2018 (1) - Growth Option</t>
  </si>
  <si>
    <t>INF179KB17R0</t>
  </si>
  <si>
    <t>HDFC FMP 1372D September 2018 (1) - Growth Option - Direct Plan</t>
  </si>
  <si>
    <t>INF179KB11S1</t>
  </si>
  <si>
    <t>HDFC FMP 1372D September 2018 (1) - IDCW Option</t>
  </si>
  <si>
    <t>INF179KB18R8</t>
  </si>
  <si>
    <t>HDFC FMP 1372D September 2018 (1) - IDCW Option - Direct Plan</t>
  </si>
  <si>
    <t>INF179KB19R6</t>
  </si>
  <si>
    <t>HDFC FMP 1372D September 2018 (1) - Quarterly IDCW Option - Direct Plan</t>
  </si>
  <si>
    <t>INF179KB12Q3</t>
  </si>
  <si>
    <t>HDFC FMP 1381D September 2018 (1) - Growth Option</t>
  </si>
  <si>
    <t>INF179KB19P0</t>
  </si>
  <si>
    <t>HDFC FMP 1381D September 2018 (1) - Growth Option - Direct Plan</t>
  </si>
  <si>
    <t>INF179KB13Q1</t>
  </si>
  <si>
    <t>HDFC FMP 1381D September 2018 (1) - IDCW Option</t>
  </si>
  <si>
    <t>INF179KB10Q7</t>
  </si>
  <si>
    <t>HDFC FMP 1381D September 2018 (1) - IDCW Option - Direct Plan</t>
  </si>
  <si>
    <t>INF179KB14Q9</t>
  </si>
  <si>
    <t>HDFC FMP 1381D September 2018 (1) - Quarterly IDCW Option</t>
  </si>
  <si>
    <t>INF179KB11Q5</t>
  </si>
  <si>
    <t>HDFC FMP 1381D September 2018 (1) - Quarterly IDCW Option - Direct Plan</t>
  </si>
  <si>
    <t>INF179KC1DF8</t>
  </si>
  <si>
    <t>HDFC FMP 1406D August 2022 - Growth Option</t>
  </si>
  <si>
    <t>INF179KC1DC5</t>
  </si>
  <si>
    <t>HDFC FMP 1406D August 2022 - Growth Option - Direct Plan</t>
  </si>
  <si>
    <t>INF179KC1DG6</t>
  </si>
  <si>
    <t>HDFC FMP 1406D August 2022 - IDCW Option</t>
  </si>
  <si>
    <t>INF179KC1DD3</t>
  </si>
  <si>
    <t>HDFC FMP 1406D August 2022 - IDCW Option - Direct Plan</t>
  </si>
  <si>
    <t>INF179KC1DH4</t>
  </si>
  <si>
    <t>HDFC FMP 1406D August 2022 - Quarterly IDCW Option</t>
  </si>
  <si>
    <t>INF179KC1DE1</t>
  </si>
  <si>
    <t>HDFC FMP 1406D August 2022 - Quarterly IDCW Option - Direct Plan</t>
  </si>
  <si>
    <t>INF179KB11E1</t>
  </si>
  <si>
    <t>HDFC FMP 1434D May 2018 (1) - Growth Option</t>
  </si>
  <si>
    <t>INF179KB18D8</t>
  </si>
  <si>
    <t>HDFC FMP 1434D May 2018 (1) - Growth Option - Direct Plan</t>
  </si>
  <si>
    <t>INF179KB12E9</t>
  </si>
  <si>
    <t>HDFC FMP 1434D May 2018 (1) - IDCW Option</t>
  </si>
  <si>
    <t>INF179KB19D6</t>
  </si>
  <si>
    <t>HDFC FMP 1434D May 2018 (1) - IDCW Option - Direct Plan</t>
  </si>
  <si>
    <t>INF179KB13E7</t>
  </si>
  <si>
    <t>HDFC FMP 1434D May 2018 (1) - Quarterly IDCW Option</t>
  </si>
  <si>
    <t>INF179KB10E3</t>
  </si>
  <si>
    <t>HDFC FMP 1434D May 2018 (1) - Quarterly IDCW Option - Direct Plan</t>
  </si>
  <si>
    <t>INF179KB12O8</t>
  </si>
  <si>
    <t>HDFC FMP 1487D August 2018 (1) - Growth Option</t>
  </si>
  <si>
    <t>INF179KB19N5</t>
  </si>
  <si>
    <t>HDFC FMP 1487D August 2018 (1) - Growth Option - Direct Plan</t>
  </si>
  <si>
    <t>INF179KB13O6</t>
  </si>
  <si>
    <t>HDFC FMP 1487D August 2018 (1) - IDCW Option</t>
  </si>
  <si>
    <t>INF179KB10O2</t>
  </si>
  <si>
    <t>HDFC FMP 1487D August 2018 (1) - IDCW Option - Direct Plan</t>
  </si>
  <si>
    <t>INF179KB11O0</t>
  </si>
  <si>
    <t>HDFC FMP 1487D August 2018 (1) - Quarterly IDCW Option - Direct Plan</t>
  </si>
  <si>
    <t>INF179KB15P8</t>
  </si>
  <si>
    <t>HDFC FMP 1846D August 2013 (1) - Growth Option</t>
  </si>
  <si>
    <t>INF179KB11P7</t>
  </si>
  <si>
    <t>HDFC FMP 1846D August 2013 (1) - Growth Option - Direct Plan</t>
  </si>
  <si>
    <t>INF179KB16P6</t>
  </si>
  <si>
    <t>HDFC FMP 1846D August 2013 (1) - IDCW Option</t>
  </si>
  <si>
    <t>INF179KB12P5</t>
  </si>
  <si>
    <t>HDFC FMP 1846D August 2013 (1) - IDCW Option - Direct Plan</t>
  </si>
  <si>
    <t>INF179KC1CF0</t>
  </si>
  <si>
    <t>HDFC FMP 1861D March 2022 - Growth Option</t>
  </si>
  <si>
    <t>INF179KC1CC7</t>
  </si>
  <si>
    <t>HDFC FMP 1861D March 2022 - Growth Option - Direct Plan</t>
  </si>
  <si>
    <t>INF179KC1CG8</t>
  </si>
  <si>
    <t>HDFC FMP 1861D March 2022 - IDCW Option</t>
  </si>
  <si>
    <t>INF179KC1CD5</t>
  </si>
  <si>
    <t>HDFC FMP 1861D March 2022 - IDCW Option - Direct Plan</t>
  </si>
  <si>
    <t>INF179KC1CH6</t>
  </si>
  <si>
    <t>HDFC FMP 1861D March 2022 - Quarterly Dividend Option</t>
  </si>
  <si>
    <t>INF179KC1CE3</t>
  </si>
  <si>
    <t>HDFC FMP 1861D March 2022 - Quarterly Dividend Option - Direct Plan</t>
  </si>
  <si>
    <t>INF179KC1CR5</t>
  </si>
  <si>
    <t>HDFC FMP 1876D March 2022 - Growth Option</t>
  </si>
  <si>
    <t>INF179KC1CO2</t>
  </si>
  <si>
    <t>HDFC FMP 1876D March 2022 - Growth Option - Direct Plan</t>
  </si>
  <si>
    <t>INF179KC1CS3</t>
  </si>
  <si>
    <t>HDFC FMP 1876D March 2022 - IDCW Option</t>
  </si>
  <si>
    <t>INF179KC1CP9</t>
  </si>
  <si>
    <t>HDFC FMP 1876D March 2022 - IDCW Option - Direct Plan</t>
  </si>
  <si>
    <t>INF179KC1CT1</t>
  </si>
  <si>
    <t>HDFC FMP 1876D March 2022 - Quarterly Dividend Option</t>
  </si>
  <si>
    <t>INF179KC1CQ7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</si>
  <si>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</si>
  <si>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</si>
  <si>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</si>
  <si>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</si>
  <si>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</si>
  <si>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</si>
  <si>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INF179KA1II3</t>
  </si>
  <si>
    <t>HDFC FMP 3360D March 2014 (1) - Flexi Option</t>
  </si>
  <si>
    <t>INF179KA1IE2</t>
  </si>
  <si>
    <t>HDFC FMP 3360D March 2014 (1) - Flexi Option - Direct Plan</t>
  </si>
  <si>
    <t>INF179KA1IF9</t>
  </si>
  <si>
    <t>HDFC FMP 3360D March 2014 (1) - Growth Option</t>
  </si>
  <si>
    <t>INF179KA1IB8</t>
  </si>
  <si>
    <t>HDFC FMP 3360D March 2014 (1) - Growth Option - Direct Plan</t>
  </si>
  <si>
    <t>INF179KA1IG7</t>
  </si>
  <si>
    <t>HDFC FMP 3360D March 2014 (1) - IDCW Option</t>
  </si>
  <si>
    <t>INF179KA1IC6</t>
  </si>
  <si>
    <t>HDFC FMP 3360D March 2014 (1) - IDCW Option - Direct Plan</t>
  </si>
  <si>
    <t>INF179KA1IH5</t>
  </si>
  <si>
    <t>HDFC FMP 3360D March 2014 (1) - Quarterly IDCW Option</t>
  </si>
  <si>
    <t>INF179KA1ID4</t>
  </si>
  <si>
    <t>HDFC FMP 3360D March 2014 (1) - Quarterly IDCW Option - Direct Plan</t>
  </si>
  <si>
    <t>INF336L01KX7</t>
  </si>
  <si>
    <t>HSBC Fixed Term Series 125 - Direct Plan Growth Option</t>
  </si>
  <si>
    <t>INF336L01LA3</t>
  </si>
  <si>
    <t>HSBC Fixed Term Series 125 - Dividend Option</t>
  </si>
  <si>
    <t>INF336L01KZ2</t>
  </si>
  <si>
    <t>HSBC Fixed Term Series 125 - Growth Option</t>
  </si>
  <si>
    <t>INF336L01LB1</t>
  </si>
  <si>
    <t>HSBC Fixed Term Series 126 - Direct Plan Growth Option</t>
  </si>
  <si>
    <t>INF336L01LE5</t>
  </si>
  <si>
    <t>HSBC Fixed Term Series 126 - Dividend Option</t>
  </si>
  <si>
    <t>INF336L01LD7</t>
  </si>
  <si>
    <t>HSBC Fixed Term Series 126 - Growth Option</t>
  </si>
  <si>
    <t>INF336L01LX5</t>
  </si>
  <si>
    <t>HSBC Fixed Term Series 128 - Direct Plan Growth Option</t>
  </si>
  <si>
    <t>INF336L01LZ0</t>
  </si>
  <si>
    <t>HSBC Fixed Term Series 128 - Growth Option</t>
  </si>
  <si>
    <t>INF336L01MA1</t>
  </si>
  <si>
    <t>HSBC FTS 128 - IDCW - Tenure 1106 Days - Maturity: 29-Apr-2020</t>
  </si>
  <si>
    <t>INF336L01MB9</t>
  </si>
  <si>
    <t>HSBC Fixed Term Series 129 - Direct Plan Growth Option</t>
  </si>
  <si>
    <t>INF336L01MD5</t>
  </si>
  <si>
    <t>HSBC Fixed Term Series 129 - Growth Option</t>
  </si>
  <si>
    <t>INF336L01ME3</t>
  </si>
  <si>
    <t>HSBC FTS 129 - IDCW - Tenure 1120 Days - Maturity: 30-Jun-2020</t>
  </si>
  <si>
    <t>INF336L01MH6</t>
  </si>
  <si>
    <t>HSBC Fixed Term Series 130 - Growth Option</t>
  </si>
  <si>
    <t>INF336L01MI4</t>
  </si>
  <si>
    <t>HSBC FTS 130 - IDCW - Tenure 1204 Days - Maturity: 08-Apr-2021</t>
  </si>
  <si>
    <t>INF336L01MF0</t>
  </si>
  <si>
    <t>HSBC FTS 130 - IDCW Direct Plan-Tenure 1204 Days-Maturity: 08-Apr-2021</t>
  </si>
  <si>
    <t>INF336L01MN4</t>
  </si>
  <si>
    <t>HSBC Fixed Term Series 131 - Direct Plan Growth Option</t>
  </si>
  <si>
    <t>INF336L01MP9</t>
  </si>
  <si>
    <t>HSBC Fixed Term Series 131 - Growth Option</t>
  </si>
  <si>
    <t>INF336L01MQ7</t>
  </si>
  <si>
    <t>HSBC FTS 131 - IDCW - Tenure 1140 Days -  Maturity: 03-May-2021</t>
  </si>
  <si>
    <t>INF336L01MJ2</t>
  </si>
  <si>
    <t>HSBC Fixed Term Series 132 - Direct Plan Growth Option</t>
  </si>
  <si>
    <t>INF336L01ML8</t>
  </si>
  <si>
    <t>HSBC Fixed Term Series 132 - Growth Option</t>
  </si>
  <si>
    <t>INF336L01MM6</t>
  </si>
  <si>
    <t>HSBC FTS 132 - IDCW - Tenure 1149 Days - Maturity: 03-May-2021</t>
  </si>
  <si>
    <t>INF336L01MK0</t>
  </si>
  <si>
    <t>HSBC FTS 132 - IDCW Direct Plan-Tenure 1149 Days-Maturity: 03-May-2021</t>
  </si>
  <si>
    <t>INF336L01MR5</t>
  </si>
  <si>
    <t>HSBC Fixed Term Series 133 - Direct Plan Growth Option</t>
  </si>
  <si>
    <t>INF336L01MT1</t>
  </si>
  <si>
    <t>HSBC Fixed Term Series 133 - Growth Option</t>
  </si>
  <si>
    <t>INF336L01MU9</t>
  </si>
  <si>
    <t>HSBC FTS 133 - IDCW - Tenure 1134 Days - Maturity: 03-May-2021</t>
  </si>
  <si>
    <t>INF336L01MS3</t>
  </si>
  <si>
    <t>HSBC FTS 133 - IDCW Direct Plan-Tenure 1134 Days-Maturity: 03-May-2021</t>
  </si>
  <si>
    <t>INF336L01MV7</t>
  </si>
  <si>
    <t>HSBC Fixed Term Series 134 - Direct Plan Growth Option</t>
  </si>
  <si>
    <t>INF336L01MY1</t>
  </si>
  <si>
    <t>HSBC Fixed Term Series 134 - Dividend Option</t>
  </si>
  <si>
    <t>INF336L01MX3</t>
  </si>
  <si>
    <t>HSBC FTS 134 - IDCW - Tenure 1118 Days - Maturity: 29-Jun-2021</t>
  </si>
  <si>
    <t>INF336L01MW5</t>
  </si>
  <si>
    <t>HSBC FTS 134 - IDCW Direct Plan - Tenure 1118 Days - Maturity: 29-Jun-2021</t>
  </si>
  <si>
    <t>INF336L01MZ8</t>
  </si>
  <si>
    <t>HSBC Fixed Term Series 135 - Direct Plan Growth Option</t>
  </si>
  <si>
    <t>INF336L01NB7</t>
  </si>
  <si>
    <t>HSBC Fixed Term Series 135 - Growth Option</t>
  </si>
  <si>
    <t>INF336L01NC5</t>
  </si>
  <si>
    <t>HSBC FTS 135 - IDCW - Tenure 1117 Days - Maturity: 30-Jul-2021</t>
  </si>
  <si>
    <t>INF336L01NA9</t>
  </si>
  <si>
    <t>HSBC FTS 135 - IDCW Direct Plan - Tenure 1117 Days - Maturity: 30-Jul-2021</t>
  </si>
  <si>
    <t>INF336L01ND3</t>
  </si>
  <si>
    <t>HSBC Fixed Term Series 136 - Direct Plan Growth Option</t>
  </si>
  <si>
    <t>INF336L01NF8</t>
  </si>
  <si>
    <t>HSBC Fixed Term Series 136 - Growth Option</t>
  </si>
  <si>
    <t>INF336L01NG6</t>
  </si>
  <si>
    <t>HSBC FTS 136 - IDCW - Tenure 1145 Days - Maturity: 30-Sep-2021</t>
  </si>
  <si>
    <t>INF336L01NE1</t>
  </si>
  <si>
    <t>HSBC FTS 136 - IDCW Direct Plan - Tenure 1145 Days - Maturity: 30-Sep-2021</t>
  </si>
  <si>
    <t>INF336L01NP7</t>
  </si>
  <si>
    <t>HSBC Fixed Term Series 137 - Growth Option</t>
  </si>
  <si>
    <t>INF336L01NN2</t>
  </si>
  <si>
    <t>HSBC Fixed Term Series 137 Direct Plan Growth Option</t>
  </si>
  <si>
    <t>INF336L01NQ5</t>
  </si>
  <si>
    <t>HSBC FTS 137 - IDCW - Tenure 1187 Days - Maturity: 18-Apr-2022</t>
  </si>
  <si>
    <t>INF336L01NO0</t>
  </si>
  <si>
    <t>HSBC FTS 137 - IDCW Direct Plan - Tenure 1187 Days - Maturity: 18-Apr-2022</t>
  </si>
  <si>
    <t>INF336L01NR3</t>
  </si>
  <si>
    <t>HSBC Fixed Term Series 139 - Direct Plan - Direct Plan - Growth Option</t>
  </si>
  <si>
    <t>INF336L01NT9</t>
  </si>
  <si>
    <t>HSBC Fixed Term Series 139 - Growth Option</t>
  </si>
  <si>
    <t>INF336L01NU7</t>
  </si>
  <si>
    <t>HSBC FTS 139 - IDCW - Tenure 1163 Days - Maturity: 03-May-2022</t>
  </si>
  <si>
    <t>INF336L01NS1</t>
  </si>
  <si>
    <t>HSBC FTS 139 - IDCW Direct Plan - Tenure 1163 Days - Maturity: 03-May-2022</t>
  </si>
  <si>
    <t>INF336L01OD1</t>
  </si>
  <si>
    <t>HSBC Fixed Term Series 140 - Growth Option</t>
  </si>
  <si>
    <t>INF336L01OB5</t>
  </si>
  <si>
    <t>HSBC Fixed Term Series 140 Direct plan - Growth Option</t>
  </si>
  <si>
    <t>INF336L01OE9</t>
  </si>
  <si>
    <t>HSBC FTS 140 - IDCW - Tenure 1147 Days - Maturity: 15-Jun-2022</t>
  </si>
  <si>
    <t>INF336L01OC3</t>
  </si>
  <si>
    <t>HSBC FTS 140 - IDCW Direct Plan - Tenure 1147 Days - Maturity: 15-Jun-2022</t>
  </si>
  <si>
    <t>INF109K01SX3</t>
  </si>
  <si>
    <t>ICICI Prudential Capital Protection Oriented Fund - Series V - 60 Months - Cumulative</t>
  </si>
  <si>
    <t>INF109K01SY1</t>
  </si>
  <si>
    <t>ICICI Prudential Capital Protection Oriented Fund - Series V - 60 Months - Dividend</t>
  </si>
  <si>
    <t>INF109KA1XD8</t>
  </si>
  <si>
    <t>ICICI Prudential Capital Protection Oriented Fund Series VI -1100 Days Plan B Cumulative Option</t>
  </si>
  <si>
    <t>INF109KA1XF3</t>
  </si>
  <si>
    <t>ICICI Prudential Capital Protection Oriented Fund Series VI- 1100 Days Plan B Direct Plan Cumulative option</t>
  </si>
  <si>
    <t>INF109KA1XG1</t>
  </si>
  <si>
    <t>ICICI Prudential Capital Protection Oriented Fund Series VI- 1100 Days Plan B Direct Plan Dividend Option</t>
  </si>
  <si>
    <t>INF109KA1XE6</t>
  </si>
  <si>
    <t>ICICI Prudential Capital Protection Oriented Fund Series VI- 1100 Days Plan B Dividend Option</t>
  </si>
  <si>
    <t>INF109KA1XX6</t>
  </si>
  <si>
    <t>ICICI Prudential Capital Protection Oriented Fund - Series VI - 1100 Days Plan D Direct Plan Cumulative Option</t>
  </si>
  <si>
    <t>INF109KA1XY4</t>
  </si>
  <si>
    <t>ICICI Prudential Capital Protection Oriented Fund - Series VI - 1100 Days Plan D Direct Plan Dividend Option</t>
  </si>
  <si>
    <t>INF109KA1XW8</t>
  </si>
  <si>
    <t>ICICI Prudential Capital Protection Oriented Fund - Series VI - 1100 Days Plan D Dividend Option</t>
  </si>
  <si>
    <t>INF109KA1XV0</t>
  </si>
  <si>
    <t>ICICI Prudential Capital Protection Oriented Fund - Series VI -1100 Days Plan D Cumulative Option</t>
  </si>
  <si>
    <t>INF109KA1YZ9</t>
  </si>
  <si>
    <t>ICICI Prudential Capital Protection Oriented Fund - Series VI - 1100 Days Plan E Cumulative Option</t>
  </si>
  <si>
    <t>INF109KA1ZB7</t>
  </si>
  <si>
    <t>ICICI Prudential Capital Protection Oriented Fund - Series VI - 1100 Days Plan E Direct Plan Cumulative Option</t>
  </si>
  <si>
    <t>INF109KA1ZA9</t>
  </si>
  <si>
    <t>ICICI Prudential Capital Protection Oriented Fund - Series VI - 1100 Days Plan E Dividend Option</t>
  </si>
  <si>
    <t>INF109KA1A66</t>
  </si>
  <si>
    <t>ICICI Prudential Capital Protection Oriented Fund - Series VI - 1100 Days Plan F Cumulative Option</t>
  </si>
  <si>
    <t>INF109KA1A82</t>
  </si>
  <si>
    <t>ICICI Prudential Capital Protection Oriented Fund - Series VI - 1100 Days Plan F Direct Plan Cumulative Option</t>
  </si>
  <si>
    <t>INF109KA1A90</t>
  </si>
  <si>
    <t>ICICI Prudential Capital Protection Oriented Fund - Series VI - 1100 Days Plan F Direct Plan Dividend Option</t>
  </si>
  <si>
    <t>INF109KA1A74</t>
  </si>
  <si>
    <t>ICICI Prudential Capital Protection Oriented Fund - Series VI - 1100 Days Plan F Dividend Option</t>
  </si>
  <si>
    <t>INF109KA1B08</t>
  </si>
  <si>
    <t>ICICI Prudential Capital Protection Oriented Fund - Series VI - 1100 Days Plan G Cumulative Option</t>
  </si>
  <si>
    <t>INF109KA1B24</t>
  </si>
  <si>
    <t>ICICI Prudential Capital Protection Oriented Fund - Series VI - 1100 Days Plan G Direct Plan Cumulative Option</t>
  </si>
  <si>
    <t>INF109KA1B32</t>
  </si>
  <si>
    <t>ICICI Prudential Capital Protection Oriented Fund - Series VI - 1100 Days Plan G Direct Plan Dividend Option</t>
  </si>
  <si>
    <t>INF109KA1B16</t>
  </si>
  <si>
    <t>ICICI Prudential Capital Protection Oriented Fund - Series VI - 1100 Days Plan G Dividend Option</t>
  </si>
  <si>
    <t>INF109KA1Q01</t>
  </si>
  <si>
    <t>ICICI Prudential Capital Protection Oriented Fund - Series VI - 1100 Days Plan H Cumulative Option</t>
  </si>
  <si>
    <t>INF109KA1Q27</t>
  </si>
  <si>
    <t>ICICI Prudential Capital Protection Oriented Fund - Series VI - 1100 Days Plan H Direct Plan Cumulative Option</t>
  </si>
  <si>
    <t>INF109KA1Q35</t>
  </si>
  <si>
    <t>ICICI Prudential Capital Protection Oriented Fund - Series VI - 1100 Days Plan H Direct Plan Dividend Option</t>
  </si>
  <si>
    <t>INF109KA1Q19</t>
  </si>
  <si>
    <t>ICICI Prudential Capital Protection Oriented Fund - Series VI - 1100 Days Plan H Dividend Option</t>
  </si>
  <si>
    <t>INF109KA18M8</t>
  </si>
  <si>
    <t>ICICI Prudential Capital Protection Oriented Fund - Series VII - 1284 Days Plan C Cumulative Option</t>
  </si>
  <si>
    <t>INF109KA10N3</t>
  </si>
  <si>
    <t>ICICI Prudential Capital Protection Oriented Fund - Series VII - 1284 Days Plan C Direct Plan Cumulative Option</t>
  </si>
  <si>
    <t>INF109KA11N1</t>
  </si>
  <si>
    <t>ICICI Prudential Capital Protection Oriented Fund - Series VII - 1284 Days Plan C Direct Plan Dividend Option</t>
  </si>
  <si>
    <t>INF109KA19M6</t>
  </si>
  <si>
    <t>ICICI Prudential Capital Protection Oriented Fund - Series VII - 1284 Days Plan C Dividend Option</t>
  </si>
  <si>
    <t>INF109KA14P0</t>
  </si>
  <si>
    <t>ICICI Prudential Capital Protection Oriented Fund - Series VII - 1284 Days Plan E Cumulative Option</t>
  </si>
  <si>
    <t>INF109KA16P5</t>
  </si>
  <si>
    <t>ICICI Prudential Capital Protection Oriented Fund - Series VII - 1284 Days Plan E Direct Plan Cumulative Option</t>
  </si>
  <si>
    <t>INF109KA17P3</t>
  </si>
  <si>
    <t>ICICI Prudential Capital Protection Oriented Fund - Series VII - 1284 Days Plan E Direct Plan Dividend Option</t>
  </si>
  <si>
    <t>INF109KA15P7</t>
  </si>
  <si>
    <t>ICICI Prudential Capital Protection Oriented Fund - Series VII - 1284 Days Plan E Dividend Option</t>
  </si>
  <si>
    <t>INF109KA1W29</t>
  </si>
  <si>
    <t>ICICI Prudential Capital Protection Oriented Fund - Series VII - 1285 Days Plan A Cumulative Option</t>
  </si>
  <si>
    <t>INF109KA1W45</t>
  </si>
  <si>
    <t>ICICI Prudential Capital Protection Oriented Fund - Series VII - 1285 Days Plan A Direct Plan Cumulative Option</t>
  </si>
  <si>
    <t>INF109KA1W52</t>
  </si>
  <si>
    <t>ICICI Prudential Capital Protection Oriented Fund - Series VII - 1285 Days Plan A Direct Plan Dividend Option</t>
  </si>
  <si>
    <t>INF109KA1W37</t>
  </si>
  <si>
    <t>ICICI Prudential Capital Protection Oriented Fund - Series VII - 1285 Days Plan A Dividend Option</t>
  </si>
  <si>
    <t>INF109KA14E4</t>
  </si>
  <si>
    <t>ICICI Prudential Capital Protection Oriented Fund - Series VII - 1285 Days Plan B Cumulative Option</t>
  </si>
  <si>
    <t>INF109KA16E9</t>
  </si>
  <si>
    <t>ICICI Prudential Capital Protection Oriented Fund - Series VII - 1285 Days Plan B Direct Plan Cumulative Option</t>
  </si>
  <si>
    <t>INF109KA17E7</t>
  </si>
  <si>
    <t>ICICI Prudential Capital Protection Oriented Fund - Series VII - 1285 Days Plan B Direct Plan Dividend Option</t>
  </si>
  <si>
    <t>INF109KA15E1</t>
  </si>
  <si>
    <t>ICICI Prudential Capital Protection Oriented Fund - Series VII - 1285 Days Plan B Dividend Option</t>
  </si>
  <si>
    <t>INF109KB1GZ5</t>
  </si>
  <si>
    <t>ICICI Prudential Capital Protection Oriented Fund - Series VIII -1101 Days Plan D Cumulative Option</t>
  </si>
  <si>
    <t>INF109KB1GX0</t>
  </si>
  <si>
    <t>ICICI Prudential Capital Protection Oriented Fund - Series VIII -1101 Days Plan D Direct Plan Cumulative Option</t>
  </si>
  <si>
    <t>INF109KB1GY8</t>
  </si>
  <si>
    <t>ICICI Prudential Capital Protection Oriented Fund - Series VIII -1101 Days Plan D Direct Plan Dividend Option</t>
  </si>
  <si>
    <t>INF109KB1HA6</t>
  </si>
  <si>
    <t>ICICI Prudential Capital Protection Oriented Fund - Series VIII -1101 Days Plan D Dividend Option</t>
  </si>
  <si>
    <t>INF109KB1KN3</t>
  </si>
  <si>
    <t>ICICI Prudential Capital Protection Oriented Fund - Series VIII - 1101 Days Plan G Cumulative Option</t>
  </si>
  <si>
    <t>INF109KB1KP8</t>
  </si>
  <si>
    <t>ICICI Prudential Capital Protection Oriented Fund - Series VIII - 1101 Days Plan G Direct Plan Cumulative Option</t>
  </si>
  <si>
    <t>INF109KB1KO1</t>
  </si>
  <si>
    <t>ICICI Prudential Capital Protection Oriented Fund - Series VIII - 1101 Days Plan G Dividend Option</t>
  </si>
  <si>
    <t>INF109KB1AT1</t>
  </si>
  <si>
    <t>ICICI Prudential Capital Protection Oriented Fund - Series VIII - 1103 Days Plan B Cumulative Option</t>
  </si>
  <si>
    <t>INF109KB1AV7</t>
  </si>
  <si>
    <t>ICICI Prudential Capital Protection Oriented Fund - Series VIII - 1103 Days Plan B Direct Plan Cumulative Option</t>
  </si>
  <si>
    <t>INF109KB1AW5</t>
  </si>
  <si>
    <t>ICICI Prudential Capital Protection Oriented Fund - Series VIII - 1103 Days Plan B Direct Plan Dividend Option</t>
  </si>
  <si>
    <t>INF109KB1AU9</t>
  </si>
  <si>
    <t>ICICI Prudential Capital Protection Oriented Fund - Series VIII - 1103 Days Plan B Dividend Option</t>
  </si>
  <si>
    <t>INF109KB1DB3</t>
  </si>
  <si>
    <t>ICICI Prudential Capital Protection Oriented Fund - Series VIII - 1103 Days Plan C Cumulative Option</t>
  </si>
  <si>
    <t>INF109KB1DD9</t>
  </si>
  <si>
    <t>ICICI Prudential Capital Protection Oriented Fund - Series VIII - 1103 Days Plan C Direct Plan Cumulative Option</t>
  </si>
  <si>
    <t>INF109KB1DE7</t>
  </si>
  <si>
    <t>ICICI Prudential Capital Protection Oriented Fund - Series VIII - 1103 Days Plan C Direct Plan Dividend Option</t>
  </si>
  <si>
    <t>INF109KB1DC1</t>
  </si>
  <si>
    <t>ICICI Prudential Capital Protection Oriented Fund - Series VIII - 1103 Days Plan C Dividend Option</t>
  </si>
  <si>
    <t>INF109KB1HZ3</t>
  </si>
  <si>
    <t>ICICI Prudential Capital Protection Oriented Fund - Series VIII -1107 Days Plan E Cumulative Option</t>
  </si>
  <si>
    <t>INF109KB1IB2</t>
  </si>
  <si>
    <t>ICICI Prudential Capital Protection Oriented Fund - Series VIII -1107 Days Plan E Direct Plan Cumulative Option</t>
  </si>
  <si>
    <t>INF109KB1IC0</t>
  </si>
  <si>
    <t>ICICI Prudential Capital Protection Oriented Fund - Series VIII -1107 Days Plan E Direct Plan Dividend Option</t>
  </si>
  <si>
    <t>INF109KB1IA4</t>
  </si>
  <si>
    <t>ICICI Prudential Capital Protection Oriented Fund - Series VIII -1107 Days Plan E Dividend Option</t>
  </si>
  <si>
    <t>INF109KB1IX6</t>
  </si>
  <si>
    <t>ICICI Prudential Capital Protection Oriented Fund - Series VIII - 1115 Days Plan F Cumulative Option</t>
  </si>
  <si>
    <t>INF109KB1IZ1</t>
  </si>
  <si>
    <t>ICICI Prudential Capital Protection Oriented Fund - Series VIII - 1115 Days Plan F Direct Plan Cumulative Option</t>
  </si>
  <si>
    <t>INF109KB1JA2</t>
  </si>
  <si>
    <t>ICICI Prudential Capital Protection Oriented Fund - Series VIII - 1115 Days Plan F Direct Plan Dividend Option</t>
  </si>
  <si>
    <t>INF109KB1IY4</t>
  </si>
  <si>
    <t>ICICI Prudential Capital Protection Oriented Fund - Series VIII - 1115 Days Plan F Dividend Option</t>
  </si>
  <si>
    <t>INF109KB1VP5</t>
  </si>
  <si>
    <t>ICICI Prudential Capital Protection Oriented Fund - Series X - 1235 Days Plan A Cumulative Option</t>
  </si>
  <si>
    <t>INF109KB1VR1</t>
  </si>
  <si>
    <t>ICICI Prudential Capital Protection Oriented Fund - Series X - 1235 Days Plan A Direct Plan Cumulative Option</t>
  </si>
  <si>
    <t>INF109KB1VS9</t>
  </si>
  <si>
    <t>ICICI Prudential Capital Protection Oriented Fund - Series X - 1235 Days Plan A Direct Plan Dividend Option</t>
  </si>
  <si>
    <t>INF109KB1VQ3</t>
  </si>
  <si>
    <t>ICICI Prudential Capital Protection Oriented Fund - Series X - 1235 Days Plan A Dividend Option</t>
  </si>
  <si>
    <t>INF109KB1WZ2</t>
  </si>
  <si>
    <t>ICICI Prudential Capital Protection Oriented Fund - Series X - 1375 Days Plan B Cumulative Plan</t>
  </si>
  <si>
    <t>INF109KB1XB1</t>
  </si>
  <si>
    <t>ICICI Prudential Capital Protection Oriented Fund - Series X - 1375 Days Plan B Direct Plan Cumulative Plan</t>
  </si>
  <si>
    <t>INF109KB1XC9</t>
  </si>
  <si>
    <t>ICICI Prudential Capital Protection Oriented Fund - Series X - 1375 Days Plan B Direct Plan Dividend Option</t>
  </si>
  <si>
    <t>INF109KB1XA3</t>
  </si>
  <si>
    <t>ICICI Prudential Capital Protection Oriented Fund - Series X - 1375 Days Plan B Dividend Plan</t>
  </si>
  <si>
    <t>INF109KB1K88</t>
  </si>
  <si>
    <t>ICICI Prudential Capital Protection Oriented Fund - Series XI - Plan A 2056 Days - Cumulative Option</t>
  </si>
  <si>
    <t>INF109KB1L04</t>
  </si>
  <si>
    <t>ICICI Prudential Capital Protection Oriented Fund - Series XI - Plan A 2056 Days - Direct Plan - Cumulative Option</t>
  </si>
  <si>
    <t>INF109KB1L12</t>
  </si>
  <si>
    <t>ICICI Prudential Capital Protection Oriented Fund - Series XI - Plan A 2056 Days - Direct Plan - IDCW Option</t>
  </si>
  <si>
    <t>INF109KB1K96</t>
  </si>
  <si>
    <t>ICICI Prudential Capital Protection Oriented Fund - Series XI - Plan A 2056 Days - IDCW Option</t>
  </si>
  <si>
    <t>INF109KB1L46</t>
  </si>
  <si>
    <t>ICICI Prudential Capital Protection Oriented Fund - Series XI - Plan B 1222 Days - Cumulative Option</t>
  </si>
  <si>
    <t>INF109KB1L61</t>
  </si>
  <si>
    <t>ICICI Prudential Capital Protection Oriented Fund - Series XI - Plan B 1222 Days - Direct Plan - Cumulative Option</t>
  </si>
  <si>
    <t>INF109KB1L79</t>
  </si>
  <si>
    <t>ICICI Prudential Capital Protection Oriented Fund - Series XI - Plan B 1222 Days - Direct Plan - Dividend Option</t>
  </si>
  <si>
    <t>INF109KB1L53</t>
  </si>
  <si>
    <t>ICICI Prudential Capital Protection Oriented Fund - Series XI - Plan B 1222 Days - Dividend Option</t>
  </si>
  <si>
    <t>INF109KB1Q25</t>
  </si>
  <si>
    <t>ICICI Prudential Capital Protection Oriented Fund - Series XI - Plan C 1255 Days - Cumulative Option</t>
  </si>
  <si>
    <t>INF109KB1Q41</t>
  </si>
  <si>
    <t>ICICI Prudential Capital Protection Oriented Fund - Series XI - Plan C 1255 Days - Direct Plan - Cumulative Option</t>
  </si>
  <si>
    <t>INF109KB1Q58</t>
  </si>
  <si>
    <t>ICICI Prudential Capital Protection Oriented Fund - Series XI - Plan C 1255 Days - Direct Plan - Dividend Option</t>
  </si>
  <si>
    <t>INF109KB1Q33</t>
  </si>
  <si>
    <t>ICICI Prudential Capital Protection Oriented Fund - Series XI - Plan C 1255 Days - Dividend Option</t>
  </si>
  <si>
    <t>INF109KB1R08</t>
  </si>
  <si>
    <t>ICICI Prudential Capital Protection Oriented Fund - Series XI - Plan D 1247 Days - Cumulative Option</t>
  </si>
  <si>
    <t>INF109KB1R24</t>
  </si>
  <si>
    <t>ICICI Prudential Capital Protection Oriented Fund - Series XI - Plan D 1247 Days - Direct Plan -  Cumulative Option</t>
  </si>
  <si>
    <t>INF109KB1R32</t>
  </si>
  <si>
    <t>ICICI Prudential Capital Protection Oriented Fund - Series XI - Plan D 1247 Days - Direct Plan -  Dividend Option</t>
  </si>
  <si>
    <t>INF109KB1R16</t>
  </si>
  <si>
    <t>ICICI Prudential Capital Protection Oriented Fund - Series XI - Plan D 1247 Days - Dividend Option</t>
  </si>
  <si>
    <t>INF109KB1W27</t>
  </si>
  <si>
    <t>ICICI Prudential Capital Protection Oriented Fund - Series XI - Plan E 1222 Days - Cumulative Option</t>
  </si>
  <si>
    <t>INF109KB1W43</t>
  </si>
  <si>
    <t>ICICI Prudential Capital Protection Oriented Fund - Series XI - Plan E 1222 Days - Direct Plan -  Cumulative Option</t>
  </si>
  <si>
    <t>INF109KB1W50</t>
  </si>
  <si>
    <t>ICICI Prudential Capital Protection Oriented Fund - Series XI - Plan E 1222 Days - Direct Plan -  Dividend Option</t>
  </si>
  <si>
    <t>INF109KB1W35</t>
  </si>
  <si>
    <t>ICICI Prudential Capital Protection Oriented Fund - Series XI - Plan E 1222 Days - Dividend Option</t>
  </si>
  <si>
    <t>INF109KB12H9</t>
  </si>
  <si>
    <t>ICICI Prudential Capital Protection Oriented Fund - Series XII - Plan A 1168 Days - Cumulative Option</t>
  </si>
  <si>
    <t>INF109KB14H5</t>
  </si>
  <si>
    <t>ICICI Prudential Capital Protection Oriented Fund - Series XII - Plan A 1168 Days - Direct Plan - Cumulative Option</t>
  </si>
  <si>
    <t>INF109KB15H2</t>
  </si>
  <si>
    <t>ICICI Prudential Capital Protection Oriented Fund - Series XII - Plan A 1168 Days - Direct Plan - Dividend Option</t>
  </si>
  <si>
    <t>INF109KB13H7</t>
  </si>
  <si>
    <t>ICICI Prudential Capital Protection Oriented Fund - Series XII - Plan A 1168 Days - Dividend Option</t>
  </si>
  <si>
    <t>INF109KB15X9</t>
  </si>
  <si>
    <t>ICICI Prudential Capital Protection Oriented Fund - Series XII - Plan C 1270 Days - Cumulative Option</t>
  </si>
  <si>
    <t>INF109KB13X4</t>
  </si>
  <si>
    <t>ICICI Prudential Capital Protection Oriented Fund - Series XII - Plan C 1270 Days - Direct Plan - Cumulative Option</t>
  </si>
  <si>
    <t>INF109KB14X2</t>
  </si>
  <si>
    <t>ICICI Prudential Capital Protection Oriented Fund - Series XII - Plan C 1270 Days - Direct Plan - IDCW Option</t>
  </si>
  <si>
    <t>INF109KB16X7</t>
  </si>
  <si>
    <t>ICICI Prudential Capital Protection Oriented Fund - Series XII - Plan C 1270 Days - IDCW OPtion</t>
  </si>
  <si>
    <t>INF109KC1PC4</t>
  </si>
  <si>
    <t>ICICI Prudential Capital Protection Oriented Fund - Series XIV - Plan A 1275 Days - Cumulative Option</t>
  </si>
  <si>
    <t>INF109KC1PE0</t>
  </si>
  <si>
    <t>ICICI Prudential Capital Protection Oriented Fund - Series XIV - Plan A 1275 Days - Direct Plan - Cumulative Option</t>
  </si>
  <si>
    <t>INF109KC1PF7</t>
  </si>
  <si>
    <t>ICICI Prudential Capital Protection Oriented Fund - Series XIV - Plan A 1275 Days - Direct Plan - IDCW Option</t>
  </si>
  <si>
    <t>INF109KC1PD2</t>
  </si>
  <si>
    <t>ICICI Prudential Capital Protection Oriented Fund - Series XIV - Plan A 1275 Days - IDCW Option</t>
  </si>
  <si>
    <t>INF109K01C78</t>
  </si>
  <si>
    <t>ICICI Prudential Capital Protection Oriented Fund II - Series IX - 36 Months - Cumulative</t>
  </si>
  <si>
    <t>INF109K01C86</t>
  </si>
  <si>
    <t>ICICI Prudential Capital Protection Oriented Fund II - Series IX - 36 Months - Dividend</t>
  </si>
  <si>
    <t>INF109K01D77</t>
  </si>
  <si>
    <t>ICICI Prudential Capital Protection Oriented Fund II - Series X - 36 Months - Cumulative</t>
  </si>
  <si>
    <t>INF109K01D85</t>
  </si>
  <si>
    <t>ICICI Prudential Capital Protection Oriented Fund II - Series X - 36 Months - Dividend</t>
  </si>
  <si>
    <t>INF109K01G66</t>
  </si>
  <si>
    <t>ICICI Prudential Capital Protection Oriented Fund III - PLAN A - 36 Months - Cumulative</t>
  </si>
  <si>
    <t>INF109K01G74</t>
  </si>
  <si>
    <t>ICICI Prudential Capital Protection Oriented Fund III - PLAN A - 36 Months - Dividend</t>
  </si>
  <si>
    <t>INF109K01G41</t>
  </si>
  <si>
    <t>ICICI Prudential Capital Protection Oriented Fund III - PLAN B - 60 Months - Cumulative</t>
  </si>
  <si>
    <t>INF109K01G58</t>
  </si>
  <si>
    <t>ICICI Prudential Capital Protection Oriented Fund III - PLAN B - 60 Months - Dividend</t>
  </si>
  <si>
    <t>INF109K01H24</t>
  </si>
  <si>
    <t>ICICI Prudential Capital Protection Oriented Fund III - PLAN C - 36 Months - Cumulative</t>
  </si>
  <si>
    <t>INF109K01H32</t>
  </si>
  <si>
    <t>ICICI Prudential Capital Protection Oriented Fund III - PLAN C - 36 Months - Dividend</t>
  </si>
  <si>
    <t>INF109K01I80</t>
  </si>
  <si>
    <t>ICICI Prudential Capital Protection Oriented Fund III - PLAN D - 36 Months - Cumulative</t>
  </si>
  <si>
    <t>INF109K01I98</t>
  </si>
  <si>
    <t>ICICI Prudential Capital Protection Oriented Fund III - PLAN D - 36 Months - Direct Plan - Cumulative</t>
  </si>
  <si>
    <t>INF109K01J14</t>
  </si>
  <si>
    <t>ICICI Prudential Capital Protection Oriented Fund III - PLAN D - 36 Months - Direct Plan - Dividend</t>
  </si>
  <si>
    <t>INF109K01J06</t>
  </si>
  <si>
    <t>ICICI Prudential Capital Protection Oriented Fund III - PLAN D - 36 Months - Dividend</t>
  </si>
  <si>
    <t>INF109K01K03</t>
  </si>
  <si>
    <t>ICICI Prudential Capital Protection Oriented Fund III - PLAN E - 60 Months - Cumulative</t>
  </si>
  <si>
    <t>INF109K01K29</t>
  </si>
  <si>
    <t>ICICI Prudential Capital Protection Oriented Fund III - PLAN E - 60 Months - Direct Plan - Cumulative</t>
  </si>
  <si>
    <t>INF109K01K37</t>
  </si>
  <si>
    <t>ICICI Prudential Capital Protection Oriented Fund III - PLAN E - 60 Months - Direct Plan - Dividend</t>
  </si>
  <si>
    <t>INF109K01K11</t>
  </si>
  <si>
    <t>ICICI Prudential Capital Protection Oriented Fund III - PLAN E - 60 Months - Dividend</t>
  </si>
  <si>
    <t>INF109K011F3</t>
  </si>
  <si>
    <t>ICICI Prudential Capital Protection Oriented Fund III - PLAN F - 36 Months - Cumulative</t>
  </si>
  <si>
    <t>INF109K013F9</t>
  </si>
  <si>
    <t>ICICI Prudential Capital Protection Oriented Fund III - PLAN F - 36 Months - Direct Plan - Cumulative</t>
  </si>
  <si>
    <t>INF109K014F7</t>
  </si>
  <si>
    <t>ICICI Prudential Capital Protection Oriented Fund III - PLAN F - 36 Months - Direct Plan - Dividend</t>
  </si>
  <si>
    <t>INF109K012F1</t>
  </si>
  <si>
    <t>ICICI Prudential Capital Protection Oriented Fund III - PLAN F - 36 Months - Dividend</t>
  </si>
  <si>
    <t>INF109K017I4</t>
  </si>
  <si>
    <t>ICICI Prudential Capital Protection Oriented Fund III - PLAN G - 60 Months - Cumulative</t>
  </si>
  <si>
    <t>INF109K019I0</t>
  </si>
  <si>
    <t>ICICI Prudential Capital Protection Oriented Fund III - PLAN G - 60 Months - Direct Plan - Cumulative</t>
  </si>
  <si>
    <t>INF109K018I2</t>
  </si>
  <si>
    <t>ICICI Prudential Capital Protection Oriented Fund III - PLAN G - 60 Months - Dividend</t>
  </si>
  <si>
    <t>INF109K013V6</t>
  </si>
  <si>
    <t>ICICI Prudential Capital Protection Oriented Fund III - PLAN H - 60 Months - Cumulative</t>
  </si>
  <si>
    <t>INF109K015V1</t>
  </si>
  <si>
    <t>ICICI Prudential Capital Protection Oriented Fund III - PLAN H - 60 Months - Direct Plan - Cumulative</t>
  </si>
  <si>
    <t>INF109K016V9</t>
  </si>
  <si>
    <t>ICICI Prudential Capital Protection Oriented Fund III - PLAN H - 60 Months - Direct Plan - Dividend</t>
  </si>
  <si>
    <t>INF109K014V4</t>
  </si>
  <si>
    <t>ICICI Prudential Capital Protection Oriented Fund III - PLAN H - 60 Months - Dividend</t>
  </si>
  <si>
    <t>INF109KA1863</t>
  </si>
  <si>
    <t>ICICI Prudential Capital Protection Oriented Fund IV - PLAN A - 60 Months - Cumulative</t>
  </si>
  <si>
    <t>INF109KA1848</t>
  </si>
  <si>
    <t>ICICI Prudential Capital Protection Oriented Fund IV - PLAN A - 60 Months - Direct Plan - Cumulative</t>
  </si>
  <si>
    <t>INF109KA1871</t>
  </si>
  <si>
    <t>ICICI Prudential Capital Protection Oriented Fund IV - PLAN A - 60 Months - Dividend</t>
  </si>
  <si>
    <t>INF109KA1BR4</t>
  </si>
  <si>
    <t>ICICI Prudential Capital Protection Oriented Fund IV - PLAN C - 60 Months - Cumulative</t>
  </si>
  <si>
    <t>INF109KA1BP8</t>
  </si>
  <si>
    <t>ICICI Prudential Capital Protection Oriented Fund IV - PLAN C - 60 Months - Direct Plan - Cumulative</t>
  </si>
  <si>
    <t>INF109KA1BQ6</t>
  </si>
  <si>
    <t>ICICI Prudential Capital Protection Oriented Fund IV - PLAN C - 60 Months - Direct Plan - Dividend</t>
  </si>
  <si>
    <t>INF109KA1BS2</t>
  </si>
  <si>
    <t>ICICI Prudential Capital Protection Oriented Fund IV - PLAN C - 60 Months - Dividend</t>
  </si>
  <si>
    <t>INF109KA1EF3</t>
  </si>
  <si>
    <t>ICICI Prudential Capital Protection Oriented Fund IV - PLAN D - 60 Months - Cumulative</t>
  </si>
  <si>
    <t>INF109KA1ED8</t>
  </si>
  <si>
    <t>ICICI Prudential Capital Protection Oriented Fund IV - PLAN D - 60 Months - Direct Plan - Cumulative</t>
  </si>
  <si>
    <t>INF109KA1EE6</t>
  </si>
  <si>
    <t>ICICI Prudential Capital Protection Oriented Fund IV - PLAN D - 60 Months - Direct Plan - Dividend</t>
  </si>
  <si>
    <t>INF109KA1EG1</t>
  </si>
  <si>
    <t>ICICI Prudential Capital Protection Oriented Fund IV - PLAN D - 60 Months - Dividend</t>
  </si>
  <si>
    <t>INF109KA1FN4</t>
  </si>
  <si>
    <t>ICICI Prudential Capital Protection Oriented Fund IV - PLAN E - 36 Months - Cumulative</t>
  </si>
  <si>
    <t>INF109KA1FP9</t>
  </si>
  <si>
    <t>ICICI Prudential Capital Protection Oriented Fund IV - PLAN E - 36 Months - Direct Plan - Cumulative</t>
  </si>
  <si>
    <t>INF109KA1FQ7</t>
  </si>
  <si>
    <t>ICICI Prudential Capital Protection Oriented Fund IV - PLAN E - 36 Months - Direct Plan - Dividend</t>
  </si>
  <si>
    <t>INF109KA1FO2</t>
  </si>
  <si>
    <t>ICICI Prudential Capital Protection Oriented Fund IV - PLAN E - 36 Months - Dividend</t>
  </si>
  <si>
    <t>INF109KA1GN2</t>
  </si>
  <si>
    <t>ICICI Prudential Capital Protection Oriented Fund IV - PLAN F - 60 Months - Cumulative</t>
  </si>
  <si>
    <t>INF109KA1GP7</t>
  </si>
  <si>
    <t>ICICI Prudential Capital Protection Oriented Fund IV - PLAN F - 60 Months - Direct Plan - Cumulative</t>
  </si>
  <si>
    <t>INF109KA1GQ5</t>
  </si>
  <si>
    <t>ICICI Prudential Capital Protection Oriented Fund IV - PLAN F - 60 Months - Direct Plan - Dividend</t>
  </si>
  <si>
    <t>INF109KA1GO0</t>
  </si>
  <si>
    <t>ICICI Prudential Capital Protection Oriented Fund IV - PLAN F - 60 Months - Dividend</t>
  </si>
  <si>
    <t>INF109KA1HR1</t>
  </si>
  <si>
    <t>ICICI Prudential Capital Protection Oriented Fund IV - PLAN G - 60 Months plan - Cumulative</t>
  </si>
  <si>
    <t>INF109KA1HT7</t>
  </si>
  <si>
    <t>ICICI Prudential Capital Protection Oriented Fund IV - PLAN G - 60 Months Plan - Direct Plan - Cumulative</t>
  </si>
  <si>
    <t>INF109KA1HU5</t>
  </si>
  <si>
    <t>ICICI Prudential Capital Protection Oriented Fund IV - PLAN G - 60 Months Plan - Direct Plan - Dividend</t>
  </si>
  <si>
    <t>INF109KA1HS9</t>
  </si>
  <si>
    <t>ICICI Prudential Capital Protection Oriented Fund IV - PLAN G - 60 Months Plan - Dividend</t>
  </si>
  <si>
    <t>INF109KA1IP3</t>
  </si>
  <si>
    <t>ICICI Prudential Capital Protection Oriented Fund IV - PLAN H - 36 Months plan - Cumulative</t>
  </si>
  <si>
    <t>INF109KA1IR9</t>
  </si>
  <si>
    <t>ICICI Prudential Capital Protection Oriented Fund IV - PLAN H - 36 Months Plan - Direct Plan - Cumulative</t>
  </si>
  <si>
    <t>INF109KA1IS7</t>
  </si>
  <si>
    <t>ICICI Prudential Capital Protection Oriented Fund IV - PLAN H - 36 Months Plan - Direct Plan - Dividend</t>
  </si>
  <si>
    <t>INF109KA1IQ1</t>
  </si>
  <si>
    <t>ICICI Prudential Capital Protection Oriented Fund IV - PLAN H - 36 Months Plan - Dividend</t>
  </si>
  <si>
    <t>INF109KB1NT4</t>
  </si>
  <si>
    <t>ICICI Prudential Capital Protection Oriented Fund - Series IX - 1101 Days Plan A Cumulative Option</t>
  </si>
  <si>
    <t>INF109KB1NV0</t>
  </si>
  <si>
    <t>ICICI Prudential Capital Protection Oriented Fund - Series IX - 1101 Days Plan A Direct Plan Cumulative Option</t>
  </si>
  <si>
    <t>INF109KB1NW8</t>
  </si>
  <si>
    <t>ICICI Prudential Capital Protection Oriented Fund - Series IX - 1101 Days Plan A Direct Plan Dividend Option</t>
  </si>
  <si>
    <t>INF109KB1NU2</t>
  </si>
  <si>
    <t>ICICI Prudential Capital Protection Oriented Fund - Series IX - 1101 Days Plan A Dividend Option</t>
  </si>
  <si>
    <t>INF109KB1OB0</t>
  </si>
  <si>
    <t>ICICI Prudential Capital Protection Oriented Fund - Series IX -1103 Days Plan B Cumulative Option</t>
  </si>
  <si>
    <t>INF109KB1OD6</t>
  </si>
  <si>
    <t>ICICI Prudential Capital Protection Oriented Fund - Series IX -1103 Days Plan B Direct Plan Cumulative Option</t>
  </si>
  <si>
    <t>INF109KB1OE4</t>
  </si>
  <si>
    <t>ICICI Prudential Capital Protection Oriented Fund - Series IX -1103 Days Plan B Direct Plan Dividend Option</t>
  </si>
  <si>
    <t>INF109KB1OC8</t>
  </si>
  <si>
    <t>ICICI Prudential Capital Protection Oriented Fund - Series IX -1103 Days Plan B Dividend Option</t>
  </si>
  <si>
    <t>INF109KB1OV8</t>
  </si>
  <si>
    <t>ICICI Prudential Capital Protection Oriented Fund - Series IX - 1195 Days Plan C Cumulative Option</t>
  </si>
  <si>
    <t>INF109KB1OX4</t>
  </si>
  <si>
    <t>ICICI Prudential Capital Protection Oriented Fund - Series IX - 1195 Days Plan C Direct Plan Cumulative Option</t>
  </si>
  <si>
    <t>INF109KB1OY2</t>
  </si>
  <si>
    <t>ICICI Prudential Capital Protection Oriented Fund - Series IX - 1195 Days Plan C Direct Plan Dividend Option</t>
  </si>
  <si>
    <t>INF109KB1OW6</t>
  </si>
  <si>
    <t>ICICI Prudential Capital Protection Oriented Fund - Series IX - 1195 Days Plan C Dividend Option</t>
  </si>
  <si>
    <t>INF109KB1PP7</t>
  </si>
  <si>
    <t>ICICI Prudential Capital Protection Oriented Fund - Series IX - 1378 Days Plan D Cumulative Option</t>
  </si>
  <si>
    <t>INF109KB1PR3</t>
  </si>
  <si>
    <t>ICICI Prudential Capital Protection Oriented Fund - Series IX - 1378 Days Plan D Direct Plan Cumulative Option</t>
  </si>
  <si>
    <t>INF109KB1PS1</t>
  </si>
  <si>
    <t>ICICI Prudential Capital Protection Oriented Fund - Series IX - 1378 Days Plan D Direct Plan Dividend Option</t>
  </si>
  <si>
    <t>INF109KB1PQ5</t>
  </si>
  <si>
    <t>ICICI Prudential Capital Protection Oriented Fund - Series IX - 1378 Days Plan D Dividend Option</t>
  </si>
  <si>
    <t>INF109KB1SN6</t>
  </si>
  <si>
    <t>ICICI Prudential Capital Protection Oriented Fund - Series IX - 1325 Days Plan E Cumulative Option</t>
  </si>
  <si>
    <t>INF109KB1SP1</t>
  </si>
  <si>
    <t>ICICI Prudential Capital Protection Oriented Fund - Series IX - 1325 Days Plan E Direct Plan Cumulative Option</t>
  </si>
  <si>
    <t>INF109KB1SQ9</t>
  </si>
  <si>
    <t>ICICI Prudential Capital Protection Oriented Fund - Series IX - 1325 Days Plan E Direct Plan Dividend Option</t>
  </si>
  <si>
    <t>INF109KB1SO4</t>
  </si>
  <si>
    <t>ICICI Prudential Capital Protection Oriented Fund - Series IX - 1325 Days Plan E Dividend Option</t>
  </si>
  <si>
    <t>INF109KB1TH6</t>
  </si>
  <si>
    <t>ICICI Prudential Capital Protection Oriented Fund - Series IX - 1120 Days Plan F Cumulative Option</t>
  </si>
  <si>
    <t>INF109KB1TJ2</t>
  </si>
  <si>
    <t>ICICI Prudential Capital Protection Oriented Fund - Series IX - 1120 Days Plan F Direct Plan Cumulative Option</t>
  </si>
  <si>
    <t>INF109KB1TI4</t>
  </si>
  <si>
    <t>ICICI Prudential Capital Protection Oriented Fund - Series IX - 1120 Days Plan F Dividend Option</t>
  </si>
  <si>
    <t>INF109KA1KD5</t>
  </si>
  <si>
    <t>ICICI Prudential Capital Protection Oriented Fund V - PLAN A - 5 Years Plan - Cumulative</t>
  </si>
  <si>
    <t>INF109KA1KF0</t>
  </si>
  <si>
    <t>ICICI Prudential Capital Protection Oriented Fund V - PLAN A - 5 Years Plan - Direct Plan - Cumulative</t>
  </si>
  <si>
    <t>INF109KA1KG8</t>
  </si>
  <si>
    <t>ICICI Prudential Capital Protection Oriented Fund V - PLAN A - 5 Years Plan - Direct Plan - Dividend</t>
  </si>
  <si>
    <t>INF109KA1KE3</t>
  </si>
  <si>
    <t>ICICI Prudential Capital Protection Oriented Fund V - PLAN A - 5 Years Plan - Dividend</t>
  </si>
  <si>
    <t>INF109KA1LF8</t>
  </si>
  <si>
    <t>ICICI Prudential Capital Protection Oriented Fund V - PLAN B - 1100 Days - Cumulative</t>
  </si>
  <si>
    <t>INF109KA1LH4</t>
  </si>
  <si>
    <t>ICICI Prudential Capital Protection Oriented Fund V - PLAN B - 1100 Days - Direct Plan - Cumulative</t>
  </si>
  <si>
    <t>INF109KA1LI2</t>
  </si>
  <si>
    <t>ICICI Prudential Capital Protection Oriented Fund V - PLAN B - 1100 Days - Direct Plan - Dividend</t>
  </si>
  <si>
    <t>INF109KA1LG6</t>
  </si>
  <si>
    <t>ICICI Prudential Capital Protection Oriented Fund V - PLAN B - 1100 Days - Dividend</t>
  </si>
  <si>
    <t>INF109KA1MN0</t>
  </si>
  <si>
    <t>ICICI Prudential Capital Protection Oriented Fund V - PLAN C - 1825 Days - Cumulative</t>
  </si>
  <si>
    <t>INF109KA1ML4</t>
  </si>
  <si>
    <t>ICICI Prudential Capital Protection Oriented Fund V - PLAN C - 1825 Days - Direct Plan - Cumulative</t>
  </si>
  <si>
    <t>INF109KA1MM2</t>
  </si>
  <si>
    <t>ICICI Prudential Capital Protection Oriented Fund V - PLAN C - 1825 Days - Direct Plan - Dividend</t>
  </si>
  <si>
    <t>INF109KA1MO8</t>
  </si>
  <si>
    <t>ICICI Prudential Capital Protection Oriented Fund V - PLAN C - 1825 Days - Dividend</t>
  </si>
  <si>
    <t>INF109KA1QF7</t>
  </si>
  <si>
    <t>ICICI Prudential Capital Protection Oriented Fund V - PLAN D - 1100 Days - Cumulative</t>
  </si>
  <si>
    <t>INF109KA1QH3</t>
  </si>
  <si>
    <t>ICICI Prudential Capital Protection Oriented Fund V - PLAN D - 1100 Days - Direct Plan - Cumulative</t>
  </si>
  <si>
    <t>INF109KA1QI1</t>
  </si>
  <si>
    <t>ICICI Prudential Capital Protection Oriented Fund V - PLAN D - 1100 Days - Direct Plan - Dividend</t>
  </si>
  <si>
    <t>INF109KA1QG5</t>
  </si>
  <si>
    <t>ICICI Prudential Capital Protection Oriented Fund V - PLAN D - 1100 Days - Dividend</t>
  </si>
  <si>
    <t>INF109KA1SJ5</t>
  </si>
  <si>
    <t>ICICI Prudential Capital Protection Oriented Fund V - PLAN E- 1100 Days - Cumulative</t>
  </si>
  <si>
    <t>INF109KA1SL1</t>
  </si>
  <si>
    <t>ICICI Prudential Capital Protection Oriented Fund V - PLAN E- 1100 Days - Direct Plan - Cumulative</t>
  </si>
  <si>
    <t>INF109KA1SK3</t>
  </si>
  <si>
    <t>ICICI Prudential Capital Protection Oriented Fund V - PLAN E- 1100 Days - Dividend</t>
  </si>
  <si>
    <t>INF109KA1VL5</t>
  </si>
  <si>
    <t>ICICI Prudential Capital Protection Oriented Fund V -Plan F -1100 Days Direct Plan Cumulative Option</t>
  </si>
  <si>
    <t>INF109KA1VK7</t>
  </si>
  <si>
    <t>ICICI Prudential Capital Protection Oriented Fund V- Plan F - 1100 Days -Dividend Option</t>
  </si>
  <si>
    <t>INF109KA1VM3</t>
  </si>
  <si>
    <t>ICICI Prudential Capital Protection Oriented Fund V- Plan F -1100 Days Direct Plan Dividend Option</t>
  </si>
  <si>
    <t>INF109KA1VJ9</t>
  </si>
  <si>
    <t>ICICI Prudential Capital Protection Oriented Fund V- Plan F- 1100 Days -Cumulative Option</t>
  </si>
  <si>
    <t>INF109KA1VV4</t>
  </si>
  <si>
    <t>ICICI Prudential Capital Protection Oriented Fund Series VI -1825 Days Plan A Cumulative Option</t>
  </si>
  <si>
    <t>INF109KA1VX0</t>
  </si>
  <si>
    <t>ICICI Prudential Capital Protection Oriented Fund Series VI- 1825 Days Plan A Direct Plan Cumulative option</t>
  </si>
  <si>
    <t>INF109KA1VY8</t>
  </si>
  <si>
    <t>ICICI Prudential Capital Protection Oriented Fund Series VI- 1825 Days Plan A Direct Plan Dividend Option</t>
  </si>
  <si>
    <t>INF109KA1VW2</t>
  </si>
  <si>
    <t>ICICI Prudential Capital Protection Oriented Fund Series VI- 1825 Days Plan A Dividend Option</t>
  </si>
  <si>
    <t>INF109KA1XJ5</t>
  </si>
  <si>
    <t>ICICI Prudential Capital Protection Oriented Fund Series VI -1825 Days Plan C Direct Plan Cumulative Option</t>
  </si>
  <si>
    <t>INF109KA1XH9</t>
  </si>
  <si>
    <t>ICICI Prudential Capital Protection Oriented Fund Series VI- 1825 Days Plan C Cumulative Option</t>
  </si>
  <si>
    <t>INF109KA1XK3</t>
  </si>
  <si>
    <t>ICICI Prudential Capital Protection Oriented Fund Series VI- 1825 Days Plan C Direct Plan Dividend option</t>
  </si>
  <si>
    <t>INF109KA1XI7</t>
  </si>
  <si>
    <t>ICICI Prudential Capital Protection Oriented Fund Series VI- 1825 Days Plan C Dividend Option</t>
  </si>
  <si>
    <t>INF109KA10P8</t>
  </si>
  <si>
    <t>ICICI Prudential Capital Protection Oriented Fund - Series VII - 1822 Days Plan D Cumulative Option</t>
  </si>
  <si>
    <t>INF109KA12P4</t>
  </si>
  <si>
    <t>ICICI Prudential Capital Protection Oriented Fund - Series VII - 1822 Days Plan D Direct Plan Cumulative Option</t>
  </si>
  <si>
    <t>INF109KA13P2</t>
  </si>
  <si>
    <t>ICICI Prudential Capital Protection Oriented Fund - Series VII - 1822 Days Plan D Direct Plan Dividend Option</t>
  </si>
  <si>
    <t>INF109KA11P6</t>
  </si>
  <si>
    <t>ICICI Prudential Capital Protection Oriented Fund - Series VII - 1822 Days Plan D Dividend Option</t>
  </si>
  <si>
    <t>INF109KA18T3</t>
  </si>
  <si>
    <t>ICICI Prudential Capital Protection Oriented Fund - Series VII - 1285 Days Plan G Cumulative Option</t>
  </si>
  <si>
    <t>INF109KA10U8</t>
  </si>
  <si>
    <t>ICICI Prudential Capital Protection Oriented Fund - Series VII - 1285 Days Plan G Direct Plan Cumulative Option</t>
  </si>
  <si>
    <t>INF109KA19T1</t>
  </si>
  <si>
    <t>ICICI Prudential Capital Protection Oriented Fund - Series VII - 1285 Days Plan G Dividend Option</t>
  </si>
  <si>
    <t>INF109KA14X4</t>
  </si>
  <si>
    <t>ICICI Prudential Capital Protection Oriented Fund - Series VII - 1284 Days Plan H Cumulative Option</t>
  </si>
  <si>
    <t>INF109KA16X9</t>
  </si>
  <si>
    <t>ICICI Prudential Capital Protection Oriented Fund - Series VII - 1284 Days Plan H Direct Plan Cumulative Option</t>
  </si>
  <si>
    <t>INF109KA17X7</t>
  </si>
  <si>
    <t>ICICI Prudential Capital Protection Oriented Fund - Series VII - 1284 Days Plan H Direct Plan Dividend Option</t>
  </si>
  <si>
    <t>INF109KA15X1</t>
  </si>
  <si>
    <t>ICICI Prudential Capital Protection Oriented Fund - Series VII - 1284 Days Plan H Dividend Option</t>
  </si>
  <si>
    <t>INF109KB1250</t>
  </si>
  <si>
    <t>ICICI Prudential Capital Protection Oriented Fund - Series VIII - 1300 Days Plan A Cumulative Option</t>
  </si>
  <si>
    <t>INF109KB1276</t>
  </si>
  <si>
    <t>ICICI Prudential Capital Protection Oriented Fund - Series VIII - 1300 Days Plan A Direct Plan Cumulative Option</t>
  </si>
  <si>
    <t>INF109KB1268</t>
  </si>
  <si>
    <t>ICICI Prudential Capital Protection Oriented Fund - Series VIII - 1300 Days Plan A Dividend Option</t>
  </si>
  <si>
    <t>INF109KB1KZ7</t>
  </si>
  <si>
    <t>ICICI Prudential Capital Protection Oriented Fund - Series VIII -1105 Days Plan H Cumulative Option</t>
  </si>
  <si>
    <t>INF109KB1LB6</t>
  </si>
  <si>
    <t>ICICI Prudential Capital Protection Oriented Fund - Series VIII -1105 Days Plan H Direct Plan Cumulative Option</t>
  </si>
  <si>
    <t>INF109KB1LC4</t>
  </si>
  <si>
    <t>ICICI Prudential Capital Protection Oriented Fund - Series VIII -1105 Days Plan H Direct Plan Dividend Option</t>
  </si>
  <si>
    <t>INF109KB1LA8</t>
  </si>
  <si>
    <t>ICICI Prudential Capital Protection Oriented Fund - Series VIII -1105 Days Plan H Dividend Option</t>
  </si>
  <si>
    <t>INF109KB1LL5</t>
  </si>
  <si>
    <t>ICICI Prudential Capital Protection Oriented Fund - Series VIII - 1290 Days Plan I Cumulative Option</t>
  </si>
  <si>
    <t>INF109KB1LN1</t>
  </si>
  <si>
    <t>ICICI Prudential Capital Protection Oriented Fund - Series VIII - 1290 Days Plan I Direct Plan Cumulative Option</t>
  </si>
  <si>
    <t>INF109KB1LO9</t>
  </si>
  <si>
    <t>ICICI Prudential Capital Protection Oriented Fund - Series VIII - 1290 Days Plan I Direct Plan Dividend Option</t>
  </si>
  <si>
    <t>INF109KB1LM3</t>
  </si>
  <si>
    <t>ICICI Prudential Capital Protection Oriented Fund - Series VIII - 1290 Days Plan I Dividend Option</t>
  </si>
  <si>
    <t>INF109KB1LR2</t>
  </si>
  <si>
    <t>ICICI Prudential Capital Protection Oriented Fund - Series VIII -1284 Days Plan J Cumulative Option</t>
  </si>
  <si>
    <t>INF109KB1LT8</t>
  </si>
  <si>
    <t>ICICI Prudential Capital Protection Oriented Fund - Series VIII -1284 Days Plan J Direct Plan Cumulative Option</t>
  </si>
  <si>
    <t>INF109KB1LU6</t>
  </si>
  <si>
    <t>ICICI Prudential Capital Protection Oriented Fund - Series VIII -1284 Days Plan J Direct Plan Dividend Option</t>
  </si>
  <si>
    <t>INF109KB1LS0</t>
  </si>
  <si>
    <t>ICICI Prudential Capital Protection Oriented Fund - Series VIII -1284 Days Plan J Dividend Option</t>
  </si>
  <si>
    <t>INF109KA1SF3</t>
  </si>
  <si>
    <t>ICICI Prudential Fixed Maturity Plan-Corporate Bond Series A-750 Days - Cumulative Option</t>
  </si>
  <si>
    <t>INF109KA1SH9</t>
  </si>
  <si>
    <t>ICICI Prudential Fixed Maturity Plan-Corporate Bond Series A-750 Days - Direct Plan-Cumulative Option</t>
  </si>
  <si>
    <t>INF109KA1ZU7</t>
  </si>
  <si>
    <t>ICICI Prudential Fixed Maturity Plan - Corporate Bond Series B - 1100 Days - Cumulative Option</t>
  </si>
  <si>
    <t>INF109KA1ZW3</t>
  </si>
  <si>
    <t>ICICI Prudential Fixed Maturity Plan - Corporate Bond Series B - 1100 Days - Direct Plan - Cumulative Option</t>
  </si>
  <si>
    <t>INF109KA1ZX1</t>
  </si>
  <si>
    <t>ICICI Prudential Fixed Maturity Plan - Corporate Bond Series B - 1100 Days - Direct Plan - Dividend Option</t>
  </si>
  <si>
    <t>INF109KA1ZV5</t>
  </si>
  <si>
    <t>ICICI Prudential Fixed Maturity Plan - Corporate Bond Series B - 1100 Days - Dividend Option</t>
  </si>
  <si>
    <t>INF109KB1JF1</t>
  </si>
  <si>
    <t>ICICI Prudential Fixed Maturity Plan - Series - 74 -367 days Plan Z Cumulative Option</t>
  </si>
  <si>
    <t>INF109KB1JI5</t>
  </si>
  <si>
    <t>ICICI Prudential Fixed Maturity Plan - Series -74 - 367 Days Plan Z Direct Plan Dividend Option</t>
  </si>
  <si>
    <t>INF109KB1JG9</t>
  </si>
  <si>
    <t>ICICI Prudential Fixed Maturity Plan - Series -74 - 367 Days Plan Z Dividend Option</t>
  </si>
  <si>
    <t>INF109KB1JH7</t>
  </si>
  <si>
    <t>ICICI Prudential Fixed Maturity Plan - Series 74 - 367 Days Plan Z Direct Plan Cumulative Option</t>
  </si>
  <si>
    <t>INF109KA1BV6</t>
  </si>
  <si>
    <t>ICICI Prudential Fixed Maturity Plan-Series 69-1821 Days Plan I - Cumulative</t>
  </si>
  <si>
    <t>INF109KA1BT0</t>
  </si>
  <si>
    <t>ICICI Prudential Fixed Maturity Plan-Series 69-1821 Days Plan I - Direct Plan - Cumulative</t>
  </si>
  <si>
    <t>INF109KA1BU8</t>
  </si>
  <si>
    <t>ICICI Prudential Fixed Maturity Plan-Series 69-1821 Days Plan I - Direct Plan - Dividend</t>
  </si>
  <si>
    <t>INF109KA1BW4</t>
  </si>
  <si>
    <t>ICICI Prudential Fixed Maturity Plan-Series 69-1821 Days Plan I - Dividend</t>
  </si>
  <si>
    <t>INF109KA10H5</t>
  </si>
  <si>
    <t>ICICI Prudential Fixed Maturity Plan-Series 71-366 Days Plan C - Cumulative</t>
  </si>
  <si>
    <t>INF109KA18G0</t>
  </si>
  <si>
    <t>ICICI Prudential Fixed Maturity Plan-Series 71-366 Days Plan C - Direct Plan - Cumulative</t>
  </si>
  <si>
    <t>INF109KA11H3</t>
  </si>
  <si>
    <t>ICICI Prudential Fixed Maturity Plan-Series 71-366 Days Plan C - Dividend</t>
  </si>
  <si>
    <t>INF109KB1FF9</t>
  </si>
  <si>
    <t>ICICI Prudential Fixed Maturity Plan-Series 71-547 Days Plan B - Cumulative</t>
  </si>
  <si>
    <t>INF109KB1FH5</t>
  </si>
  <si>
    <t>ICICI Prudential Fixed Maturity Plan-Series 71-547 Days Plan B - Direct Plan - Cumulative</t>
  </si>
  <si>
    <t>INF109KB1FI3</t>
  </si>
  <si>
    <t>ICICI Prudential Fixed Maturity Plan-Series 71-547 Days Plan B - Direct Plan - Dividend</t>
  </si>
  <si>
    <t>INF109KB1FG7</t>
  </si>
  <si>
    <t>ICICI Prudential Fixed Maturity Plan-Series 71-547 Days Plan B - Dividend</t>
  </si>
  <si>
    <t>INF109KA18V9</t>
  </si>
  <si>
    <t>ICICI Prudential Fixed Maturity Plan-Series 72-366 Days Plan K - Cumulative</t>
  </si>
  <si>
    <t>INF109KA10W4</t>
  </si>
  <si>
    <t>ICICI Prudential Fixed Maturity Plan-Series 72-366 Days Plan K - Direct Plan - Cumulative</t>
  </si>
  <si>
    <t>INF109KA11W2</t>
  </si>
  <si>
    <t>ICICI Prudential Fixed Maturity Plan-Series 72-366 Days Plan K - Direct Plan - Dividend</t>
  </si>
  <si>
    <t>INF109KA1OV9</t>
  </si>
  <si>
    <t>ICICI Prudential Fixed Maturity Plan-Series 73-1140 Days Plan E - Cumulative</t>
  </si>
  <si>
    <t>INF109KA1OX5</t>
  </si>
  <si>
    <t>ICICI Prudential Fixed Maturity Plan-Series 73-1140 Days Plan E - Direct Plan - Cumulative</t>
  </si>
  <si>
    <t>INF109KA1OY3</t>
  </si>
  <si>
    <t>ICICI Prudential Fixed Maturity Plan-Series 73-1140 Days Plan E - Direct Plan - Dividend</t>
  </si>
  <si>
    <t>INF109KA1OW7</t>
  </si>
  <si>
    <t>ICICI Prudential Fixed Maturity Plan-Series 73-1140 Days Plan E - Dividend</t>
  </si>
  <si>
    <t>INF109KB1JB0</t>
  </si>
  <si>
    <t>ICICI Prudential Fixed Maturity Plan - Series 74 - 368 Days Plan Y Cumulative Option</t>
  </si>
  <si>
    <t>INF109KB1JD6</t>
  </si>
  <si>
    <t>ICICI Prudential Fixed Maturity Plan - Series 74 - 368 Days Plan Y Direct Plan Cumulative Option</t>
  </si>
  <si>
    <t>INF109KB1JC8</t>
  </si>
  <si>
    <t>ICICI Prudential Fixed Maturity Plan - Series 74 - 368 Days Plan Y Dividend Option</t>
  </si>
  <si>
    <t>INF109KB1JJ3</t>
  </si>
  <si>
    <t>ICICI Prudential Fixed Maturity Plan - Series 74 - 370 Days Plan X Cumulative Option</t>
  </si>
  <si>
    <t>INF109KB1JL9</t>
  </si>
  <si>
    <t>ICICI Prudential Fixed Maturity Plan - Series 74 - 370 Days Plan X Direct Plan Cumulative Option</t>
  </si>
  <si>
    <t>INF109KB1JM7</t>
  </si>
  <si>
    <t>ICICI Prudential Fixed Maturity Plan - Series 74 - 370 Days Plan X Direct Plan Dividend Option</t>
  </si>
  <si>
    <t>INF109KB1JK1</t>
  </si>
  <si>
    <t>ICICI Prudential Fixed Maturity Plan - Series 74 - 370 Days Plan X Dividend Option</t>
  </si>
  <si>
    <t>INF109KA1WP4</t>
  </si>
  <si>
    <t>ICICI Prudential Fixed Maturity Plan - Series 74 - 9 Years Plan U Direct Plan IDCW Option</t>
  </si>
  <si>
    <t>INF109KA1WO7</t>
  </si>
  <si>
    <t>ICICI Prudential Fixed Maturity Plan - Series 74 -9 Years Plan U Direct Plan Cumulative Option</t>
  </si>
  <si>
    <t>INF109KA1WM1</t>
  </si>
  <si>
    <t>ICICI Prudential Fixed Maturity Plan -Series 74 -9 Years Plan U Cumulative Option</t>
  </si>
  <si>
    <t>INF109KA1WN9</t>
  </si>
  <si>
    <t>ICICI Prudential Fixed Maturity Plan -Series 74 -9 Years Plan U IDCW Option</t>
  </si>
  <si>
    <t>INF109KA1K23</t>
  </si>
  <si>
    <t>ICICI Prudential Fixed Maturity Plan - Series 75 - 1100 Days Plan F Cumulative Option</t>
  </si>
  <si>
    <t>INF109KA1K49</t>
  </si>
  <si>
    <t>ICICI Prudential Fixed Maturity Plan - Series 75 - 1100 Days Plan F Direct Plan Cumulative Option</t>
  </si>
  <si>
    <t>INF109KA1K31</t>
  </si>
  <si>
    <t>ICICI Prudential Fixed Maturity Plan - Series 75 - 1100 Days Plan F Dividend Option</t>
  </si>
  <si>
    <t>INF109KA1K64</t>
  </si>
  <si>
    <t>ICICI Prudential Fixed Maturity Plan - Series 75 - 1100 Days Plan G Cumulative Option</t>
  </si>
  <si>
    <t>INF109KA1K80</t>
  </si>
  <si>
    <t>ICICI Prudential Fixed Maturity Plan - Series 75 - 1100 Days Plan G Direct Plan Cumulative Option</t>
  </si>
  <si>
    <t>INF109KA1K98</t>
  </si>
  <si>
    <t>ICICI Prudential Fixed Maturity Plan - Series 75 - 1100 Days Plan G Direct Plan Dividend Option</t>
  </si>
  <si>
    <t>INF109KA1K72</t>
  </si>
  <si>
    <t>ICICI Prudential Fixed Maturity Plan - Series 75 - 1100 Days Plan G Dividend Option</t>
  </si>
  <si>
    <t>INF109KA1P69</t>
  </si>
  <si>
    <t>ICICI Prudential Fixed Maturity Plan - Series 75 - 1100 Days Plan H Cumulative Option</t>
  </si>
  <si>
    <t>INF109KA1P85</t>
  </si>
  <si>
    <t>ICICI Prudential Fixed Maturity Plan - Series 75 - 1100 Days Plan H Direct Plan Cumulative Option</t>
  </si>
  <si>
    <t>INF109KA1P93</t>
  </si>
  <si>
    <t>ICICI Prudential Fixed Maturity Plan - Series 75 - 1100 Days Plan H Direct Plan Dividend Option</t>
  </si>
  <si>
    <t>INF109KA1P77</t>
  </si>
  <si>
    <t>ICICI Prudential Fixed Maturity Plan - Series 75 - 1100 Days Plan H Dividend Option</t>
  </si>
  <si>
    <t>INF109KA1R26</t>
  </si>
  <si>
    <t>ICICI Prudential Fixed Maturity Plan - Series 75 - 1100 Days Plan I Cumulative Option</t>
  </si>
  <si>
    <t>INF109KA1R42</t>
  </si>
  <si>
    <t>ICICI Prudential Fixed Maturity Plan - Series 75 - 1100 Days Plan I Direct Plan Cumulative Option</t>
  </si>
  <si>
    <t>INF109KA1R59</t>
  </si>
  <si>
    <t>ICICI Prudential Fixed Maturity Plan - Series 75 - 1100 Days Plan I Direct Plan Dividend Option</t>
  </si>
  <si>
    <t>INF109KA1R34</t>
  </si>
  <si>
    <t>ICICI Prudential Fixed Maturity Plan - Series 75 - 1100 Days Plan I Dividend Option</t>
  </si>
  <si>
    <t>INF109KA1T40</t>
  </si>
  <si>
    <t>ICICI Prudential Fixed Maturity Plan - Series 75 - 1100 Days Plan J Cumulative Option</t>
  </si>
  <si>
    <t>INF109KA1T65</t>
  </si>
  <si>
    <t>ICICI Prudential Fixed Maturity Plan - Series 75 - 1100 Days Plan J Direct Plan Cumulative Option</t>
  </si>
  <si>
    <t>INF109KA1T73</t>
  </si>
  <si>
    <t>ICICI Prudential Fixed Maturity Plan - Series 75 - 1100 Days Plan J Direct Plan Dividend Option</t>
  </si>
  <si>
    <t>INF109KA1T57</t>
  </si>
  <si>
    <t>ICICI Prudential Fixed Maturity Plan - Series 75 - 1100 Days Plan J Dividend Option</t>
  </si>
  <si>
    <t>INF109KA18A3</t>
  </si>
  <si>
    <t>ICICI Prudential Fixed Maturity Plan - Series 75 - 1100 Days Plan N Cumulative Option</t>
  </si>
  <si>
    <t>INF109KA10B8</t>
  </si>
  <si>
    <t>ICICI Prudential Fixed Maturity Plan - Series 75 - 1100 Days Plan N Direct Plan Cumulative Option</t>
  </si>
  <si>
    <t>INF109KA19A1</t>
  </si>
  <si>
    <t>ICICI Prudential Fixed Maturity Plan - Series 75 - 1100 Days Plan N Dividend Option</t>
  </si>
  <si>
    <t>INF109KA12B4</t>
  </si>
  <si>
    <t>ICICI Prudential Fixed Maturity Plan - Series 75 - 1100 Days Plan O Cumulative Option</t>
  </si>
  <si>
    <t>INF109KA14B0</t>
  </si>
  <si>
    <t>ICICI Prudential Fixed Maturity Plan - Series 75 - 1100 Days Plan O Direct Plan Cumulative Option</t>
  </si>
  <si>
    <t>INF109KA13B2</t>
  </si>
  <si>
    <t>ICICI Prudential Fixed Maturity Plan - Series 75 - 1100 Days Plan O Dividend Option</t>
  </si>
  <si>
    <t>INF109KA10E2</t>
  </si>
  <si>
    <t>ICICI Prudential Fixed Maturity Plan - Series 75 - 1100 Days Plan Q Cumulative Option</t>
  </si>
  <si>
    <t>INF109KA12E8</t>
  </si>
  <si>
    <t>ICICI Prudential Fixed Maturity Plan - Series 75 - 1100 Days Plan Q Direct Plan Cumulative Option</t>
  </si>
  <si>
    <t>INF109KA13E6</t>
  </si>
  <si>
    <t>ICICI Prudential Fixed Maturity Plan - Series 75 - 1100 Days Plan Q Direct Plan Dividend Option</t>
  </si>
  <si>
    <t>INF109KA11E0</t>
  </si>
  <si>
    <t>ICICI Prudential Fixed Maturity Plan - Series 75 - 1100 Days Plan Q Dividend Option</t>
  </si>
  <si>
    <t>INF109KA18E5</t>
  </si>
  <si>
    <t>ICICI Prudential Fixed Maturity Plan - Series 75 - 1100 Days Plan R Cumulative Option</t>
  </si>
  <si>
    <t>INF109KA10F9</t>
  </si>
  <si>
    <t>ICICI Prudential Fixed Maturity Plan - Series 75 - 1100 Days Plan R Direct Plan Cumulative Option</t>
  </si>
  <si>
    <t>INF109KA19E3</t>
  </si>
  <si>
    <t>ICICI Prudential Fixed Maturity Plan - Series 75 - 1100 Days Plan R Dividend Option</t>
  </si>
  <si>
    <t>INF109KA14F1</t>
  </si>
  <si>
    <t>ICICI Prudential Fixed Maturity Plan - Series 75 - 1100 Days Plan T Cumulative Option</t>
  </si>
  <si>
    <t>INF109KA12F5</t>
  </si>
  <si>
    <t>ICICI Prudential Fixed Maturity Plan - Series 75 - 1100 Days Plan T Direct Plan Cumulative Option</t>
  </si>
  <si>
    <t>INF109KA15F8</t>
  </si>
  <si>
    <t>ICICI Prudential Fixed Maturity Plan - Series 75 - 1100 Days Plan T Dividend Option</t>
  </si>
  <si>
    <t>INF109KA1V87</t>
  </si>
  <si>
    <t>ICICI Prudential Fixed Maturity Plan - Series 75 - 1103 Days Plan L Cumulative Option</t>
  </si>
  <si>
    <t>INF109KA1W03</t>
  </si>
  <si>
    <t>ICICI Prudential Fixed Maturity Plan - Series 75 - 1103 Days Plan L Direct Plan Cumulative Option</t>
  </si>
  <si>
    <t>INF109KA1W11</t>
  </si>
  <si>
    <t>ICICI Prudential Fixed Maturity Plan - Series 75 - 1103 Days Plan L Direct Plan Dividend Option</t>
  </si>
  <si>
    <t>INF109KA1V95</t>
  </si>
  <si>
    <t>ICICI Prudential Fixed Maturity Plan - Series 75 - 1103 Days Plan L Dividend Option</t>
  </si>
  <si>
    <t>INF109KA16D1</t>
  </si>
  <si>
    <t>ICICI Prudential Fixed Maturity Plan - Series 75 - 1103 Days Plan P Cumulative Option</t>
  </si>
  <si>
    <t>INF109KA18D7</t>
  </si>
  <si>
    <t>ICICI Prudential Fixed Maturity Plan - Series 75 - 1103 Days Plan P Direct Plan Cumulative Option</t>
  </si>
  <si>
    <t>INF109KA19D5</t>
  </si>
  <si>
    <t>ICICI Prudential Fixed Maturity Plan - Series 75 - 1103 Days Plan P Direct Plan Dividend Option</t>
  </si>
  <si>
    <t>INF109KA17D9</t>
  </si>
  <si>
    <t>ICICI Prudential Fixed Maturity Plan - Series 75 - 1103 Days Plan P Dividend Option</t>
  </si>
  <si>
    <t>INF109KA12H1</t>
  </si>
  <si>
    <t>ICICI Prudential Fixed Maturity Plan - Series 75 - 1246 Days Plan U Cumulative Option</t>
  </si>
  <si>
    <t>INF109KA14H7</t>
  </si>
  <si>
    <t>ICICI Prudential Fixed Maturity Plan - Series 75 - 1246 Days Plan U Direct Plan Cumulative Option</t>
  </si>
  <si>
    <t>INF109KA15H4</t>
  </si>
  <si>
    <t>ICICI Prudential Fixed Maturity Plan - Series 75 - 1246 Days Plan U Direct Plan Dividend Option</t>
  </si>
  <si>
    <t>INF109KA13H9</t>
  </si>
  <si>
    <t>ICICI Prudential Fixed Maturity Plan - Series 75 - 1246 Days Plan U Dividend Option</t>
  </si>
  <si>
    <t>INF109KA1ZQ5</t>
  </si>
  <si>
    <t>ICICI Prudential Fixed Maturity Plan - Series 75 - 1352 Days Plan E Cumulative Option</t>
  </si>
  <si>
    <t>INF109KA1ZS1</t>
  </si>
  <si>
    <t>ICICI Prudential Fixed Maturity Plan - Series 75 - 1352 Days Plan E Direct Plan Cumulative Option</t>
  </si>
  <si>
    <t>INF109KA1ZT9</t>
  </si>
  <si>
    <t>ICICI Prudential Fixed Maturity Plan - Series 75 - 1352 Days Plan E Direct Plan Dividend Option</t>
  </si>
  <si>
    <t>INF109KA1ZR3</t>
  </si>
  <si>
    <t>ICICI Prudential Fixed Maturity Plan - Series 75 - 1352 Days Plan E Dividend Option</t>
  </si>
  <si>
    <t>INF109KA12N9</t>
  </si>
  <si>
    <t>ICICI Prudential Fixed Maturity Plan - Series 76 - 1100 Days Plan D Cumulative Option</t>
  </si>
  <si>
    <t>INF109KA14N5</t>
  </si>
  <si>
    <t>ICICI Prudential Fixed Maturity Plan - Series 76 - 1100 Days Plan D Direct Plan Cumulative Option</t>
  </si>
  <si>
    <t>INF109KA15N2</t>
  </si>
  <si>
    <t>ICICI Prudential Fixed Maturity Plan - Series 76 - 1100 Days Plan D Direct Plan Dividend Option</t>
  </si>
  <si>
    <t>INF109KA13N7</t>
  </si>
  <si>
    <t>ICICI Prudential Fixed Maturity Plan - Series 76 - 1100 Days Plan D Dividend Option</t>
  </si>
  <si>
    <t>INF109KA16R1</t>
  </si>
  <si>
    <t>ICICI Prudential Fixed Maturity Plan - Series 76 - 1100 Days Plan G Cumulative Option</t>
  </si>
  <si>
    <t>INF109KA15S1</t>
  </si>
  <si>
    <t>ICICI Prudential Fixed Maturity Plan - Series 76 - 1100 Days Plan G Direct Plan Cumulative Option</t>
  </si>
  <si>
    <t>INF109KA17R9</t>
  </si>
  <si>
    <t>ICICI Prudential Fixed Maturity Plan - Series 76 - 1100 Days Plan G Dividend Option</t>
  </si>
  <si>
    <t>INF109KB1359</t>
  </si>
  <si>
    <t>ICICI Prudential Fixed Maturity Plan - Series 76 - 1100 Days Plan T Cumulative Option</t>
  </si>
  <si>
    <t>INF109KB1375</t>
  </si>
  <si>
    <t>ICICI Prudential Fixed Maturity Plan - Series 76 - 1100 Days Plan T Direct Plan Cumulative Option</t>
  </si>
  <si>
    <t>INF109KB1367</t>
  </si>
  <si>
    <t>ICICI Prudential Fixed Maturity Plan - Series 76 - 1100 Days Plan T Dividend Option</t>
  </si>
  <si>
    <t>INF109KA14Q8</t>
  </si>
  <si>
    <t>ICICI Prudential Fixed Maturity Plan - Series 76 - 1103 Days Plan F Cumulative option</t>
  </si>
  <si>
    <t>INF109KA16Q3</t>
  </si>
  <si>
    <t>ICICI Prudential Fixed Maturity Plan - Series 76 - 1103 Days Plan F Direct Plan Cumulative Option</t>
  </si>
  <si>
    <t>INF109KA17Q1</t>
  </si>
  <si>
    <t>ICICI Prudential Fixed Maturity Plan - Series 76 - 1103 Days Plan F Direct Plan Dividend Option</t>
  </si>
  <si>
    <t>INF109KA15Q5</t>
  </si>
  <si>
    <t>ICICI Prudential Fixed Maturity Plan - Series 76 - 1103 Days Plan F Dividend Option</t>
  </si>
  <si>
    <t>INF109KB1672</t>
  </si>
  <si>
    <t>ICICI Prudential Fixed Maturity Plan - Series 76 - 1108 Days Plan V Cumulative Option</t>
  </si>
  <si>
    <t>INF109KB1698</t>
  </si>
  <si>
    <t>ICICI Prudential Fixed Maturity Plan - Series 76 - 1108 Days Plan V Direct Plan Cumulative Option</t>
  </si>
  <si>
    <t>INF109KB1680</t>
  </si>
  <si>
    <t>ICICI Prudential Fixed Maturity Plan - Series 76 - 1108 Days Plan V Dividend Option</t>
  </si>
  <si>
    <t>INF109KB1391</t>
  </si>
  <si>
    <t>ICICI Prudential Fixed Maturity Plan - Series 76 - 1120 Days Plan U Cumulative Option</t>
  </si>
  <si>
    <t>INF109KB1417</t>
  </si>
  <si>
    <t>ICICI Prudential Fixed Maturity Plan - Series 76 - 1120 Days Plan U Direct Plan Cumulative Option</t>
  </si>
  <si>
    <t>INF109KB1409</t>
  </si>
  <si>
    <t>ICICI Prudential Fixed Maturity Plan - Series 76 - 1120 Days Plan U Dividend Option</t>
  </si>
  <si>
    <t>INF109KB1953</t>
  </si>
  <si>
    <t>ICICI Prudential Fixed Maturity Plan - Series 76 - 1127 Days Plan W Cumulative Option</t>
  </si>
  <si>
    <t>INF109KB1979</t>
  </si>
  <si>
    <t>ICICI Prudential Fixed Maturity Plan - Series 76 - 1127 Days Plan W Direct Plan Cumulative Option</t>
  </si>
  <si>
    <t>INF109KB1987</t>
  </si>
  <si>
    <t>ICICI Prudential Fixed Maturity Plan - Series 76 - 1127 Days Plan W Direct Plan Dividend Option</t>
  </si>
  <si>
    <t>INF109KB1961</t>
  </si>
  <si>
    <t>ICICI Prudential Fixed Maturity Plan - Series 76 - 1127 Days Plan W Dividend Option</t>
  </si>
  <si>
    <t>INF109KB1219</t>
  </si>
  <si>
    <t>ICICI Prudential Fixed Maturity Plan - Series 76 - 1132 Days Plan P Cumulative Option</t>
  </si>
  <si>
    <t>INF109KB1235</t>
  </si>
  <si>
    <t>ICICI Prudential Fixed Maturity Plan - Series 76 - 1132 Days Plan P Direct Plan Cumulative Option</t>
  </si>
  <si>
    <t>INF109KB1BF8</t>
  </si>
  <si>
    <t>ICICI Prudential Fixed Maturity Plan - Series 76 - 1134 Days Plan Y Cumulative Option</t>
  </si>
  <si>
    <t>INF109KB1BH4</t>
  </si>
  <si>
    <t>ICICI Prudential Fixed Maturity Plan - Series 76 - 1134 Days Plan Y Direct Plan Cumulative Option</t>
  </si>
  <si>
    <t>INF109KB1BG6</t>
  </si>
  <si>
    <t>ICICI Prudential Fixed Maturity Plan - Series 76 - 1134 Days Plan Y Dividend Option</t>
  </si>
  <si>
    <t>INF109KB1BB7</t>
  </si>
  <si>
    <t>ICICI Prudential Fixed Maturity Plan - Series 76 - 1135 Days Plan Z Cumulative Option</t>
  </si>
  <si>
    <t>INF109KB1BD3</t>
  </si>
  <si>
    <t>ICICI Prudential Fixed Maturity Plan - Series 76 - 1135 Days Plan Z Direct Plan Cumulative Option</t>
  </si>
  <si>
    <t>INF109KB1BE1</t>
  </si>
  <si>
    <t>ICICI Prudential Fixed Maturity Plan - Series 76 - 1135 Days Plan Z Direct Plan Dividend Option</t>
  </si>
  <si>
    <t>INF109KB1BC5</t>
  </si>
  <si>
    <t>ICICI Prudential Fixed Maturity Plan - Series 76 - 1135 Days Plan Z Dividend Option</t>
  </si>
  <si>
    <t>INF109KA16Y7</t>
  </si>
  <si>
    <t>ICICI Prudential Fixed Maturity Plan - Series 76 - 1142 Days Plan M Cumulative Option</t>
  </si>
  <si>
    <t>INF109KA18Y3</t>
  </si>
  <si>
    <t>ICICI Prudential Fixed Maturity Plan - Series 76 - 1142 Days Plan M Direct Plan Cumulative Option</t>
  </si>
  <si>
    <t>INF109KA19Y1</t>
  </si>
  <si>
    <t>ICICI Prudential Fixed Maturity Plan - Series 76 - 1142 Days Plan M Direct Plan Dividend Option</t>
  </si>
  <si>
    <t>INF109KA17Y5</t>
  </si>
  <si>
    <t>ICICI Prudential Fixed Maturity Plan - Series 76 - 1142 Days Plan M Dividend Option</t>
  </si>
  <si>
    <t>INF109KA14V8</t>
  </si>
  <si>
    <t>ICICI Prudential Fixed Maturity Plan - Series 76 - 1155 Days Plan K Cumulative Option</t>
  </si>
  <si>
    <t>INF109KA16V3</t>
  </si>
  <si>
    <t>ICICI Prudential Fixed Maturity Plan - Series 76 - 1155 Days Plan K Direct Plan Cumulative Option</t>
  </si>
  <si>
    <t>INF109KA15V5</t>
  </si>
  <si>
    <t>ICICI Prudential Fixed Maturity Plan - Series 76 - 1155 Days Plan K Dividend Option</t>
  </si>
  <si>
    <t>INF109KB1IT4</t>
  </si>
  <si>
    <t>ICICI Prudential Fixed Maturity Plan - Series 77 - 1100 Days Plan L Cumulative Option</t>
  </si>
  <si>
    <t>INF109KB1IV0</t>
  </si>
  <si>
    <t>ICICI Prudential Fixed Maturity Plan - Series 77 - 1100 Days Plan L Direct Plan Cumulative Option</t>
  </si>
  <si>
    <t>INF109KB1IW8</t>
  </si>
  <si>
    <t>ICICI Prudential Fixed Maturity Plan - Series 77 - 1100 Days Plan L Direct Plan Dividend Option</t>
  </si>
  <si>
    <t>INF109KB1IU2</t>
  </si>
  <si>
    <t>ICICI Prudential Fixed Maturity Plan - Series 77 - 1100 Days Plan L Dividend Option</t>
  </si>
  <si>
    <t>INF109KB1IP2</t>
  </si>
  <si>
    <t>ICICI Prudential Fixed Maturity Plan - Series 77 - 1100 Days Plan M Cumulative Option</t>
  </si>
  <si>
    <t>INF109KB1IR8</t>
  </si>
  <si>
    <t>ICICI Prudential Fixed Maturity Plan - Series 77 - 1100 Days Plan M Direct Plan Cumulative Option</t>
  </si>
  <si>
    <t>INF109KB1IS6</t>
  </si>
  <si>
    <t>ICICI Prudential Fixed Maturity Plan - Series 77 - 1100 Days Plan M Direct Plan Dividend Option</t>
  </si>
  <si>
    <t>INF109KB1IQ0</t>
  </si>
  <si>
    <t>ICICI Prudential Fixed Maturity Plan - Series 77 - 1100 Days Plan M Dividend Option</t>
  </si>
  <si>
    <t>INF109KB1MR0</t>
  </si>
  <si>
    <t>ICICI Prudential Fixed Maturity Plan - Series 77 - 1129 Days Plan W Cumulative Option</t>
  </si>
  <si>
    <t>INF109KB1MT6</t>
  </si>
  <si>
    <t>ICICI Prudential Fixed Maturity Plan - Series 77 - 1129 Days Plan W Direct Plan Cumulative Option</t>
  </si>
  <si>
    <t>INF109KB1MS8</t>
  </si>
  <si>
    <t>ICICI Prudential Fixed Maturity Plan - Series 77 - 1129 Days Plan W Dividend Option</t>
  </si>
  <si>
    <t>INF109KB1EL0</t>
  </si>
  <si>
    <t>ICICI Prudential Fixed Maturity Plan - Series 77 - 1130 Days Plan D Cumulative Option</t>
  </si>
  <si>
    <t>INF109KB1EN6</t>
  </si>
  <si>
    <t>ICICI Prudential Fixed Maturity Plan - Series 77 - 1130 Days Plan D Direct Plan Cumulative Option</t>
  </si>
  <si>
    <t>INF109KB1EM8</t>
  </si>
  <si>
    <t>ICICI Prudential Fixed Maturity Plan - Series 77 - 1130 Days Plan D Dividend Option</t>
  </si>
  <si>
    <t>INF109KB1DF4</t>
  </si>
  <si>
    <t>ICICI Prudential Fixed Maturity Plan - Series 77 - 1132 Days Plan A Cumulative Option</t>
  </si>
  <si>
    <t>INF109KB1DH0</t>
  </si>
  <si>
    <t>ICICI Prudential Fixed Maturity Plan - Series 77 - 1132 Days Plan A Direct Plan Cumulative Option</t>
  </si>
  <si>
    <t>INF109KB1DI8</t>
  </si>
  <si>
    <t>ICICI Prudential Fixed Maturity Plan - Series 77 - 1132 Days Plan A Direct Plan Dividend Option</t>
  </si>
  <si>
    <t>INF109KB1DG2</t>
  </si>
  <si>
    <t>ICICI Prudential Fixed Maturity Plan - Series 77 - 1132 Days Plan A Dividend Option</t>
  </si>
  <si>
    <t>INF109KB1HB4</t>
  </si>
  <si>
    <t>ICICI Prudential Fixed Maturity Plan - Series 77 - 1134 Plan H Cumulative Option</t>
  </si>
  <si>
    <t>INF109KB1HD0</t>
  </si>
  <si>
    <t>ICICI Prudential Fixed Maturity Plan - Series 77 - 1134 Plan H Direct Plan Cumulative Option</t>
  </si>
  <si>
    <t>INF109KB1HE8</t>
  </si>
  <si>
    <t>ICICI Prudential Fixed Maturity Plan - Series 77 - 1134 Plan H Direct Plan Dividend Option</t>
  </si>
  <si>
    <t>INF109KB1MF5</t>
  </si>
  <si>
    <t>ICICI Prudential Fixed Maturity Plan - Series 77 - 1144 Days Plan T Cumulative Option</t>
  </si>
  <si>
    <t>INF109KB1MH1</t>
  </si>
  <si>
    <t>ICICI Prudential Fixed Maturity Plan - Series 77 - 1144 Days Plan T Direct Plan Cumulative Option</t>
  </si>
  <si>
    <t>INF109KB1MG3</t>
  </si>
  <si>
    <t>ICICI Prudential Fixed Maturity Plan - Series 77 - 1144 Days Plan T Dividend Option</t>
  </si>
  <si>
    <t>INF109KB1LZ5</t>
  </si>
  <si>
    <t>ICICI Prudential Fixed Maturity Plan - Series 77 - 1151 Days Plan S Cumulative Option</t>
  </si>
  <si>
    <t>INF109KB1MB4</t>
  </si>
  <si>
    <t>ICICI Prudential Fixed Maturity Plan - Series 77 - 1151 Days Plan S Direct Plan Cumulative Option</t>
  </si>
  <si>
    <t>INF109KB1MC2</t>
  </si>
  <si>
    <t>ICICI Prudential Fixed Maturity Plan - Series 77 - 1151 Days Plan S Direct Plan Dividend Option</t>
  </si>
  <si>
    <t>INF109KB1MA6</t>
  </si>
  <si>
    <t>ICICI Prudential Fixed Maturity Plan - Series 77 - 1151 Days Plan S Dividend Option</t>
  </si>
  <si>
    <t>INF109KB1DN8</t>
  </si>
  <si>
    <t>ICICI Prudential Fixed Maturity Plan - Series 77 - 1473 Days Plan C Cumulative Option</t>
  </si>
  <si>
    <t>INF109KB1DP3</t>
  </si>
  <si>
    <t>ICICI Prudential Fixed Maturity Plan - Series 77 - 1473 Days Plan C Direct Plan Cumulative Option</t>
  </si>
  <si>
    <t>INF109KB1DQ1</t>
  </si>
  <si>
    <t>ICICI Prudential Fixed Maturity Plan - Series 77 - 1473 Days Plan C Direct Plan Dividend Option</t>
  </si>
  <si>
    <t>INF109KB1DO6</t>
  </si>
  <si>
    <t>ICICI Prudential Fixed Maturity Plan - Series 77 - 1473 Days Plan C Dividend Option</t>
  </si>
  <si>
    <t>INF109KB1UN2</t>
  </si>
  <si>
    <t>ICICI Prudential Fixed Maturity Plan - Series 78 - 1102 Days Plan Z Cumulative Option</t>
  </si>
  <si>
    <t>INF109KB1UP7</t>
  </si>
  <si>
    <t>ICICI Prudential Fixed Maturity Plan - Series 78 - 1102 Days Plan Z Direct Plan Cumulative Option</t>
  </si>
  <si>
    <t>INF109KB1UQ5</t>
  </si>
  <si>
    <t>ICICI Prudential Fixed Maturity Plan - Series 78 - 1102 Days Plan Z Direct Plan Dividend Option</t>
  </si>
  <si>
    <t>INF109KB1UO0</t>
  </si>
  <si>
    <t>ICICI Prudential Fixed Maturity Plan - Series 78 - 1102 Days Plan Z Dividend Option</t>
  </si>
  <si>
    <t>INF109KB1TX3</t>
  </si>
  <si>
    <t>ICICI Prudential Fixed Maturity Plan - Series 78 - 1115 Days Plan X Cumulative Option</t>
  </si>
  <si>
    <t>INF109KB1TZ8</t>
  </si>
  <si>
    <t>ICICI Prudential Fixed Maturity Plan - Series 78 - 1115 Days Plan X Direct Plan Cumulative Option</t>
  </si>
  <si>
    <t>INF109KB1UA9</t>
  </si>
  <si>
    <t>ICICI Prudential Fixed Maturity Plan - Series 78 - 1115 Days Plan X Direct Plan Dividend Option</t>
  </si>
  <si>
    <t>INF109KB1SZ0</t>
  </si>
  <si>
    <t>ICICI Prudential Fixed Maturity Plan - Series 78 - 1127 Days Plan R Cumulative Option</t>
  </si>
  <si>
    <t>INF109KB1TB9</t>
  </si>
  <si>
    <t>ICICI Prudential Fixed Maturity Plan - Series 78 - 1127 Days Plan R Direct Plan Cumulative Option</t>
  </si>
  <si>
    <t>INF109KB1TC7</t>
  </si>
  <si>
    <t>ICICI Prudential Fixed Maturity Plan - Series 78 - 1127 Days Plan R Direct Plan Dividend Option</t>
  </si>
  <si>
    <t>INF109KB1TA1</t>
  </si>
  <si>
    <t>ICICI Prudential Fixed Maturity Plan - Series 78 - 1127 Days Plan R Dividend Option</t>
  </si>
  <si>
    <t>INF109KB1TD5</t>
  </si>
  <si>
    <t>ICICI Prudential Fixed Maturity Plan - Series 78 - 1130 Days Plan T Cumulative Option</t>
  </si>
  <si>
    <t>INF109KB1TF0</t>
  </si>
  <si>
    <t>ICICI Prudential Fixed Maturity Plan - Series 78 - 1130 Days Plan T Direct Plan Cumulative Option</t>
  </si>
  <si>
    <t>INF109KB1TG8</t>
  </si>
  <si>
    <t>ICICI Prudential Fixed Maturity Plan - Series 78 - 1130 Days Plan T Direct Plan Dividend Option</t>
  </si>
  <si>
    <t>INF109KB1TP9</t>
  </si>
  <si>
    <t>ICICI Prudential Fixed Maturity Plan - Series 78 - 1135 Days Plan W Cumulative Option</t>
  </si>
  <si>
    <t>INF109KB1TR5</t>
  </si>
  <si>
    <t>ICICI Prudential Fixed Maturity Plan - Series 78 - 1135 Days Plan W Direct Plan Cumulative Option</t>
  </si>
  <si>
    <t>INF109KB1SB1</t>
  </si>
  <si>
    <t>ICICI Prudential Fixed Maturity Plan - Series 78 -1150 Days Plan N Cumulative Option</t>
  </si>
  <si>
    <t>INF109KB1SD7</t>
  </si>
  <si>
    <t>ICICI Prudential Fixed Maturity Plan - Series 78 -1150 Days Plan N Direct Plan Cumulative Option</t>
  </si>
  <si>
    <t>INF109KB1SE5</t>
  </si>
  <si>
    <t>ICICI Prudential Fixed Maturity Plan - Series 78 -1150 Days Plan N Direct Plan Dividend Option</t>
  </si>
  <si>
    <t>INF109KB1SC9</t>
  </si>
  <si>
    <t>ICICI Prudential Fixed Maturity Plan - Series 78 -1150 Days Plan N Dividend Option</t>
  </si>
  <si>
    <t>INF109KB1TL8</t>
  </si>
  <si>
    <t>ICICI Prudential Fixed Maturity Plan - Series 78 - 1156 Days Plan U Cumulative Option</t>
  </si>
  <si>
    <t>INF109KB1TN4</t>
  </si>
  <si>
    <t>ICICI Prudential Fixed Maturity Plan - Series 78 - 1156 Days Plan U Direct Plan Cumulative Option</t>
  </si>
  <si>
    <t>INF109KB1TM6</t>
  </si>
  <si>
    <t>ICICI Prudential Fixed Maturity Plan - Series 78 - 1156 Days Plan U Dividend Option</t>
  </si>
  <si>
    <t>INF109KB1RP3</t>
  </si>
  <si>
    <t>ICICI Prudential Fixed Maturity Plan - Series 78 - 1168 Days Plan J Cumulative Option</t>
  </si>
  <si>
    <t>INF109KB1RR9</t>
  </si>
  <si>
    <t>ICICI Prudential Fixed Maturity Plan - Series 78 - 1168 Days Plan J Direct Plan Cumulative Option</t>
  </si>
  <si>
    <t>INF109KB1RS7</t>
  </si>
  <si>
    <t>ICICI Prudential Fixed Maturity Plan - Series 78 - 1168 Days Plan J Direct Plan Dividend Option</t>
  </si>
  <si>
    <t>INF109KB1RQ1</t>
  </si>
  <si>
    <t>ICICI Prudential Fixed Maturity Plan - Series 78 - 1168 Days Plan J Dividend Option</t>
  </si>
  <si>
    <t>INF109KB1RD9</t>
  </si>
  <si>
    <t>ICICI Prudential Fixed Maturity Plan - Series 78 - 1170 Days Plan I Cumulative Option</t>
  </si>
  <si>
    <t>INF109KB1RF4</t>
  </si>
  <si>
    <t>ICICI Prudential Fixed Maturity Plan - Series 78 - 1170 Days Plan I Direct Plan Cumulative Option</t>
  </si>
  <si>
    <t>INF109KB1RG2</t>
  </si>
  <si>
    <t>ICICI Prudential Fixed Maturity Plan - Series 78 - 1170 Days Plan I Direct Plan Dividend Option</t>
  </si>
  <si>
    <t>INF109KB1RE7</t>
  </si>
  <si>
    <t>ICICI Prudential Fixed Maturity Plan - Series 78 - 1170 Days Plan I Dividend Option</t>
  </si>
  <si>
    <t>INF109KB1QB5</t>
  </si>
  <si>
    <t>ICICI Prudential Fixed Maturity Plan - Series 78 - 1185 Days Plan F Cumulative Option</t>
  </si>
  <si>
    <t>INF109KB1QD1</t>
  </si>
  <si>
    <t>ICICI Prudential Fixed Maturity Plan - Series 78 - 1185 Days Plan F Direct Plan Cumulative Option</t>
  </si>
  <si>
    <t>INF109KB1QE9</t>
  </si>
  <si>
    <t>ICICI Prudential Fixed Maturity Plan - Series 78 - 1185 Days Plan F Direct Plan Dividend Option</t>
  </si>
  <si>
    <t>INF109KB1QC3</t>
  </si>
  <si>
    <t>ICICI Prudential Fixed Maturity Plan - Series 78 - 1185 Days Plan F Dividend Option</t>
  </si>
  <si>
    <t>INF109KB1PH4</t>
  </si>
  <si>
    <t>ICICI Prudential Fixed Maturity Plan - Series 78 - 1190 Days Plan C Cumulative Option</t>
  </si>
  <si>
    <t>INF109KB1PJ0</t>
  </si>
  <si>
    <t>ICICI Prudential Fixed Maturity Plan - Series 78 - 1190 Days Plan C Direct Plan Cumulative Option</t>
  </si>
  <si>
    <t>INF109KB1PK8</t>
  </si>
  <si>
    <t>ICICI Prudential Fixed Maturity Plan - Series 78 - 1190 Days Plan C Direct Plan Dividend Option</t>
  </si>
  <si>
    <t>INF109KB1PI2</t>
  </si>
  <si>
    <t>ICICI Prudential Fixed Maturity Plan - Series 78 - 1190 Days Plan C Dividend Option</t>
  </si>
  <si>
    <t>INF109KB1PT9</t>
  </si>
  <si>
    <t>ICICI Prudential Fixed Maturity Plan - Series 78 - 1190 Days Plan E Cumulative Option</t>
  </si>
  <si>
    <t>INF109KB1PV5</t>
  </si>
  <si>
    <t>ICICI Prudential Fixed Maturity Plan - Series 78 - 1190 Days Plan E Direct Plan Cumulative Option</t>
  </si>
  <si>
    <t>INF109KB1PW3</t>
  </si>
  <si>
    <t>ICICI Prudential Fixed Maturity Plan - Series 78 - 1190 Days Plan E Direct Plan Dividend Option</t>
  </si>
  <si>
    <t>INF109KB1PU7</t>
  </si>
  <si>
    <t>ICICI Prudential Fixed Maturity Plan - Series 78 - 1190 Days Plan E Dividend Option</t>
  </si>
  <si>
    <t>INF109KB1OR6</t>
  </si>
  <si>
    <t>ICICI Prudential Fixed Maturity Plan - Series 78 - 1212 Days Plan A Cumulative Option</t>
  </si>
  <si>
    <t>INF109KB1OT2</t>
  </si>
  <si>
    <t>ICICI Prudential Fixed Maturity Plan - Series 78 - 1212 Days Plan A Direct Plan Cumulative Option</t>
  </si>
  <si>
    <t>INF109KB1OU0</t>
  </si>
  <si>
    <t>ICICI Prudential Fixed Maturity Plan - Series 78 - 1212 Days Plan A Direct Plan Dividend Option</t>
  </si>
  <si>
    <t>INF109KB1OS4</t>
  </si>
  <si>
    <t>ICICI Prudential Fixed Maturity Plan - Series 78 - 1212 Days Plan A Dividend Option</t>
  </si>
  <si>
    <t>INF109KB1TT1</t>
  </si>
  <si>
    <t>ICICI Prudential Fixed Maturity Plan - Series 78 - 1281 Days Plan V Cumulative Option</t>
  </si>
  <si>
    <t>INF109KB1TV7</t>
  </si>
  <si>
    <t>ICICI Prudential Fixed Maturity Plan - Series 78 - 1281 Days Plan V Direct Plan Cumulative Option</t>
  </si>
  <si>
    <t>INF109KB1TW5</t>
  </si>
  <si>
    <t>ICICI Prudential Fixed Maturity Plan - Series 78 - 1281 Days Plan V Direct Plan Dividend Option</t>
  </si>
  <si>
    <t>INF109KB1TU9</t>
  </si>
  <si>
    <t>ICICI Prudential Fixed Maturity Plan - Series 78 - 1281 Days Plan V Dividend Option</t>
  </si>
  <si>
    <t>INF109KB1RT5</t>
  </si>
  <si>
    <t>ICICI Prudential Fixed Maturity Plan - Series 78 - 188 Days Plan L Cumulative Option</t>
  </si>
  <si>
    <t>INF109KB1RV1</t>
  </si>
  <si>
    <t>ICICI Prudential Fixed Maturity Plan - Series 78 - 188 Days Plan L Direct Plan Cumulative Option</t>
  </si>
  <si>
    <t>INF109KB1RW9</t>
  </si>
  <si>
    <t>ICICI Prudential Fixed Maturity Plan - Series 78 - 188 Days Plan L Direct Plan Dividend Option</t>
  </si>
  <si>
    <t>INF109KB1RU3</t>
  </si>
  <si>
    <t>ICICI Prudential Fixed Maturity Plan - Series 78 - 188 Days Plan L Dividend Option</t>
  </si>
  <si>
    <t>INF109KB1VT7</t>
  </si>
  <si>
    <t>ICICI Prudential Fixed Maturity Plan - Series 78 - 95 Days Plan K Cumulative Option</t>
  </si>
  <si>
    <t>INF109KB1VV3</t>
  </si>
  <si>
    <t>ICICI Prudential Fixed Maturity Plan - Series 78 - 95 Days Plan K Direct Plan Cumulative Option</t>
  </si>
  <si>
    <t>INF109KB1VW1</t>
  </si>
  <si>
    <t>ICICI Prudential Fixed Maturity Plan - Series 78 - 95 Days Plan K Direct Plan Dividend Option</t>
  </si>
  <si>
    <t>INF109KB1VU5</t>
  </si>
  <si>
    <t>ICICI Prudential Fixed Maturity Plan - Series 78 - 95 Days Plan K Dividend Option</t>
  </si>
  <si>
    <t>INF109KB1SA3</t>
  </si>
  <si>
    <t>ICICI Prudential Fixed Maturity Plan - Series 78 - 95 Days Plan M Direct Plan Dividend Option</t>
  </si>
  <si>
    <t>INF109KB1RY5</t>
  </si>
  <si>
    <t>ICICI Prudential Fixed Maturity Plan - Series 78 - 95 Days Plan M Dividend Option</t>
  </si>
  <si>
    <t>INF109KB1RX7</t>
  </si>
  <si>
    <t>ICICI Prudential Fixed Maturity Plan - Series 78 -95 Days Plan M Cumulative Option</t>
  </si>
  <si>
    <t>INF109KB1RZ2</t>
  </si>
  <si>
    <t>ICICI Prudential Fixed Maturity Plan - Series 78 -95 Days Plan M Direct Plan Cumulative Option</t>
  </si>
  <si>
    <t>INF109KB1ZQ4</t>
  </si>
  <si>
    <t>ICICI Prudential Fixed Maturity Plan - Series 79 - 1104 Days Plan O Cumulative Option</t>
  </si>
  <si>
    <t>INF109KB1ZS0</t>
  </si>
  <si>
    <t>ICICI Prudential Fixed Maturity Plan - Series 79 - 1104 Days Plan O Direct Plan Cumulative Option</t>
  </si>
  <si>
    <t>INF109KB1ZT8</t>
  </si>
  <si>
    <t>ICICI Prudential Fixed Maturity Plan - Series 79 - 1104 Days Plan O Direct Plan Dividend Option</t>
  </si>
  <si>
    <t>INF109KB1ZR2</t>
  </si>
  <si>
    <t>ICICI Prudential Fixed Maturity Plan - Series 79 - 1104 Days Plan O Dividend Option</t>
  </si>
  <si>
    <t>INF109KB1B48</t>
  </si>
  <si>
    <t>ICICI Prudential Fixed Maturity Plan - Series 79 - 1104 Days Plan P Cumulative Option</t>
  </si>
  <si>
    <t>INF109KB1B63</t>
  </si>
  <si>
    <t>ICICI Prudential Fixed Maturity Plan - Series 79 - 1104 Days Plan P Direct Plan Cumulative Option</t>
  </si>
  <si>
    <t>INF109KB1B71</t>
  </si>
  <si>
    <t>ICICI Prudential Fixed Maturity Plan - Series 79 - 1104 Days Plan P Direct Plan Dividend Option</t>
  </si>
  <si>
    <t>INF109KB1B55</t>
  </si>
  <si>
    <t>ICICI Prudential Fixed Maturity Plan - Series 79 - 1104 Days Plan P Dividend Option</t>
  </si>
  <si>
    <t>INF109KB1VL4</t>
  </si>
  <si>
    <t>ICICI Prudential Fixed Maturity Plan - Series 79 - 1105 Days Plan B Cumulative Option</t>
  </si>
  <si>
    <t>INF109KB1VN0</t>
  </si>
  <si>
    <t>ICICI Prudential Fixed Maturity Plan - Series 79 - 1105 Days Plan B Direct Plan Cumulative Option</t>
  </si>
  <si>
    <t>INF109KB1VO8</t>
  </si>
  <si>
    <t>ICICI Prudential Fixed Maturity Plan - Series 79 - 1105 Days Plan B Direct Plan Dividend Option</t>
  </si>
  <si>
    <t>INF109KB1VM2</t>
  </si>
  <si>
    <t>ICICI Prudential Fixed Maturity Plan - Series 79 - 1105 Days Plan B Dividend Option</t>
  </si>
  <si>
    <t>INF109KB1ZI1</t>
  </si>
  <si>
    <t>ICICI Prudential Fixed Maturity Plan - Seires 79 - 1106 Days Plan M Cumulative Option</t>
  </si>
  <si>
    <t>INF109KB1ZJ9</t>
  </si>
  <si>
    <t>ICICI Prudential Fixed Maturity Plan - Series 79 - 1106 Days Plan M  Dividend Option</t>
  </si>
  <si>
    <t>INF109KB1ZK7</t>
  </si>
  <si>
    <t>ICICI Prudential Fixed Maturity Plan - Series 79 - 1106 Days Plan M Direct Plan Cumulative Option</t>
  </si>
  <si>
    <t>INF109KB1ZL5</t>
  </si>
  <si>
    <t>ICICI Prudential Fixed Maturity Plan - Series 79 - 1106 Days Plan M Direct Plan Dividend Option</t>
  </si>
  <si>
    <t>INF109KB1YS3</t>
  </si>
  <si>
    <t>ICICI Prudential Fixed Maturity Plan - Series 79 - 1118 Days Plan K Cumulative Option</t>
  </si>
  <si>
    <t>INF109KB1YU9</t>
  </si>
  <si>
    <t>ICICI Prudential Fixed Maturity Plan - Series 79 - 1118 Days Plan K Direct Plan Cumulative Option</t>
  </si>
  <si>
    <t>INF109KB1YV7</t>
  </si>
  <si>
    <t>ICICI Prudential Fixed Maturity Plan - Series 79 - 1118 Days Plan K Direct Plan Dividend Option</t>
  </si>
  <si>
    <t>INF109KB1YT1</t>
  </si>
  <si>
    <t>ICICI Prudential Fixed Maturity Plan - Series 79 - 1118 Days Plan K Dividend Option</t>
  </si>
  <si>
    <t>INF109KB1YO2</t>
  </si>
  <si>
    <t>ICICI Prudential Fixed Maturity Plan - Series 79 - 1120 Days Plan J Cumulative Option</t>
  </si>
  <si>
    <t>INF109KB1YQ7</t>
  </si>
  <si>
    <t>ICICI Prudential Fixed Maturity Plan - Series 79 - 1120 Days Plan J Direct Plan Cumulative Option</t>
  </si>
  <si>
    <t>INF109KB1YP9</t>
  </si>
  <si>
    <t>ICICI Prudential Fixed Maturity Plan - Series 79 - 1120 Days Plan J Dividend Option</t>
  </si>
  <si>
    <t>INF109KB1XH8</t>
  </si>
  <si>
    <t>ICICI Prudential Fixed Maturity Plan - Series 79 - 1130 Days Plan E  Cumulative Option</t>
  </si>
  <si>
    <t>INF109KB1XJ4</t>
  </si>
  <si>
    <t>ICICI Prudential Fixed Maturity Plan - Series 79 - 1130 Days Plan E  Direct Plan Cumulative Option</t>
  </si>
  <si>
    <t>INF109KB1XK2</t>
  </si>
  <si>
    <t>ICICI Prudential Fixed Maturity Plan - Series 79 - 1130 Days Plan E  Direct Plan Dividend Option</t>
  </si>
  <si>
    <t>INF109KB1XI6</t>
  </si>
  <si>
    <t>ICICI Prudential Fixed Maturity Plan - Series 79 - 1130 Days Plan E  Dividend Option</t>
  </si>
  <si>
    <t>INF109KB1XD7</t>
  </si>
  <si>
    <t>ICICI Prudential Fixed Maturity Plan - Series 79 - 1140 Days Plan D  Cumulative Option</t>
  </si>
  <si>
    <t>INF109KB1XF2</t>
  </si>
  <si>
    <t>ICICI Prudential Fixed Maturity Plan - Series 79 - 1140 Days Plan D  Direct Plan Cumulative Option</t>
  </si>
  <si>
    <t>INF109KB1XG0</t>
  </si>
  <si>
    <t>ICICI Prudential Fixed Maturity Plan - Series 79 - 1140 Days Plan D  Direct Plan Dividend Option</t>
  </si>
  <si>
    <t>INF109KB1XE5</t>
  </si>
  <si>
    <t>ICICI Prudential Fixed Maturity Plan - Series 79 - 1140 Days Plan D  Dividend Option</t>
  </si>
  <si>
    <t>INF109KB1UZ6</t>
  </si>
  <si>
    <t>ICICI Prudential Fixed Maturity Plan - Series 79 - 1218 Days Plan A Cumulative Option</t>
  </si>
  <si>
    <t>INF109KB1VB5</t>
  </si>
  <si>
    <t>ICICI Prudential Fixed Maturity Plan - Series 79 - 1218 Days Plan A Direct Plan Cumulative Option</t>
  </si>
  <si>
    <t>INF109KB1VC3</t>
  </si>
  <si>
    <t>ICICI Prudential Fixed Maturity Plan - Series 79 - 1218 Days Plan A Direct Plan Dividend Option</t>
  </si>
  <si>
    <t>INF109KB1VA7</t>
  </si>
  <si>
    <t>ICICI Prudential Fixed Maturity Plan - Series 79 - 1218 Days Plan A Dividend Option</t>
  </si>
  <si>
    <t>INF109KB1C62</t>
  </si>
  <si>
    <t>ICICI Prudential Fixed Maturity Plan - Series 79 - 1404 Days Plan T Cumulative Option</t>
  </si>
  <si>
    <t>INF109KB1C88</t>
  </si>
  <si>
    <t>ICICI Prudential Fixed Maturity Plan - Series 79 - 1404 Days Plan T Direct Plan Cumulative Option</t>
  </si>
  <si>
    <t>INF109KB1C70</t>
  </si>
  <si>
    <t>ICICI Prudential Fixed Maturity Plan - Series 79 - 1404 Days Plan T Dividend Option</t>
  </si>
  <si>
    <t>INF109KB1H42</t>
  </si>
  <si>
    <t>ICICI Prudential Fixed Maturity Plan - Series 80 - 1100 Days Plan A Cumulative Option</t>
  </si>
  <si>
    <t>INF109KB1H67</t>
  </si>
  <si>
    <t>ICICI Prudential Fixed Maturity Plan - Series 80 - 1100 Days Plan A Direct Plan Cumulative Option</t>
  </si>
  <si>
    <t>INF109KB1H75</t>
  </si>
  <si>
    <t>ICICI Prudential Fixed Maturity Plan - Series 80 - 1100 Days Plan A Direct Plan Dividend Option</t>
  </si>
  <si>
    <t>INF109KB1H59</t>
  </si>
  <si>
    <t>ICICI Prudential Fixed Maturity Plan - Series 80 - 1100 Days Plan A Dividend Option</t>
  </si>
  <si>
    <t>INF109KB1Y09</t>
  </si>
  <si>
    <t>ICICI Prudential Fixed Maturity Plan - Series 80 - 1125 Days Plan S - Cumulative Option</t>
  </si>
  <si>
    <t>INF109KB1Y25</t>
  </si>
  <si>
    <t>ICICI Prudential Fixed Maturity Plan - Series 80 - 1125 Days Plan S - Direct Plan - Cumulative Option</t>
  </si>
  <si>
    <t>INF109KB1Y33</t>
  </si>
  <si>
    <t>ICICI Prudential Fixed Maturity Plan - Series 80 - 1125 Days Plan S - Direct Plan - Dividend Option</t>
  </si>
  <si>
    <t>INF109KB1Y17</t>
  </si>
  <si>
    <t>ICICI Prudential Fixed Maturity Plan - Series 80 - 1125 Days Plan S - Dividend Option</t>
  </si>
  <si>
    <t>INF109KB1V85</t>
  </si>
  <si>
    <t>ICICI Prudential Fixed Maturity Plan - Series 80 - 1138 Days Plan R - Cumulative Option</t>
  </si>
  <si>
    <t>INF109KB1W01</t>
  </si>
  <si>
    <t>ICICI Prudential Fixed Maturity Plan - Series 80 - 1138 Days Plan R - Direct Plan - Cumulative Option</t>
  </si>
  <si>
    <t>INF109KB1W19</t>
  </si>
  <si>
    <t>ICICI Prudential Fixed Maturity Plan - Series 80 - 1138 Days Plan R - Direct Plan - Dividend Option</t>
  </si>
  <si>
    <t>INF109KB1V93</t>
  </si>
  <si>
    <t>ICICI Prudential Fixed Maturity Plan - Series 80 - 1138 Days Plan R - Dividend Option</t>
  </si>
  <si>
    <t>INF109KB1T89</t>
  </si>
  <si>
    <t>ICICI Prudential Fixed Maturity Plan - Series 80 - 1150 Days Plan N - Cumulative Option</t>
  </si>
  <si>
    <t>INF109KB1U11</t>
  </si>
  <si>
    <t>ICICI Prudential Fixed Maturity Plan - Series 80 - 1150 Days Plan N - Direct Plan - Dividend Option</t>
  </si>
  <si>
    <t>INF109KB1T97</t>
  </si>
  <si>
    <t>ICICI Prudential Fixed Maturity Plan - Series 80 - 1150 Days Plan N - Dividend Option</t>
  </si>
  <si>
    <t>INF109KB1U03</t>
  </si>
  <si>
    <t>ICICI Prudential Fixed Maturity Plan - Series 80 - 1150 Days Plan N -Direct Plan - Cumulative Option</t>
  </si>
  <si>
    <t>INF109KB1P83</t>
  </si>
  <si>
    <t>ICICI Prudential Fixed Maturity Plan - Series 80 - 1170 Days Plan I - Cumulative Option</t>
  </si>
  <si>
    <t>INF109KB1Q09</t>
  </si>
  <si>
    <t>ICICI Prudential Fixed Maturity Plan - Series 80 - 1170 Days Plan I - Direct Plan - Cumulative Option</t>
  </si>
  <si>
    <t>INF109KB1Q17</t>
  </si>
  <si>
    <t>ICICI Prudential Fixed Maturity Plan - Series 80 - 1170 Days Plan I - Direct Plan - Dividend Option</t>
  </si>
  <si>
    <t>INF109KB1P91</t>
  </si>
  <si>
    <t>ICICI Prudential Fixed Maturity Plan - Series 80 - 1170 Days Plan I - Dividend Option</t>
  </si>
  <si>
    <t>INF109KB10A8</t>
  </si>
  <si>
    <t>ICICI Prudential Fixed Maturity Plan - Series 80 - 1216 Days Plan U - Cumulative Option</t>
  </si>
  <si>
    <t>INF109KB12A4</t>
  </si>
  <si>
    <t>ICICI Prudential Fixed Maturity Plan - Series 80 - 1216 Days Plan U - Direct Plan - Cumulative Option</t>
  </si>
  <si>
    <t>INF109KB13A2</t>
  </si>
  <si>
    <t>ICICI Prudential Fixed Maturity Plan - Series 80 - 1216 Days Plan U - Direct Plan - Dividend Option</t>
  </si>
  <si>
    <t>INF109KB11A6</t>
  </si>
  <si>
    <t>ICICI Prudential Fixed Maturity Plan - Series 80 - 1216 Days Plan U - Dividend Option</t>
  </si>
  <si>
    <t>INF109KB1Z65</t>
  </si>
  <si>
    <t>ICICI Prudential Fixed Maturity Plan - Series 80 - 1225 Days Plan T - Cumulative Option</t>
  </si>
  <si>
    <t>INF109KB1Z81</t>
  </si>
  <si>
    <t>ICICI Prudential Fixed Maturity Plan - Series 80 - 1225 Days Plan T - Direct Plan - Cumulative Option</t>
  </si>
  <si>
    <t>INF109KB1Z99</t>
  </si>
  <si>
    <t>ICICI Prudential Fixed Maturity Plan - Series 80 - 1225 Days Plan T - Direct Plan - Dividend Option</t>
  </si>
  <si>
    <t>INF109KB1Z73</t>
  </si>
  <si>
    <t>ICICI Prudential Fixed Maturity Plan - Series 80 - 1225 Days Plan T - Dividend Option</t>
  </si>
  <si>
    <t>INF109KB1W68</t>
  </si>
  <si>
    <t>ICICI Prudential Fixed Maturity Plan - Series 80 - 1227 Days Plan Q - Cumulative Option</t>
  </si>
  <si>
    <t>INF109KB1W84</t>
  </si>
  <si>
    <t>ICICI Prudential Fixed Maturity Plan - Series 80 - 1227 Days Plan Q - Direct Plan Cumulative Option</t>
  </si>
  <si>
    <t>INF109KB1W92</t>
  </si>
  <si>
    <t>ICICI Prudential Fixed Maturity Plan - Series 80 - 1227 Days Plan Q - Direct Plan Dividend Option</t>
  </si>
  <si>
    <t>INF109KB1V44</t>
  </si>
  <si>
    <t>ICICI Prudential Fixed Maturity Plan - Series 80 - 1231 Days Plan P - Cumulative Option</t>
  </si>
  <si>
    <t>INF109KB1V69</t>
  </si>
  <si>
    <t>ICICI Prudential Fixed Maturity Plan - Series 80 - 1231 Days Plan P - Direct Plan - Cumulative Option</t>
  </si>
  <si>
    <t>INF109KB1V77</t>
  </si>
  <si>
    <t>ICICI Prudential Fixed Maturity Plan - Series 80 - 1231 Days Plan P - Direct Plan - Dividend Option</t>
  </si>
  <si>
    <t>INF109KB1V02</t>
  </si>
  <si>
    <t>ICICI Prudential Fixed Maturity Plan - Series 80 - 1233 Days Plan O - Cumulative Option</t>
  </si>
  <si>
    <t>INF109KB1V28</t>
  </si>
  <si>
    <t>ICICI Prudential Fixed Maturity Plan - Series 80 - 1233 Days Plan O - Direct Plan - Cumulative Option</t>
  </si>
  <si>
    <t>INF109KB1V36</t>
  </si>
  <si>
    <t>ICICI Prudential Fixed Maturity Plan - Series 80 - 1233 Days Plan O - Direct Plan - Dividend Option</t>
  </si>
  <si>
    <t>INF109KB1T06</t>
  </si>
  <si>
    <t>ICICI Prudential Fixed Maturity Plan - Series 80 - 1245 Days Plan L - Cumulative Option</t>
  </si>
  <si>
    <t>INF109KB1T22</t>
  </si>
  <si>
    <t>ICICI Prudential Fixed Maturity Plan - Series 80 - 1245 Days Plan L - Direct Plan - Cumulative Option</t>
  </si>
  <si>
    <t>INF109KB1T30</t>
  </si>
  <si>
    <t>ICICI Prudential Fixed Maturity Plan - Series 80 - 1245 Days Plan L - Direct Plan - Dividend Option</t>
  </si>
  <si>
    <t>INF109KB1T14</t>
  </si>
  <si>
    <t>ICICI Prudential Fixed Maturity Plan - Series 80 - 1245 Days Plan L - Dividend Option</t>
  </si>
  <si>
    <t>INF109KB1K05</t>
  </si>
  <si>
    <t>ICICI Prudential Fixed Maturity Plan - Series 80 - 1248 Days Plan D - Cumulative Option</t>
  </si>
  <si>
    <t>INF109KB1K21</t>
  </si>
  <si>
    <t>ICICI Prudential Fixed Maturity Plan - Series 80 - 1248 Days Plan D - Direct Plan - Cumulative Option</t>
  </si>
  <si>
    <t>INF109KB1K13</t>
  </si>
  <si>
    <t>ICICI Prudential Fixed Maturity Plan - Series 80 - 1248 Days Plan D - Dividend Option</t>
  </si>
  <si>
    <t>INF109KB1R40</t>
  </si>
  <si>
    <t>ICICI Prudential Fixed Maturity Plan - Series 80 - 1253 Days Plan J - Cumulative Option</t>
  </si>
  <si>
    <t>INF109KB1R65</t>
  </si>
  <si>
    <t>ICICI Prudential Fixed Maturity Plan - Series 80 - 1253 Days Plan J - Direct Plan - Cumulative Option</t>
  </si>
  <si>
    <t>INF109KB1R57</t>
  </si>
  <si>
    <t>ICICI Prudential Fixed Maturity Plan - Series 80 - 1253 Days Plan J - Dividend Option</t>
  </si>
  <si>
    <t>INF109KB14S2</t>
  </si>
  <si>
    <t>ICICI Prudential Fixed Maturity Plan - Series 81 - 1100 Days Plan O - Cumulative Option</t>
  </si>
  <si>
    <t>INF109KB12S6</t>
  </si>
  <si>
    <t>ICICI Prudential Fixed Maturity Plan - Series 81 - 1100 Days Plan O - Direct Plan - Cumulative Option</t>
  </si>
  <si>
    <t>INF109KB13S4</t>
  </si>
  <si>
    <t>ICICI Prudential Fixed Maturity Plan - Series 81 - 1100 Days Plan O - Direct Plan - Dividend Option</t>
  </si>
  <si>
    <t>INF109KB15S9</t>
  </si>
  <si>
    <t>ICICI Prudential Fixed Maturity Plan - Series 81 - 1100 Days Plan O - Dividend Option</t>
  </si>
  <si>
    <t>INF109KB11U4</t>
  </si>
  <si>
    <t>ICICI Prudential Fixed Maturity Plan - Series 81 - 1100 Days Plan R - Cumulative option</t>
  </si>
  <si>
    <t>INF109KB19T9</t>
  </si>
  <si>
    <t>ICICI Prudential Fixed Maturity Plan - Series 81 - 1100 Days Plan R - Direct Plan - Cumulative option</t>
  </si>
  <si>
    <t>INF109KB10U6</t>
  </si>
  <si>
    <t>ICICI Prudential Fixed Maturity Plan - Series 81 - 1100 Days Plan R - Direct Plan - Dividend option</t>
  </si>
  <si>
    <t>INF109KB12U2</t>
  </si>
  <si>
    <t>ICICI Prudential Fixed Maturity Plan - Series 81 - 1100 Days Plan R - Dividend option</t>
  </si>
  <si>
    <t>INF109KB17X5</t>
  </si>
  <si>
    <t>ICICI Prudential Fixed Maturity Plan - Series 81 - 1100 Days Plan W - Cumulative Option</t>
  </si>
  <si>
    <t>INF109KB19X1</t>
  </si>
  <si>
    <t>ICICI Prudential Fixed Maturity Plan - Series 81 - 1100 Days Plan W - Direct Plan Cumulative Option</t>
  </si>
  <si>
    <t>INF109KB10Y8</t>
  </si>
  <si>
    <t>ICICI Prudential Fixed Maturity Plan - Series 81 - 1100 Days Plan W - Direct Plan Dividend Option</t>
  </si>
  <si>
    <t>INF109KB18X3</t>
  </si>
  <si>
    <t>ICICI Prudential Fixed Maturity Plan - Series 81 - 1100 Days Plan W - Dividend Option</t>
  </si>
  <si>
    <t>INF109KB16B3</t>
  </si>
  <si>
    <t>ICICI Prudential Fixed Maturity Plan - Series 81 - 1101 Days Plan C - Cumulative Option</t>
  </si>
  <si>
    <t>INF109KB18B9</t>
  </si>
  <si>
    <t>ICICI Prudential Fixed Maturity Plan - Series 81 - 1101 Days Plan C - Direct Plan - Cumulative Option</t>
  </si>
  <si>
    <t>INF109KB19B7</t>
  </si>
  <si>
    <t>ICICI Prudential Fixed Maturity Plan - Series 81 - 1101 Days Plan C - Direct Plan - Dividend Option</t>
  </si>
  <si>
    <t>INF109KB17B1</t>
  </si>
  <si>
    <t>ICICI Prudential Fixed Maturity Plan - Series 81 - 1101 Days Plan C - Dividend Option</t>
  </si>
  <si>
    <t>INF109KB12D8</t>
  </si>
  <si>
    <t>ICICI Prudential Fixed Maturity Plan - Series 81 - 1101 Days Plan E - Cumulative Option</t>
  </si>
  <si>
    <t>INF109KB14D4</t>
  </si>
  <si>
    <t>ICICI Prudential Fixed Maturity Plan - Series 81 - 1101 Days Plan E - Direct Plan - Cumulative Option</t>
  </si>
  <si>
    <t>INF109KB15D1</t>
  </si>
  <si>
    <t>ICICI Prudential Fixed Maturity Plan - Series 81 - 1101 Days Plan E - Direct Plan - Dividend Option</t>
  </si>
  <si>
    <t>INF109KB13D6</t>
  </si>
  <si>
    <t>ICICI Prudential Fixed Maturity Plan - Series 81 - 1101 Days Plan E - Dividend Option</t>
  </si>
  <si>
    <t>INF109KB12G1</t>
  </si>
  <si>
    <t>ICICI Prudential Fixed Maturity Plan - Series 81 - 1116 Days Plan I - Cumulative Option</t>
  </si>
  <si>
    <t>INF109KB10G5</t>
  </si>
  <si>
    <t>ICICI Prudential Fixed Maturity Plan - Series 81 - 1116 Days Plan I - Direct Plan - Cumulative Option</t>
  </si>
  <si>
    <t>INF109KB11G3</t>
  </si>
  <si>
    <t>ICICI Prudential Fixed Maturity Plan - Series 81 - 1116 Days Plan I - Direct Plan - Dividend Option</t>
  </si>
  <si>
    <t>INF109KB18P9</t>
  </si>
  <si>
    <t>ICICI Prudential Fixed Maturity Plan - Series 81 - 1150 Days Plan K - Cumulative Option</t>
  </si>
  <si>
    <t>INF109KB16P3</t>
  </si>
  <si>
    <t>ICICI Prudential Fixed Maturity Plan - Series 81 - 1150 Days Plan K - Direct Plan - Cumulative Option</t>
  </si>
  <si>
    <t>INF109KB17P1</t>
  </si>
  <si>
    <t>ICICI Prudential Fixed Maturity Plan - Series 81 - 1150 Days Plan K - Direct Plan - Dividend Option</t>
  </si>
  <si>
    <t>INF109KB19P7</t>
  </si>
  <si>
    <t>ICICI Prudential Fixed Maturity Plan - Series 81 - 1150 Days Plan K - Dividend Option</t>
  </si>
  <si>
    <t>INF109KB10K7</t>
  </si>
  <si>
    <t>ICICI Prudential Fixed Maturity Plan - Series 81 - 1154 Days Plan J - Direct Plan - Cumulative Option</t>
  </si>
  <si>
    <t>INF109KB11K5</t>
  </si>
  <si>
    <t>ICICI Prudential Fixed Maturity Plan - Series 81 - 1154 Days Plan J - Direct Plan - Dividend Option</t>
  </si>
  <si>
    <t>INF109KB12K3</t>
  </si>
  <si>
    <t>ICICI Prudential Fixed Maturity Plan - Series 81 - 1154 Days Plan J Cumulative Option</t>
  </si>
  <si>
    <t>INF109KB13K1</t>
  </si>
  <si>
    <t>ICICI Prudential Fixed Maturity Plan - Series 81 - 1154 Days Plan J Dividend Option</t>
  </si>
  <si>
    <t>INF109KB13T2</t>
  </si>
  <si>
    <t>ICICI Prudential Fixed Maturity Plan - Series 81 - 1162 Days Plan P - Cumulative Option</t>
  </si>
  <si>
    <t>INF109KB11T6</t>
  </si>
  <si>
    <t>ICICI Prudential Fixed Maturity Plan - Series 81 - 1162 Days Plan P - Direct Plan - Cumulative Option</t>
  </si>
  <si>
    <t>INF109KB12T4</t>
  </si>
  <si>
    <t>ICICI Prudential Fixed Maturity Plan - Series 81 - 1162 Days Plan P - Direct Plan - Dividend Option</t>
  </si>
  <si>
    <t>INF109KB14T0</t>
  </si>
  <si>
    <t>ICICI Prudential Fixed Maturity Plan - Series 81 - 1162 Days Plan P - Dividend Option</t>
  </si>
  <si>
    <t>INF109KB15U5</t>
  </si>
  <si>
    <t>ICICI Prudential Fixed Maturity Plan - Series 81 - 1163 Days Plan Q - Cumulative Option</t>
  </si>
  <si>
    <t>INF109KB13U0</t>
  </si>
  <si>
    <t>ICICI Prudential Fixed Maturity Plan - Series 81 - 1163 Days Plan Q - Direct Plan - Cumulative Option</t>
  </si>
  <si>
    <t>INF109KB14U8</t>
  </si>
  <si>
    <t>ICICI Prudential Fixed Maturity Plan - Series 81 - 1163 Days Plan Q - Direct Plan - Dividend Option</t>
  </si>
  <si>
    <t>INF109KB16U3</t>
  </si>
  <si>
    <t>ICICI Prudential Fixed Maturity Plan - Series 81 - 1163 Days Plan Q - Dividend Option</t>
  </si>
  <si>
    <t>INF109KB16G2</t>
  </si>
  <si>
    <t>ICICI Prudential Fixed Maturity Plan - Series 81 - 1178 Days Plan H - Cumulative Option</t>
  </si>
  <si>
    <t>INF109KB14G7</t>
  </si>
  <si>
    <t>ICICI Prudential Fixed Maturity Plan - Series 81 - 1178 Days Plan H - Direct Plan - Cumulative Option</t>
  </si>
  <si>
    <t>INF109KB15G4</t>
  </si>
  <si>
    <t>ICICI Prudential Fixed Maturity Plan - Series 81 - 1178 Days Plan H - Direct Plan - Dividend Option</t>
  </si>
  <si>
    <t>INF109KB17G0</t>
  </si>
  <si>
    <t>ICICI Prudential Fixed Maturity Plan - Series 81 - 1178 Days Plan H - Dividend Option</t>
  </si>
  <si>
    <t>INF109KB10H3</t>
  </si>
  <si>
    <t>ICICI Prudential Fixed Maturity Plan - Series 81 - 1185 Days Plan G - Cumulative Option</t>
  </si>
  <si>
    <t>INF109KB18G8</t>
  </si>
  <si>
    <t>ICICI Prudential Fixed Maturity Plan - Series 81 - 1185 Days Plan G - Direct Plan - Cumulative Option</t>
  </si>
  <si>
    <t>INF109KB11H1</t>
  </si>
  <si>
    <t>ICICI Prudential Fixed Maturity Plan - Series 81 - 1185 Days Plan G - Dividend Option</t>
  </si>
  <si>
    <t>INF109KB18F0</t>
  </si>
  <si>
    <t>ICICI Prudential Fixed Maturity Plan - Series 81 - 1190 Days Plan F - Cumulative Option</t>
  </si>
  <si>
    <t>INF109KB16F4</t>
  </si>
  <si>
    <t>ICICI Prudential Fixed Maturity Plan - Series 81 - 1190 Days Plan F - Direct Plan - Cumulative Option</t>
  </si>
  <si>
    <t>INF109KB19F8</t>
  </si>
  <si>
    <t>ICICI Prudential Fixed Maturity Plan - Series 81 - 1190 Days Plan F - Dividend Option</t>
  </si>
  <si>
    <t>INF109KB14C6</t>
  </si>
  <si>
    <t>ICICI Prudential Fixed Maturity Plan - Series 81 - 1195 Days Plan D - Cumulative Option</t>
  </si>
  <si>
    <t>INF109KB16C1</t>
  </si>
  <si>
    <t>ICICI Prudential Fixed Maturity Plan - Series 81 - 1195 Days Plan D - Direct Plan - Cumulative Option</t>
  </si>
  <si>
    <t>INF109KB15C3</t>
  </si>
  <si>
    <t>ICICI Prudential Fixed Maturity Plan - Series 81 - 1195 Days Plan D - Dividend Option</t>
  </si>
  <si>
    <t>INF109KB12B2</t>
  </si>
  <si>
    <t>ICICI Prudential Fixed Maturity Plan - Series 81 - 1205 Days Plan B - Cumulative Option</t>
  </si>
  <si>
    <t>INF109KB14B8</t>
  </si>
  <si>
    <t>ICICI Prudential Fixed Maturity Plan - Series 81 - 1205 Days Plan B - Direct Plan - Cumulative Option</t>
  </si>
  <si>
    <t>INF109KB15B5</t>
  </si>
  <si>
    <t>ICICI Prudential Fixed Maturity Plan - Series 81 - 1205 Days Plan B - Direct Plan - Dividend Option</t>
  </si>
  <si>
    <t>INF109KB13B0</t>
  </si>
  <si>
    <t>ICICI Prudential Fixed Maturity Plan - Series 81 - 1205 Days Plan B - Dividend Option</t>
  </si>
  <si>
    <t>INF109KB18A1</t>
  </si>
  <si>
    <t>ICICI Prudential Fixed Maturity Plan - Series 81 - 1211 Days Plan A - Cumulative Option</t>
  </si>
  <si>
    <t>INF109KB10B6</t>
  </si>
  <si>
    <t>ICICI Prudential Fixed Maturity Plan - Series 81 - 1211 Days Plan A - Direct Plan - Cumulative Option</t>
  </si>
  <si>
    <t>INF109KB11B4</t>
  </si>
  <si>
    <t>ICICI Prudential Fixed Maturity Plan - Series 81 - 1211 Days Plan A - Direct Plan - Dividend Option</t>
  </si>
  <si>
    <t>INF109KB19A9</t>
  </si>
  <si>
    <t>ICICI Prudential Fixed Maturity Plan - Series 81 - 1211 Days Plan A - Dividend Option</t>
  </si>
  <si>
    <t>INF109KC1AF9</t>
  </si>
  <si>
    <t>ICICI Prudential Fixed Maturity Plan - Series 82 - 103 Days Plan O - Cumulative Option</t>
  </si>
  <si>
    <t>INF109KC1AH5</t>
  </si>
  <si>
    <t>ICICI Prudential Fixed Maturity Plan - Series 82 - 103 Days Plan O - Direct Plan Cumulative Option</t>
  </si>
  <si>
    <t>INF109KC1AI3</t>
  </si>
  <si>
    <t>ICICI Prudential Fixed Maturity Plan - series 82 - 103 Days Plan O - Direct Plan Dividend Option</t>
  </si>
  <si>
    <t>INF109KC1AG7</t>
  </si>
  <si>
    <t>ICICI Prudential Fixed Maturity Plan - series 82 - 103 Days Plan O - Dividend Option</t>
  </si>
  <si>
    <t>INF109KC1CH1</t>
  </si>
  <si>
    <t>ICICI Prudential Fixed Maturity Plan - Series 82 - 1119 Days Plan X - Cumulative Option</t>
  </si>
  <si>
    <t>INF109KC1CK5</t>
  </si>
  <si>
    <t>ICICI Prudential Fixed Maturity Plan - Series 82 - 1119 Days Plan X - Direct Plan Cumulative Option</t>
  </si>
  <si>
    <t>INF109KC1CM1</t>
  </si>
  <si>
    <t>ICICI Prudential Fixed Maturity Plan - Series 82 - 1119 Days Plan X - Direct Plan Quarterly IDCW Option</t>
  </si>
  <si>
    <t>INF109KC1CI9</t>
  </si>
  <si>
    <t>ICICI Prudential Fixed Maturity Plan - Series 82 - 1119 Days Plan X - Half Yearly IDCW Option</t>
  </si>
  <si>
    <t>INF109KC1CJ7</t>
  </si>
  <si>
    <t>ICICI Prudential Fixed Maturity Plan - Series 82 - 1119 Days Plan X - Quarterly IDCW Option</t>
  </si>
  <si>
    <t>INF109KC1BB6</t>
  </si>
  <si>
    <t>ICICI Prudential Fixed Maturity Plan - Series 82 - 1135 Days Plan S - Cumulative Option</t>
  </si>
  <si>
    <t>INF109KC1BE0</t>
  </si>
  <si>
    <t>ICICI Prudential Fixed Maturity Plan - Series 82 - 1135 Days Plan S - Direct Plan Cumulative Option</t>
  </si>
  <si>
    <t>INF109KC1BF7</t>
  </si>
  <si>
    <t>ICICI Prudential Fixed Maturity Plan - Series 82 - 1135 Days Plan S - Direct Plan Half Yearly IDCW Option</t>
  </si>
  <si>
    <t>INF109KC1BG5</t>
  </si>
  <si>
    <t>ICICI Prudential Fixed Maturity Plan - Series 82 - 1135 Days Plan S - Direct Plan Quarterly IDCW Option</t>
  </si>
  <si>
    <t>INF109KC1BC4</t>
  </si>
  <si>
    <t>ICICI Prudential Fixed Maturity Plan - Series 82 - 1135 Days Plan S - Half Yearly IDCW Option</t>
  </si>
  <si>
    <t>INF109KC1BD2</t>
  </si>
  <si>
    <t>ICICI Prudential Fixed Maturity Plan - Series 82 - 1135 Days Plan S - Quarterly IDCW Option</t>
  </si>
  <si>
    <t>INF109KC1BP6</t>
  </si>
  <si>
    <t>ICICI Prudential Fixed Maturity Plan - Series 82 - 1135 Days Plan U - Cumulative Option</t>
  </si>
  <si>
    <t>INF109KC1BS0</t>
  </si>
  <si>
    <t>ICICI Prudential Fixed Maturity Plan - Series 82 - 1135 Days Plan U - Direct Plan Cumulative Option</t>
  </si>
  <si>
    <t>INF109KC1BT8</t>
  </si>
  <si>
    <t>ICICI Prudential Fixed Maturity Plan - Series 82 - 1135 Days Plan U - Direct Plan Half Yearly IDCW Option</t>
  </si>
  <si>
    <t>INF109KC1BR2</t>
  </si>
  <si>
    <t>ICICI Prudential Fixed Maturity Plan - Series 82 - 1135 Days Plan U - Quarterly IDCW Option</t>
  </si>
  <si>
    <t>INF109KC1BV4</t>
  </si>
  <si>
    <t>ICICI Prudential Fixed Maturity Plan - Series 82 - 1135 Days Plan V - Cumulative Option</t>
  </si>
  <si>
    <t>INF109KC1BY8</t>
  </si>
  <si>
    <t>ICICI Prudential Fixed Maturity Plan - Series 82 - 1135 Days Plan V - Direct Plan Cumulative Option</t>
  </si>
  <si>
    <t>INF109KC1CA6</t>
  </si>
  <si>
    <t>ICICI Prudential Fixed Maturity Plan - Series 82 - 1135 Days Plan V - Direct Plan Quarterly IDCW Option</t>
  </si>
  <si>
    <t>INF109KC1BW2</t>
  </si>
  <si>
    <t>ICICI Prudential Fixed Maturity Plan - Series 82 - 1135 Days Plan V - Half Yearly IDCW Option</t>
  </si>
  <si>
    <t>INF109KC1BX0</t>
  </si>
  <si>
    <t>ICICI Prudential Fixed Maturity Plan - Series 82 - 1135 Days Plan V - Quarterly IDCW Option</t>
  </si>
  <si>
    <t>INF109KC1AJ1</t>
  </si>
  <si>
    <t>ICICI Prudential Fixed Maturity Plan - Series 82 - 1136 Days Plan P - Cumulative Option</t>
  </si>
  <si>
    <t>INF109KC1AM5</t>
  </si>
  <si>
    <t>ICICI Prudential Fixed Maturity Plan - Series 82 - 1136 Days Plan P - Direct Plan Cumulative Option</t>
  </si>
  <si>
    <t>INF109KC1AN3</t>
  </si>
  <si>
    <t>ICICI Prudential Fixed Maturity Plan - Series 82 - 1136 Days Plan P - Direct Plan Half Yearly IDCW Option</t>
  </si>
  <si>
    <t>INF109KC1AO1</t>
  </si>
  <si>
    <t>ICICI Prudential Fixed Maturity Plan - Series 82 - 1136 Days Plan P - Direct Plan Quarterly IDCW Option</t>
  </si>
  <si>
    <t>INF109KC1AK9</t>
  </si>
  <si>
    <t>ICICI Prudential Fixed Maturity Plan - Series 82 - 1136 Days Plan P - Half Yearly IDCW Option</t>
  </si>
  <si>
    <t>INF109KC1AL7</t>
  </si>
  <si>
    <t>ICICI Prudential Fixed Maturity Plan - Series 82 - 1136 Days Plan P - Quarterly IDCW Option</t>
  </si>
  <si>
    <t>INF109KC1CP4</t>
  </si>
  <si>
    <t>ICICI Prudential Fixed Maturity Plan - Series 82 - 1141 Days Plan Y - Cumulative Option</t>
  </si>
  <si>
    <t>INF109KC1CS8</t>
  </si>
  <si>
    <t>ICICI Prudential Fixed Maturity Plan - Series 82 - 1141 Days Plan Y - Direct Plan Cumulative Option</t>
  </si>
  <si>
    <t>INF109KC1CT6</t>
  </si>
  <si>
    <t>ICICI Prudential Fixed Maturity Plan - Series 82 - 1141 Days Plan Y - Direct Plan Half Yearly IDCW Option</t>
  </si>
  <si>
    <t>INF109KC1CQ2</t>
  </si>
  <si>
    <t>ICICI Prudential Fixed Maturity Plan - Series 82 - 1141 Days Plan Y - Half Yearly IDCW Option</t>
  </si>
  <si>
    <t>INF109KC1CR0</t>
  </si>
  <si>
    <t>ICICI Prudential Fixed Maturity Plan - Series 82 - 1141 Days Plan Y - Quarterly IDCW Option</t>
  </si>
  <si>
    <t>INF109KC1739</t>
  </si>
  <si>
    <t>ICICI Prudential Fixed Maturity Plan - Series 82 - 1157 Days Plan J - Cumulative Option</t>
  </si>
  <si>
    <t>INF109KC1762</t>
  </si>
  <si>
    <t>ICICI Prudential Fixed Maturity Plan - Series 82 - 1157 Days Plan J - Direct Plan Cumulative Option</t>
  </si>
  <si>
    <t>INF109KC1770</t>
  </si>
  <si>
    <t>ICICI Prudential Fixed Maturity Plan - Series 82 - 1157 Days Plan J - Direct Plan Half Yearly IDCW Option</t>
  </si>
  <si>
    <t>INF109KC1788</t>
  </si>
  <si>
    <t>ICICI Prudential Fixed Maturity Plan - Series 82 - 1157 Days Plan J - Direct Plan Quarterly IDCW Option</t>
  </si>
  <si>
    <t>INF109KC1747</t>
  </si>
  <si>
    <t>ICICI Prudential Fixed Maturity Plan - Series 82 - 1157 Days Plan J - Half Yearly IDCW Option</t>
  </si>
  <si>
    <t>INF109KC1754</t>
  </si>
  <si>
    <t>ICICI Prudential Fixed Maturity Plan - Series 82 - 1157 Days Plan J - Quarterly IDCW Option</t>
  </si>
  <si>
    <t>INF109KC1AV6</t>
  </si>
  <si>
    <t>ICICI Prudential Fixed Maturity Plan - Series 82 - 1170 Days Plan R - Cumulative Option</t>
  </si>
  <si>
    <t>INF109KC1AY0</t>
  </si>
  <si>
    <t>ICICI Prudential Fixed Maturity Plan - Series 82 - 1170 Days Plan R - Direct Plan Cumulative Option</t>
  </si>
  <si>
    <t>INF109KC1BA8</t>
  </si>
  <si>
    <t>ICICI Prudential Fixed Maturity Plan - Series 82 - 1170 Days Plan R - Direct Plan Quarterly IDCW Option</t>
  </si>
  <si>
    <t>INF109KC1AW4</t>
  </si>
  <si>
    <t>ICICI Prudential Fixed Maturity Plan - Series 82 - 1170 Days Plan R - Half Yearly IDCW Option</t>
  </si>
  <si>
    <t>INF109KC1AX2</t>
  </si>
  <si>
    <t>ICICI Prudential Fixed Maturity Plan - Series 82 - 1170 Days Plan R - Quarterly IDCW Option</t>
  </si>
  <si>
    <t>INF109KC1AP8</t>
  </si>
  <si>
    <t>ICICI Prudential Fixed Maturity Plan - Series 82 - 1175 Days Plan Q - Cumulative Option</t>
  </si>
  <si>
    <t>INF109KC1AS2</t>
  </si>
  <si>
    <t>ICICI Prudential Fixed Maturity Plan - Series 82 - 1175 Days Plan Q - Direct Plan Cumulative Option</t>
  </si>
  <si>
    <t>INF109KC1AT0</t>
  </si>
  <si>
    <t>ICICI Prudential Fixed Maturity Plan - Series 82 - 1175 Days Plan Q - Direct Plan Half yearly IDCW Option</t>
  </si>
  <si>
    <t>INF109KC1AU8</t>
  </si>
  <si>
    <t>ICICI Prudential Fixed Maturity Plan - Series 82 - 1175 Days Plan Q - Direct Plan Quarterly IDCW Option</t>
  </si>
  <si>
    <t>INF109KC1AQ6</t>
  </si>
  <si>
    <t>ICICI Prudential Fixed Maturity Plan - Series 82 - 1175 Days Plan Q - Half Yearly IDCW Option</t>
  </si>
  <si>
    <t>INF109KC1AR4</t>
  </si>
  <si>
    <t>ICICI Prudential Fixed Maturity Plan - Series 82 - 1175 Days Plan Q - Quarterly IDCW Option</t>
  </si>
  <si>
    <t>INF109KC1671</t>
  </si>
  <si>
    <t>ICICI Prudential Fixed Maturity Plan - Series 82 - 1185 Days Plan I - Cumulative Option</t>
  </si>
  <si>
    <t>INF109KC1705</t>
  </si>
  <si>
    <t>ICICI Prudential Fixed Maturity Plan - Series 82 - 1185 Days Plan I - Direct Plan Cumulative Option</t>
  </si>
  <si>
    <t>INF109KC1994</t>
  </si>
  <si>
    <t>ICICI Prudential Fixed Maturity Plan - Series 82 - 1185 Days Plan N - Cumulative Option</t>
  </si>
  <si>
    <t>INF109KC1AC6</t>
  </si>
  <si>
    <t>ICICI Prudential Fixed Maturity Plan - Series 82 - 1185 Days Plan N - Direct Plan Cumulative Option</t>
  </si>
  <si>
    <t>INF109KC1AD4</t>
  </si>
  <si>
    <t>ICICI Prudential Fixed Maturity Plan - Series 82 - 1185 Days Plan N - Direct Plan Half Yearly IDCW Option</t>
  </si>
  <si>
    <t>INF109KC1AE2</t>
  </si>
  <si>
    <t>ICICI Prudential Fixed Maturity Plan - Series 82 - 1185 Days Plan N - Direct Plan Quarterly IDCW Option</t>
  </si>
  <si>
    <t>INF109KC1AA0</t>
  </si>
  <si>
    <t>ICICI Prudential Fixed Maturity Plan - Series 82 - 1185 Days Plan N - Half Yearly IDCW Option</t>
  </si>
  <si>
    <t>INF109KC1AB8</t>
  </si>
  <si>
    <t>ICICI Prudential Fixed Maturity Plan - Series 82 - 1185 Days Plan N - Quarterly IDCW Option</t>
  </si>
  <si>
    <t>INF109KC1374</t>
  </si>
  <si>
    <t>ICICI Prudential Fixed Maturity Plan - Series 82 - 1187 Days Plan F - Cumulative Option</t>
  </si>
  <si>
    <t>INF109KC1408</t>
  </si>
  <si>
    <t>ICICI Prudential Fixed Maturity Plan - Series 82 - 1187 Days Plan F - Direct Plan Cumulative Option</t>
  </si>
  <si>
    <t>INF109KC1424</t>
  </si>
  <si>
    <t>ICICI Prudential Fixed Maturity Plan - Series 82 - 1187 Days Plan F - Direct Plan Quarterly IDCW Option</t>
  </si>
  <si>
    <t>INF109KC1382</t>
  </si>
  <si>
    <t>ICICI Prudential Fixed Maturity Plan - Series 82 - 1187 Days Plan F - Half Yearly IDCW Option</t>
  </si>
  <si>
    <t>INF109KC1390</t>
  </si>
  <si>
    <t>ICICI Prudential Fixed Maturity Plan - Series 82 - 1187 Days Plan F - Quarterly IDCW Option</t>
  </si>
  <si>
    <t>INF109KC1879</t>
  </si>
  <si>
    <t>ICICI Prudential Fixed Maturity Plan - Series 82 - 1199 Days Plan L - Cumulative Option</t>
  </si>
  <si>
    <t>INF109KC1903</t>
  </si>
  <si>
    <t>ICICI Prudential Fixed Maturity Plan - Series 82 - 1199 Days Plan L - Direct Plan Cumulative Option</t>
  </si>
  <si>
    <t>INF109KC1911</t>
  </si>
  <si>
    <t>ICICI Prudential Fixed Maturity Plan - Series 82 - 1199 Days Plan L - Direct Plan Half Yearly IDCW Option</t>
  </si>
  <si>
    <t>INF109KC1887</t>
  </si>
  <si>
    <t>ICICI Prudential Fixed Maturity Plan - Series 82 - 1199 Days Plan L - Half Yearly IDCW Option</t>
  </si>
  <si>
    <t>INF109KC1812</t>
  </si>
  <si>
    <t>ICICI Prudential Fixed Maturity Plan - Series 82 - 1203 Days Plan K - Cumulative Option</t>
  </si>
  <si>
    <t>INF109KC1846</t>
  </si>
  <si>
    <t>ICICI Prudential Fixed Maturity Plan - Series 82 - 1203 Days Plan K - Direct Plan Cumulative Option</t>
  </si>
  <si>
    <t>INF109KC1861</t>
  </si>
  <si>
    <t>ICICI Prudential Fixed Maturity Plan - Series 82 - 1203 Days Plan K - Direct Plan Quarterly IDCW Option</t>
  </si>
  <si>
    <t>INF109KC1820</t>
  </si>
  <si>
    <t>ICICI Prudential Fixed Maturity Plan - Series 82 - 1203 Days Plan K - Half Yearly IDCW Option</t>
  </si>
  <si>
    <t>INF109KC1838</t>
  </si>
  <si>
    <t>ICICI Prudential Fixed Maturity Plan - Series 82 - 1203 Days Plan K - Quarterly IDCW Option</t>
  </si>
  <si>
    <t>INF109KC1499</t>
  </si>
  <si>
    <t>ICICI Prudential Fixed Maturity Plan - Series 82 - 1215 Days Plan H - Cumulative Option</t>
  </si>
  <si>
    <t>INF109KC1523</t>
  </si>
  <si>
    <t>ICICI Prudential Fixed Maturity Plan - Series 82 - 1215 Days Plan H - Direct Plan Cumulative Option</t>
  </si>
  <si>
    <t>INF109KC1531</t>
  </si>
  <si>
    <t>ICICI Prudential Fixed Maturity Plan - Series 82 - 1215 Days Plan H - Direct Plan Half Yearly IDCW Option</t>
  </si>
  <si>
    <t>INF109KC1549</t>
  </si>
  <si>
    <t>ICICI Prudential Fixed Maturity Plan - Series 82 - 1215 Days Plan H - Direct Plan Quarterly IDCW Option</t>
  </si>
  <si>
    <t>INF109KC1507</t>
  </si>
  <si>
    <t>ICICI Prudential Fixed Maturity Plan - Series 82 - 1215 Days Plan H - Half Yearly IDCW Option</t>
  </si>
  <si>
    <t>INF109KC1515</t>
  </si>
  <si>
    <t>ICICI Prudential Fixed Maturity Plan - Series 82 - 1215 Days Plan H - Quarterly IDCW Option</t>
  </si>
  <si>
    <t>INF109KC1119</t>
  </si>
  <si>
    <t>ICICI Prudential Fixed Maturity Plan - Series 82 - 1217 Days Plan C - Cumulative Option</t>
  </si>
  <si>
    <t>INF109KC1143</t>
  </si>
  <si>
    <t>ICICI Prudential Fixed Maturity Plan - Series 82 - 1217 Days Plan C - Direct Plan Cumulative Option</t>
  </si>
  <si>
    <t>INF109KC1150</t>
  </si>
  <si>
    <t>ICICI Prudential Fixed Maturity Plan - Series 82 - 1217 Days Plan C - Direct Plan Half Yearly IDCW Option</t>
  </si>
  <si>
    <t>INF109KC1168</t>
  </si>
  <si>
    <t>ICICI Prudential Fixed Maturity Plan - Series 82 - 1217 Days Plan C - Direct Plan Quarterly IDCW Option</t>
  </si>
  <si>
    <t>INF109KC1127</t>
  </si>
  <si>
    <t>ICICI Prudential Fixed Maturity Plan - Series 82 - 1217 Days Plan C - Half Yearly IDCW Option</t>
  </si>
  <si>
    <t>INF109KC1135</t>
  </si>
  <si>
    <t>ICICI Prudential Fixed Maturity Plan - Series 82 - 1217 Days Plan C - Quarterly IDCW Option</t>
  </si>
  <si>
    <t>INF109KC1176</t>
  </si>
  <si>
    <t>ICICI Prudential Fixed Maturity Plan - Series 82 - 1219 Days Plan D - Cumulative Option</t>
  </si>
  <si>
    <t>INF109KC1200</t>
  </si>
  <si>
    <t>ICICI Prudential Fixed Maturity Plan - Series 82 - 1219 Days Plan D - Direct Plan Cumulative Option</t>
  </si>
  <si>
    <t>INF109KC1226</t>
  </si>
  <si>
    <t>ICICI Prudential Fixed Maturity Plan - Series 82 - 1219 Days Plan D - Direct Plan Quarterly IDCW Option</t>
  </si>
  <si>
    <t>INF109KC1184</t>
  </si>
  <si>
    <t>ICICI Prudential Fixed Maturity Plan - Series 82 - 1219 Days Plan D - Half Yearly IDCW Option</t>
  </si>
  <si>
    <t>INF109KC1192</t>
  </si>
  <si>
    <t>ICICI Prudential Fixed Maturity Plan - Series 82 - 1219 Days Plan D - Quarterly IDCW Option</t>
  </si>
  <si>
    <t>INF109KC1275</t>
  </si>
  <si>
    <t>ICICI Prudential Fixed Maturity Plan - Series 82 - 1223 Days Plan E - Cumulative Option</t>
  </si>
  <si>
    <t>INF109KC1309</t>
  </si>
  <si>
    <t>ICICI Prudential Fixed Maturity Plan - Series 82 - 1223 Days Plan E - Direct Plan Cumulative Option</t>
  </si>
  <si>
    <t>INF109KC1317</t>
  </si>
  <si>
    <t>ICICI Prudential Fixed Maturity Plan - Series 82 - 1223 Days Plan E - Direct Plan Half Yearly IDCW Option</t>
  </si>
  <si>
    <t>INF109KC1325</t>
  </si>
  <si>
    <t>ICICI Prudential Fixed Maturity Plan - Series 82 - 1223 Days Plan E - Direct Plan Quarterly IDCW Option</t>
  </si>
  <si>
    <t>INF109KC1283</t>
  </si>
  <si>
    <t>ICICI Prudential Fixed Maturity Plan - Series 82 - 1223 Days Plan E - Half Yearly IDCW Option</t>
  </si>
  <si>
    <t>INF109KC1291</t>
  </si>
  <si>
    <t>ICICI Prudential Fixed Maturity Plan - Series 82 - 1223 Days Plan E - Quarterly IDCW Option</t>
  </si>
  <si>
    <t>INF109KC1432</t>
  </si>
  <si>
    <t>ICICI Prudential Fixed Maturity Plan - Series 82 - 1223 Days Plan G - Cumulative Option</t>
  </si>
  <si>
    <t>INF109KC1465</t>
  </si>
  <si>
    <t>ICICI Prudential Fixed Maturity Plan - Series 82 - 1223 Days Plan G - Direct Plan Cumulative Option</t>
  </si>
  <si>
    <t>INF109KC1473</t>
  </si>
  <si>
    <t>ICICI Prudential Fixed Maturity Plan - Series 82 - 1223 Days Plan G - Direct Plan Half Yearly IDCW Option</t>
  </si>
  <si>
    <t>INF109KC1440</t>
  </si>
  <si>
    <t>ICICI Prudential Fixed Maturity Plan - Series 82 - 1223 Days Plan G - Half Yearly IDCW Option</t>
  </si>
  <si>
    <t>INF109KC1457</t>
  </si>
  <si>
    <t>ICICI Prudential Fixed Maturity Plan - Series 82 - 1223 Days Plan G - Quarterly IDCW Option</t>
  </si>
  <si>
    <t>INF109KC1010</t>
  </si>
  <si>
    <t>ICICI Prudential Fixed Maturity Plan - Series 82 - 1225 Days Plan B - Cumulative Option</t>
  </si>
  <si>
    <t>INF109KC1044</t>
  </si>
  <si>
    <t>ICICI Prudential Fixed Maturity Plan - Series 82 - 1225 Days Plan B - Direct Plan Cumulative Option</t>
  </si>
  <si>
    <t>INF109KC1069</t>
  </si>
  <si>
    <t>ICICI Prudential Fixed Maturity Plan - Series 82 - 1225 Days Plan B - Direct Plan Half Yearly IDCW Option</t>
  </si>
  <si>
    <t>INF109KC1051</t>
  </si>
  <si>
    <t>ICICI Prudential Fixed Maturity Plan - Series 82 - 1225 Days Plan B - Direct Plan Quarterly IDCW Option</t>
  </si>
  <si>
    <t>INF109KC1036</t>
  </si>
  <si>
    <t>ICICI Prudential Fixed Maturity Plan - Series 82 - 1225 Days Plan B - Half Yearly IDCW Option</t>
  </si>
  <si>
    <t>INF109KC1028</t>
  </si>
  <si>
    <t>ICICI Prudential Fixed Maturity Plan - Series 82 - 1225 Days Plan B - Quarterly IDCW Option</t>
  </si>
  <si>
    <t>INF109KB10Z5</t>
  </si>
  <si>
    <t>ICICI Prudential Fixed Maturity Plan - Series 82 - 1236 Days Plan A - Cumulative Option</t>
  </si>
  <si>
    <t>INF109KB13Z9</t>
  </si>
  <si>
    <t>ICICI Prudential Fixed Maturity Plan - Series 82 - 1236 Days Plan A - Direct Plan Cumulative Option</t>
  </si>
  <si>
    <t>INF109KB14Z7</t>
  </si>
  <si>
    <t>ICICI Prudential Fixed Maturity Plan - Series 82 - 1236 Days Plan A - Direct Plan Half Yearly IDCW Option</t>
  </si>
  <si>
    <t>INF109KB15Z4</t>
  </si>
  <si>
    <t>ICICI Prudential Fixed Maturity Plan - Series 82 - 1236 Days Plan A - Direct Plan Quarterly IDCW Option</t>
  </si>
  <si>
    <t>INF109KB11Z3</t>
  </si>
  <si>
    <t>ICICI Prudential Fixed Maturity Plan - Series 82 - 1236 Days Plan A - Half Yearly IDCW Option</t>
  </si>
  <si>
    <t>INF109KB12Z1</t>
  </si>
  <si>
    <t>ICICI Prudential Fixed Maturity Plan - Series 82 - 1236 Days Plan A - Quarterly IDCW Option</t>
  </si>
  <si>
    <t>INF109KC1DM9</t>
  </si>
  <si>
    <t>ICICI Prudential Fixed Maturity Plan - Series 82 - 91 Days Plan Z - Cumulative Option</t>
  </si>
  <si>
    <t>INF109KC1DO5</t>
  </si>
  <si>
    <t>ICICI Prudential Fixed Maturity Plan - Series 82 - 91 Days Plan Z - Direct Plan Cumulative Option</t>
  </si>
  <si>
    <t>INF109KC1DP2</t>
  </si>
  <si>
    <t>ICICI Prudential Fixed Maturity Plan - Series 82 - 91 Days Plan Z - Direct Plan Dividend Option</t>
  </si>
  <si>
    <t>INF109KC1DN7</t>
  </si>
  <si>
    <t>ICICI Prudential Fixed Maturity Plan - Series 82 - 91 Days Plan Z - Dividend Option</t>
  </si>
  <si>
    <t>INF109KC1HG2</t>
  </si>
  <si>
    <t>ICICI Prudential Fixed Maturity Plan - Series 83 - 1100 Days Plan O - Cumulative Option</t>
  </si>
  <si>
    <t>INF109KC1HJ6</t>
  </si>
  <si>
    <t>ICICI Prudential Fixed Maturity Plan - Series 83 - 1100 Days Plan O - Direct Plan Cumulative Option</t>
  </si>
  <si>
    <t>INF109KC1HU3</t>
  </si>
  <si>
    <t>ICICI Prudential Fixed Maturity Plan - Series 83 - 1100 Days Plan R - Cumulative Option</t>
  </si>
  <si>
    <t>INF109KC1HX7</t>
  </si>
  <si>
    <t>ICICI Prudential Fixed Maturity Plan - Series 83 - 1100 Days Plan R - Direct Plan Cumulative Option</t>
  </si>
  <si>
    <t>INF109KC1HV1</t>
  </si>
  <si>
    <t>ICICI Prudential Fixed Maturity Plan - Series 83 - 1100 Days Plan R - Quarterly IDCW Option</t>
  </si>
  <si>
    <t>INF109KC1IA3</t>
  </si>
  <si>
    <t>ICICI Prudential Fixed Maturity Plan - Series 83 - 1100 Days Plan S - Cumulative Option</t>
  </si>
  <si>
    <t>INF109KC1ID7</t>
  </si>
  <si>
    <t>ICICI Prudential Fixed Maturity Plan - Series 83 - 1100 Days Plan S - Direct Plan Cumulative Option</t>
  </si>
  <si>
    <t>INF109KC1IE5</t>
  </si>
  <si>
    <t>ICICI Prudential Fixed Maturity Plan - Series 83 - 1100 Days Plan S - Direct Plan Quarterly IDCW Option</t>
  </si>
  <si>
    <t>INF109KC1IC9</t>
  </si>
  <si>
    <t>ICICI Prudential Fixed Maturity Plan - Series 83 - 1100 Days Plan S - Half Yearly IDCW Option</t>
  </si>
  <si>
    <t>INF109KC1IB1</t>
  </si>
  <si>
    <t>ICICI Prudential Fixed Maturity Plan - Series 83 - 1100 Days Plan S - Quarterly IDCW Option</t>
  </si>
  <si>
    <t>INF109KC1JL8</t>
  </si>
  <si>
    <t>ICICI Prudential Fixed Maturity Plan - Series 83 - 1100 Days Plan X - Cumulative Option</t>
  </si>
  <si>
    <t>INF109KC1JO2</t>
  </si>
  <si>
    <t>ICICI Prudential Fixed Maturity Plan - Series 83 - 1100 Days Plan X - Direct Plan Cumulative Option</t>
  </si>
  <si>
    <t>INF109KC1JQ7</t>
  </si>
  <si>
    <t>ICICI Prudential Fixed Maturity Plan - Series 83 - 1100 Days Plan X - Direct Plan Half Yearly IDCW Option</t>
  </si>
  <si>
    <t>INF109KC1JP9</t>
  </si>
  <si>
    <t>ICICI Prudential Fixed Maturity Plan - Series 83 - 1100 Days Plan X - Direct Plan Quarterly IDCW Option</t>
  </si>
  <si>
    <t>INF109KC1JN4</t>
  </si>
  <si>
    <t>ICICI Prudential Fixed Maturity Plan - Series 83 - 1100 Days Plan X - Half Yearly IDCW Option</t>
  </si>
  <si>
    <t>INF109KC1JM6</t>
  </si>
  <si>
    <t>ICICI Prudential Fixed Maturity Plan - Series 83 - 1100 Days Plan X - Quarterly IDCW Option</t>
  </si>
  <si>
    <t>INF109KC1JX3</t>
  </si>
  <si>
    <t>ICICI Prudential Fixed Maturity Plan - Series 83 - 1101 Days Plan Z - Cumulative Option</t>
  </si>
  <si>
    <t>INF109KC1KA9</t>
  </si>
  <si>
    <t>ICICI Prudential Fixed Maturity Plan - Series 83 - 1101 Days Plan Z - Direct Plan Cumulative Option</t>
  </si>
  <si>
    <t>INF109KC1KC5</t>
  </si>
  <si>
    <t>ICICI Prudential Fixed Maturity Plan - Series 83 - 1101 Days Plan Z - Direct Plan Half Yearly IDCW Option</t>
  </si>
  <si>
    <t>INF109KC1KB7</t>
  </si>
  <si>
    <t>ICICI Prudential Fixed Maturity Plan - Series 83 - 1101 Days Plan Z - Direct Plan Quarterly IDCW Option</t>
  </si>
  <si>
    <t>INF109KC1JZ8</t>
  </si>
  <si>
    <t>ICICI Prudential Fixed Maturity Plan - Series 83 - 1101 Days Plan Z - Half Yearly IDCW Option</t>
  </si>
  <si>
    <t>INF109KC1JY1</t>
  </si>
  <si>
    <t>ICICI Prudential Fixed Maturity Plan - Series 83 - 1101 Days Plan Z - Quarterly IDCW Option</t>
  </si>
  <si>
    <t>INF109KC1FY9</t>
  </si>
  <si>
    <t>ICICI Prudential Fixed Maturity Plan - Series 83 - 1103 Days Plan L - Cumulative Option</t>
  </si>
  <si>
    <t>INF109KC1GB5</t>
  </si>
  <si>
    <t>ICICI Prudential Fixed Maturity Plan - Series 83 - 1103 Days Plan L - Direct Plan Cumulative Option</t>
  </si>
  <si>
    <t>INF109KC1DA4</t>
  </si>
  <si>
    <t>ICICI Prudential Fixed Maturity Plan - Series 83 - 1105 Days Plan A - Cumulative Option</t>
  </si>
  <si>
    <t>INF109KC1DD8</t>
  </si>
  <si>
    <t>ICICI Prudential Fixed Maturity Plan - Series 83 - 1105 Days Plan A - Direct Plan Cumulative Option</t>
  </si>
  <si>
    <t>INF109KC1DF3</t>
  </si>
  <si>
    <t>ICICI Prudential Fixed Maturity Plan - Series 83 - 1105 Days Plan A - Direct Plan Half Yearly IDCW Option</t>
  </si>
  <si>
    <t>INF109KC1DE6</t>
  </si>
  <si>
    <t>ICICI Prudential Fixed Maturity Plan - Series 83 - 1105 Days Plan A - Direct Plan Quarterly IDCW Option</t>
  </si>
  <si>
    <t>INF109KC1DC0</t>
  </si>
  <si>
    <t>ICICI Prudential Fixed Maturity Plan - Series 83 - 1105 Days Plan A - Half Yearly IDCW Option</t>
  </si>
  <si>
    <t>INF109KC1DB2</t>
  </si>
  <si>
    <t>ICICI Prudential Fixed Maturity Plan - Series 83 - 1105 Days Plan A - Quarterly IDCW Option</t>
  </si>
  <si>
    <t>INF109KC1EO3</t>
  </si>
  <si>
    <t>ICICI Prudential Fixed Maturity Plan - Series 83 - 1105 Days Plan F - Cumulative Option</t>
  </si>
  <si>
    <t>INF109KC1ER6</t>
  </si>
  <si>
    <t>ICICI Prudential Fixed Maturity Plan - Series 83 - 1105 Days Plan F - Direct Plan Cumulative Option</t>
  </si>
  <si>
    <t>INF109KC1ET2</t>
  </si>
  <si>
    <t>ICICI Prudential Fixed Maturity Plan - Series 83 - 1105 Days Plan F - Direct Plan Half Yearly IDCW Option</t>
  </si>
  <si>
    <t>INF109KC1EQ8</t>
  </si>
  <si>
    <t>ICICI Prudential Fixed Maturity Plan - Series 83 - 1105 Days Plan F - Half Yearly IDCW Option</t>
  </si>
  <si>
    <t>INF109KC1EP0</t>
  </si>
  <si>
    <t>ICICI Prudential Fixed Maturity Plan - Series 83 - 1105 Days Plan F - Quarterly IDCW Option</t>
  </si>
  <si>
    <t>INF109KC1GK6</t>
  </si>
  <si>
    <t>ICICI Prudential Fixed Maturity Plan - Series 83 - 1105 Days Plan M - Cumulative Option</t>
  </si>
  <si>
    <t>INF109KC1GN0</t>
  </si>
  <si>
    <t>ICICI Prudential Fixed Maturity Plan - Series 83 - 1105 Days Plan M - Direct Plan Cumulative Option</t>
  </si>
  <si>
    <t>INF109KC1GM2</t>
  </si>
  <si>
    <t>ICICI Prudential Fixed Maturity Plan - Series 83 - 1105 Days Plan M - Half Yearly IDCW Option</t>
  </si>
  <si>
    <t>INF109KC1GL4</t>
  </si>
  <si>
    <t>ICICI Prudential Fixed Maturity Plan - Series 83 - 1105 Days Plan M - Quarterly IDCW Option</t>
  </si>
  <si>
    <t>INF109KC1HM0</t>
  </si>
  <si>
    <t>ICICI Prudential Fixed Maturity Plan - Series 83 - 1107 Days Plan Q - Cumulative Option</t>
  </si>
  <si>
    <t>INF109KC1HP3</t>
  </si>
  <si>
    <t>ICICI Prudential Fixed Maturity Plan - Series 83 - 1107 Days Plan Q - Direct Plan Cumulative Option</t>
  </si>
  <si>
    <t>INF109KC1FM4</t>
  </si>
  <si>
    <t>ICICI Prudential Fixed Maturity Plan - Series 83 - 1108 Days Plan H - Cumulative Option</t>
  </si>
  <si>
    <t>INF109KC1FP7</t>
  </si>
  <si>
    <t>ICICI Prudential Fixed Maturity Plan - Series 83 - 1108 Days Plan H - Direct Plan Cumulative Option</t>
  </si>
  <si>
    <t>INF109KC1FR3</t>
  </si>
  <si>
    <t>ICICI Prudential Fixed Maturity Plan - Series 83 - 1108 Days Plan H - Direct Plan Half Yearly IDCW Option</t>
  </si>
  <si>
    <t>INF109KC1FQ5</t>
  </si>
  <si>
    <t>ICICI Prudential Fixed Maturity Plan - Series 83 - 1108 Days Plan H - Direct Plan Quarterly IDCW Option</t>
  </si>
  <si>
    <t>INF109KC1FO0</t>
  </si>
  <si>
    <t>ICICI Prudential Fixed Maturity Plan - Series 83 - 1108 Days Plan H - Half Yearly IDCW Option</t>
  </si>
  <si>
    <t>INF109KC1II6</t>
  </si>
  <si>
    <t>ICICI Prudential Fixed Maturity Plan - Series 83 - 1110 Days Plan T - Cumulative Option</t>
  </si>
  <si>
    <t>INF109KC1IL0</t>
  </si>
  <si>
    <t>ICICI Prudential Fixed Maturity Plan - Series 83 - 1110 Days Plan T - Direct Plan Cumulative Option</t>
  </si>
  <si>
    <t>INF109KC1IJ4</t>
  </si>
  <si>
    <t>ICICI Prudential Fixed Maturity Plan - Series 83 - 1110 Days Plan T - Quarterly IDCW Option</t>
  </si>
  <si>
    <t>INF109KC1JR5</t>
  </si>
  <si>
    <t>ICICI Prudential Fixed Maturity Plan - Series 83 - 1111 Days Plan Y - Cumulative Option</t>
  </si>
  <si>
    <t>INF109KC1JU9</t>
  </si>
  <si>
    <t>ICICI Prudential Fixed Maturity Plan - Series 83 - 1111 Days Plan Y - Direct Plan Cumulative Option</t>
  </si>
  <si>
    <t>INF109KC1JT1</t>
  </si>
  <si>
    <t>ICICI Prudential Fixed Maturity Plan - Series 83 - 1111 Days Plan Y - Half Yearly IDCW Option</t>
  </si>
  <si>
    <t>INF109KC1JS3</t>
  </si>
  <si>
    <t>ICICI Prudential Fixed Maturity Plan - Series 83 - 1111 Days Plan Y - Quarterly IDCW Option</t>
  </si>
  <si>
    <t>INF109KC1EI5</t>
  </si>
  <si>
    <t>ICICI Prudential Fixed Maturity Plan - Series 83 - 1113 Days Plan E - Cumulative Option</t>
  </si>
  <si>
    <t>INF109KC1EL9</t>
  </si>
  <si>
    <t>ICICI Prudential Fixed Maturity Plan - Series 83 - 1113 Days Plan E - Direct Plan Cumulative Option</t>
  </si>
  <si>
    <t>INF109KC1EN5</t>
  </si>
  <si>
    <t>ICICI Prudential Fixed Maturity Plan - Series 83 - 1113 Days Plan E - Direct Plan Half Yearly IDCW Option</t>
  </si>
  <si>
    <t>INF109KC1EM7</t>
  </si>
  <si>
    <t>ICICI Prudential Fixed Maturity Plan - Series 83 - 1113 Days Plan E - Direct Plan Quarterly IDCW Option</t>
  </si>
  <si>
    <t>INF109KC1EK1</t>
  </si>
  <si>
    <t>ICICI Prudential Fixed Maturity Plan - Series 83 - 1113 Days Plan E - Half Yearly IDCW Option</t>
  </si>
  <si>
    <t>INF109KC1EJ3</t>
  </si>
  <si>
    <t>ICICI Prudential Fixed Maturity Plan - Series 83 - 1113 Days Plan E - Quarterly IDCW Option</t>
  </si>
  <si>
    <t>INF109KC1FG6</t>
  </si>
  <si>
    <t>ICICI Prudential Fixed Maturity Plan - Series 83 - 1392 Days Plan J - Cumulative Option</t>
  </si>
  <si>
    <t>INF109KC1FJ0</t>
  </si>
  <si>
    <t>ICICI Prudential Fixed Maturity Plan - Series 83 - 1392 Days Plan J - Direct Plan Cumulative Option</t>
  </si>
  <si>
    <t>INF109KC1FL6</t>
  </si>
  <si>
    <t>ICICI Prudential Fixed Maturity Plan - Series 83 - 1392 Days Plan J - Direct Plan Half Yearly IDCW Option</t>
  </si>
  <si>
    <t>INF109KC1FK8</t>
  </si>
  <si>
    <t>ICICI Prudential Fixed Maturity Plan - Series 83 - 1392 Days Plan J - Direct Plan Quarterly IDCW Option</t>
  </si>
  <si>
    <t>INF109KC1FI2</t>
  </si>
  <si>
    <t>ICICI Prudential Fixed Maturity Plan - Series 83 - 1392 Days Plan J - Half Yearly IDCW Option</t>
  </si>
  <si>
    <t>INF109KC1FH4</t>
  </si>
  <si>
    <t>ICICI Prudential Fixed Maturity Plan - Series 83 - 1392 Days Plan J - Quarterly IDCW Option</t>
  </si>
  <si>
    <t>INF109KC1DU2</t>
  </si>
  <si>
    <t>ICICI Prudential Fixed Maturity Plan - Series 83 - 1406 Days Plan D - Cumulative Option</t>
  </si>
  <si>
    <t>INF109KC1DX6</t>
  </si>
  <si>
    <t>ICICI Prudential Fixed Maturity Plan - Series 83 - 1406 Days Plan D - Direct Plan Cumulative Option</t>
  </si>
  <si>
    <t>INF109KC1DV0</t>
  </si>
  <si>
    <t>ICICI Prudential Fixed Maturity Plan - Series 83 - 1406 Days Plan D - Half Yearly IDCW Option</t>
  </si>
  <si>
    <t>INF109KC1DW8</t>
  </si>
  <si>
    <t>ICICI Prudential Fixed Maturity Plan - Series 83 - 1406 Days Plan D - Quarterly IDCW Option</t>
  </si>
  <si>
    <t>INF109KC1DG1</t>
  </si>
  <si>
    <t>ICICI Prudential Fixed Maturity Plan - Series 83 - 1412 Days Plan B - Cumulative Option</t>
  </si>
  <si>
    <t>INF109KC1DJ5</t>
  </si>
  <si>
    <t>ICICI Prudential Fixed Maturity Plan - Series 83 - 1412 Days Plan B - Direct Plan Cumulative Option</t>
  </si>
  <si>
    <t>INF109KC1DL1</t>
  </si>
  <si>
    <t>ICICI Prudential Fixed Maturity Plan - Series 83 - 1412 Days Plan B - Direct Plan Half Yearly IDCW Option</t>
  </si>
  <si>
    <t>INF109KC1DK3</t>
  </si>
  <si>
    <t>ICICI Prudential Fixed Maturity Plan - Series 83 - 1412 Days Plan B - Direct Plan Quarterly IDCW Option</t>
  </si>
  <si>
    <t>INF109KC1DH9</t>
  </si>
  <si>
    <t>ICICI Prudential Fixed Maturity Plan - Series 83 - 1412 Days Plan B - Quarterly IDCW Option</t>
  </si>
  <si>
    <t>INF109KC1HA5</t>
  </si>
  <si>
    <t>ICICI Prudential Fixed Maturity Plan - Series 83 - 1735 Days Plan P - Cumulative Option</t>
  </si>
  <si>
    <t>INF109KC1HD9</t>
  </si>
  <si>
    <t>ICICI Prudential Fixed Maturity Plan - Series 83 - 1735 Days Plan P - Direct Plan Cumulative Option</t>
  </si>
  <si>
    <t>INF109KC1HE7</t>
  </si>
  <si>
    <t>ICICI Prudential Fixed Maturity Plan - Series 83 - 1735 Days Plan P - Direct Plan Quarterly IDCW Option</t>
  </si>
  <si>
    <t>INF109KC1HC1</t>
  </si>
  <si>
    <t>ICICI Prudential Fixed Maturity Plan - Series 83 - 1735 Days Plan P - Half Yearly IDCW Option</t>
  </si>
  <si>
    <t>INF109KC1HB3</t>
  </si>
  <si>
    <t>ICICI Prudential Fixed Maturity Plan - Series 83 - 1735 Days Plan P - Quarterly IDCW Option</t>
  </si>
  <si>
    <t>INF109KC1EY2</t>
  </si>
  <si>
    <t>ICICI Prudential Fixed Maturity Plan - Series 83 - 193 Days Plan G - Cumulative Option</t>
  </si>
  <si>
    <t>INF109KC1FA9</t>
  </si>
  <si>
    <t>ICICI Prudential Fixed Maturity Plan - Series 83 - 193 Days Plan G - Direct Plan Cumulative Option</t>
  </si>
  <si>
    <t>INF109KC1FB7</t>
  </si>
  <si>
    <t>ICICI Prudential Fixed Maturity Plan - Series 83 - 193 Days Plan G - Direct Plan Dividend Option</t>
  </si>
  <si>
    <t>INF109KC1DQ0</t>
  </si>
  <si>
    <t>ICICI Prudential Fixed Maturity Plan - Series 83 - 91 Days Plan C - Cumulative Option</t>
  </si>
  <si>
    <t>INF109KC1DS6</t>
  </si>
  <si>
    <t>ICICI Prudential Fixed Maturity Plan - Series 83 - 91 Days Plan C - Direct Plan Cumulative Option</t>
  </si>
  <si>
    <t>INF109KC1DT4</t>
  </si>
  <si>
    <t>ICICI Prudential Fixed Maturity Plan - Series 83 - 91 Days Plan C - Direct Plan Dividend Option</t>
  </si>
  <si>
    <t>INF109KC1DR8</t>
  </si>
  <si>
    <t>ICICI Prudential Fixed Maturity Plan - Series 83 - 91 Days Plan C - Dividend Option</t>
  </si>
  <si>
    <t>INF109KC1KD3</t>
  </si>
  <si>
    <t>ICICI Prudential Fixed Maturity Plan - Series 84 - 1101 Days Plan A - Cumulative Option</t>
  </si>
  <si>
    <t>INF109KC1KG6</t>
  </si>
  <si>
    <t>ICICI Prudential Fixed Maturity Plan - Series 84 - 1101 Days Plan A - Direct Plan Cumulative Option</t>
  </si>
  <si>
    <t>INF109KC1KI2</t>
  </si>
  <si>
    <t>ICICI Prudential Fixed Maturity Plan - Series 84 - 1101 Days Plan A - Direct Plan Half Yearly IDCW Option</t>
  </si>
  <si>
    <t>INF109KC1KH4</t>
  </si>
  <si>
    <t>ICICI Prudential Fixed Maturity Plan - Series 84 - 1101 Days Plan A - Direct Plan Quarterly IDCW Option</t>
  </si>
  <si>
    <t>INF109KC1KE1</t>
  </si>
  <si>
    <t>ICICI Prudential Fixed Maturity Plan - Series 84 - 1101 Days Plan A - Quarterly IDCW Option</t>
  </si>
  <si>
    <t>INF109KC1KN2</t>
  </si>
  <si>
    <t>ICICI Prudential Fixed Maturity Plan - Series 84 - 1103 Days Plan C - Cumulative Option</t>
  </si>
  <si>
    <t>INF109KC1KQ5</t>
  </si>
  <si>
    <t>ICICI Prudential Fixed Maturity Plan - Series 84 - 1103 Days Plan C - Direct Plan Cumulative Option</t>
  </si>
  <si>
    <t>INF109KC1KS1</t>
  </si>
  <si>
    <t>ICICI Prudential Fixed Maturity Plan - Series 84 - 1103 Days Plan C - Direct Plan Quarterly IDCW Option</t>
  </si>
  <si>
    <t>INF109KC1KO0</t>
  </si>
  <si>
    <t>ICICI Prudential Fixed Maturity Plan - Series 84 - 1103 Days Plan C - Half Yearly IDCW Option</t>
  </si>
  <si>
    <t>INF109KC1KP7</t>
  </si>
  <si>
    <t>ICICI Prudential Fixed Maturity Plan - Series 84 - 1103 Days Plan C - Quarterly IDCW Option</t>
  </si>
  <si>
    <t>INF109KC1SC8</t>
  </si>
  <si>
    <t>ICICI Prudential Fixed Maturity Plan - Series 84 - 1188 Days Plan Z - Cumulative Option</t>
  </si>
  <si>
    <t>INF109KC1SH7</t>
  </si>
  <si>
    <t>ICICI Prudential Fixed Maturity Plan - Series 84 - 1188 Days Plan Z - Direct Plan Cumulative Option</t>
  </si>
  <si>
    <t>INF109KC1SE4</t>
  </si>
  <si>
    <t>ICICI Prudential Fixed Maturity Plan - Series 84 - 1188 Days Plan Z - Half Yearly IDCW Option</t>
  </si>
  <si>
    <t>INF109KC1SD6</t>
  </si>
  <si>
    <t>ICICI Prudential Fixed Maturity Plan - Series 84 - 1188 Days Plan Z - Quarterly IDCW Option</t>
  </si>
  <si>
    <t>INF109KC1RW8</t>
  </si>
  <si>
    <t>ICICI Prudential Fixed Maturity Plan - Series 84 - 1204 Days Plan Y - Cumulative Option</t>
  </si>
  <si>
    <t>INF109KC1SB0</t>
  </si>
  <si>
    <t>ICICI Prudential Fixed Maturity Plan - Series 84 - 1204 Days Plan Y - Direct Plan Cumulative Option</t>
  </si>
  <si>
    <t>INF109KC1RY4</t>
  </si>
  <si>
    <t>ICICI Prudential Fixed Maturity Plan - Series 84 - 1204 Days Plan Y - Half Yearly IDCW Option</t>
  </si>
  <si>
    <t>INF109KC1RX6</t>
  </si>
  <si>
    <t>ICICI Prudential Fixed Maturity Plan - Series 84 - 1204 Days Plan Y - Quarterly IDCW Option</t>
  </si>
  <si>
    <t>INF109KC1PY8</t>
  </si>
  <si>
    <t>ICICI Prudential Fixed Maturity Plan - Series 84 - 1224 Days Plan S - Cumulative Option</t>
  </si>
  <si>
    <t>INF109KC1QB4</t>
  </si>
  <si>
    <t>ICICI Prudential Fixed Maturity Plan - Series 84 - 1224 Days Plan S - Direct Plan Cumulative Option</t>
  </si>
  <si>
    <t>INF109KC1QA6</t>
  </si>
  <si>
    <t>ICICI Prudential Fixed Maturity Plan - Series 84 - 1224 Days Plan S - Half Yearly IDCW Option</t>
  </si>
  <si>
    <t>INF109KC1PZ5</t>
  </si>
  <si>
    <t>ICICI Prudential Fixed Maturity Plan - Series 84 - 1224 Days Plan S - Quarterly IDCW Option</t>
  </si>
  <si>
    <t>INF109KC1QE8</t>
  </si>
  <si>
    <t>ICICI Prudential Fixed Maturity Plan - Series 84 - 1235 Days Plan R - Cumulative Option</t>
  </si>
  <si>
    <t>INF109KC1QH1</t>
  </si>
  <si>
    <t>ICICI Prudential Fixed Maturity Plan - Series 84 - 1235 Days Plan R - Direct Plan Cumulative Option</t>
  </si>
  <si>
    <t>INF109KC1QJ7</t>
  </si>
  <si>
    <t>ICICI Prudential Fixed Maturity Plan - Series 84 - 1235 Days Plan R - Direct Plan Half Yearly IDCW Option</t>
  </si>
  <si>
    <t>INF109KC1QI9</t>
  </si>
  <si>
    <t>ICICI Prudential Fixed Maturity Plan - Series 84 - 1235 Days Plan R - Direct Plan Quarterly IDCW Option</t>
  </si>
  <si>
    <t>INF109KC1QG3</t>
  </si>
  <si>
    <t>ICICI Prudential Fixed Maturity Plan - Series 84 - 1235 Days Plan R - Half Yearly IDCW Option</t>
  </si>
  <si>
    <t>INF109KC1QF5</t>
  </si>
  <si>
    <t>ICICI Prudential Fixed Maturity Plan - Series 84 - 1235 Days Plan R - Quarterly IDCW Option</t>
  </si>
  <si>
    <t>INF109KC1NU1</t>
  </si>
  <si>
    <t>ICICI Prudential Fixed Maturity Plan - Series 84 - 1245 Days Plan N - Cumulative Option</t>
  </si>
  <si>
    <t>INF109KC1NX5</t>
  </si>
  <si>
    <t>ICICI Prudential Fixed Maturity Plan - Series 84 - 1245 Days Plan N - Direct Plan Cumulative Option</t>
  </si>
  <si>
    <t>INF109KC1NY3</t>
  </si>
  <si>
    <t>ICICI Prudential Fixed Maturity Plan - Series 84 - 1245 Days Plan N - Direct Plan Quarterly IDCW Option</t>
  </si>
  <si>
    <t>INF109KC1NV9</t>
  </si>
  <si>
    <t>ICICI Prudential Fixed Maturity Plan - Series 84 - 1245 Days Plan N - Quarterly IDCW Option</t>
  </si>
  <si>
    <t>INF109KC1NI6</t>
  </si>
  <si>
    <t>ICICI Prudential Fixed Maturity Plan - Series 84 - 1247 Days Plan M - Cumulative Option</t>
  </si>
  <si>
    <t>INF109KC1NL0</t>
  </si>
  <si>
    <t>ICICI Prudential Fixed Maturity Plan - Series 84 - 1247 Days Plan M - Direct Plan Cumulative Option</t>
  </si>
  <si>
    <t>INF109KC1NK2</t>
  </si>
  <si>
    <t>ICICI Prudential Fixed Maturity Plan - Series 84 - 1247 Days Plan M - Half Yearly IDCW Option</t>
  </si>
  <si>
    <t>INF109KC1NJ4</t>
  </si>
  <si>
    <t>ICICI Prudential Fixed Maturity Plan - Series 84 - 1247 Days Plan M - Quarterly IDCW Option</t>
  </si>
  <si>
    <t>INF109KC1RK3</t>
  </si>
  <si>
    <t>ICICI Prudential Fixed Maturity Plan - Series 84 - 1247 Days Plan W - Cumulative Option</t>
  </si>
  <si>
    <t>INF109KC1RP2</t>
  </si>
  <si>
    <t>ICICI Prudential Fixed Maturity Plan - Series 84 - 1247 Days Plan W - Direct Plan Cumulative Option</t>
  </si>
  <si>
    <t>INF109KC1RO5</t>
  </si>
  <si>
    <t>ICICI Prudential Fixed Maturity Plan - Series 84 - 1247 Days Plan W - Direct Plan Half Yearly IDCW Option</t>
  </si>
  <si>
    <t>INF109KC1RN7</t>
  </si>
  <si>
    <t>ICICI Prudential Fixed Maturity Plan - Series 84 - 1247 Days Plan W - Direct Plan Quarterly IDCW Option</t>
  </si>
  <si>
    <t>INF109KC1RM9</t>
  </si>
  <si>
    <t>ICICI Prudential Fixed Maturity Plan - Series 84 - 1247 Days Plan W - Half Yearly IDCW Option</t>
  </si>
  <si>
    <t>INF109KC1RL1</t>
  </si>
  <si>
    <t>ICICI Prudential Fixed Maturity Plan - Series 84 - 1247 Days Plan W - Quarterly IDCW Option</t>
  </si>
  <si>
    <t>INF109KC1QU4</t>
  </si>
  <si>
    <t>ICICI Prudential Fixed Maturity Plan - Series 84 - 1254 Days Plan U - Cumulative Option</t>
  </si>
  <si>
    <t>INF109KC1QZ3</t>
  </si>
  <si>
    <t>ICICI Prudential Fixed Maturity Plan - Series 84 - 1254 Days Plan U - Direct Plan Cumulative Option</t>
  </si>
  <si>
    <t>INF109KC1QY6</t>
  </si>
  <si>
    <t>ICICI Prudential Fixed Maturity Plan - Series 84 - 1254 Days Plan U - Direct Plan Half Yearly IDCW Option</t>
  </si>
  <si>
    <t>INF109KC1QW0</t>
  </si>
  <si>
    <t>ICICI Prudential Fixed Maturity Plan - Series 84 - 1254 Days Plan U - Half Yearly IDCW Option</t>
  </si>
  <si>
    <t>INF109KC1QV2</t>
  </si>
  <si>
    <t>ICICI Prudential Fixed Maturity Plan - Series 84 - 1254 Days Plan U - Quarterly IDCW Option</t>
  </si>
  <si>
    <t>INF109KC1PS0</t>
  </si>
  <si>
    <t>ICICI Prudential Fixed Maturity Plan - Series 84 - 1272 Days Plan Q - Cumulative Option</t>
  </si>
  <si>
    <t>INF109KC1PV4</t>
  </si>
  <si>
    <t>ICICI Prudential Fixed Maturity Plan - Series 84 - 1272 Days Plan Q - Direct Plan Cumulative Option</t>
  </si>
  <si>
    <t>INF109KC1PU6</t>
  </si>
  <si>
    <t>ICICI Prudential Fixed Maturity Plan - Series 84 - 1272 Days Plan Q - Half Yearly IDCW Option</t>
  </si>
  <si>
    <t>INF109KC1PT8</t>
  </si>
  <si>
    <t>ICICI Prudential Fixed Maturity Plan - Series 84 - 1272 Days Plan Q - Quarterly IDCW Option</t>
  </si>
  <si>
    <t>INF109KC1MO6</t>
  </si>
  <si>
    <t>ICICI Prudential Fixed Maturity Plan - Series 84 - 1275 Days Plan K - Cumulative Option</t>
  </si>
  <si>
    <t>INF109KC1MR9</t>
  </si>
  <si>
    <t>ICICI Prudential Fixed Maturity Plan - Series 84 - 1275 Days Plan K - Direct Plan Cumulative Option</t>
  </si>
  <si>
    <t>INF109KC1MT5</t>
  </si>
  <si>
    <t>ICICI Prudential Fixed Maturity Plan - Series 84 - 1275 Days Plan K - Direct Plan Half Yearly IDCW Option</t>
  </si>
  <si>
    <t>INF109KC1MQ1</t>
  </si>
  <si>
    <t>ICICI Prudential Fixed Maturity Plan - Series 84 - 1275 Days Plan K - Half Yearly IDCW Option</t>
  </si>
  <si>
    <t>INF109KC1MP3</t>
  </si>
  <si>
    <t>ICICI Prudential Fixed Maturity Plan - Series 84 - 1275 Days Plan K - Quarterly IDCW Option</t>
  </si>
  <si>
    <t>INF109KC1PM3</t>
  </si>
  <si>
    <t>ICICI Prudential Fixed Maturity Plan - Series 84 - 1279 Days Plan P - Cumulative Option</t>
  </si>
  <si>
    <t>INF109KC1PP6</t>
  </si>
  <si>
    <t>ICICI Prudential Fixed Maturity Plan - Series 84 - 1279 Days Plan P - Direct Plan Cumulative Option</t>
  </si>
  <si>
    <t>INF109KC1PO9</t>
  </si>
  <si>
    <t>ICICI Prudential Fixed Maturity Plan - Series 84 - 1279 Days Plan P - Half Yearly IDCW Option</t>
  </si>
  <si>
    <t>INF109KC1PN1</t>
  </si>
  <si>
    <t>ICICI Prudential Fixed Maturity Plan - Series 84 - 1279 Days Plan P - Quarterly IDCW Option</t>
  </si>
  <si>
    <t>INF109KC1LM2</t>
  </si>
  <si>
    <t>ICICI Prudential Fixed Maturity Plan - Series 84 - 1286 Days Plan F - Cumulative Option</t>
  </si>
  <si>
    <t>INF109KC1LP5</t>
  </si>
  <si>
    <t>ICICI Prudential Fixed Maturity Plan - Series 84 - 1286 Days Plan F - Direct Plan Cumulative Option</t>
  </si>
  <si>
    <t>INF109KC1LQ3</t>
  </si>
  <si>
    <t>ICICI Prudential Fixed Maturity Plan - Series 84 - 1286 Days Plan F - Direct Plan Quarterly IDCW Option</t>
  </si>
  <si>
    <t>INF109KC1LN0</t>
  </si>
  <si>
    <t>ICICI Prudential Fixed Maturity Plan - Series 84 - 1286 Days Plan F - Quarterly IDCW Option</t>
  </si>
  <si>
    <t>INF109KC1MI8</t>
  </si>
  <si>
    <t>ICICI Prudential Fixed Maturity Plan - Series 84 - 1287 Days Plan I - Cumulative Option</t>
  </si>
  <si>
    <t>INF109KC1ML2</t>
  </si>
  <si>
    <t>ICICI Prudential Fixed Maturity Plan - Series 84 - 1287 Days Plan I - Direct Plan Cumulative Option</t>
  </si>
  <si>
    <t>INF109KC1MK4</t>
  </si>
  <si>
    <t>ICICI Prudential Fixed Maturity Plan - Series 84 - 1287 Days Plan I - Half Yearly IDCW Option</t>
  </si>
  <si>
    <t>INF109KC1MJ6</t>
  </si>
  <si>
    <t>ICICI Prudential Fixed Maturity Plan - Series 84 - 1287 Days Plan I - Quarterly IDCW Option</t>
  </si>
  <si>
    <t>INF109KC1LA7</t>
  </si>
  <si>
    <t>ICICI Prudential Fixed Maturity Plan - Series 84 - 1288 Days Plan E - Cumulative Option</t>
  </si>
  <si>
    <t>INF109KC1LD1</t>
  </si>
  <si>
    <t>ICICI Prudential Fixed Maturity Plan - Series 84 - 1288 Days Plan E - Direct Plan Cumulative Option</t>
  </si>
  <si>
    <t>INF109KC1LC3</t>
  </si>
  <si>
    <t>ICICI Prudential Fixed Maturity Plan - Series 84 - 1288 Days Plan E - Half Yearly IDCW Option</t>
  </si>
  <si>
    <t>INF109KC1LB5</t>
  </si>
  <si>
    <t>ICICI Prudential Fixed Maturity Plan - Series 84 - 1288 Days Plan E - Quarterly IDCW Option</t>
  </si>
  <si>
    <t>INF109KC1PG5</t>
  </si>
  <si>
    <t>ICICI Prudential Fixed Maturity Plan - Series 84 - 1288 Days Plan O - Cumulative Option</t>
  </si>
  <si>
    <t>INF109KC1PJ9</t>
  </si>
  <si>
    <t>ICICI Prudential Fixed Maturity Plan - Series 84 - 1288 Days Plan O - Direct Plan Cumulative Option</t>
  </si>
  <si>
    <t>INF109KC1PK7</t>
  </si>
  <si>
    <t>ICICI Prudential Fixed Maturity Plan - Series 84 - 1288 Days Plan O - Direct Plan Quarterly IDCW Option</t>
  </si>
  <si>
    <t>INF109KC1KU7</t>
  </si>
  <si>
    <t>ICICI Prudential Fixed Maturity Plan - Series 84 - 1293 Days Plan D - Cumulative Option</t>
  </si>
  <si>
    <t>INF109KC1KX1</t>
  </si>
  <si>
    <t>ICICI Prudential Fixed Maturity Plan - Series 84 - 1293 Days Plan D - Direct Plan Cumulative Option</t>
  </si>
  <si>
    <t>INF109KC1KW3</t>
  </si>
  <si>
    <t>ICICI Prudential Fixed Maturity Plan - Series 84 - 1293 Days Plan D - Half Yearly IDCW Option</t>
  </si>
  <si>
    <t>INF109KC1KV5</t>
  </si>
  <si>
    <t>ICICI Prudential Fixed Maturity Plan - Series 84 - 1293 Days Plan D - Quarterly IDCW Option</t>
  </si>
  <si>
    <t>INF109KC1LS9</t>
  </si>
  <si>
    <t>ICICI Prudential Fixed Maturity Plan - Series 84 - 168 Days Plan G - Cumulative Option</t>
  </si>
  <si>
    <t>INF109KC1LU5</t>
  </si>
  <si>
    <t>ICICI Prudential Fixed Maturity Plan - Series 84 - 168 Days Plan G - Direct Plan Cumulative Option</t>
  </si>
  <si>
    <t>INF109KC1LT7</t>
  </si>
  <si>
    <t>ICICI Prudential Fixed Maturity Plan - Series 84 - 168 Days Plan G - Dividend Option</t>
  </si>
  <si>
    <t>INF109KC1VQ2</t>
  </si>
  <si>
    <t>ICICI Prudential Fixed Maturity Plan - Series 85 - 10 Years Plan I - Cumulative Option</t>
  </si>
  <si>
    <t>INF109KC1VT6</t>
  </si>
  <si>
    <t>ICICI Prudential Fixed Maturity Plan - Series 85 - 10 Years Plan I - Direct Plan Cumulative Option</t>
  </si>
  <si>
    <t>INF109KC1VR0</t>
  </si>
  <si>
    <t>ICICI Prudential Fixed Maturity Plan - Series 85 - 10 Years Plan I - Quarterly IDCW Option</t>
  </si>
  <si>
    <t>INF109KC1WY4</t>
  </si>
  <si>
    <t>ICICI Prudential Fixed Maturity Plan - Series 85 - 1127 Days Plan O - Cumulative Option</t>
  </si>
  <si>
    <t>INF109KC1XB0</t>
  </si>
  <si>
    <t>ICICI Prudential Fixed Maturity Plan - Series 85 - 1127 Days Plan O - Direct Plan Cumulative Option</t>
  </si>
  <si>
    <t>INF109KC1XA2</t>
  </si>
  <si>
    <t>ICICI Prudential Fixed Maturity Plan - Series 85 - 1127 Days Plan O - Half Yearly IDCW Option</t>
  </si>
  <si>
    <t>INF109KC1XO3</t>
  </si>
  <si>
    <t>ICICI Prudential Fixed Maturity Plan - Series 85 - 1127 Days Plan Q - Cumulative Option</t>
  </si>
  <si>
    <t>INF109KC1XR6</t>
  </si>
  <si>
    <t>ICICI Prudential Fixed Maturity Plan - Series 85 - 1127 Days Plan Q - Direct Plan Cumulative Option</t>
  </si>
  <si>
    <t>INF109KC1XQ8</t>
  </si>
  <si>
    <t>ICICI Prudential Fixed Maturity Plan - Series 85 - 1127 Days Plan Q - Half Yearly IDCW Option</t>
  </si>
  <si>
    <t>INF109KC1XP0</t>
  </si>
  <si>
    <t>ICICI Prudential Fixed Maturity Plan - Series 85 - 1127 Days Plan Q - Quarterly IDCW Option</t>
  </si>
  <si>
    <t>INF109KC1XI5</t>
  </si>
  <si>
    <t>ICICI Prudential Fixed Maturity Plan - Series 85 - 1129 Days Plan P - Cumulative Option</t>
  </si>
  <si>
    <t>INF109KC1XL9</t>
  </si>
  <si>
    <t>ICICI Prudential Fixed Maturity Plan - Series 85 - 1129 Days Plan P - Direct Plan Cumulative Option</t>
  </si>
  <si>
    <t>INF109KC1XJ3</t>
  </si>
  <si>
    <t>ICICI Prudential Fixed Maturity Plan - Series 85 - 1129 Days Plan P - Quarterly IDCW Option</t>
  </si>
  <si>
    <t>INF109KC1XU0</t>
  </si>
  <si>
    <t>ICICI Prudential Fixed Maturity Plan - Series 85 - 1140 Days Plan R - Cumulative Option</t>
  </si>
  <si>
    <t>INF109KC1XX4</t>
  </si>
  <si>
    <t>ICICI Prudential Fixed Maturity Plan - Series 85 - 1140 Days Plan R - Direct Plan Cumulative Option</t>
  </si>
  <si>
    <t>INF109KC1XV8</t>
  </si>
  <si>
    <t>ICICI Prudential Fixed Maturity Plan - Series 85 - 1140 Days Plan R - Quarterly IDCW Option</t>
  </si>
  <si>
    <t>INF109KC1VK5</t>
  </si>
  <si>
    <t>ICICI Prudential Fixed Maturity Plan - Series 85 - 1143 Days Plan J - Cumulative Option</t>
  </si>
  <si>
    <t>INF109KC1VN9</t>
  </si>
  <si>
    <t>ICICI Prudential Fixed Maturity Plan - Series 85 - 1143 Days Plan J - Direct Plan Cumulative Option</t>
  </si>
  <si>
    <t>INF109KC1VO7</t>
  </si>
  <si>
    <t>ICICI Prudential Fixed Maturity Plan - Series 85 - 1143 Days Plan J - Direct Plan Quarterly IDCW Option</t>
  </si>
  <si>
    <t>INF109KC1VM1</t>
  </si>
  <si>
    <t>ICICI Prudential Fixed Maturity Plan - Series 85 - 1143 Days Plan J - Half Yearly IDCW Option</t>
  </si>
  <si>
    <t>INF109KC1UK7</t>
  </si>
  <si>
    <t>ICICI Prudential Fixed Maturity Plan - Series 85 - 1156 Days Plan F - Cumulative Option</t>
  </si>
  <si>
    <t>INF109KC1UN1</t>
  </si>
  <si>
    <t>ICICI Prudential Fixed Maturity Plan - Series 85 - 1156 Days Plan F - Direct Plan Cumulative Option</t>
  </si>
  <si>
    <t>INF109KC1UP6</t>
  </si>
  <si>
    <t>ICICI Prudential Fixed Maturity Plan - Series 85 - 1156 Days Plan F - Direct Plan Half Yearly IDCW Option</t>
  </si>
  <si>
    <t>INF109KC1UM3</t>
  </si>
  <si>
    <t>ICICI Prudential Fixed Maturity Plan - Series 85 - 1156 Days Plan F - Half Yearly IDCW Option</t>
  </si>
  <si>
    <t>INF109KC1UL5</t>
  </si>
  <si>
    <t>ICICI Prudential Fixed Maturity Plan - Series 85 - 1156 Days Plan F - Quarterly IDCW Option</t>
  </si>
  <si>
    <t>INF109KC1UQ4</t>
  </si>
  <si>
    <t>ICICI Prudential Fixed Maturity Plan - Series 85 - 1156 Days Plan G - Cumulative Option</t>
  </si>
  <si>
    <t>INF109KC1UT8</t>
  </si>
  <si>
    <t>ICICI Prudential Fixed Maturity Plan - Series 85 - 1156 Days Plan G - Direct Plan Cumulative Option</t>
  </si>
  <si>
    <t>INF109KC1US0</t>
  </si>
  <si>
    <t>ICICI Prudential Fixed Maturity Plan - Series 85 - 1156 Days Plan G - Half Yearly IDCW Option</t>
  </si>
  <si>
    <t>INF109KC1UR2</t>
  </si>
  <si>
    <t>ICICI Prudential Fixed Maturity Plan - Series 85 - 1156 Days Plan G - Quarterly IDCW Option</t>
  </si>
  <si>
    <t>INF109KC1TK9</t>
  </si>
  <si>
    <t>ICICI Prudential Fixed Maturity Plan - Series 85 - 1168 Days Plan E - Cumulative Option</t>
  </si>
  <si>
    <t>INF109KC1TN3</t>
  </si>
  <si>
    <t>ICICI Prudential Fixed Maturity Plan - Series 85 - 1168 Days Plan E - Direct Plan Cumulative Option</t>
  </si>
  <si>
    <t>INF109KC1TO1</t>
  </si>
  <si>
    <t>ICICI Prudential Fixed Maturity Plan - Series 85 - 1168 Days Plan E - Direct Plan Quarterly IDCW Option</t>
  </si>
  <si>
    <t>INF109KC1TL7</t>
  </si>
  <si>
    <t>ICICI Prudential Fixed Maturity Plan - Series 85 - 1168 Days Plan E - Quarterly IDCW Option</t>
  </si>
  <si>
    <t>INF109KC1TA0</t>
  </si>
  <si>
    <t>ICICI Prudential Fixed Maturity Plan - Series 85 - 1175 Days Plan D - Cumulative Option</t>
  </si>
  <si>
    <t>INF109KC1TD4</t>
  </si>
  <si>
    <t>ICICI Prudential Fixed Maturity Plan - Series 85 - 1175 Days Plan D - Direct Plan Cumulative Option</t>
  </si>
  <si>
    <t>INF109KC1TE2</t>
  </si>
  <si>
    <t>ICICI Prudential Fixed Maturity Plan - Series 85 - 1175 Days Plan D - Direct Plan Quarterly IDCW Option</t>
  </si>
  <si>
    <t>INF109KC1TC6</t>
  </si>
  <si>
    <t>ICICI Prudential Fixed Maturity Plan - Series 85 - 1175 Days Plan D - Half Yearly IDCW Option</t>
  </si>
  <si>
    <t>INF109KC1TB8</t>
  </si>
  <si>
    <t>ICICI Prudential Fixed Maturity Plan - Series 85 - 1175 Days Plan D - Quarterly IDCW Option</t>
  </si>
  <si>
    <t>INF109KC1SO3</t>
  </si>
  <si>
    <t>ICICI Prudential Fixed Maturity Plan - Series 85 - 1178 Days Plan B - Cumulative Option</t>
  </si>
  <si>
    <t>INF109KC1SR6</t>
  </si>
  <si>
    <t>ICICI Prudential Fixed Maturity Plan - Series 85 - 1178 Days Plan B - Direct Plan Cumulative Option</t>
  </si>
  <si>
    <t>INF109KC1ST2</t>
  </si>
  <si>
    <t>ICICI Prudential Fixed Maturity Plan - Series 85 - 1178 Days Plan B - Direct Plan Half Yearly IDCW Option</t>
  </si>
  <si>
    <t>INF109KC1SS4</t>
  </si>
  <si>
    <t>ICICI Prudential Fixed Maturity Plan - Series 85 - 1178 Days Plan B - Direct Plan Quarterly IDCW Option</t>
  </si>
  <si>
    <t>INF109KC1SQ8</t>
  </si>
  <si>
    <t>ICICI Prudential Fixed Maturity Plan - Series 85 - 1178 Days Plan B - Half Yearly IDCW Option</t>
  </si>
  <si>
    <t>INF109KC1SP0</t>
  </si>
  <si>
    <t>ICICI Prudential Fixed Maturity Plan - Series 85 - 1178 Days Plan B - Quarterly IDCW Option</t>
  </si>
  <si>
    <t>INF109KC1SU0</t>
  </si>
  <si>
    <t>ICICI Prudential Fixed Maturity Plan - Series 85 - 1185 Days Plan C - Cumulative Option</t>
  </si>
  <si>
    <t>INF109KC1SX4</t>
  </si>
  <si>
    <t>ICICI Prudential Fixed Maturity Plan - Series 85 - 1185 Days Plan C - Direct Plan Cumulative Option</t>
  </si>
  <si>
    <t>INF109KC1SZ9</t>
  </si>
  <si>
    <t>ICICI Prudential Fixed Maturity Plan - Series 85 - 1185 Days Plan C - Direct Plan Half Yearly IDCW Option</t>
  </si>
  <si>
    <t>INF109KC1SW6</t>
  </si>
  <si>
    <t>ICICI Prudential Fixed Maturity Plan - Series 85 - 1185 Days Plan C - Half Yearly IDCW Option</t>
  </si>
  <si>
    <t>INF109KC1SV8</t>
  </si>
  <si>
    <t>ICICI Prudential Fixed Maturity Plan - Series 85 - 1185 Days Plan C - Quarterly IDCW Option</t>
  </si>
  <si>
    <t>INF109KC1SI5</t>
  </si>
  <si>
    <t>ICICI Prudential Fixed Maturity Plan - Series 85 - 1197 Days Plan A - Cumulative Option</t>
  </si>
  <si>
    <t>INF109KC1SL9</t>
  </si>
  <si>
    <t>ICICI Prudential Fixed Maturity Plan - Series 85 - 1197 Days Plan A - Direct Plan Cumulative Option</t>
  </si>
  <si>
    <t>INF109KC1SM7</t>
  </si>
  <si>
    <t>ICICI Prudential Fixed Maturity Plan - Series 85 - 1197 Days Plan A - Direct Plan Quarterly IDCW Option</t>
  </si>
  <si>
    <t>INF109KC1SK1</t>
  </si>
  <si>
    <t>ICICI Prudential Fixed Maturity Plan - Series 85 - 1197 Days Plan A - Half Yearly IDCW Option</t>
  </si>
  <si>
    <t>INF109KC1SJ3</t>
  </si>
  <si>
    <t>ICICI Prudential Fixed Maturity Plan - Series 85 - 1197 Days Plan A - Quarterly IDCW Option</t>
  </si>
  <si>
    <t>INF109KC1A21</t>
  </si>
  <si>
    <t>ICICI Prudential Fixed Maturity Plan - Series 86 - 1099 Days Plan A - Cumulative Option</t>
  </si>
  <si>
    <t>INF109KC1A54</t>
  </si>
  <si>
    <t>ICICI Prudential Fixed Maturity Plan - Series 86 - 1099 Days Plan A - Direct Plan Cumulative Option</t>
  </si>
  <si>
    <t>INF109KC1A70</t>
  </si>
  <si>
    <t>ICICI Prudential Fixed Maturity Plan - Series 86 - 1099 Days Plan A - Direct Plan Half Yearly IDCW Option</t>
  </si>
  <si>
    <t>INF109KC1A47</t>
  </si>
  <si>
    <t>ICICI Prudential Fixed Maturity Plan - Series 86 - 1099 Days Plan A - Half Yearly IDCW Option</t>
  </si>
  <si>
    <t>INF109KC1A39</t>
  </si>
  <si>
    <t>ICICI Prudential Fixed Maturity Plan - Series 86 - 1099 Days Plan A - Quarterly IDCW Option</t>
  </si>
  <si>
    <t>INF109KC1K52</t>
  </si>
  <si>
    <t>ICICI Prudential Fixed Maturity Plan - Series 87 - 1141 Days Plan G - Cumulative Option</t>
  </si>
  <si>
    <t>INF109KC1K86</t>
  </si>
  <si>
    <t>ICICI Prudential Fixed Maturity Plan - Series 87 - 1141 Days Plan G - Direct Plan Cumulative Option</t>
  </si>
  <si>
    <t>INF109KC1K78</t>
  </si>
  <si>
    <t>ICICI Prudential Fixed Maturity Plan - Series 87 - 1141 Days Plan G - Half Yearly IDCW Option</t>
  </si>
  <si>
    <t>INF109KC1K60</t>
  </si>
  <si>
    <t>ICICI Prudential Fixed Maturity Plan - Series 87 - 1141 Days Plan G - Quarterly IDCW Option</t>
  </si>
  <si>
    <t>INF109KC1G90</t>
  </si>
  <si>
    <t>ICICI Prudential Fixed Maturity Plan - Series 87 - 1174 Days Plan B - Cumulative Option</t>
  </si>
  <si>
    <t>INF109KC1H24</t>
  </si>
  <si>
    <t>ICICI Prudential Fixed Maturity Plan - Series 87 - 1174 Days Plan B - Direct Plan Cumulative Option</t>
  </si>
  <si>
    <t>INF109KC1H40</t>
  </si>
  <si>
    <t>ICICI Prudential Fixed Maturity Plan - Series 87 - 1174 Days Plan B - Direct Plan Half Yearly IDCW Option</t>
  </si>
  <si>
    <t>INF109KC1H32</t>
  </si>
  <si>
    <t>ICICI Prudential Fixed Maturity Plan - Series 87 - 1174 Days Plan B - Direct Plan Quarterly IDCW Option</t>
  </si>
  <si>
    <t>INF109KC1H16</t>
  </si>
  <si>
    <t>ICICI Prudential Fixed Maturity Plan - Series 87 - 1174 Days Plan B - Half Yearly IDCW Option</t>
  </si>
  <si>
    <t>INF109KC1H08</t>
  </si>
  <si>
    <t>ICICI Prudential Fixed Maturity Plan - Series 87 - 1174 Days Plan B - Quarterly IDCW Option</t>
  </si>
  <si>
    <t>INF109KC1G25</t>
  </si>
  <si>
    <t>ICICI Prudential Fixed Maturity Plan - Series 87 - 1214 Days Plan A - Cumulative Option</t>
  </si>
  <si>
    <t>INF109KC1G58</t>
  </si>
  <si>
    <t>ICICI Prudential Fixed Maturity Plan - Series 87 - 1214 Days Plan A - Direct Plan Cumulative Option</t>
  </si>
  <si>
    <t>INF109KC1G74</t>
  </si>
  <si>
    <t>ICICI Prudential Fixed Maturity Plan - Series 87 - 1214 Days Plan A - Direct Plan Half Yearly IDCW Option</t>
  </si>
  <si>
    <t>INF109KC1G66</t>
  </si>
  <si>
    <t>ICICI Prudential Fixed Maturity Plan - Series 87 - 1214 Days Plan A - Direct Plan Quarterly IDCW Option</t>
  </si>
  <si>
    <t>INF109KC1G41</t>
  </si>
  <si>
    <t>ICICI Prudential Fixed Maturity Plan - Series 87 - 1214 Days Plan A - Half Yearly IDCW Option</t>
  </si>
  <si>
    <t>INF109KC1G33</t>
  </si>
  <si>
    <t>ICICI Prudential Fixed Maturity Plan - Series 87 - 1214 Days Plan A - Quarterly IDCW Option</t>
  </si>
  <si>
    <t>INF109KC17M6</t>
  </si>
  <si>
    <t>ICICI Prudential Fixed Maturity Plan - Series 88 - 1226 Days Plan F - Direct Plan - Growth</t>
  </si>
  <si>
    <t>INF109KC19M2</t>
  </si>
  <si>
    <t>ICICI Prudential Fixed Maturity Plan - Series 88 - 1226 Days Plan F - Direct Plan - Half Yearly IDCW</t>
  </si>
  <si>
    <t>INF109KC18M4</t>
  </si>
  <si>
    <t>ICICI Prudential Fixed Maturity Plan - Series 88 - 1226 Days Plan F - Direct Plan - Quarterly IDCW</t>
  </si>
  <si>
    <t>INF109KC14M3</t>
  </si>
  <si>
    <t>ICICI Prudential Fixed Maturity Plan - Series 88 - 1226 Days Plan F - Growth</t>
  </si>
  <si>
    <t>INF109KC16M8</t>
  </si>
  <si>
    <t>ICICI Prudential Fixed Maturity Plan - Series 88 - 1226 Days Plan F - Half Yearly IDCW</t>
  </si>
  <si>
    <t>INF109KC15M0</t>
  </si>
  <si>
    <t>ICICI Prudential Fixed Maturity Plan - Series 88 - 1226 Days Plan F - Quarterly IDCW</t>
  </si>
  <si>
    <t>INF109KC14R2</t>
  </si>
  <si>
    <t>ICICI Prudential Fixed Maturity Plan - Series 88 - 1303 Days Plan S - Direct Plan - Growth</t>
  </si>
  <si>
    <t>INF109KC15R9</t>
  </si>
  <si>
    <t>ICICI Prudential Fixed Maturity Plan - Series 88 - 1303 Days Plan S - Direct Plan - IDCW</t>
  </si>
  <si>
    <t>INF109KC12R6</t>
  </si>
  <si>
    <t>ICICI Prudential Fixed Maturity Plan - Series 88 - 1303 Days Plan S - Growth</t>
  </si>
  <si>
    <t>INF109KC13R4</t>
  </si>
  <si>
    <t>ICICI Prudential Fixed Maturity Plan - Series 88 - 1303 Days Plan S - IDCW</t>
  </si>
  <si>
    <t>INF109KC17D5</t>
  </si>
  <si>
    <t>ICICI Prudential Fixed Maturity Plan - Series 88 - 226 Days Plan E - Direct Plan - Growth</t>
  </si>
  <si>
    <t>INF109KC19D1</t>
  </si>
  <si>
    <t>ICICI Prudential Fixed Maturity Plan - Series 88 - 226 Days Plan E - Direct Plan - Half Yearly IDCW</t>
  </si>
  <si>
    <t>INF109KC18D3</t>
  </si>
  <si>
    <t>ICICI Prudential Fixed Maturity Plan - Series 88 - 226 Days Plan E - Direct Plan - Quarterly IDCW</t>
  </si>
  <si>
    <t>INF109KC14D2</t>
  </si>
  <si>
    <t>ICICI Prudential Fixed Maturity Plan - Series 88 - 226 Days Plan E - Growth</t>
  </si>
  <si>
    <t>INF109KC15D9</t>
  </si>
  <si>
    <t>ICICI Prudential Fixed Maturity Plan - Series 88 - 226 Days Plan E - Quarterly IDCW</t>
  </si>
  <si>
    <t>INF109KC12N5</t>
  </si>
  <si>
    <t>ICICI Prudential Fixed Maturity Plan - Series 88 - 91 Days Plan G - Direct Plan - Growth</t>
  </si>
  <si>
    <t>INF109KC13N3</t>
  </si>
  <si>
    <t>ICICI Prudential Fixed Maturity Plan - Series 88 - 91 Days Plan G - Direct Plan - Quarterly IDCW</t>
  </si>
  <si>
    <t>INF109KC11N7</t>
  </si>
  <si>
    <t>ICICI Prudential Fixed Maturity Plan - Series 88 - 91 Days Plan G - Quarterly IDCW</t>
  </si>
  <si>
    <t>INF109KC10N9</t>
  </si>
  <si>
    <t>ICICI Prudential Fixed Maturity Plan -- Series 88 - 91 Days Plan G - Growth</t>
  </si>
  <si>
    <t>INF109KC13S2</t>
  </si>
  <si>
    <t>ICICI Prudential Fixed Maturity Plan - Series 88 - Plan U - Direct Plan - Growth</t>
  </si>
  <si>
    <t>INF109KC14S0</t>
  </si>
  <si>
    <t>ICICI Prudential Fixed Maturity Plan - Series 88 - Plan U - Direct Plan - IDCW</t>
  </si>
  <si>
    <t>INF109KC11S6</t>
  </si>
  <si>
    <t>ICICI Prudential Fixed Maturity Plan - Series 88 - Plan U - Growth</t>
  </si>
  <si>
    <t>INF109KC12S4</t>
  </si>
  <si>
    <t>ICICI Prudential Fixed Maturity Plan - Series 88 - Plan U - IDCW</t>
  </si>
  <si>
    <t>INF109KB1GL5</t>
  </si>
  <si>
    <t>ICICI Prudential Fixed Maturity Plan - Series 74 -369 Days Plan T Direct Plan Cumulative Option</t>
  </si>
  <si>
    <t>INF109KB1GN1</t>
  </si>
  <si>
    <t>ICICI Prudential Fixed Maturity Plan -Series 74 -369 Days Plan T - Cumulative Option</t>
  </si>
  <si>
    <t>INF109KB1GO9</t>
  </si>
  <si>
    <t>ICICI Prudential Fixed Maturity Plan -Series 74 -369 Days Plan T - Dividend Option</t>
  </si>
  <si>
    <t>INF109KB1GM3</t>
  </si>
  <si>
    <t>ICICI Prudential Fixed Maturity Plan -Series 74 -369 Days Plan T Direct Plan Dividend Option</t>
  </si>
  <si>
    <t>INF109KB1IH9</t>
  </si>
  <si>
    <t>ICICI Prudential Fixed Maturity Plan - Series 74 - 370 Days Plan V - Cumulative Option</t>
  </si>
  <si>
    <t>INF109KB1II7</t>
  </si>
  <si>
    <t>ICICI Prudential Fixed Maturity Plan - Series 74 - 370 Days Plan V - Dividend Option</t>
  </si>
  <si>
    <t>INF109KB1IJ5</t>
  </si>
  <si>
    <t>ICICI Prudential Fixed Maturity Plan - Series 74 - 370 Days Plan V Direct Plan Cumulative Option</t>
  </si>
  <si>
    <t>INF109KB1IK3</t>
  </si>
  <si>
    <t>ICICI Prudential Fixed Maturity Plan - Series 74 - 370 Days Plan V Direct Plan Dividend Option</t>
  </si>
  <si>
    <t>INF109KA16S9</t>
  </si>
  <si>
    <t>ICICI Prudential Fixed Maturity Plan-Series 76 -1185 Days Plan H Cumulative Option</t>
  </si>
  <si>
    <t>INF109KA18S5</t>
  </si>
  <si>
    <t>ICICI Prudential Fixed Maturity Plan-Series 76 -1185 Days Plan H Direct Plan Cumulative Option</t>
  </si>
  <si>
    <t>INF109KA19S3</t>
  </si>
  <si>
    <t>ICICI Prudential Fixed Maturity Plan-Series 76 -1185 Days Plan H Direct Plan Dividend Option</t>
  </si>
  <si>
    <t>INF109KA17S7</t>
  </si>
  <si>
    <t>ICICI Prudential Fixed Maturity Plan-Series 76 -1185 Days Plan H Dividend Option</t>
  </si>
  <si>
    <t>INF109KB1XL0</t>
  </si>
  <si>
    <t>ICICI Prudential Fixed Maturity Plan - Series 74 - 780 Days Plan E Cumulative Option</t>
  </si>
  <si>
    <t>INF109KB1XN6</t>
  </si>
  <si>
    <t>ICICI Prudential Fixed Maturity Plan - Series 74 - 780 Days Plan E Direct Plan Cumulative Option</t>
  </si>
  <si>
    <t>INF109KB1XO4</t>
  </si>
  <si>
    <t>ICICI Prudential Fixed Maturity Plan - Series 74 - 780 Days Plan E Direct Plan Dividend Option</t>
  </si>
  <si>
    <t>INF109KB1XM8</t>
  </si>
  <si>
    <t>ICICI Prudential Fixed Maturity Plan - Series 74 - 780 Days Plan E Dividend Option</t>
  </si>
  <si>
    <t>INF109KB1O27</t>
  </si>
  <si>
    <t>ICICI Prudential Fixed Maturity Plan - Series 80 - 1187 Days Plan G - Cumulative Option</t>
  </si>
  <si>
    <t>INF109KB1O35</t>
  </si>
  <si>
    <t>ICICI Prudential Fixed Maturity Plan - Series 80 - 1187 Days Plan G - Direct Plan - Cumulative Option</t>
  </si>
  <si>
    <t>INF109KB1O43</t>
  </si>
  <si>
    <t>ICICI Prudential Fixed Maturity Plan - Series 80 - 1187 Days Plan G - Direct Plan - Dividend Option</t>
  </si>
  <si>
    <t>INF109KB1O50</t>
  </si>
  <si>
    <t>ICICI Prudential Fixed Maturity Plan - Series 80 - 1187 Days Plan G - Dividend Option</t>
  </si>
  <si>
    <t>INF109KB1N85</t>
  </si>
  <si>
    <t>ICICI Prudential Fixed Maturity Plan - Series 80 - 1194 Days Plan F - Cumulative Option</t>
  </si>
  <si>
    <t>INF109KB1O01</t>
  </si>
  <si>
    <t>ICICI Prudential Fixed Maturity Plan - Series 80 - 1194 Days Plan F - Direct Plan - Cumulative Option</t>
  </si>
  <si>
    <t>INF109KB1O19</t>
  </si>
  <si>
    <t>ICICI Prudential Fixed Maturity Plan - Series 80 - 1194 Days Plan F - Direct Plan - Dividend Option</t>
  </si>
  <si>
    <t>INF109KB1N93</t>
  </si>
  <si>
    <t>ICICI Prudential Fixed Maturity Plan - Series 80 - 1194 Days Plan F - Dividend Option</t>
  </si>
  <si>
    <t>INF109KC1937</t>
  </si>
  <si>
    <t>ICICI Prudential Fixed Maturity Plan - Series 82 - 1185 Days Plan M - Cumulative Option</t>
  </si>
  <si>
    <t>INF109KC1960</t>
  </si>
  <si>
    <t>ICICI Prudential Fixed Maturity Plan - Series 82 - 1185 Days Plan M - Direct Plan Cumulative Option</t>
  </si>
  <si>
    <t>INF109KC1978</t>
  </si>
  <si>
    <t>ICICI Prudential Fixed Maturity Plan - Series 82 - 1185 Days Plan M - Direct Plan Half Yearly IDCW Option</t>
  </si>
  <si>
    <t>INF109KC1986</t>
  </si>
  <si>
    <t>ICICI Prudential Fixed Maturity Plan - Series 82 - 1185 Days Plan M - Direct Plan Quarterly IDCW Option</t>
  </si>
  <si>
    <t>INF109KC1952</t>
  </si>
  <si>
    <t>ICICI Prudential Fixed Maturity Plan - Series 82 - 1185 Days Plan M - Quarterly IDCW Option</t>
  </si>
  <si>
    <t>INF109KB1FU8</t>
  </si>
  <si>
    <t>ICICI Prudential Fixed Maturity Plan - Series 74 - 367 Days Plan N  Cumulative Option</t>
  </si>
  <si>
    <t>INF109KB1FS2</t>
  </si>
  <si>
    <t>ICICI Prudential Fixed Maturity Plan - Series 74 - 367 Days Plan N Direct Plan Cumulative Option</t>
  </si>
  <si>
    <t>INF109KB1FT0</t>
  </si>
  <si>
    <t>ICICI Prudential Fixed Maturity Plan - Series 74 - 367 Days Plan N Dividend Option</t>
  </si>
  <si>
    <t>INF109KB1FR4</t>
  </si>
  <si>
    <t>ICICI Prudential Fixed Maturity Plan -Series 74 -367 Days Plan N Direct Plan Dividend Option</t>
  </si>
  <si>
    <t>INF109KB1JV8</t>
  </si>
  <si>
    <t>ICICI Prudential Fixed Maturity Plan - Series 77 - 1105 Days Plan N - Cumulative Option</t>
  </si>
  <si>
    <t>INF109KB1JX4</t>
  </si>
  <si>
    <t>ICICI Prudential Fixed Maturity Plan - Series 77 - 1105 Days Plan N - Direct Plan - Cumulative Option</t>
  </si>
  <si>
    <t>INF109KB1JW6</t>
  </si>
  <si>
    <t>ICICI Prudential Fixed Maturity Plan - Series 77 - 1105 Days Plan N - Dividend Option</t>
  </si>
  <si>
    <t>INF109K01D10</t>
  </si>
  <si>
    <t>ICICI Prudential Fixed Maturity Plan-Series 63-3 Year Plan K Cumulative</t>
  </si>
  <si>
    <t>INF109K01D28</t>
  </si>
  <si>
    <t>ICICI Prudential Fixed Maturity Plan-Series 63-3 Year Plan K Dividend</t>
  </si>
  <si>
    <t>INF109K01E68</t>
  </si>
  <si>
    <t>ICICI Prudential Fixed Maturity Plan-Series 63-3 Year Plan L Cumulative</t>
  </si>
  <si>
    <t>INF109K01E76</t>
  </si>
  <si>
    <t>ICICI Prudential Fixed Maturity Plan-Series 63-3 Year Plan L Dividend</t>
  </si>
  <si>
    <t>INF109K01F00</t>
  </si>
  <si>
    <t>ICICI Prudential Fixed Maturity Plan-Series 63-3 Year Plan M Cumulative</t>
  </si>
  <si>
    <t>INF109K01F18</t>
  </si>
  <si>
    <t>ICICI Prudential Fixed Maturity Plan-Series 63-3 Year Plan M Dividend</t>
  </si>
  <si>
    <t>INF109K01F26</t>
  </si>
  <si>
    <t>ICICI Prudential Fixed Maturity Plan-Series 64-3 Year Plan H Cumulative</t>
  </si>
  <si>
    <t>INF109K01F34</t>
  </si>
  <si>
    <t>ICICI Prudential Fixed Maturity Plan-Series 64-3 Year Plan H Dividend</t>
  </si>
  <si>
    <t>INF109K01F67</t>
  </si>
  <si>
    <t>ICICI Prudential Fixed Maturity Plan-Series 64-3 Year Plan I Cumulative</t>
  </si>
  <si>
    <t>INF109K01F75</t>
  </si>
  <si>
    <t>ICICI Prudential Fixed Maturity Plan-Series 64-3 Year Plan I Dividend</t>
  </si>
  <si>
    <t>INF109K01F83</t>
  </si>
  <si>
    <t>ICICI Prudential Fixed Maturity Plan-Series 64-3 Year Plan K Cumulative</t>
  </si>
  <si>
    <t>INF109K01F91</t>
  </si>
  <si>
    <t>ICICI Prudential Fixed Maturity Plan-Series 64-3 Year Plan K Dividend</t>
  </si>
  <si>
    <t>INF109K01G25</t>
  </si>
  <si>
    <t>ICICI Prudential Fixed Maturity Plan-Series 65-3 Year Plan A Cumulative</t>
  </si>
  <si>
    <t>INF109K01G33</t>
  </si>
  <si>
    <t>ICICI Prudential Fixed Maturity Plan-Series 65-3 Year Plan A Dividend</t>
  </si>
  <si>
    <t>INF109K019U5</t>
  </si>
  <si>
    <t>ICICI Prudential Fixed Maturity Plan-Series 67-3 Year Plan F - Cumulative</t>
  </si>
  <si>
    <t>INF109K011V0</t>
  </si>
  <si>
    <t>ICICI Prudential Fixed Maturity Plan-Series 67-3 Year Plan F - Direct Plan - Cumulative</t>
  </si>
  <si>
    <t>INF109K012V8</t>
  </si>
  <si>
    <t>ICICI Prudential Fixed Maturity Plan-Series 67-3 Year Plan F - Direct Plan - Dividend</t>
  </si>
  <si>
    <t>INF109K010V2</t>
  </si>
  <si>
    <t>ICICI Prudential Fixed Maturity Plan-Series 67-3 Year Plan F - Dividend</t>
  </si>
  <si>
    <t>INF109K017V7</t>
  </si>
  <si>
    <t>ICICI Prudential Fixed Maturity Plan-Series 67-740 Days Plan H - Cumulative</t>
  </si>
  <si>
    <t>INF109K019V3</t>
  </si>
  <si>
    <t>ICICI Prudential Fixed Maturity Plan-Series 67-740 Days Plan H - Direct Plan - Cumulative</t>
  </si>
  <si>
    <t>INF109K010W0</t>
  </si>
  <si>
    <t>ICICI Prudential Fixed Maturity Plan-Series 67-740 Days Plan H - Direct Plan - Dividend</t>
  </si>
  <si>
    <t>INF109K018V5</t>
  </si>
  <si>
    <t>ICICI Prudential Fixed Maturity Plan-Series 67-740 Days Plan H - Dividend</t>
  </si>
  <si>
    <t>INF109KB1FQ6</t>
  </si>
  <si>
    <t>ICICI Prudential Fixed Maturity Plan-Series 67-745 Days Plan K - Cumulative</t>
  </si>
  <si>
    <t>INF109KB1FO1</t>
  </si>
  <si>
    <t>ICICI Prudential Fixed Maturity Plan-Series 67-745 Days Plan K - Direct Plan - Cumulative</t>
  </si>
  <si>
    <t>INF109KB1FN3</t>
  </si>
  <si>
    <t>ICICI Prudential Fixed Maturity Plan-Series 67-745 Days Plan K - Direct Plan - Dividend</t>
  </si>
  <si>
    <t>INF109KB1FP8</t>
  </si>
  <si>
    <t>ICICI Prudential Fixed Maturity Plan-Series 67-745 Days Plan K - Dividend</t>
  </si>
  <si>
    <t>INF109KA1ZJ0</t>
  </si>
  <si>
    <t>ICICI Prudential Fixed Maturity Plan-Series 68-368 Days Plan G - Cumulative</t>
  </si>
  <si>
    <t>INF109KA1ZH4</t>
  </si>
  <si>
    <t>ICICI Prudential Fixed Maturity Plan-Series 68-368 Days Plan G - Direct Plan - Cumulative</t>
  </si>
  <si>
    <t>INF109KA1ZO0</t>
  </si>
  <si>
    <t>ICICI Prudential Fixed Maturity Plan-Series 68-369 Days Plan I - Cumulative</t>
  </si>
  <si>
    <t>INF109KA1ZM4</t>
  </si>
  <si>
    <t>ICICI Prudential Fixed Maturity Plan-Series 68-369 Days Plan I - Direct Plan - Cumulative</t>
  </si>
  <si>
    <t>INF109KA1ZP7</t>
  </si>
  <si>
    <t>ICICI Prudential Fixed Maturity Plan-Series 68-369 Days Plan I - Dividend</t>
  </si>
  <si>
    <t>INF109KA1A09</t>
  </si>
  <si>
    <t>ICICI Prudential Fixed Maturity Plan-Series 68-369 Days Plan K - Cumulative</t>
  </si>
  <si>
    <t>INF109KA1ZY9</t>
  </si>
  <si>
    <t>ICICI Prudential Fixed Maturity Plan-Series 68-369 Days Plan K - Direct Plan - Cumulative</t>
  </si>
  <si>
    <t>INF109KB1JR6</t>
  </si>
  <si>
    <t>ICICI Prudential Fixed Maturity Plan-Series 68-704 Days Plan L - Cumulative</t>
  </si>
  <si>
    <t>INF109KB1JT2</t>
  </si>
  <si>
    <t>ICICI Prudential Fixed Maturity Plan-Series 68-704 Days Plan L - Direct Plan - Cumulative</t>
  </si>
  <si>
    <t>INF109KB1JU0</t>
  </si>
  <si>
    <t>ICICI Prudential Fixed Maturity Plan-Series 68-704 Days Plan L - Direct Plan - Dividend</t>
  </si>
  <si>
    <t>INF109KB1JS4</t>
  </si>
  <si>
    <t>ICICI Prudential Fixed Maturity Plan-Series 68-704 Days Plan L - Dividend</t>
  </si>
  <si>
    <t>INF109KB1IL1</t>
  </si>
  <si>
    <t>ICICI Prudential Fixed Maturity Plan-Series 68-745 Days Plan C - Cumulative</t>
  </si>
  <si>
    <t>INF109KB1IN7</t>
  </si>
  <si>
    <t>ICICI Prudential Fixed Maturity Plan-Series 68-745 Days Plan C - Direct Plan - Cumulative</t>
  </si>
  <si>
    <t>INF109KB1IO5</t>
  </si>
  <si>
    <t>ICICI Prudential Fixed Maturity Plan-Series 68-745 Days Plan C - Direct Plan - Dividend</t>
  </si>
  <si>
    <t>INF109KB1IM9</t>
  </si>
  <si>
    <t>ICICI Prudential Fixed Maturity Plan-Series 68-745 Days Plan C - Dividend</t>
  </si>
  <si>
    <t>INF109KB1KF9</t>
  </si>
  <si>
    <t>ICICI Prudential Fixed Maturity Plan-Series 68-745 Days Plan F - Cumulative</t>
  </si>
  <si>
    <t>INF109KB1KH5</t>
  </si>
  <si>
    <t>ICICI Prudential Fixed Maturity Plan-Series 68-745 Days Plan F - Direct Plan - Cumulative</t>
  </si>
  <si>
    <t>INF109KB1KI3</t>
  </si>
  <si>
    <t>ICICI Prudential Fixed Maturity Plan-Series 68-745 Days Plan F - Direct Plan - Dividend</t>
  </si>
  <si>
    <t>INF109KB1KG7</t>
  </si>
  <si>
    <t>ICICI Prudential Fixed Maturity Plan-Series 68-745 Days Plan F - Dividend</t>
  </si>
  <si>
    <t>INF109KB1LD2</t>
  </si>
  <si>
    <t>ICICI Prudential Fixed Maturity Plan-Series 68-745 Days Plan H - Cumulative</t>
  </si>
  <si>
    <t>INF109KB1LF7</t>
  </si>
  <si>
    <t>ICICI Prudential Fixed Maturity Plan-Series 68-745 Days Plan H - Direct Plan - Cumulative</t>
  </si>
  <si>
    <t>INF109KB1LH3</t>
  </si>
  <si>
    <t>ICICI Prudential Fixed Maturity Plan-Series 68-745 Days Plan J - Cumulative</t>
  </si>
  <si>
    <t>INF109KB1LJ9</t>
  </si>
  <si>
    <t>ICICI Prudential Fixed Maturity Plan-Series 68-745 Days Plan J - Direct Plan - Cumulative</t>
  </si>
  <si>
    <t>INF109KB1LI1</t>
  </si>
  <si>
    <t>ICICI Prudential Fixed Maturity Plan-Series 68-745 Days Plan J - Dividend</t>
  </si>
  <si>
    <t>INF109KA1CZ5</t>
  </si>
  <si>
    <t>ICICI Prudential Fixed Maturity Plan-Series 69-1092 Days Plan L - Cumulative</t>
  </si>
  <si>
    <t>INF109KA1CX0</t>
  </si>
  <si>
    <t>ICICI Prudential Fixed Maturity Plan-Series 69-1092 Days Plan L - Direct Plan - Cumulative</t>
  </si>
  <si>
    <t>INF109KA1CY8</t>
  </si>
  <si>
    <t>ICICI Prudential Fixed Maturity Plan-Series 69-1092 Days Plan L - Direct Plan - Dividend</t>
  </si>
  <si>
    <t>INF109KA1DA6</t>
  </si>
  <si>
    <t>ICICI Prudential Fixed Maturity Plan-Series 69-1092 Days Plan L - Dividend</t>
  </si>
  <si>
    <t>INF109KA1AP0</t>
  </si>
  <si>
    <t>ICICI Prudential Fixed Maturity Plan-Series 69-1093 Days Plan F - Cumulative</t>
  </si>
  <si>
    <t>INF109KA1AN5</t>
  </si>
  <si>
    <t>ICICI Prudential Fixed Maturity Plan-Series 69-1093 Days Plan F - Direct Plan - Cumulative</t>
  </si>
  <si>
    <t>INF109KA1AQ8</t>
  </si>
  <si>
    <t>ICICI Prudential Fixed Maturity Plan-Series 69-1093 Days Plan F - Dividend</t>
  </si>
  <si>
    <t>INF109KA1BN3</t>
  </si>
  <si>
    <t>ICICI Prudential Fixed Maturity Plan-Series 69-1821 Days Plan H - Cumulative</t>
  </si>
  <si>
    <t>INF109KA1BL7</t>
  </si>
  <si>
    <t>ICICI Prudential Fixed Maturity Plan-Series 69-1821 Days Plan H - Direct Plan - Cumulative</t>
  </si>
  <si>
    <t>INF109KA1BO1</t>
  </si>
  <si>
    <t>ICICI Prudential Fixed Maturity Plan-Series 69-1821 Days Plan H - Dividend</t>
  </si>
  <si>
    <t>INF109KA1A41</t>
  </si>
  <si>
    <t>ICICI Prudential Fixed Maturity Plan-Series 69-366 Days Plan A - Cumulative</t>
  </si>
  <si>
    <t>INF109KA1A25</t>
  </si>
  <si>
    <t>ICICI Prudential Fixed Maturity Plan-Series 69-366 Days Plan A - Direct Plan - Cumulative</t>
  </si>
  <si>
    <t>INF109KA1J67</t>
  </si>
  <si>
    <t>ICICI Prudential Fixed Maturity Plan-Series 69-366 Days Plan G - Cumulative</t>
  </si>
  <si>
    <t>INF109KA1J42</t>
  </si>
  <si>
    <t>ICICI Prudential Fixed Maturity Plan-Series 69-366 Days Plan G - Direct Plan - Cumulative</t>
  </si>
  <si>
    <t>INF109KA1J75</t>
  </si>
  <si>
    <t>ICICI Prudential Fixed Maturity Plan-Series 69-366 Days Plan G - Dividend</t>
  </si>
  <si>
    <t>INF109KA1P44</t>
  </si>
  <si>
    <t>ICICI Prudential Fixed Maturity Plan-Series 69-369 Days Plan J - Cumulative</t>
  </si>
  <si>
    <t>INF109KA1P28</t>
  </si>
  <si>
    <t>ICICI Prudential Fixed Maturity Plan-Series 69-369 Days Plan J - Direct Plan - Cumulative</t>
  </si>
  <si>
    <t>INF109KA1P51</t>
  </si>
  <si>
    <t>ICICI Prudential Fixed Maturity Plan-Series 69-369 Days Plan J - Dividend</t>
  </si>
  <si>
    <t>INF109KA1Q68</t>
  </si>
  <si>
    <t>ICICI Prudential Fixed Maturity Plan-Series 69-372 Days Plan K - Cumulative</t>
  </si>
  <si>
    <t>INF109KA1Q43</t>
  </si>
  <si>
    <t>ICICI Prudential Fixed Maturity Plan-Series 69-372 Days Plan K - Direct Plan - Cumulative</t>
  </si>
  <si>
    <t>INF109KA1Q76</t>
  </si>
  <si>
    <t>ICICI Prudential Fixed Maturity Plan-Series 69-372 Days Plan K - Dividend</t>
  </si>
  <si>
    <t>INF109KA10D4</t>
  </si>
  <si>
    <t>ICICI Prudential Fixed Maturity Plan-Series 69-433 Days Plan E - Cumulative</t>
  </si>
  <si>
    <t>INF109KA18C9</t>
  </si>
  <si>
    <t>ICICI Prudential Fixed Maturity Plan-Series 69-433 Days Plan E - Direct Plan - Cumulative</t>
  </si>
  <si>
    <t>INF109KA11D2</t>
  </si>
  <si>
    <t>ICICI Prudential Fixed Maturity Plan-Series 69-433 Days Plan E - Dividend</t>
  </si>
  <si>
    <t>INF109KB1KB8</t>
  </si>
  <si>
    <t>ICICI Prudential Fixed Maturity Plan-Series 69-693 Days Plan D - Cumulative</t>
  </si>
  <si>
    <t>INF109KB1KD4</t>
  </si>
  <si>
    <t>ICICI Prudential Fixed Maturity Plan-Series 69-693 Days Plan D - Direct Plan - Cumulative</t>
  </si>
  <si>
    <t>INF109KB1KE2</t>
  </si>
  <si>
    <t>ICICI Prudential Fixed Maturity Plan-Series 69-693 Days Plan D - Direct Plan - Dividend</t>
  </si>
  <si>
    <t>INF109KB1KC6</t>
  </si>
  <si>
    <t>ICICI Prudential Fixed Maturity Plan-Series 69-693 Days Plan D - Dividend</t>
  </si>
  <si>
    <t>INF109KB1JN5</t>
  </si>
  <si>
    <t>ICICI Prudential Fixed Maturity Plan-Series 69-698 Days Plan B - Cumulative</t>
  </si>
  <si>
    <t>INF109KB1JP0</t>
  </si>
  <si>
    <t>ICICI Prudential Fixed Maturity Plan-Series 69-698 Days Plan B - Direct Plan - Cumulative</t>
  </si>
  <si>
    <t>INF109KB1JO3</t>
  </si>
  <si>
    <t>ICICI Prudential Fixed Maturity Plan-Series 69-698 Days Plan B - Dividend</t>
  </si>
  <si>
    <t>INF109KA1DX8</t>
  </si>
  <si>
    <t>ICICI Prudential Fixed Maturity Plan-Series 70-1095 Days Plan H - Cumulative</t>
  </si>
  <si>
    <t>INF109KA1DV2</t>
  </si>
  <si>
    <t>ICICI Prudential Fixed Maturity Plan-Series 70-1095 Days Plan H - Direct Plan - Cumulative</t>
  </si>
  <si>
    <t>INF109KA1DW0</t>
  </si>
  <si>
    <t>ICICI Prudential Fixed Maturity Plan-Series 70-1095 Days Plan H - Direct Plan - Dividend</t>
  </si>
  <si>
    <t>INF109KA1DY6</t>
  </si>
  <si>
    <t>ICICI Prudential Fixed Maturity Plan-Series 70-1095 Days Plan H - Dividend</t>
  </si>
  <si>
    <t>INF109KA1GH4</t>
  </si>
  <si>
    <t>ICICI Prudential Fixed Maturity Plan-Series 70-1285 Days Plan T - Cumulative</t>
  </si>
  <si>
    <t>INF109KA1GF8</t>
  </si>
  <si>
    <t>ICICI Prudential Fixed Maturity Plan-Series 70-1285 Days Plan T - Direct Plan - Cumulative</t>
  </si>
  <si>
    <t>INF109KA1GG6</t>
  </si>
  <si>
    <t>ICICI Prudential Fixed Maturity Plan-Series 70-1285 Days Plan T - Direct Plan - Dividend</t>
  </si>
  <si>
    <t>INF109KA1GI2</t>
  </si>
  <si>
    <t>ICICI Prudential Fixed Maturity Plan-Series 70-1285 Days Plan T - Dividend</t>
  </si>
  <si>
    <t>INF109KA1R00</t>
  </si>
  <si>
    <t>ICICI Prudential Fixed Maturity Plan-Series 70-366 Days Plan B - Cumulative</t>
  </si>
  <si>
    <t>INF109KA1Q84</t>
  </si>
  <si>
    <t>ICICI Prudential Fixed Maturity Plan-Series 70-366 Days Plan B - Direct Plan - Cumulative</t>
  </si>
  <si>
    <t>INF109KA1R18</t>
  </si>
  <si>
    <t>ICICI Prudential Fixed Maturity Plan-Series 70-366 Days Plan B - Dividend</t>
  </si>
  <si>
    <t>INF109KA1U88</t>
  </si>
  <si>
    <t>ICICI Prudential Fixed Maturity Plan-Series 70-366 Days Plan I - Cumulative</t>
  </si>
  <si>
    <t>INF109KA1U62</t>
  </si>
  <si>
    <t>ICICI Prudential Fixed Maturity Plan-Series 70-366 Days Plan I - Direct Plan - Cumulative</t>
  </si>
  <si>
    <t>INF109KA1U70</t>
  </si>
  <si>
    <t>ICICI Prudential Fixed Maturity Plan-Series 70-366 Days Plan I - Direct Plan - Dividend</t>
  </si>
  <si>
    <t>INF109KA1T24</t>
  </si>
  <si>
    <t>ICICI Prudential Fixed Maturity Plan-Series 70-367 Days Plan C - Cumulative</t>
  </si>
  <si>
    <t>INF109KA1T08</t>
  </si>
  <si>
    <t>ICICI Prudential Fixed Maturity Plan-Series 70-367 Days Plan C - Direct Plan - Cumulative</t>
  </si>
  <si>
    <t>INF109KA1T16</t>
  </si>
  <si>
    <t>ICICI Prudential Fixed Maturity Plan-Series 70-367 Days Plan C - Direct Plan - Dividend</t>
  </si>
  <si>
    <t>INF109KA1T32</t>
  </si>
  <si>
    <t>ICICI Prudential Fixed Maturity Plan-Series 70-367 Days Plan C - Dividend</t>
  </si>
  <si>
    <t>INF109KA1Z91</t>
  </si>
  <si>
    <t>ICICI Prudential Fixed Maturity Plan-Series 70-367 Days Plan N - Cumulative</t>
  </si>
  <si>
    <t>INF109KA1Y84</t>
  </si>
  <si>
    <t>ICICI Prudential Fixed Maturity Plan-Series 70-367 Days Plan N - Direct Plan - Cumulative</t>
  </si>
  <si>
    <t>INF109KA1U47</t>
  </si>
  <si>
    <t>ICICI Prudential Fixed Maturity Plan-Series 70-368 Days Plan J - Cumulative</t>
  </si>
  <si>
    <t>INF109KA1U21</t>
  </si>
  <si>
    <t>ICICI Prudential Fixed Maturity Plan-Series 70-368 Days Plan J - Direct Plan - Cumulative</t>
  </si>
  <si>
    <t>INF109KA1V20</t>
  </si>
  <si>
    <t>ICICI Prudential Fixed Maturity Plan-Series 70-368 Days Plan K - Cumulative</t>
  </si>
  <si>
    <t>INF109KA1V04</t>
  </si>
  <si>
    <t>ICICI Prudential Fixed Maturity Plan-Series 70-368 Days Plan K - Direct Plan - Cumulative</t>
  </si>
  <si>
    <t>INF109KA1Z34</t>
  </si>
  <si>
    <t>ICICI Prudential Fixed Maturity Plan-Series 70-368 Days Plan M - Cumulative</t>
  </si>
  <si>
    <t>INF109KA1Z18</t>
  </si>
  <si>
    <t>ICICI Prudential Fixed Maturity Plan-Series 70-368 Days Plan M - Direct Plan - Cumulative</t>
  </si>
  <si>
    <t>INF109KA1Z42</t>
  </si>
  <si>
    <t>ICICI Prudential Fixed Maturity Plan-Series 70-368 Days Plan M - Dividend</t>
  </si>
  <si>
    <t>INF109KA1S82</t>
  </si>
  <si>
    <t>ICICI Prudential Fixed Maturity Plan-Series 70-369 Days Plan E - Cumulative</t>
  </si>
  <si>
    <t>INF109KA1S66</t>
  </si>
  <si>
    <t>ICICI Prudential Fixed Maturity Plan-Series 70-369 Days Plan E - Direct Plan - Cumulative</t>
  </si>
  <si>
    <t>INF109KA1S90</t>
  </si>
  <si>
    <t>ICICI Prudential Fixed Maturity Plan-Series 70-369 Days Plan E - Dividend</t>
  </si>
  <si>
    <t>INF109KA1Z75</t>
  </si>
  <si>
    <t>ICICI Prudential Fixed Maturity Plan-Series 70-372 Days Plan L - Cumulative</t>
  </si>
  <si>
    <t>INF109KA1Z59</t>
  </si>
  <si>
    <t>ICICI Prudential Fixed Maturity Plan-Series 70-372 Days Plan L - Direct Plan - Cumulative</t>
  </si>
  <si>
    <t>INF109KA1Z83</t>
  </si>
  <si>
    <t>ICICI Prudential Fixed Maturity Plan-Series 70-372 Days Plan L - Dividend</t>
  </si>
  <si>
    <t>INF109KB1BZ6</t>
  </si>
  <si>
    <t>ICICI Prudential Fixed Maturity Plan-Series 70-540 Days Plan S - Cumulative</t>
  </si>
  <si>
    <t>INF109KB1CB5</t>
  </si>
  <si>
    <t>ICICI Prudential Fixed Maturity Plan-Series 70-540 Days Plan S - Direct Plan - Cumulative</t>
  </si>
  <si>
    <t>INF109KA1DT6</t>
  </si>
  <si>
    <t>ICICI Prudential Fixed Maturity Plan-Series 70-742 Days Plan D - Cumulative</t>
  </si>
  <si>
    <t>INF109KA1DR0</t>
  </si>
  <si>
    <t>ICICI Prudential Fixed Maturity Plan-Series 70-742 Days Plan D - Direct Plan - Cumulative</t>
  </si>
  <si>
    <t>INF109KA1DS8</t>
  </si>
  <si>
    <t>ICICI Prudential Fixed Maturity Plan-Series 70-742 Days Plan D - Direct Plan - Dividend</t>
  </si>
  <si>
    <t>INF109KA1DU4</t>
  </si>
  <si>
    <t>ICICI Prudential Fixed Maturity Plan-Series 70-742 Days Plan D - Dividend</t>
  </si>
  <si>
    <t>INF109KB1NH9</t>
  </si>
  <si>
    <t>ICICI Prudential Fixed Maturity Plan-Series 70-745 Days Plan A - Cumulative</t>
  </si>
  <si>
    <t>INF109KB1NJ5</t>
  </si>
  <si>
    <t>ICICI Prudential Fixed Maturity Plan-Series 70-745 Days Plan A - Direct Plan - Cumulative</t>
  </si>
  <si>
    <t>INF109KB1NI7</t>
  </si>
  <si>
    <t>ICICI Prudential Fixed Maturity Plan-Series 70-745 Days Plan A - Dividend</t>
  </si>
  <si>
    <t>INF109KA1EJ5</t>
  </si>
  <si>
    <t>ICICI Prudential Fixed Maturity Plan-Series 70-745 Days Plan G - Cumulative</t>
  </si>
  <si>
    <t>INF109KA1EH9</t>
  </si>
  <si>
    <t>ICICI Prudential Fixed Maturity Plan-Series 70-745 Days Plan G - Direct Plan - Cumulative</t>
  </si>
  <si>
    <t>INF109KA1EI7</t>
  </si>
  <si>
    <t>ICICI Prudential Fixed Maturity Plan-Series 70-745 Days Plan G - Direct Plan - Dividend</t>
  </si>
  <si>
    <t>INF109KA1EK3</t>
  </si>
  <si>
    <t>ICICI Prudential Fixed Maturity Plan-Series 70-745 Days Plan G - Dividend</t>
  </si>
  <si>
    <t>INF109KB1OJ3</t>
  </si>
  <si>
    <t>ICICI Prudential Fixed Maturity Plan-Series 70-745 Days Plan P - Cumulative</t>
  </si>
  <si>
    <t>INF109KB1OL9</t>
  </si>
  <si>
    <t>ICICI Prudential Fixed Maturity Plan-Series 70-745 Days Plan P - Direct Plan - Cumulative</t>
  </si>
  <si>
    <t>INF109KB1OK1</t>
  </si>
  <si>
    <t>ICICI Prudential Fixed Maturity Plan-Series 70-745 Days Plan P - Dividend</t>
  </si>
  <si>
    <t>INF109KA1IL2</t>
  </si>
  <si>
    <t>ICICI Prudential Fixed Maturity Plan-Series 71-1095 Days Plan O - Cumulative</t>
  </si>
  <si>
    <t>INF109KA1IN8</t>
  </si>
  <si>
    <t>ICICI Prudential Fixed Maturity Plan-Series 71-1095 Days Plan O - Direct Plan - Cumulative</t>
  </si>
  <si>
    <t>INF109KA1IO6</t>
  </si>
  <si>
    <t>ICICI Prudential Fixed Maturity Plan-Series 71-1095 Days Plan O - Direct Plan - Dividend</t>
  </si>
  <si>
    <t>INF109KA1IM0</t>
  </si>
  <si>
    <t>ICICI Prudential Fixed Maturity Plan-Series 71-1095 Days Plan O - Dividend</t>
  </si>
  <si>
    <t>INF109KA18K2</t>
  </si>
  <si>
    <t>ICICI Prudential Fixed Maturity Plan-Series 71-369 Days Plan E - Cumulative</t>
  </si>
  <si>
    <t>INF109KA10L7</t>
  </si>
  <si>
    <t>ICICI Prudential Fixed Maturity Plan-Series 71-369 Days Plan E - Direct Plan - Cumulative</t>
  </si>
  <si>
    <t>INF109KA11L5</t>
  </si>
  <si>
    <t>ICICI Prudential Fixed Maturity Plan-Series 71-369 Days Plan E - Direct Plan - Dividend</t>
  </si>
  <si>
    <t>INF109KA19K0</t>
  </si>
  <si>
    <t>ICICI Prudential Fixed Maturity Plan-Series 71-369 Days Plan E - Dividend</t>
  </si>
  <si>
    <t>INF109KB1CD1</t>
  </si>
  <si>
    <t>ICICI Prudential Fixed Maturity Plan-Series 71-480 Days Plan L - Cumulative</t>
  </si>
  <si>
    <t>INF109KB1CF6</t>
  </si>
  <si>
    <t>ICICI Prudential Fixed Maturity Plan-Series 71-480 Days Plan L - Direct Plan - Cumulative</t>
  </si>
  <si>
    <t>INF109KB1CE9</t>
  </si>
  <si>
    <t>ICICI Prudential Fixed Maturity Plan-Series 71-480 Days Plan L - Dividend</t>
  </si>
  <si>
    <t>INF109KB1EB1</t>
  </si>
  <si>
    <t>ICICI Prudential Fixed Maturity Plan-Series 71-505 Days Plan H - Cumulative</t>
  </si>
  <si>
    <t>INF109KB1ED7</t>
  </si>
  <si>
    <t>ICICI Prudential Fixed Maturity Plan-Series 71-505 Days Plan H - Direct Plan - Cumulative</t>
  </si>
  <si>
    <t>INF109KB1EE5</t>
  </si>
  <si>
    <t>ICICI Prudential Fixed Maturity Plan-Series 71-505 Days Plan H - Direct Plan - Dividend</t>
  </si>
  <si>
    <t>INF109KB1EF2</t>
  </si>
  <si>
    <t>ICICI Prudential Fixed Maturity Plan-Series 71-525 Days Plan D - Cumulative</t>
  </si>
  <si>
    <t>INF109KB1EH8</t>
  </si>
  <si>
    <t>ICICI Prudential Fixed Maturity Plan-Series 71-525 Days Plan D - Direct Plan - Cumulative</t>
  </si>
  <si>
    <t>INF109KB1EG0</t>
  </si>
  <si>
    <t>ICICI Prudential Fixed Maturity Plan-Series 71-525 Days Plan D - Dividend</t>
  </si>
  <si>
    <t>INF109KA1NN8</t>
  </si>
  <si>
    <t>ICICI Prudential Fixed Maturity Plan-Series 72-1075 Days Plan Q - Cumulative</t>
  </si>
  <si>
    <t>INF109KA1NP3</t>
  </si>
  <si>
    <t>ICICI Prudential Fixed Maturity Plan-Series 72-1075 Days Plan Q - Direct Plan - Cumulative</t>
  </si>
  <si>
    <t>INF109KA1NQ1</t>
  </si>
  <si>
    <t>ICICI Prudential Fixed Maturity Plan-Series 72-1075 Days Plan Q - Direct Plan - Dividend</t>
  </si>
  <si>
    <t>INF109KA1NO6</t>
  </si>
  <si>
    <t>ICICI Prudential Fixed Maturity Plan-Series 72-1075 Days Plan Q - Dividend</t>
  </si>
  <si>
    <t>INF109KA1LB7</t>
  </si>
  <si>
    <t>ICICI Prudential Fixed Maturity Plan-Series 72-1092 Days Plan F - Cumulative</t>
  </si>
  <si>
    <t>INF109KA1LD3</t>
  </si>
  <si>
    <t>ICICI Prudential Fixed Maturity Plan-Series 72-1092 Days Plan F - Direct Plan - Cumulative</t>
  </si>
  <si>
    <t>INF109KA1LE1</t>
  </si>
  <si>
    <t>ICICI Prudential Fixed Maturity Plan-Series 72-1092 Days Plan F - Direct Plan - Dividend</t>
  </si>
  <si>
    <t>INF109KA1LC5</t>
  </si>
  <si>
    <t>ICICI Prudential Fixed Maturity Plan-Series 72-1092 Days Plan F - Dividend</t>
  </si>
  <si>
    <t>INF109KA12R0</t>
  </si>
  <si>
    <t>ICICI Prudential Fixed Maturity Plan-Series 72-366 Days Plan C - Cumulative</t>
  </si>
  <si>
    <t>INF109KA14R6</t>
  </si>
  <si>
    <t>ICICI Prudential Fixed Maturity Plan-Series 72-366 Days Plan C - Direct Plan - Cumulative</t>
  </si>
  <si>
    <t>INF109KA13R8</t>
  </si>
  <si>
    <t>ICICI Prudential Fixed Maturity Plan-Series 72-366 Days Plan C - Dividend</t>
  </si>
  <si>
    <t>INF109KA12W0</t>
  </si>
  <si>
    <t>ICICI Prudential Fixed Maturity Plan-Series 72-366 Days Plan M - Cumulative</t>
  </si>
  <si>
    <t>INF109KA14W6</t>
  </si>
  <si>
    <t>ICICI Prudential Fixed Maturity Plan-Series 72-366 Days Plan M - Direct Plan - Cumulative</t>
  </si>
  <si>
    <t>INF109KA15W3</t>
  </si>
  <si>
    <t>ICICI Prudential Fixed Maturity Plan-Series 72-366 Days Plan M - Direct Plan - Dividend</t>
  </si>
  <si>
    <t>INF109KA18X5</t>
  </si>
  <si>
    <t>ICICI Prudential Fixed Maturity Plan-Series 72-366 Days Plan T - Cumulative</t>
  </si>
  <si>
    <t>INF109KA10Y0</t>
  </si>
  <si>
    <t>ICICI Prudential Fixed Maturity Plan-Series 72-366 Days Plan T - Direct Plan - Cumulative</t>
  </si>
  <si>
    <t>INF109KA11Y8</t>
  </si>
  <si>
    <t>ICICI Prudential Fixed Maturity Plan-Series 72-366 Days Plan T - Direct Plan - Dividend</t>
  </si>
  <si>
    <t>INF109KA16W1</t>
  </si>
  <si>
    <t>ICICI Prudential Fixed Maturity Plan-Series 72-367 Days Plan R - Cumulative</t>
  </si>
  <si>
    <t>INF109KA18W7</t>
  </si>
  <si>
    <t>ICICI Prudential Fixed Maturity Plan-Series 72-367 Days Plan R - Direct Plan - Cumulative</t>
  </si>
  <si>
    <t>INF109KA10Q6</t>
  </si>
  <si>
    <t>ICICI Prudential Fixed Maturity Plan-Series 72-368 Days Plan A - Cumulative</t>
  </si>
  <si>
    <t>INF109KA12Q2</t>
  </si>
  <si>
    <t>ICICI Prudential Fixed Maturity Plan-Series 72-368 Days Plan A - Direct Plan - Cumulative</t>
  </si>
  <si>
    <t>INF109KA13Q0</t>
  </si>
  <si>
    <t>ICICI Prudential Fixed Maturity Plan-Series 72-368 Days Plan A - Direct Plan - Dividend</t>
  </si>
  <si>
    <t>INF109KA11Q4</t>
  </si>
  <si>
    <t>ICICI Prudential Fixed Maturity Plan-Series 72-368 Days Plan A - Dividend</t>
  </si>
  <si>
    <t>INF109KA11S0</t>
  </si>
  <si>
    <t>ICICI Prudential Fixed Maturity Plan-Series 72-368 Days Plan D - Cumulative</t>
  </si>
  <si>
    <t>INF109KA13S6</t>
  </si>
  <si>
    <t>ICICI Prudential Fixed Maturity Plan-Series 72-368 Days Plan D - Direct Plan - Cumulative</t>
  </si>
  <si>
    <t>INF109KA12S8</t>
  </si>
  <si>
    <t>ICICI Prudential Fixed Maturity Plan-Series 72-368 Days Plan D - Dividend</t>
  </si>
  <si>
    <t>INF109KA12Y6</t>
  </si>
  <si>
    <t>ICICI Prudential Fixed Maturity Plan-Series 72-368 Days Plan P - Cumulative</t>
  </si>
  <si>
    <t>INF109KA14Y2</t>
  </si>
  <si>
    <t>ICICI Prudential Fixed Maturity Plan-Series 72-368 Days Plan P - Direct Plan - Cumulative</t>
  </si>
  <si>
    <t>INF109KA15Y9</t>
  </si>
  <si>
    <t>ICICI Prudential Fixed Maturity Plan-Series 72-368 Days Plan P - Direct Plan - Dividend</t>
  </si>
  <si>
    <t>INF109KA13Y4</t>
  </si>
  <si>
    <t>ICICI Prudential Fixed Maturity Plan-Series 72-368 Days Plan P - Dividend</t>
  </si>
  <si>
    <t>INF109KA16U5</t>
  </si>
  <si>
    <t>ICICI Prudential Fixed Maturity Plan-Series 72-370 Days Plan G - Cumulative</t>
  </si>
  <si>
    <t>INF109KA18U1</t>
  </si>
  <si>
    <t>ICICI Prudential Fixed Maturity Plan-Series 72-370 Days Plan G - Direct Plan - Cumulative</t>
  </si>
  <si>
    <t>INF109KA19U9</t>
  </si>
  <si>
    <t>ICICI Prudential Fixed Maturity Plan-Series 72-370 Days Plan G - Direct Plan - Dividend</t>
  </si>
  <si>
    <t>INF109KA17U3</t>
  </si>
  <si>
    <t>ICICI Prudential Fixed Maturity Plan-Series 72-370 Days Plan G - Dividend</t>
  </si>
  <si>
    <t>INF109KB1AX3</t>
  </si>
  <si>
    <t>ICICI Prudential Fixed Maturity Plan-Series 72-409 Days Plan S - Cumulative</t>
  </si>
  <si>
    <t>INF109KB1AZ8</t>
  </si>
  <si>
    <t>ICICI Prudential Fixed Maturity Plan-Series 72-409 Days Plan S - Direct Plan - Cumulative</t>
  </si>
  <si>
    <t>INF109KB1BA9</t>
  </si>
  <si>
    <t>ICICI Prudential Fixed Maturity Plan-Series 72-409 Days Plan S - Direct Plan - Dividend</t>
  </si>
  <si>
    <t>INF109KB1AY1</t>
  </si>
  <si>
    <t>ICICI Prudential Fixed Maturity Plan-Series 72-409 Days Plan S - Dividend</t>
  </si>
  <si>
    <t>INF109KB1BR3</t>
  </si>
  <si>
    <t>ICICI Prudential Fixed Maturity Plan-Series 72-425 Days Plan N - Cumulative</t>
  </si>
  <si>
    <t>INF109KB1BT9</t>
  </si>
  <si>
    <t>ICICI Prudential Fixed Maturity Plan-Series 72-425 Days Plan N - Direct Plan - Cumulative</t>
  </si>
  <si>
    <t>INF109KB1BS1</t>
  </si>
  <si>
    <t>ICICI Prudential Fixed Maturity Plan-Series 72-425 Days Plan N - Dividend</t>
  </si>
  <si>
    <t>INF109KB1CH2</t>
  </si>
  <si>
    <t>ICICI Prudential Fixed Maturity Plan-Series 72-440 Days Plan L - Cumulative</t>
  </si>
  <si>
    <t>INF109KB1CJ8</t>
  </si>
  <si>
    <t>ICICI Prudential Fixed Maturity Plan-Series 72-440 Days Plan L - Direct Plan - Cumulative</t>
  </si>
  <si>
    <t>INF109KB1CK6</t>
  </si>
  <si>
    <t>ICICI Prudential Fixed Maturity Plan-Series 72-440 Days Plan L - Direct Plan - Dividend</t>
  </si>
  <si>
    <t>INF109KB1CI0</t>
  </si>
  <si>
    <t>ICICI Prudential Fixed Maturity Plan-Series 72-440 Days Plan L - Dividend</t>
  </si>
  <si>
    <t>INF109KB1GC4</t>
  </si>
  <si>
    <t>ICICI Prudential Fixed Maturity Plan-Series 72-483 Days Plan J - Cumulative</t>
  </si>
  <si>
    <t>INF109KB1GA8</t>
  </si>
  <si>
    <t>ICICI Prudential Fixed Maturity Plan-Series 72-483 Days Plan J - Direct Plan - Cumulative</t>
  </si>
  <si>
    <t>INF109KB1FZ7</t>
  </si>
  <si>
    <t>ICICI Prudential Fixed Maturity Plan-Series 72-483 Days Plan J - Direct Plan - Dividend</t>
  </si>
  <si>
    <t>INF109KB1GB6</t>
  </si>
  <si>
    <t>ICICI Prudential Fixed Maturity Plan-Series 72-483 Days Plan J - Dividend</t>
  </si>
  <si>
    <t>INF109KB1HF5</t>
  </si>
  <si>
    <t>ICICI Prudential Fixed Maturity Plan-Series 72-500 Days Plan E - Cumulative</t>
  </si>
  <si>
    <t>INF109KB1HH1</t>
  </si>
  <si>
    <t>ICICI Prudential Fixed Maturity Plan-Series 72-500 Days Plan E - Direct Plan - Cumulative</t>
  </si>
  <si>
    <t>INF109KB1HG3</t>
  </si>
  <si>
    <t>ICICI Prudential Fixed Maturity Plan-Series 72-500 Days Plan E - Dividend</t>
  </si>
  <si>
    <t>INF109KB1HJ7</t>
  </si>
  <si>
    <t>ICICI Prudential Fixed Maturity Plan-Series 72-525 Days Plan B - Cumulative</t>
  </si>
  <si>
    <t>INF109KB1HL3</t>
  </si>
  <si>
    <t>ICICI Prudential Fixed Maturity Plan-Series 72-525 Days Plan B - Direct Plan - Cumulative</t>
  </si>
  <si>
    <t>INF109KB1HK5</t>
  </si>
  <si>
    <t>ICICI Prudential Fixed Maturity Plan-Series 72-525 Days Plan B - Dividend</t>
  </si>
  <si>
    <t>INF109KA1MH2</t>
  </si>
  <si>
    <t>ICICI Prudential Fixed Maturity Plan-Series 72-785 Days Plan O - Cumulative</t>
  </si>
  <si>
    <t>INF109KA1MJ8</t>
  </si>
  <si>
    <t>ICICI Prudential Fixed Maturity Plan-Series 72-785 Days Plan O - Direct Plan - Cumulative</t>
  </si>
  <si>
    <t>INF109KA1MK6</t>
  </si>
  <si>
    <t>ICICI Prudential Fixed Maturity Plan-Series 72-785 Days Plan O - Direct Plan - Dividend</t>
  </si>
  <si>
    <t>INF109KA1MI0</t>
  </si>
  <si>
    <t>ICICI Prudential Fixed Maturity Plan-Series 72-785 Days Plan O - Dividend</t>
  </si>
  <si>
    <t>INF109KA1KX3</t>
  </si>
  <si>
    <t>ICICI Prudential Fixed Maturity Plan-Series 72-823 Days Plan H - Cumulative</t>
  </si>
  <si>
    <t>INF109KA1KZ8</t>
  </si>
  <si>
    <t>ICICI Prudential Fixed Maturity Plan-Series 72-823 Days Plan H - Direct Plan - Cumulative</t>
  </si>
  <si>
    <t>INF109KA1LA9</t>
  </si>
  <si>
    <t>ICICI Prudential Fixed Maturity Plan-Series 72-823 Days Plan H - Direct Plan - Dividend</t>
  </si>
  <si>
    <t>INF109KA1KY1</t>
  </si>
  <si>
    <t>ICICI Prudential Fixed Maturity Plan-Series 72-823 Days Plan H - Dividend</t>
  </si>
  <si>
    <t>INF109KA1QJ9</t>
  </si>
  <si>
    <t>ICICI Prudential Fixed Maturity Plan-Series 73-1120 Days Plan L - Cumulative</t>
  </si>
  <si>
    <t>INF109KA1QL5</t>
  </si>
  <si>
    <t>ICICI Prudential Fixed Maturity Plan-Series 73-1120 Days Plan L - Direct Plan - Cumulative</t>
  </si>
  <si>
    <t>INF109KA1QM3</t>
  </si>
  <si>
    <t>ICICI Prudential Fixed Maturity Plan-Series 73-1120 Days Plan L - Direct Plan - Dividend</t>
  </si>
  <si>
    <t>INF109KA1QK7</t>
  </si>
  <si>
    <t>ICICI Prudential Fixed Maturity Plan-Series 73-1120 Days Plan L - Dividend</t>
  </si>
  <si>
    <t>INF109KA18Z0</t>
  </si>
  <si>
    <t>ICICI Prudential Fixed Maturity Plan-Series 73-366 Days Plan A - Cumulative</t>
  </si>
  <si>
    <t>INF109KB1011</t>
  </si>
  <si>
    <t>ICICI Prudential Fixed Maturity Plan-Series 73-366 Days Plan A - Direct Plan - Cumulative</t>
  </si>
  <si>
    <t>INF109KA19Z8</t>
  </si>
  <si>
    <t>ICICI Prudential Fixed Maturity Plan-Series 73-366 Days Plan A - Dividend</t>
  </si>
  <si>
    <t>INF109KA14Z9</t>
  </si>
  <si>
    <t>ICICI Prudential Fixed Maturity Plan-Series 73-366 Days Plan B - Cumulative</t>
  </si>
  <si>
    <t>INF109KA16Z4</t>
  </si>
  <si>
    <t>ICICI Prudential Fixed Maturity Plan-Series 73-366 Days Plan B - Direct Plan - Cumulative</t>
  </si>
  <si>
    <t>INF109KB1078</t>
  </si>
  <si>
    <t>ICICI Prudential Fixed Maturity Plan-Series 73-368 Days Plan D - Cumulative</t>
  </si>
  <si>
    <t>INF109KB1094</t>
  </si>
  <si>
    <t>ICICI Prudential Fixed Maturity Plan-Series 73-368 Days Plan D - Direct Plan - Cumulative</t>
  </si>
  <si>
    <t>INF109KB1086</t>
  </si>
  <si>
    <t>ICICI Prudential Fixed Maturity Plan-Series 73-368 Days Plan D - Dividend</t>
  </si>
  <si>
    <t>INF109KB1516</t>
  </si>
  <si>
    <t>ICICI Prudential Fixed Maturity Plan-Series 73-368 Days Plan M - Cumulative</t>
  </si>
  <si>
    <t>INF109KB1532</t>
  </si>
  <si>
    <t>ICICI Prudential Fixed Maturity Plan-Series 73-368 Days Plan M - Direct Plan - Cumulative</t>
  </si>
  <si>
    <t>INF109KB1524</t>
  </si>
  <si>
    <t>ICICI Prudential Fixed Maturity Plan-Series 73-368 Days Plan M - Dividend</t>
  </si>
  <si>
    <t>INF109KB1599</t>
  </si>
  <si>
    <t>ICICI Prudential Fixed Maturity Plan-Series 73-368 Days Plan R - Cumulative</t>
  </si>
  <si>
    <t>INF109KB1615</t>
  </si>
  <si>
    <t>ICICI Prudential Fixed Maturity Plan-Series 73-368 Days Plan R - Direct Plan - Cumulative</t>
  </si>
  <si>
    <t>INF109KB1037</t>
  </si>
  <si>
    <t>ICICI Prudential Fixed Maturity Plan-Series 73-369 Days Plan H - Cumulative</t>
  </si>
  <si>
    <t>INF109KB1052</t>
  </si>
  <si>
    <t>ICICI Prudential Fixed Maturity Plan-Series 73-369 Days Plan H - Direct Plan - Cumulative</t>
  </si>
  <si>
    <t>INF109KB1631</t>
  </si>
  <si>
    <t>ICICI Prudential Fixed Maturity Plan-Series 73-369 Days Plan P- Cumulative</t>
  </si>
  <si>
    <t>INF109KB1656</t>
  </si>
  <si>
    <t>ICICI Prudential Fixed Maturity Plan-Series 73-369 Days Plan P- Direct Plan - Cumulative</t>
  </si>
  <si>
    <t>INF109KB1649</t>
  </si>
  <si>
    <t>ICICI Prudential Fixed Maturity Plan-Series 73-369 Days Plan P- Dividend</t>
  </si>
  <si>
    <t>INF109KB1912</t>
  </si>
  <si>
    <t>ICICI Prudential Fixed Maturity Plan-Series 73-369 Days Plan S- Cumulative</t>
  </si>
  <si>
    <t>INF109KB1938</t>
  </si>
  <si>
    <t>ICICI Prudential Fixed Maturity Plan-Series 73-369 Days Plan S- Direct Plan - Cumulative</t>
  </si>
  <si>
    <t>INF109KB1920</t>
  </si>
  <si>
    <t>ICICI Prudential Fixed Maturity Plan-Series 73-369 Days Plan S- Dividend</t>
  </si>
  <si>
    <t>INF109KB1AL8</t>
  </si>
  <si>
    <t>ICICI Prudential Fixed Maturity Plan-Series 73-369 Days Plan T - Cumulative</t>
  </si>
  <si>
    <t>INF109KB1AN4</t>
  </si>
  <si>
    <t>ICICI Prudential Fixed Maturity Plan-Series 73-369 Days Plan T - Direct Plan - Cumulative</t>
  </si>
  <si>
    <t>INF109KB1AM6</t>
  </si>
  <si>
    <t>ICICI Prudential Fixed Maturity Plan-Series 73-369 Days Plan T - Dividend</t>
  </si>
  <si>
    <t>INF109KB1AH6</t>
  </si>
  <si>
    <t>ICICI Prudential Fixed Maturity Plan-Series 73-376 Days Plan Q - Cumulative</t>
  </si>
  <si>
    <t>INF109KB1AJ2</t>
  </si>
  <si>
    <t>ICICI Prudential Fixed Maturity Plan-Series 73-376 Days Plan Q - Direct Plan - Cumulative</t>
  </si>
  <si>
    <t>INF109KB1AI4</t>
  </si>
  <si>
    <t>ICICI Prudential Fixed Maturity Plan-Series 73-376 Days Plan Q - Dividend</t>
  </si>
  <si>
    <t>INF109KB1870</t>
  </si>
  <si>
    <t>ICICI Prudential Fixed Maturity Plan-Series 73-378 Days Plan N - Cumulative</t>
  </si>
  <si>
    <t>INF109KB1896</t>
  </si>
  <si>
    <t>ICICI Prudential Fixed Maturity Plan-Series 73-378 Days Plan N - Direct Plan - Cumulative</t>
  </si>
  <si>
    <t>INF109KB1AP9</t>
  </si>
  <si>
    <t>ICICI Prudential Fixed Maturity Plan-Series 73-378 Days Plan O - Cumulative</t>
  </si>
  <si>
    <t>INF109KB1AR5</t>
  </si>
  <si>
    <t>ICICI Prudential Fixed Maturity Plan-Series 73-378 Days Plan O - Direct Plan - Cumulative</t>
  </si>
  <si>
    <t>INF109KB1AS3</t>
  </si>
  <si>
    <t>ICICI Prudential Fixed Maturity Plan-Series 73-378 Days Plan O - Direct Plan - Dividend</t>
  </si>
  <si>
    <t>INF109KB1AQ7</t>
  </si>
  <si>
    <t>ICICI Prudential Fixed Maturity Plan-Series 73-378 Days Plan O - Dividend</t>
  </si>
  <si>
    <t>INF109KB1839</t>
  </si>
  <si>
    <t>ICICI Prudential Fixed Maturity Plan-Series 73-383 Days Plan K - Cumulative</t>
  </si>
  <si>
    <t>INF109KB1854</t>
  </si>
  <si>
    <t>ICICI Prudential Fixed Maturity Plan-Series 73-383 Days Plan K - Direct Plan - Cumulative</t>
  </si>
  <si>
    <t>INF109KB1847</t>
  </si>
  <si>
    <t>ICICI Prudential Fixed Maturity Plan-Series 73-383 Days Plan K - Dividend</t>
  </si>
  <si>
    <t>INF109KB1BJ0</t>
  </si>
  <si>
    <t>ICICI Prudential Fixed Maturity Plan-Series 73-390 Days Plan I - Cumulative</t>
  </si>
  <si>
    <t>INF109KB1BL6</t>
  </si>
  <si>
    <t>ICICI Prudential Fixed Maturity Plan-Series 73-390 Days Plan I - Direct Plan - Cumulative</t>
  </si>
  <si>
    <t>INF109KB1BK8</t>
  </si>
  <si>
    <t>ICICI Prudential Fixed Maturity Plan-Series 73-390 Days Plan I - Dividend</t>
  </si>
  <si>
    <t>INF109KB1797</t>
  </si>
  <si>
    <t>ICICI Prudential Fixed Maturity Plan-Series 73-391 Days Plan G - Cumulative</t>
  </si>
  <si>
    <t>INF109KB1813</t>
  </si>
  <si>
    <t>ICICI Prudential Fixed Maturity Plan-Series 73-391 Days Plan G - Direct Plan - Cumulative</t>
  </si>
  <si>
    <t>INF109KB1805</t>
  </si>
  <si>
    <t>ICICI Prudential Fixed Maturity Plan-Series 73-391 Days Plan G - Dividend</t>
  </si>
  <si>
    <t>INF109KB1755</t>
  </si>
  <si>
    <t>ICICI Prudential Fixed Maturity Plan-Series 73-392 Days Plan F - Cumulative</t>
  </si>
  <si>
    <t>INF109KB1771</t>
  </si>
  <si>
    <t>ICICI Prudential Fixed Maturity Plan-Series 73-392 Days Plan F - Direct Plan - Cumulative</t>
  </si>
  <si>
    <t>INF109KB1BN2</t>
  </si>
  <si>
    <t>ICICI Prudential Fixed Maturity Plan-Series 73-407 Days Plan C - Cumulative</t>
  </si>
  <si>
    <t>INF109KB1BP7</t>
  </si>
  <si>
    <t>ICICI Prudential Fixed Maturity Plan-Series 73-407 Days Plan C - Direct Plan - Cumulative</t>
  </si>
  <si>
    <t>INF109KB1BO0</t>
  </si>
  <si>
    <t>ICICI Prudential Fixed Maturity Plan-Series 73-407 Days Plan C - Dividend</t>
  </si>
  <si>
    <t>INF109KB1XP1</t>
  </si>
  <si>
    <t>ICICI Prudential Fixed Maturity Plan-Series 73-830 Days Plan J - Cumulative</t>
  </si>
  <si>
    <t>INF109KB1XR7</t>
  </si>
  <si>
    <t>ICICI Prudential Fixed Maturity Plan-Series 73-830 Days Plan J - Direct Plan - Cumulative</t>
  </si>
  <si>
    <t>INF109KB1XS5</t>
  </si>
  <si>
    <t>ICICI Prudential Fixed Maturity Plan-Series 73-830 Days Plan J - Direct Plan - Dividend</t>
  </si>
  <si>
    <t>INF109KB1XQ9</t>
  </si>
  <si>
    <t>ICICI Prudential Fixed Maturity Plan-Series 73-830 Days Plan J - Dividend</t>
  </si>
  <si>
    <t>INF109KB1GV4</t>
  </si>
  <si>
    <t>ICICI Prudential Fixed Maturity Plan -Series 74 -368 Days Plan R Cumulative Option</t>
  </si>
  <si>
    <t>INF109KB1GT8</t>
  </si>
  <si>
    <t>ICICI Prudential Fixed Maturity Plan -Series 74 -368 Days Plan R Direct Plan Cumulative Option</t>
  </si>
  <si>
    <t>INF109KB1GU6</t>
  </si>
  <si>
    <t>ICICI Prudential Fixed Maturity Plan -Series 74 -368 Days Plan R Direct Plan Dividend Option</t>
  </si>
  <si>
    <t>INF109KB1GW2</t>
  </si>
  <si>
    <t>ICICI Prudential Fixed Maturity Plan-Series 74-368 Days Plan R Dividend Option</t>
  </si>
  <si>
    <t>INF109KB1GJ9</t>
  </si>
  <si>
    <t>ICICI Prudential Fixed Maturity Plan - Series 74 - 370 Days Plan Q Cumulative Option</t>
  </si>
  <si>
    <t>INF109KB1GH3</t>
  </si>
  <si>
    <t>ICICI Prudential Fixed Maturity Plan - Series 74 -370 Days Plan Q Direct Plan Cumulative Option</t>
  </si>
  <si>
    <t>INF109KB1GI1</t>
  </si>
  <si>
    <t>ICICI Prudential Fixed Maturity Plan -Series 74 -370 Days Plan Q Direct Plan Dividend Option</t>
  </si>
  <si>
    <t>INF109KB1GK7</t>
  </si>
  <si>
    <t>ICICI Prudential Fixed Maturity Plan -Series 74 -370 Days Plan Q Dividend Option</t>
  </si>
  <si>
    <t>INF109KA1TH7</t>
  </si>
  <si>
    <t>ICICI Prudential Fixed Maturity Plan-Series 74-1092 Days Plan G - Cumulative</t>
  </si>
  <si>
    <t>INF109KA1TJ3</t>
  </si>
  <si>
    <t>ICICI Prudential Fixed Maturity Plan-Series 74-1092 Days Plan G - Direct Plan - Cumulative</t>
  </si>
  <si>
    <t>INF109KA1TK1</t>
  </si>
  <si>
    <t>ICICI Prudential Fixed Maturity Plan-Series 74-1092 Days Plan G - Direct Plan - Dividend</t>
  </si>
  <si>
    <t>INF109KA1TI5</t>
  </si>
  <si>
    <t>ICICI Prudential Fixed Maturity Plan-Series 74-1092 Days Plan G - Dividend</t>
  </si>
  <si>
    <t>INF109KA1VB6</t>
  </si>
  <si>
    <t>ICICI Prudential Fixed Maturity Plan - Series 74 - 1092 Days Plan P - Cumulative Option</t>
  </si>
  <si>
    <t>INF109KA1VC4</t>
  </si>
  <si>
    <t>ICICI Prudential Fixed Maturity Plan - Series 74 - 1092 Days Plan P - Dividend Option</t>
  </si>
  <si>
    <t>INF109KA1VE0</t>
  </si>
  <si>
    <t>ICICI Prudential Fixed Maturity Plan - Series 74 - 1092 Days Plan P Direct Plan Dividend Option</t>
  </si>
  <si>
    <t>INF109KA1VD2</t>
  </si>
  <si>
    <t>ICICI Prudential Fixed Maturity Plan - Series 74 - 1092 Days Plan P Direct Plan-Cumulative Option</t>
  </si>
  <si>
    <t>INF109KB1CP5</t>
  </si>
  <si>
    <t>ICICI Prudential Fixed Maturity Plan-Series 74-367 Days Plan C - Cumulative</t>
  </si>
  <si>
    <t>INF109KB1CR1</t>
  </si>
  <si>
    <t>ICICI Prudential Fixed Maturity Plan-Series 74-367 Days Plan C - Direct Plan - Cumulative</t>
  </si>
  <si>
    <t>INF109KB1CQ3</t>
  </si>
  <si>
    <t>ICICI Prudential Fixed Maturity Plan-Series 74-367 Days Plan C - Dividend</t>
  </si>
  <si>
    <t>INF109KB1DY5</t>
  </si>
  <si>
    <t>ICICI Prudential Fixed Maturity Plan-Series 74-367 Days Plan D - Cumulative</t>
  </si>
  <si>
    <t>INF109KB1EK2</t>
  </si>
  <si>
    <t>ICICI Prudential Fixed Maturity Plan-Series 74-367 Days Plan D - Direct Plan - Cumulative</t>
  </si>
  <si>
    <t>INF109KB1DZ2</t>
  </si>
  <si>
    <t>ICICI Prudential Fixed Maturity Plan-Series 74-367 Days Plan D - Dividend</t>
  </si>
  <si>
    <t>INF109KB1DV1</t>
  </si>
  <si>
    <t>ICICI Prudential Fixed Maturity Plan Series 74 368 Days Plan H Cumulative Option</t>
  </si>
  <si>
    <t>INF109KB1DW9</t>
  </si>
  <si>
    <t>ICICI Prudential Fixed Maturity Plan Series 74 368 Days Plan H Direct Plan Cumulative Option</t>
  </si>
  <si>
    <t>INF109KB1EJ4</t>
  </si>
  <si>
    <t>ICICI Prudential Fixed Maturity Plan Series 74 368 Days Plan H Dividend Option</t>
  </si>
  <si>
    <t>INF109KB1EX5</t>
  </si>
  <si>
    <t>ICICI Prudential Fixed Maturity Plan -Series 74 -368 Days Plan J Cumulative Option</t>
  </si>
  <si>
    <t>INF109KB1FA0</t>
  </si>
  <si>
    <t>ICICI Prudential Fixed Maturity Plan -Series 74 -368 Days Plan J Direct Plan Dividend Option</t>
  </si>
  <si>
    <t>INF109KB1EZ0</t>
  </si>
  <si>
    <t>ICICI Prudential Fixed Maturity Plan -Series 74 -368 Days Plan J Direct Plan-Cumulative Option</t>
  </si>
  <si>
    <t>INF109KB1EY3</t>
  </si>
  <si>
    <t>ICICI Prudential Fixed Maturity Plan -Series 74 -368 Days Plan J Dividend Option</t>
  </si>
  <si>
    <t>INF109KB1CT7</t>
  </si>
  <si>
    <t>ICICI Prudential Fixed Maturity Plan-Series 74-369 Days Plan B - Cumulative</t>
  </si>
  <si>
    <t>INF109KB1CV3</t>
  </si>
  <si>
    <t>ICICI Prudential Fixed Maturity Plan-Series 74-369 Days Plan B - Direct Plan - Cumulative</t>
  </si>
  <si>
    <t>INF109KB1CW1</t>
  </si>
  <si>
    <t>ICICI Prudential Fixed Maturity Plan-Series 74-369 Days Plan B - Direct Plan - Dividend</t>
  </si>
  <si>
    <t>INF109KB1CU5</t>
  </si>
  <si>
    <t>ICICI Prudential Fixed Maturity Plan-Series 74-369 Days Plan B - Dividend</t>
  </si>
  <si>
    <t>INF109KB1CX9</t>
  </si>
  <si>
    <t>ICICI Prudential Fixed Maturity Plan-Series 74-369 Days Plan F - Cumulative</t>
  </si>
  <si>
    <t>INF109KB1CZ4</t>
  </si>
  <si>
    <t>ICICI Prudential Fixed Maturity Plan-Series 74-369 Days Plan F - Direct Plan - Cumulative</t>
  </si>
  <si>
    <t>INF109KB1FB8</t>
  </si>
  <si>
    <t>ICICI Prudential Fixed Maturity Plan -Series 74 -369 Days Plan I - Cumulative Option</t>
  </si>
  <si>
    <t>INF109KB1FC6</t>
  </si>
  <si>
    <t>ICICI Prudential Fixed Maturity Plan -Series 74 -369 Days Plan I - Dividend Option</t>
  </si>
  <si>
    <t>INF109KB1FE2</t>
  </si>
  <si>
    <t>ICICI Prudential Fixed Maturity Plan -Series 74 -369 Days Plan I Direct Plan Dividend Option</t>
  </si>
  <si>
    <t>INF109KB1FD4</t>
  </si>
  <si>
    <t>ICICI Prudential Fixed Maturity Plan -Series 74-369 Days Plan I Direct Plan Cumulative Option</t>
  </si>
  <si>
    <t>INF109KB1FM5</t>
  </si>
  <si>
    <t>ICICI Prudential Fixed Maturity Plan - Series 74 - 369 Days Plan K - Cumulative Option</t>
  </si>
  <si>
    <t>INF109KB1FJ1</t>
  </si>
  <si>
    <t>ICICI Prudential Fixed Maturity Plan - Series 74 - 369 Days Plan K Direct Plan Dividend Option</t>
  </si>
  <si>
    <t>INF109KB1FL7</t>
  </si>
  <si>
    <t>ICICI Prudential Fixed Maturity Plan -Series 74 - 369 Days Plan K - Dividend Option</t>
  </si>
  <si>
    <t>INF109KB1FK9</t>
  </si>
  <si>
    <t>ICICI Prudential Fixed Maturity Plan -Series 74 -369 Days Plan K Direct Plan Cumulative Option</t>
  </si>
  <si>
    <t>INF109KB1GR2</t>
  </si>
  <si>
    <t>ICICI Prudential Fixed Maturity Plan -Series 74 -369 Days Plan L - Cumulative Option</t>
  </si>
  <si>
    <t>INF109KB1GS0</t>
  </si>
  <si>
    <t>ICICI Prudential Fixed Maturity Plan -Series 74 -369 Days Plan L - Dividend Option</t>
  </si>
  <si>
    <t>INF109KB1GP6</t>
  </si>
  <si>
    <t>ICICI Prudential Fixed Maturity Plan -Series 74 -369 Days Plan L Direct Plan Cumulative Option</t>
  </si>
  <si>
    <t>INF109KB1GQ4</t>
  </si>
  <si>
    <t>ICICI Prudential Fixed Maturity Plan-Series 74- 369 Days Plan L Direct Plan Dividend Option</t>
  </si>
  <si>
    <t>INF109KB1CL4</t>
  </si>
  <si>
    <t>ICICI Prudential Fixed Maturity Plan-Series 74-370 Days Plan A - Cumulative</t>
  </si>
  <si>
    <t>INF109KB1CN0</t>
  </si>
  <si>
    <t>ICICI Prudential Fixed Maturity Plan-Series 74-370 Days Plan A - Direct Plan - Cumulative</t>
  </si>
  <si>
    <t>INF109KB1CO8</t>
  </si>
  <si>
    <t>ICICI Prudential Fixed Maturity Plan-Series 74-370 Days Plan A - Direct Plan - Dividend</t>
  </si>
  <si>
    <t>INF109KB1CM2</t>
  </si>
  <si>
    <t>ICICI Prudential Fixed Maturity Plan-Series 74-370 Days Plan A - Dividend</t>
  </si>
  <si>
    <t>INF109KB1HV2</t>
  </si>
  <si>
    <t>ICICI Prudential Fixed Maturity Plan -Series 74 -370 Days Plan S  Cumulative Option</t>
  </si>
  <si>
    <t>INF109KB1HX8</t>
  </si>
  <si>
    <t>ICICI Prudential Fixed Maturity Plan -Series 74 -370 Days Plan S Direct Plan Cumulative Option</t>
  </si>
  <si>
    <t>INF109KB1HY6</t>
  </si>
  <si>
    <t>ICICI Prudential Fixed Maturity Plan -Series 74 -370 Days Plan S Direct Plan Dividend Option</t>
  </si>
  <si>
    <t>INF109KB1HW0</t>
  </si>
  <si>
    <t>ICICI Prudential Fixed Maturity Plan -Series 74 -370 Days Plan S Dividend Option</t>
  </si>
  <si>
    <t>INF109KB1ON5</t>
  </si>
  <si>
    <t>ICICI Prudential Multiple Yield Fund - Series 10 - 1775 Days Plan A Cumulative Option</t>
  </si>
  <si>
    <t>INF109KB1OP0</t>
  </si>
  <si>
    <t>ICICI Prudential Multiple Yield Fund - Series 10 - 1775 Days Plan A Direct Plan Cumulative Option</t>
  </si>
  <si>
    <t>INF109KB1OQ8</t>
  </si>
  <si>
    <t>ICICI Prudential Multiple Yield Fund - Series 10 - 1775 Days Plan A Direct Plan Dividend Option</t>
  </si>
  <si>
    <t>INF109KB1OO3</t>
  </si>
  <si>
    <t>ICICI Prudential Multiple Yield Fund - Series 10 - 1775 Days Plan A Dividend Option</t>
  </si>
  <si>
    <t>INF109KB1PD3</t>
  </si>
  <si>
    <t>ICICI Prudential Multiple Yield Fund - Series 10 - 1825 Days Plan B Cumulative Option</t>
  </si>
  <si>
    <t>INF109KB1PE1</t>
  </si>
  <si>
    <t>ICICI Prudential Multiple Yield Fund - Series 10 - 1825 Days Plan B Direct Plan Cumulative Option</t>
  </si>
  <si>
    <t>INF109KB1PF8</t>
  </si>
  <si>
    <t>ICICI Prudential Multiple Yield Fund - Series 10 - 1825 Days Plan B Direct Plan Dividend Option</t>
  </si>
  <si>
    <t>INF109KB1PG6</t>
  </si>
  <si>
    <t>ICICI Prudential Multiple Yield Fund - Series 10 - 1825 Days Plan B Dividend Option</t>
  </si>
  <si>
    <t>INF109KB1YE3</t>
  </si>
  <si>
    <t>ICICI Prudential Multiple Yield Fund - Series 11 - Plan A 1427 Days Cumulative Option</t>
  </si>
  <si>
    <t>INF109KB1YC7</t>
  </si>
  <si>
    <t>ICICI Prudential Multiple Yield Fund - Series 11 - Plan A 1427 Days Direct Plan Cumulative Option</t>
  </si>
  <si>
    <t>INF109KB1YD5</t>
  </si>
  <si>
    <t>ICICI Prudential Multiple Yield Fund - Series 11 - Plan A 1427 Days Direct Plan Dividend Option</t>
  </si>
  <si>
    <t>INF109KB1YF0</t>
  </si>
  <si>
    <t>ICICI Prudential Multiple Yield Fund - Series 11 - Plan A 1427 Days Dividend Option</t>
  </si>
  <si>
    <t>INF109KB1ZW2</t>
  </si>
  <si>
    <t>ICICI Prudential Multiple Yield Fund - Series 11 - Plan B 1394 Days Cumulative Option</t>
  </si>
  <si>
    <t>INF109KB1ZU6</t>
  </si>
  <si>
    <t>ICICI Prudential Multiple Yield Fund - Series 11 - Plan B 1394 Days Direct Plan Cumulative Option</t>
  </si>
  <si>
    <t>INF109KB1ZV4</t>
  </si>
  <si>
    <t>ICICI Prudential Multiple Yield Fund - Series 11 - Plan B 1394 Days Direct Plan Dividend Option</t>
  </si>
  <si>
    <t>INF109KB1ZX0</t>
  </si>
  <si>
    <t>ICICI Prudential Multiple Yield Fund - Series 11 - Plan B 1394 Days Dividend Option</t>
  </si>
  <si>
    <t>INF109KB1G50</t>
  </si>
  <si>
    <t>ICICI Prudential Multiple Yield Fund - Series 11 - Plan C 1387 Days Cumulative Option</t>
  </si>
  <si>
    <t>INF109KB1G35</t>
  </si>
  <si>
    <t>ICICI Prudential Multiple Yield Fund - Series 11 - Plan C 1387 Days Direct Plan Cumulative Option</t>
  </si>
  <si>
    <t>INF109KB1G27</t>
  </si>
  <si>
    <t>ICICI Prudential Multiple Yield Fund - Series 11 - Plan C 1387 Days Direct Plan Dividend Option</t>
  </si>
  <si>
    <t>INF109KB1G43</t>
  </si>
  <si>
    <t>ICICI Prudential Multiple Yield Fund - Series 11 - Plan C 1387 Days Dividend Option</t>
  </si>
  <si>
    <t>INF109KB1J24</t>
  </si>
  <si>
    <t>ICICI Prudential Multiple Yield Fund - Series 11 - Plan D 1361 Days - Cumulative Option</t>
  </si>
  <si>
    <t>INF109KB1J08</t>
  </si>
  <si>
    <t>ICICI Prudential Multiple Yield Fund - Series 11 - Plan D 1361 Days - Direct Plan - Cumulative Option</t>
  </si>
  <si>
    <t>INF109KB1J16</t>
  </si>
  <si>
    <t>ICICI Prudential Multiple Yield Fund - Series 11 - Plan D 1361 Days - Direct Plan - Dividend Option</t>
  </si>
  <si>
    <t>INF109KB1J32</t>
  </si>
  <si>
    <t>ICICI Prudential Multiple Yield Fund - Series 11 - Plan D 1361 Days - Dividend Option</t>
  </si>
  <si>
    <t>INF109KC1630</t>
  </si>
  <si>
    <t>ICICI Prudential Multiple Yield Fund - Series 14 - Plan A 1228 Days Cumulative Option</t>
  </si>
  <si>
    <t>INF109KC1655</t>
  </si>
  <si>
    <t>ICICI Prudential Multiple Yield Fund - Series 14 - Plan A 1228 Days Direct Plan Cumulative Option</t>
  </si>
  <si>
    <t>INF109KC1663</t>
  </si>
  <si>
    <t>ICICI Prudential Multiple Yield Fund - Series 14 - Plan A 1228 Days Direct Plan IDCW Option</t>
  </si>
  <si>
    <t>INF109KC1648</t>
  </si>
  <si>
    <t>ICICI Prudential Multiple Yield Fund - Series 14 - Plan A 1228 Days IDCW Option</t>
  </si>
  <si>
    <t>INF109K017R5</t>
  </si>
  <si>
    <t>ICICI Prudential Multiple Yield Fund - Series 3 - Plan A - Cumulative</t>
  </si>
  <si>
    <t>INF109K019R1</t>
  </si>
  <si>
    <t>ICICI Prudential Multiple Yield Fund - Series 3 - Plan A - Direct Plan - Cumulative</t>
  </si>
  <si>
    <t>INF109K010S8</t>
  </si>
  <si>
    <t>ICICI Prudential Multiple Yield Fund - Series 3 - Plan A - Direct Plan - Dividend</t>
  </si>
  <si>
    <t>INF109K018R3</t>
  </si>
  <si>
    <t>ICICI Prudential Multiple Yield Fund - Series 3 - Plan A -Dividend</t>
  </si>
  <si>
    <t>INF109K013X2</t>
  </si>
  <si>
    <t>ICICI Prudential Multiple Yield Fund - Series 3 - Plan B - Cumulative</t>
  </si>
  <si>
    <t>INF109K015X7</t>
  </si>
  <si>
    <t>ICICI Prudential Multiple Yield Fund - Series 3 - Plan B - Direct Plan - Cumulative</t>
  </si>
  <si>
    <t>INF109K016X5</t>
  </si>
  <si>
    <t>ICICI Prudential Multiple Yield Fund - Series 3 - Plan B - Direct Plan - Dividend</t>
  </si>
  <si>
    <t>INF109K014X0</t>
  </si>
  <si>
    <t>ICICI Prudential Multiple Yield Fund - Series 3 - Plan B -Dividend</t>
  </si>
  <si>
    <t>INF109KA1087</t>
  </si>
  <si>
    <t>ICICI Prudential Multiple Yield Fund - Series 3 - Plan C - Cumulative</t>
  </si>
  <si>
    <t>INF109KA1079</t>
  </si>
  <si>
    <t>ICICI Prudential Multiple Yield Fund - Series 3 - Plan C - Direct Plan - Cumulative</t>
  </si>
  <si>
    <t>INF109KA1061</t>
  </si>
  <si>
    <t>ICICI Prudential Multiple Yield Fund - Series 3 - Plan C - Direct Plan - Dividend</t>
  </si>
  <si>
    <t>INF109KA1095</t>
  </si>
  <si>
    <t>ICICI Prudential Multiple Yield Fund - Series 3 - Plan C -Dividend</t>
  </si>
  <si>
    <t>INF109KB1WM0</t>
  </si>
  <si>
    <t>ICICI Prudential Multiple Yield Fund - Series 3 - Plan D - Cumulative</t>
  </si>
  <si>
    <t>INF109KB1WO6</t>
  </si>
  <si>
    <t>ICICI Prudential Multiple Yield Fund - Series 3 - Plan D - Direct Plan - Cumulative</t>
  </si>
  <si>
    <t>INF109KB1WP3</t>
  </si>
  <si>
    <t>ICICI Prudential Multiple Yield Fund - Series 3 - Plan D - Direct Plan - Dividend</t>
  </si>
  <si>
    <t>INF109KB1WN8</t>
  </si>
  <si>
    <t>ICICI Prudential Multiple Yield Fund - Series 3 - Plan D -Dividend</t>
  </si>
  <si>
    <t>INF109KA1442</t>
  </si>
  <si>
    <t>ICICI Prudential Multiple Yield Fund - Series 4 - 1100 Days - Plan C - Cumulative</t>
  </si>
  <si>
    <t>INF109KA1467</t>
  </si>
  <si>
    <t>ICICI Prudential Multiple Yield Fund - Series 4 - 1100 Days - Plan C - Direct Plan - Cumulative</t>
  </si>
  <si>
    <t>INF109KA1475</t>
  </si>
  <si>
    <t>ICICI Prudential Multiple Yield Fund - Series 4 - 1100 Days - Plan C - Direct Plan - Dividend</t>
  </si>
  <si>
    <t>INF109KA1459</t>
  </si>
  <si>
    <t>ICICI Prudential Multiple Yield Fund - Series 4 - 1100 Days - Plan C - Dividend</t>
  </si>
  <si>
    <t>INF109KA1806</t>
  </si>
  <si>
    <t>ICICI Prudential Multiple Yield Fund - Series 4 - 1100 Days - Plan E - Cumulative</t>
  </si>
  <si>
    <t>INF109KA1822</t>
  </si>
  <si>
    <t>ICICI Prudential Multiple Yield Fund - Series 4 - 1100 Days - Plan E - Direct Plan - Cumulative</t>
  </si>
  <si>
    <t>INF109KA1830</t>
  </si>
  <si>
    <t>ICICI Prudential Multiple Yield Fund - Series 4 - 1100 Days - Plan E - Direct Plan - Dividend</t>
  </si>
  <si>
    <t>INF109KA1814</t>
  </si>
  <si>
    <t>ICICI Prudential Multiple Yield Fund - Series 4 - 1100 Days - Plan E -Dividend</t>
  </si>
  <si>
    <t>INF109KA1285</t>
  </si>
  <si>
    <t>ICICI Prudential Multiple Yield Fund - Series 4 - 1825 Days - Plan A - Direct Plan - Cumulative</t>
  </si>
  <si>
    <t>INF109KA1293</t>
  </si>
  <si>
    <t>ICICI Prudential Multiple Yield Fund - Series 4 - 1825 Days - Plan A - Direct Plan - Dividend</t>
  </si>
  <si>
    <t>INF109KA1277</t>
  </si>
  <si>
    <t>ICICI Prudential Multiple Yield Fund - Series 4 - 1825 Days - Plan A - Dividend</t>
  </si>
  <si>
    <t>INF109KA1269</t>
  </si>
  <si>
    <t>ICICI Prudential Multiple Yield Fund - Series 4 - 1825 Days - Plan A -Cumulative</t>
  </si>
  <si>
    <t>INF109KA1483</t>
  </si>
  <si>
    <t>ICICI Prudential Multiple Yield Fund - Series 4 - 1825 Days - Plan B - Cumulative</t>
  </si>
  <si>
    <t>INF109KA1509</t>
  </si>
  <si>
    <t>ICICI Prudential Multiple Yield Fund - Series 4 - 1825 Days - Plan B - Direct Plan - Cumulative</t>
  </si>
  <si>
    <t>INF109KA1517</t>
  </si>
  <si>
    <t>ICICI Prudential Multiple Yield Fund - Series 4 - 1825 Days - Plan B - Direct Plan - Dividend</t>
  </si>
  <si>
    <t>INF109KA1491</t>
  </si>
  <si>
    <t>ICICI Prudential Multiple Yield Fund - Series 4 - 1825 Days - Plan B -Dividend</t>
  </si>
  <si>
    <t>INF109KA1566</t>
  </si>
  <si>
    <t>ICICI Prudential Multiple Yield Fund - Series 4 - 1825 Days - Plan D - Cumulative</t>
  </si>
  <si>
    <t>INF109KA1582</t>
  </si>
  <si>
    <t>ICICI Prudential Multiple Yield Fund - Series 4 - 1825 Days - Plan D - Direct Plan - Cumulative</t>
  </si>
  <si>
    <t>INF109KA1590</t>
  </si>
  <si>
    <t>ICICI Prudential Multiple Yield Fund - Series 4 - 1825 Days - Plan D - Direct Plan - Dividend</t>
  </si>
  <si>
    <t>INF109KA1574</t>
  </si>
  <si>
    <t>ICICI Prudential Multiple Yield Fund - Series 4 - 1825 Days - Plan D -Dividend</t>
  </si>
  <si>
    <t>INF109KA1DH1</t>
  </si>
  <si>
    <t>ICICI Prudential Multiple Yield Fund - Series 5 - 1100 Days - Plan A - Cumulative</t>
  </si>
  <si>
    <t>INF109KA1DF5</t>
  </si>
  <si>
    <t>ICICI Prudential Multiple Yield Fund - Series 5 - 1100 Days - Plan A - Direct Plan - Cumulative</t>
  </si>
  <si>
    <t>INF109KA1DG3</t>
  </si>
  <si>
    <t>ICICI Prudential Multiple Yield Fund - Series 5 - 1100 Days - Plan A - Direct Plan - Dividend</t>
  </si>
  <si>
    <t>INF109KA1DI9</t>
  </si>
  <si>
    <t>ICICI Prudential Multiple Yield Fund - Series 5 - 1100 Days - Plan A - Dividend</t>
  </si>
  <si>
    <t>INF109KA1HB5</t>
  </si>
  <si>
    <t>ICICI Prudential Multiple Yield Fund - Series 5 - 1100 Days - Plan B - Direct Plan - Cumulative</t>
  </si>
  <si>
    <t>INF109KA1HC3</t>
  </si>
  <si>
    <t>ICICI Prudential Multiple Yield Fund - Series 5 - 1100 Days - Plan B - Direct Plan - Dividend</t>
  </si>
  <si>
    <t>INF109KA1HE9</t>
  </si>
  <si>
    <t>ICICI Prudential Multiple Yield Fund - Series 5 - 1100 Days - Plan B - Dividend</t>
  </si>
  <si>
    <t>INF109KA1HD1</t>
  </si>
  <si>
    <t>ICICI Prudential Multiple Yield Fund - Series 5 - 1100 Days - Plan B -Cumulative</t>
  </si>
  <si>
    <t>INF109KA1JP1</t>
  </si>
  <si>
    <t>ICICI Prudential Multiple Yield Fund - Series 5 - 1100 Days - Plan D - Direct Plan - Cumulative</t>
  </si>
  <si>
    <t>INF109KA1JQ9</t>
  </si>
  <si>
    <t>ICICI Prudential Multiple Yield Fund - Series 5 - 1100 Days - Plan D - Direct Plan - Dividend</t>
  </si>
  <si>
    <t>INF109KA1JN6</t>
  </si>
  <si>
    <t>ICICI Prudential Multiple Yield Fund - Series 5 - 1100 Days - Plan D -Cumulative</t>
  </si>
  <si>
    <t>INF109KA1JO4</t>
  </si>
  <si>
    <t>ICICI Prudential Multiple Yield Fund - Series 5 - 1100 Days - Plan D -Dividend</t>
  </si>
  <si>
    <t>INF109KA1JJ4</t>
  </si>
  <si>
    <t>ICICI Prudential Multiple Yield Fund - Series 5 - 1825 Days - Plan C - Cumulative</t>
  </si>
  <si>
    <t>INF109KA1JL0</t>
  </si>
  <si>
    <t>ICICI Prudential Multiple Yield Fund - Series 5 - 1825 Days - Plan C - Direct Plan - Cumulative</t>
  </si>
  <si>
    <t>INF109KA1JK2</t>
  </si>
  <si>
    <t>ICICI Prudential Multiple Yield Fund - Series 5 - 1825 Days - Plan C - Dividend</t>
  </si>
  <si>
    <t>INF109KA1ND9</t>
  </si>
  <si>
    <t>ICICI Prudential Multiple Yield Fund - Series 6 - 1100 Days - Plan A - Direct Plan - Cumulative</t>
  </si>
  <si>
    <t>INF109KA1NB3</t>
  </si>
  <si>
    <t>ICICI Prudential Multiple Yield Fund - Series 6 - 1100 Days - Plan A -Cumulative</t>
  </si>
  <si>
    <t>INF109KA1NC1</t>
  </si>
  <si>
    <t>ICICI Prudential Multiple Yield Fund - Series 6 - 1100 Days - Plan A -Dividend</t>
  </si>
  <si>
    <t>INF109KA1SP2</t>
  </si>
  <si>
    <t>ICICI Prudential Multiple Yield Fund - Series 6 - 1100 Days - Plan E - Direct Plan - Cumulative</t>
  </si>
  <si>
    <t>INF109KA1SQ0</t>
  </si>
  <si>
    <t>ICICI Prudential Multiple Yield Fund - Series 6 - 1100 Days - Plan E - Direct Plan - Dividend</t>
  </si>
  <si>
    <t>INF109KA1SN7</t>
  </si>
  <si>
    <t>ICICI Prudential Multiple Yield Fund - Series 6 - 1100 Days - Plan E -Cumulative</t>
  </si>
  <si>
    <t>INF109KA1SO5</t>
  </si>
  <si>
    <t>ICICI Prudential Multiple Yield Fund - Series 6 - 1100 Days - Plan E -Dividend</t>
  </si>
  <si>
    <t>INF109KA1PP8</t>
  </si>
  <si>
    <t>ICICI Prudential Multiple Yield Fund - Series 6 - 1125 Days - Plan B - Cumulative</t>
  </si>
  <si>
    <t>INF109KA1PR4</t>
  </si>
  <si>
    <t>ICICI Prudential Multiple Yield Fund - Series 6 - 1125 Days - Plan B - Direct Plan - Cumulative</t>
  </si>
  <si>
    <t>INF109KA1PS2</t>
  </si>
  <si>
    <t>ICICI Prudential Multiple Yield Fund - Series 6 - 1125 Days - Plan B - Direct Plan - Dividend</t>
  </si>
  <si>
    <t>INF109KA1PQ6</t>
  </si>
  <si>
    <t>ICICI Prudential Multiple Yield Fund - Series 6 - 1125 Days - Plan B - Dividend</t>
  </si>
  <si>
    <t>INF109KA1RD0</t>
  </si>
  <si>
    <t>ICICI Prudential Multiple Yield Fund - Series 6 - 1825 Days - Plan C - Cumulative</t>
  </si>
  <si>
    <t>INF109KA1RF5</t>
  </si>
  <si>
    <t>ICICI Prudential Multiple Yield Fund - Series 6 - 1825 Days - Plan C - Direct Plan - Cumulative</t>
  </si>
  <si>
    <t>INF109KA1RG3</t>
  </si>
  <si>
    <t>ICICI Prudential Multiple Yield Fund - Series 6 - 1825 Days - Plan C - Direct Plan - Dividend</t>
  </si>
  <si>
    <t>INF109KA1RE8</t>
  </si>
  <si>
    <t>ICICI Prudential Multiple Yield Fund - Series 6 - 1825 Days - Plan C -Dividend</t>
  </si>
  <si>
    <t>INF109KA1TT2</t>
  </si>
  <si>
    <t>ICICI Prudential Multiple Yield Fund - Series 6 - 1825 Days Plan D Cumulative Option</t>
  </si>
  <si>
    <t>INF109KA1TV8</t>
  </si>
  <si>
    <t>ICICI Prudential Multiple Yield Fund - Series 6 - 1825 Days Plan D Direct Plan Cumulative Option</t>
  </si>
  <si>
    <t>INF109KA1TW6</t>
  </si>
  <si>
    <t>ICICI Prudential Multiple Yield Fund - Series 6 - 1825 Days Plan D Direct Plan- Dividend Option</t>
  </si>
  <si>
    <t>INF109KA1TU0</t>
  </si>
  <si>
    <t>ICICI Prudential Multiple Yield Fund - Series 6 - 1825 Days Plan D Dividend Option</t>
  </si>
  <si>
    <t>INF109KA1T81</t>
  </si>
  <si>
    <t>ICICI Prudential Multiple Yield Fund - Series 7 - 1100 Days Plan F Cumulative Option</t>
  </si>
  <si>
    <t>INF109KA1U05</t>
  </si>
  <si>
    <t>ICICI Prudential Multiple Yield Fund - Series 7 - 1100 Days Plan F Direct Plan Cumulative Option</t>
  </si>
  <si>
    <t>INF109KA1U13</t>
  </si>
  <si>
    <t>ICICI Prudential Multiple Yield Fund - Series 7 - 1100 Days Plan F Direct Plan Dividend Option</t>
  </si>
  <si>
    <t>INF109KA1T99</t>
  </si>
  <si>
    <t>ICICI Prudential Multiple Yield Fund - Series 7 - 1100 Days Plan F Dividend Option</t>
  </si>
  <si>
    <t>INF109KA1R75</t>
  </si>
  <si>
    <t>ICICI Prudential Multiple Yield Fund - Series 7 - 1338 Days Plan D  Dividend Option</t>
  </si>
  <si>
    <t>INF109KA1R67</t>
  </si>
  <si>
    <t>ICICI Prudential Multiple Yield Fund - Series 7 - 1338 Days Plan D Cumulative Option</t>
  </si>
  <si>
    <t>INF109KA1R83</t>
  </si>
  <si>
    <t>ICICI Prudential Multiple Yield Fund - Series 7 - 1338 Days Plan D Direct Plan Cumulative Option</t>
  </si>
  <si>
    <t>INF109KA1R91</t>
  </si>
  <si>
    <t>ICICI Prudential Multiple Yield Fund - Series 7 - 1338 Days Plan D Direct Plan Dividend Option</t>
  </si>
  <si>
    <t>INF109KA1YP0</t>
  </si>
  <si>
    <t>ICICI Prudential Multiple Yield Fund - Series 7 - 1825 Days Plan B Cumulative Option</t>
  </si>
  <si>
    <t>INF109KA1YN5</t>
  </si>
  <si>
    <t>ICICI Prudential Multiple Yield Fund - Series 7 - 1825 Days Plan B Direct Plan Cumulative Option</t>
  </si>
  <si>
    <t>INF109KA1YO3</t>
  </si>
  <si>
    <t>ICICI Prudential Multiple Yield Fund - Series 7 - 1825 Days Plan B Direct Plan Dividend Option</t>
  </si>
  <si>
    <t>INF109KA1YQ8</t>
  </si>
  <si>
    <t>ICICI Prudential Multiple Yield Fund - Series 7 - 1825 Days Plan B Dividend Option</t>
  </si>
  <si>
    <t>INF109KA1J83</t>
  </si>
  <si>
    <t>ICICI Prudential Multiple Yield Fund - Series 7 - 1825 Days Plan C Cumulative Option</t>
  </si>
  <si>
    <t>INF109KA1K07</t>
  </si>
  <si>
    <t>ICICI Prudential Multiple Yield Fund - Series 7 - 1825 Days Plan C Direct Plan Cumulative Option</t>
  </si>
  <si>
    <t>INF109KA1K15</t>
  </si>
  <si>
    <t>ICICI Prudential Multiple Yield Fund - Series 7 - 1825 Days Plan C Direct Plan Dividend Option</t>
  </si>
  <si>
    <t>INF109KA1J91</t>
  </si>
  <si>
    <t>ICICI Prudential Multiple Yield Fund - Series 7 - 1825 Days Plan C Dividend Option</t>
  </si>
  <si>
    <t>INF109KA1S25</t>
  </si>
  <si>
    <t>ICICI Prudential Multiple Yield Fund - Series 7 - 1825 Days Plan E Cumulative Option</t>
  </si>
  <si>
    <t>INF109KA1S41</t>
  </si>
  <si>
    <t>ICICI Prudential Multiple Yield Fund - Series 7 - 1825 Days Plan E Direct Plan Cumulative Option</t>
  </si>
  <si>
    <t>INF109KA1S58</t>
  </si>
  <si>
    <t>ICICI Prudential Multiple Yield Fund - Series 7 - 1825 Days Plan E Direct Plan Dividend Option</t>
  </si>
  <si>
    <t>INF109KA1S33</t>
  </si>
  <si>
    <t>ICICI Prudential Multiple Yield Fund - Series 7 - 1825 Days Plan E Dividend Option</t>
  </si>
  <si>
    <t>INF109KA16L4</t>
  </si>
  <si>
    <t>ICICI Prudential Multiple Yield Fund - Series 8 -1101 Days Plan E Cumulative Option</t>
  </si>
  <si>
    <t>INF109KA18L0</t>
  </si>
  <si>
    <t>ICICI Prudential Multiple Yield Fund - Series 8 -1101 Days Plan E Direct Plan Cumulative Option</t>
  </si>
  <si>
    <t>INF109KA17L2</t>
  </si>
  <si>
    <t>ICICI Prudential Multiple Yield Fund - Series 8 -1101 Days Plan E Dividend Option</t>
  </si>
  <si>
    <t>INF109KA16F6</t>
  </si>
  <si>
    <t>ICICI Prudential Multiple Yield Fund - Series 8 - 1103 Days Plan C Cumulative Option</t>
  </si>
  <si>
    <t>INF109KA18F2</t>
  </si>
  <si>
    <t>ICICI Prudential Multiple Yield Fund - Series 8 - 1103 Days Plan C Direct Plan Cumulative Option</t>
  </si>
  <si>
    <t>INF109KA19F0</t>
  </si>
  <si>
    <t>ICICI Prudential Multiple Yield Fund - Series 8 - 1103 Days Plan C Direct Plan Dividend Option</t>
  </si>
  <si>
    <t>INF109KA17F4</t>
  </si>
  <si>
    <t>ICICI Prudential Multiple Yield Fund - Series 8 - 1103 Days Plan C Dividend Option</t>
  </si>
  <si>
    <t>INF109KA10T0</t>
  </si>
  <si>
    <t>ICICI Prudential Multiple Yield Fund - Series 8 - 1103 Days Plan F Cumulative Option</t>
  </si>
  <si>
    <t>INF109KA12T6</t>
  </si>
  <si>
    <t>ICICI Prudential Multiple Yield Fund - Series 8 - 1103 Days Plan F Direct Plan Cumulative Option</t>
  </si>
  <si>
    <t>INF109KA13T4</t>
  </si>
  <si>
    <t>ICICI Prudential Multiple Yield Fund - Series 8 - 1103 Days Plan F Direct Plan Dividend Option</t>
  </si>
  <si>
    <t>INF109KA11T8</t>
  </si>
  <si>
    <t>ICICI Prudential Multiple Yield Fund - Series 8 - 1103 Days Plan F Dividend Option</t>
  </si>
  <si>
    <t>INF109KA18J4</t>
  </si>
  <si>
    <t>ICICI Prudential Multiple Yield Fund - Series 8 -1822 Days Plan D Cumulative Option</t>
  </si>
  <si>
    <t>INF109KA10K9</t>
  </si>
  <si>
    <t>ICICI Prudential Multiple Yield Fund - Series 8 -1822 Days Plan D Direct Plan Cumulative Option</t>
  </si>
  <si>
    <t>INF109KA11K7</t>
  </si>
  <si>
    <t>ICICI Prudential Multiple Yield Fund - Series 8 -1822 Days Plan D Direct Plan Dividend Option</t>
  </si>
  <si>
    <t>INF109KA19J2</t>
  </si>
  <si>
    <t>ICICI Prudential Multiple Yield Fund - Series 8 -1822 Days Plan D Dividend Option</t>
  </si>
  <si>
    <t>INF109KA16B5</t>
  </si>
  <si>
    <t>ICICI Prudential Multiple Yield Fund - Series 8 - 1824 Days Plan A Cumulative Option</t>
  </si>
  <si>
    <t>INF109KA18B1</t>
  </si>
  <si>
    <t>ICICI Prudential Multiple Yield Fund - Series 8 - 1824 Days Plan A Direct Plan Cumulative Option</t>
  </si>
  <si>
    <t>INF109KA19B9</t>
  </si>
  <si>
    <t>ICICI Prudential Multiple Yield Fund - Series 8 - 1824 Days Plan A Direct Plan Dividend Option</t>
  </si>
  <si>
    <t>INF109KA17B3</t>
  </si>
  <si>
    <t>ICICI Prudential Multiple Yield Fund - Series 8 - 1824 Days Plan A Dividend Option</t>
  </si>
  <si>
    <t>INF109KB1714</t>
  </si>
  <si>
    <t>ICICI Prudential Multiple Yield Fund - Series 9 - 1140 Days Plan A Cumulative Option</t>
  </si>
  <si>
    <t>INF109KB1730</t>
  </si>
  <si>
    <t>ICICI Prudential Multiple Yield Fund - Series 9 - 1140 Days Plan A Direct Plan Cumulative Option</t>
  </si>
  <si>
    <t>INF109KB1748</t>
  </si>
  <si>
    <t>ICICI Prudential Multiple Yield Fund - Series 9 - 1140 Days Plan A Direct Plan Dividend Option</t>
  </si>
  <si>
    <t>INF109KB1722</t>
  </si>
  <si>
    <t>ICICI Prudential Multiple Yield Fund - Series 9 - 1140 Days Plan A Dividend Option</t>
  </si>
  <si>
    <t>INF109KA1UX2</t>
  </si>
  <si>
    <t>ICICI Prudential Multiple Yield Fund - Series 6 - 1100 Days Plan F Cumulative Option</t>
  </si>
  <si>
    <t>INF109KA1UZ7</t>
  </si>
  <si>
    <t>ICICI Prudential Multiple Yield Fund - Series 6 - 1100 Days Plan F Direct Plan Cumulative Option</t>
  </si>
  <si>
    <t>INF109KA1VA8</t>
  </si>
  <si>
    <t>ICICI Prudential Multiple Yield Fund - Series 6 - 1100 Days Plan F Direct Plan- Dividend Option</t>
  </si>
  <si>
    <t>INF109KA1UY0</t>
  </si>
  <si>
    <t>ICICI Prudential Multiple Yield Fund - Series 6 - 1100 Days Plan F Dividend Option</t>
  </si>
  <si>
    <t>INF109KA1WV2</t>
  </si>
  <si>
    <t>ICICI Prudential Multiple Yield Fund - Series 7 - 1100 Days Plan A Cumulative Option</t>
  </si>
  <si>
    <t>INF109KA1WX8</t>
  </si>
  <si>
    <t>ICICI Prudential Multiple Yield Fund - Series 7 - 1100 Days Plan A Direct Plan Cumulative Option</t>
  </si>
  <si>
    <t>INF109KA1WY6</t>
  </si>
  <si>
    <t>ICICI Prudential Multiple Yield Fund - Series 7 - 1100 Days Plan A Direct Plan Dividend Option</t>
  </si>
  <si>
    <t>INF109KA1WW0</t>
  </si>
  <si>
    <t>ICICI Prudential Multiple Yield Fund - Series 7 - 1100 Days Plan A Dividend Option</t>
  </si>
  <si>
    <t>INF613Q01025</t>
  </si>
  <si>
    <t>Redeemed</t>
  </si>
  <si>
    <t>IL&amp;FS Infrastructure Debt Fund Series 1A - Dividend payout option</t>
  </si>
  <si>
    <t>INF613Q01017</t>
  </si>
  <si>
    <t>IL&amp;FS Infrastructure Debt Fund Series 1A - Growth</t>
  </si>
  <si>
    <t>INF613Q01058</t>
  </si>
  <si>
    <t>IL&amp;FS Infrastructure Debt Fund Series 1C - Growth</t>
  </si>
  <si>
    <t>INF613Q01066</t>
  </si>
  <si>
    <t>IL&amp;FS Infrastructure Debt Fund Series 1C- Dividend Payout Option</t>
  </si>
  <si>
    <t>INF613Q01140</t>
  </si>
  <si>
    <t>IL&amp;FS Infrastructure Debt Fund Series 2A - Growth - Direct</t>
  </si>
  <si>
    <t>INF613Q01157</t>
  </si>
  <si>
    <t>IL&amp;FS Infrastructure Debt Fund Series 2B - Growth - Direct</t>
  </si>
  <si>
    <t>INF613Q01165</t>
  </si>
  <si>
    <t>IL&amp;FS Infrastructure Debt Fund Series 2C - Growth - Direct</t>
  </si>
  <si>
    <t>INF613Q01082</t>
  </si>
  <si>
    <t>IL&amp;FS Infrastructure Debt Fund Series 3A - Dividend payout option - Direct</t>
  </si>
  <si>
    <t>INF613Q01074</t>
  </si>
  <si>
    <t>IL&amp;FS Infrastructure Debt Fund Series 3A - Growth - Direct</t>
  </si>
  <si>
    <t>INF613Q01090</t>
  </si>
  <si>
    <t>IL&amp;FS Infrastructure Debt Fund Series 3A - Growth - Regular</t>
  </si>
  <si>
    <t>INF613Q01041</t>
  </si>
  <si>
    <t>IL&amp;FS Infrastructure Debt Fund Series 1B - Dividend Payout</t>
  </si>
  <si>
    <t>INF613Q01033</t>
  </si>
  <si>
    <t>IL&amp;FS Infrastructure Debt Fund Series 1B - Growth</t>
  </si>
  <si>
    <t>INF174K01U50</t>
  </si>
  <si>
    <t>Kotak Capital Protection Oriented Scheme - Series 1 - Direct Dividend</t>
  </si>
  <si>
    <t>INF174K01U43</t>
  </si>
  <si>
    <t>Kotak Capital Protection Oriented Scheme - Series 1 - Direct Growth</t>
  </si>
  <si>
    <t>INF174K01U35</t>
  </si>
  <si>
    <t>Kotak Capital Protection Oriented Scheme - Series 1 - Regular Dividend</t>
  </si>
  <si>
    <t>INF174K01U27</t>
  </si>
  <si>
    <t>Kotak Capital Protection Oriented Scheme - Series 1 - Regular Growth</t>
  </si>
  <si>
    <t>INF174K011A4</t>
  </si>
  <si>
    <t>Kotak Capital Protection Oriented Scheme - Series 2 - Direct Dividend</t>
  </si>
  <si>
    <t>INF174K010A6</t>
  </si>
  <si>
    <t>Kotak Capital Protection Oriented Scheme - Series 2 - Direct Growth</t>
  </si>
  <si>
    <t>INF174K01Z97</t>
  </si>
  <si>
    <t>Kotak Capital Protection Oriented Scheme - Series 2 - Dividend</t>
  </si>
  <si>
    <t>INF174K01Z89</t>
  </si>
  <si>
    <t>Kotak Capital Protection Oriented Scheme - Series 2 - Growth</t>
  </si>
  <si>
    <t>INF174K010E8</t>
  </si>
  <si>
    <t>Kotak Capital Protection Oriented Scheme Series 3 - Direct Growth</t>
  </si>
  <si>
    <t>INF174K019D1</t>
  </si>
  <si>
    <t>Kotak Capital Protection Oriented Scheme Series 3 Regular Dividend Payout</t>
  </si>
  <si>
    <t>INF174K018D3</t>
  </si>
  <si>
    <t>Kotak Capital Protection Oriented Scheme Series 3 Regular Growth</t>
  </si>
  <si>
    <t>INF174K015G2</t>
  </si>
  <si>
    <t>Kotak Capital Protection Oriented Scheme - Series 4 - Direct Dividend</t>
  </si>
  <si>
    <t>INF174K014G5</t>
  </si>
  <si>
    <t>Kotak Capital Protection Oriented Scheme - Series 4 - Direct Growth</t>
  </si>
  <si>
    <t>INF174K013G7</t>
  </si>
  <si>
    <t>Kotak Capital Protection Oriented Scheme - Series 4 - Regular Dividend</t>
  </si>
  <si>
    <t>INF174K012G9</t>
  </si>
  <si>
    <t>Kotak Capital Protection Oriented Scheme - Series 4 - Regular Growth</t>
  </si>
  <si>
    <t>INF174KA1QU6</t>
  </si>
  <si>
    <t>Kotak Fixed Maturity Plan Series 328 - 90 Days - Direct Plan - Growth Option</t>
  </si>
  <si>
    <t>INF174KA1QV4</t>
  </si>
  <si>
    <t>Kotak Fixed Maturity Plan Series 328 - 90 Days - Direct Plan - IDCW Option</t>
  </si>
  <si>
    <t>INF174KA1QS0</t>
  </si>
  <si>
    <t>Kotak Fixed Maturity Plan Series 328 - 90 Days - Regular Plan - Growth Option</t>
  </si>
  <si>
    <t>INF174KA1QT8</t>
  </si>
  <si>
    <t>Kotak Fixed Maturity Plan Series 328 - 90 Days - Regular` Plan - IDCW Option</t>
  </si>
  <si>
    <t>INF174KA1RP4</t>
  </si>
  <si>
    <t>Kotak Fixed Maturity Plan Series 329 - 90 Days - Direct Plan - Growth Option</t>
  </si>
  <si>
    <t>INF174KA1RQ2</t>
  </si>
  <si>
    <t>Kotak Fixed Maturity Plan Series 329 - 90 Days - Direct Plan - IDCW Option</t>
  </si>
  <si>
    <t>INF174KA1RR0</t>
  </si>
  <si>
    <t>Kotak Fixed Maturity Plan Series 329 - 90 Days - Regular Plan - Growth Option</t>
  </si>
  <si>
    <t>INF174KA1RO7</t>
  </si>
  <si>
    <t>Kotak Fixed Maturity Plan Series 329 - 90 Days - Regular Plan - IDCW Option</t>
  </si>
  <si>
    <t>INF174K01ZA0</t>
  </si>
  <si>
    <t>Kotak FMP Series 105 Direct Dividend</t>
  </si>
  <si>
    <t>INF174K01YZ0</t>
  </si>
  <si>
    <t>Kotak FMP Series 105 Direct Growth</t>
  </si>
  <si>
    <t>INF174K01OY4</t>
  </si>
  <si>
    <t>Kotak FMP Series 105 Dividend</t>
  </si>
  <si>
    <t>INF174K01YX5</t>
  </si>
  <si>
    <t>Kotak FMP Series 105 Growth</t>
  </si>
  <si>
    <t>Kotak FMP Series 106 Direct Dividend</t>
  </si>
  <si>
    <t>INF174K01ZD4</t>
  </si>
  <si>
    <t>Kotak FMP Series 106 Direct Growth</t>
  </si>
  <si>
    <t>Kotak FMP Series 106 Dividend</t>
  </si>
  <si>
    <t>INF174K01ZB8</t>
  </si>
  <si>
    <t>Kotak FMP Series 106 Growth</t>
  </si>
  <si>
    <t>INF174K01ZI3</t>
  </si>
  <si>
    <t>Kotak FMP Series 107 Direct Dividend</t>
  </si>
  <si>
    <t>INF174K01ZH5</t>
  </si>
  <si>
    <t>Kotak FMP Series 107 Direct Growth</t>
  </si>
  <si>
    <t>INF174K01ZG7</t>
  </si>
  <si>
    <t>Kotak FMP Series 107 Dividend</t>
  </si>
  <si>
    <t>INF174K01ZF9</t>
  </si>
  <si>
    <t>Kotak FMP Series 107 Growth</t>
  </si>
  <si>
    <t>INF174K01PL8</t>
  </si>
  <si>
    <t>Kotak FMP Series 108 Direct Growth</t>
  </si>
  <si>
    <t>INF174K01PK0</t>
  </si>
  <si>
    <t>Kotak FMP Series 108 Dividend</t>
  </si>
  <si>
    <t>INF174K01PJ2</t>
  </si>
  <si>
    <t>Kotak FMP Series 108 Growth</t>
  </si>
  <si>
    <t>INF174K01QG6</t>
  </si>
  <si>
    <t>Kotak FMP Series 113 (1094 Days)  - Direct Dividend</t>
  </si>
  <si>
    <t>INF174K01QF8</t>
  </si>
  <si>
    <t>Kotak FMP Series 113 (1094 Days) - Direct Growth</t>
  </si>
  <si>
    <t>INF174K01QE1</t>
  </si>
  <si>
    <t>Kotak FMP Series 113 (1094 Days) - Dividend</t>
  </si>
  <si>
    <t>INF174K01QD3</t>
  </si>
  <si>
    <t>Kotak FMP Series 113 (1094 Days) - Growth</t>
  </si>
  <si>
    <t>INF174K01B04</t>
  </si>
  <si>
    <t>Kotak FMP Series 115 (370 Days) - Direct Dividend</t>
  </si>
  <si>
    <t>INF174K01A96</t>
  </si>
  <si>
    <t>Kotak FMP Series 115 (370 Days) - Direct Growth</t>
  </si>
  <si>
    <t>Kotak FMP Series 115 (370 Days) - Dividend</t>
  </si>
  <si>
    <t>INF174K01A70</t>
  </si>
  <si>
    <t>Kotak FMP Series 115 (370 Days) - Growth</t>
  </si>
  <si>
    <t>INF174K01QS1</t>
  </si>
  <si>
    <t>Kotak FMP Series 116 (370 Days) - Direct Dividend</t>
  </si>
  <si>
    <t>INF174K01B38</t>
  </si>
  <si>
    <t>Kotak FMP Series 116 (370 Days) - Direct Growth</t>
  </si>
  <si>
    <t>INF174K01B12</t>
  </si>
  <si>
    <t>Kotak FMP Series 116 (370 Days) - Growth</t>
  </si>
  <si>
    <t>INF174K01QQ5</t>
  </si>
  <si>
    <t>Kotak FMP Series 116 (370 Days)- Dividend</t>
  </si>
  <si>
    <t>INF174K01TB1</t>
  </si>
  <si>
    <t>Kotak FMP Series 131 (1061 Days) - Direct Growth</t>
  </si>
  <si>
    <t>INF174K01TA3</t>
  </si>
  <si>
    <t>Kotak FMP Series 131 (1061 Days) - Dividend</t>
  </si>
  <si>
    <t>INF174K01SZ2</t>
  </si>
  <si>
    <t>Kotak FMP Series 131 (1061 Days) - Growth</t>
  </si>
  <si>
    <t>INF174K01TG0</t>
  </si>
  <si>
    <t>Kotak FMP Series 132 (546 Days) - Direct Dividend</t>
  </si>
  <si>
    <t>INF174K01TF2</t>
  </si>
  <si>
    <t>Kotak FMP Series 132 (546 Days) - Direct Growth</t>
  </si>
  <si>
    <t>INF174K01TE5</t>
  </si>
  <si>
    <t>Kotak FMP Series 132 (546 Days) - Dividend</t>
  </si>
  <si>
    <t>INF174K01TD7</t>
  </si>
  <si>
    <t>Kotak FMP Series 132 (546 Days) - Growth</t>
  </si>
  <si>
    <t>INF174K01TN6</t>
  </si>
  <si>
    <t>Kotak FMP Series 133 (524 Days) - Direct Growth</t>
  </si>
  <si>
    <t>INF174K01TL0</t>
  </si>
  <si>
    <t>Kotak FMP Series 133 (524 Days) - Growth</t>
  </si>
  <si>
    <t>INF174K01P81</t>
  </si>
  <si>
    <t>Kotak FMP Series 135 (455 Days) - Direct Growth</t>
  </si>
  <si>
    <t>INF174K01P65</t>
  </si>
  <si>
    <t>Kotak FMP Series 135 (455 Days) - Growth</t>
  </si>
  <si>
    <t>INF174K01H81</t>
  </si>
  <si>
    <t>Kotak FMP Series 136 (376 Days) - Direct Growth</t>
  </si>
  <si>
    <t>INF174K01TY3</t>
  </si>
  <si>
    <t>Kotak FMP Series 136 (376 Days) - Dividend</t>
  </si>
  <si>
    <t>INF174K01H65</t>
  </si>
  <si>
    <t>Kotak FMP Series 136 (376 Days) - Growth</t>
  </si>
  <si>
    <t>INF174K01H40</t>
  </si>
  <si>
    <t>Kotak FMP Series 137 (371 Days) -  Direct Growth</t>
  </si>
  <si>
    <t>Kotak FMP Series 137 (371 Days) -  Dividend</t>
  </si>
  <si>
    <t>Kotak FMP Series 137 (371 Days) - Direct Dividend</t>
  </si>
  <si>
    <t>INF174K01H24</t>
  </si>
  <si>
    <t>Kotak FMP Series 137 (371 Days) - Growth</t>
  </si>
  <si>
    <t>INF174K01UQ7</t>
  </si>
  <si>
    <t>Kotak FMP Series 140 (1095 Days) - Direct Dividend</t>
  </si>
  <si>
    <t>INF174K01UP9</t>
  </si>
  <si>
    <t>Kotak FMP Series 140 (1095 Days) - Direct Growth</t>
  </si>
  <si>
    <t>INF174K01UO2</t>
  </si>
  <si>
    <t>Kotak FMP Series 140 (1095 Days) - Dividend</t>
  </si>
  <si>
    <t>INF174K01UN4</t>
  </si>
  <si>
    <t>Kotak FMP Series 140 (1095 Days) - Growth</t>
  </si>
  <si>
    <t>Kotak FMP Series 141 (454 Days) - Direct Dividend</t>
  </si>
  <si>
    <t>INF174K01Q31</t>
  </si>
  <si>
    <t>Kotak FMP Series 141 (454 Days) - Direct Growth</t>
  </si>
  <si>
    <t>INF174K01Q23</t>
  </si>
  <si>
    <t>Kotak FMP Series 141 (454 Days) - Dividend</t>
  </si>
  <si>
    <t>INF174K01Q07</t>
  </si>
  <si>
    <t>Kotak FMP Series 141 (454 Days) - Growth</t>
  </si>
  <si>
    <t>INF174K01L10</t>
  </si>
  <si>
    <t>Kotak FMP Series 142 (420 Days) - Direct Growth</t>
  </si>
  <si>
    <t>Kotak FMP Series 142 (420 Days) - Dividend</t>
  </si>
  <si>
    <t>INF174K01K86</t>
  </si>
  <si>
    <t>Kotak FMP Series 142 (420 Days) - Growth</t>
  </si>
  <si>
    <t>INF174K01J22</t>
  </si>
  <si>
    <t>Kotak FMP Series 143 (370 Days) - Direct Growth</t>
  </si>
  <si>
    <t>INF174K01J14</t>
  </si>
  <si>
    <t>Kotak FMP Series 143 (370 Days) - Dividend</t>
  </si>
  <si>
    <t>INF174K01J06</t>
  </si>
  <si>
    <t>Kotak FMP Series 143 (370 Days) - Growth</t>
  </si>
  <si>
    <t>Kotak FMP Series 145 (390 Days) - Direct Dividend</t>
  </si>
  <si>
    <t>INF174K01L93</t>
  </si>
  <si>
    <t>Kotak FMP Series 145 (390 Days) - Direct Growth</t>
  </si>
  <si>
    <t>INF174K01P16</t>
  </si>
  <si>
    <t>Kotak FMP Series 145 (390 Days) - Dividend</t>
  </si>
  <si>
    <t>INF174K01L51</t>
  </si>
  <si>
    <t>Kotak FMP Series 145 (390 Days) - Growth</t>
  </si>
  <si>
    <t>INF174K01M35</t>
  </si>
  <si>
    <t>Kotak FMP Series 146 (388 Days) - Direct Growth</t>
  </si>
  <si>
    <t>Kotak FMP Series 146 (388 Days) - Dividend</t>
  </si>
  <si>
    <t>INF174K01M19</t>
  </si>
  <si>
    <t>Kotak FMP Series 146 (388 Days) - Growth</t>
  </si>
  <si>
    <t>INF174K01M76</t>
  </si>
  <si>
    <t>Kotak FMP Series 147 (384 Days) - Direct Growth</t>
  </si>
  <si>
    <t>Kotak FMP Series 147 (384 Days) - Dividend</t>
  </si>
  <si>
    <t>INF174K01M50</t>
  </si>
  <si>
    <t>Kotak FMP Series 147 (384 Days) - Growth</t>
  </si>
  <si>
    <t>INF174K01N18</t>
  </si>
  <si>
    <t>Kotak FMP Series 148 (388 Days) - Direct Growth</t>
  </si>
  <si>
    <t>Kotak FMP Series 148 (388 Days) - Dividend</t>
  </si>
  <si>
    <t>INF174K01M92</t>
  </si>
  <si>
    <t>Kotak FMP Series 148 (388 Days) - Growth</t>
  </si>
  <si>
    <t>INF174K01N59</t>
  </si>
  <si>
    <t>Kotak FMP Series 149 (386 Days) - Direct Growth</t>
  </si>
  <si>
    <t>Kotak FMP Series 149 (386 Days) - Dividend</t>
  </si>
  <si>
    <t>INF174K01N34</t>
  </si>
  <si>
    <t>Kotak FMP Series 149 (386 Days) - Growth</t>
  </si>
  <si>
    <t>INF174K01WK6</t>
  </si>
  <si>
    <t>Kotak FMP Series 150 (1109 Days) - Direct Dividend</t>
  </si>
  <si>
    <t>INF174K01WJ8</t>
  </si>
  <si>
    <t>Kotak FMP Series 150 (1109 Days) - Direct Growth</t>
  </si>
  <si>
    <t>INF174K01WI0</t>
  </si>
  <si>
    <t>Kotak FMP Series 150 (1109 Days) - Dividend</t>
  </si>
  <si>
    <t>INF174K01WH2</t>
  </si>
  <si>
    <t>Kotak FMP Series 150 (1109 Days) - Growth</t>
  </si>
  <si>
    <t>INF174K01N91</t>
  </si>
  <si>
    <t>Kotak FMP Series 151 (388 Days) - Direct Growth</t>
  </si>
  <si>
    <t>INF174K01N83</t>
  </si>
  <si>
    <t>Kotak FMP Series 151 (388 Days) - Dividend</t>
  </si>
  <si>
    <t>INF174K01N75</t>
  </si>
  <si>
    <t>Kotak FMP Series 151 (388 Days) - Growth</t>
  </si>
  <si>
    <t>INF174K01WZ4</t>
  </si>
  <si>
    <t>Kotak FMP Series 153 (790 Days) - Direct Growth</t>
  </si>
  <si>
    <t>INF174K01WY7</t>
  </si>
  <si>
    <t>Kotak FMP Series 153 (790 Days) - Dividend</t>
  </si>
  <si>
    <t>INF174K01WX9</t>
  </si>
  <si>
    <t>Kotak FMP Series 153 (790 Days) - Growth</t>
  </si>
  <si>
    <t>Kotak FMP Series 154 (390 Days) - Direct Dividend</t>
  </si>
  <si>
    <t>INF174K01O33</t>
  </si>
  <si>
    <t>Kotak FMP Series 154 (390 Days) - Direct Growth</t>
  </si>
  <si>
    <t>INF174K01O25</t>
  </si>
  <si>
    <t>Kotak FMP Series 154 (390 Days) - Dividend</t>
  </si>
  <si>
    <t>INF174K01O17</t>
  </si>
  <si>
    <t>Kotak FMP Series 154 (390 Days) - Growth</t>
  </si>
  <si>
    <t>INF174K01K52</t>
  </si>
  <si>
    <t>Kotak FMP Series 156 (370 Days) - Direct Dividend</t>
  </si>
  <si>
    <t>INF174K01K45</t>
  </si>
  <si>
    <t>Kotak FMP Series 156 (370 Days) - Direct Growth</t>
  </si>
  <si>
    <t>INF174K01P08</t>
  </si>
  <si>
    <t>Kotak FMP Series 156 (370 Days) - Dividend</t>
  </si>
  <si>
    <t>INF174K01O90</t>
  </si>
  <si>
    <t>Kotak FMP Series 156 (370 Days) - Growth</t>
  </si>
  <si>
    <t>INF174K01L02</t>
  </si>
  <si>
    <t>Kotak FMP Series 157 (370 Days) - Direct Growth</t>
  </si>
  <si>
    <t>Kotak FMP Series 157 (370 Days) - Dividend</t>
  </si>
  <si>
    <t>INF174K01K60</t>
  </si>
  <si>
    <t>Kotak FMP Series 157 (370 Days) - Growth</t>
  </si>
  <si>
    <t>Kotak FMP Series 158 (370 Days) - Direct Dividend</t>
  </si>
  <si>
    <t>INF174K01L77</t>
  </si>
  <si>
    <t>Kotak FMP Series 158 (370 Days) - Direct Growth</t>
  </si>
  <si>
    <t>INF174K01L69</t>
  </si>
  <si>
    <t>Kotak FMP Series 158 (370 Days) - Dividend</t>
  </si>
  <si>
    <t>INF174K01L44</t>
  </si>
  <si>
    <t>Kotak FMP Series 158 (370 Days) - Growth</t>
  </si>
  <si>
    <t>INF174K01Q72</t>
  </si>
  <si>
    <t>Kotak FMP Series 159 (370 Days) - Direct Growth</t>
  </si>
  <si>
    <t>INF174K01Q64</t>
  </si>
  <si>
    <t>Kotak FMP Series 159 (370 Days) - Dividend</t>
  </si>
  <si>
    <t>INF174K01Q56</t>
  </si>
  <si>
    <t>Kotak FMP Series 159 (370 Days) - Growth</t>
  </si>
  <si>
    <t>INF174K01YC9</t>
  </si>
  <si>
    <t>Kotak FMP Series 160 (1039 Days) - Direct Dividend</t>
  </si>
  <si>
    <t>INF174K01YB1</t>
  </si>
  <si>
    <t>Kotak FMP Series 160 (1039 Days) - Direct Growth</t>
  </si>
  <si>
    <t>INF174K01YA3</t>
  </si>
  <si>
    <t>Kotak FMP Series 160 (1039 Days) - Dividend</t>
  </si>
  <si>
    <t>INF174K01XZ2</t>
  </si>
  <si>
    <t>Kotak FMP Series 160 (1039 Days) - Growth</t>
  </si>
  <si>
    <t>INF174K01R22</t>
  </si>
  <si>
    <t>Kotak FMP Series 161 (370 Days) - Direct Dividend</t>
  </si>
  <si>
    <t>INF174K01R14</t>
  </si>
  <si>
    <t>Kotak FMP Series 161 (370 Days) - Direct Growth</t>
  </si>
  <si>
    <t>INF174K01R06</t>
  </si>
  <si>
    <t>Kotak FMP Series 161 (370 Days) - Dividend</t>
  </si>
  <si>
    <t>INF174K01Q98</t>
  </si>
  <si>
    <t>Kotak FMP Series 161 (370 Days) - Growth</t>
  </si>
  <si>
    <t>INF174K01YK2</t>
  </si>
  <si>
    <t>Kotak FMP Series 162 (370 Days) - Direct Dividend</t>
  </si>
  <si>
    <t>INF174K01R55</t>
  </si>
  <si>
    <t>Kotak FMP Series 162 (370 Days) - Direct Growth</t>
  </si>
  <si>
    <t>INF174K01R48</t>
  </si>
  <si>
    <t>Kotak FMP Series 162 (370 Days) - Dividend</t>
  </si>
  <si>
    <t>INF174K01R30</t>
  </si>
  <si>
    <t>Kotak FMP Series 162 (370 Days) - Growth</t>
  </si>
  <si>
    <t>INF174K01A13</t>
  </si>
  <si>
    <t>Kotak FMP Series 163 (1100 Days) - Direct Growth</t>
  </si>
  <si>
    <t>INF174K01A05</t>
  </si>
  <si>
    <t>Kotak FMP Series 163 (1100 Days) - Dividend</t>
  </si>
  <si>
    <t>INF174K01ZZ7</t>
  </si>
  <si>
    <t>Kotak FMP Series 163 (1100 Days) - Growth</t>
  </si>
  <si>
    <t>INF174K01H08</t>
  </si>
  <si>
    <t>Kotak FMP Series 171 (1099 Days) - Direct Growth</t>
  </si>
  <si>
    <t>INF174K01G82</t>
  </si>
  <si>
    <t>Kotak FMP Series 171 (1099 Days) - Growth</t>
  </si>
  <si>
    <t>INF174K01I56</t>
  </si>
  <si>
    <t>Kotak FMP Series 172 - Direct Dividend</t>
  </si>
  <si>
    <t>INF174K01I49</t>
  </si>
  <si>
    <t>Kotak FMP Series 172 - Direct Growth</t>
  </si>
  <si>
    <t>INF174K01I31</t>
  </si>
  <si>
    <t>Kotak FMP Series 172 - Regular Dividend</t>
  </si>
  <si>
    <t>INF174K01I23</t>
  </si>
  <si>
    <t>Kotak FMP Series 172 - Regular Growth</t>
  </si>
  <si>
    <t>INF174K01R97</t>
  </si>
  <si>
    <t>Kotak FMP Series 175 (1100 Days) - Direct Growth</t>
  </si>
  <si>
    <t>INF174K01R89</t>
  </si>
  <si>
    <t>Kotak FMP Series 175 (1100 Days) - Regular Dividend</t>
  </si>
  <si>
    <t>INF174K01R71</t>
  </si>
  <si>
    <t>Kotak FMP Series 175 (1100 Days) - Regular Growth</t>
  </si>
  <si>
    <t>INF174K01S96</t>
  </si>
  <si>
    <t>Kotak FMP Series 176 - Direct Plan - Growth</t>
  </si>
  <si>
    <t>INF174K01S88</t>
  </si>
  <si>
    <t>Kotak FMP Series 176 - Regular Plan - Dividend</t>
  </si>
  <si>
    <t>INF174K01S70</t>
  </si>
  <si>
    <t>Kotak FMP Series 176 - Regular Plan - Growth</t>
  </si>
  <si>
    <t>INF174K01U01</t>
  </si>
  <si>
    <t>Kotak FMP Series 178 - Direct Growth</t>
  </si>
  <si>
    <t>INF174K01T95</t>
  </si>
  <si>
    <t>Kotak FMP Series 178 - Regular Dividend</t>
  </si>
  <si>
    <t>INF174K01T87</t>
  </si>
  <si>
    <t>Kotak FMP Series 178 - Regular Growth</t>
  </si>
  <si>
    <t>INF174K01U92</t>
  </si>
  <si>
    <t>Kotak FMP Series 179 - Direct Dividend</t>
  </si>
  <si>
    <t>INF174K01U84</t>
  </si>
  <si>
    <t>Kotak FMP Series 179 - Direct Growth</t>
  </si>
  <si>
    <t>INF174K01U76</t>
  </si>
  <si>
    <t>Kotak FMP Series 179 - Regular Dividend</t>
  </si>
  <si>
    <t>INF174K01U68</t>
  </si>
  <si>
    <t>Kotak FMP Series 179 - Regular Growth</t>
  </si>
  <si>
    <t>INF174K01Y31</t>
  </si>
  <si>
    <t>Kotak FMP Series 180 (1099 Days) - Direct Growth</t>
  </si>
  <si>
    <t>INF174K01Y23</t>
  </si>
  <si>
    <t>Kotak FMP Series 180 (1099 Days) - Regular Dividend</t>
  </si>
  <si>
    <t>INF174K01Y15</t>
  </si>
  <si>
    <t>Kotak FMP Series 180 (1099 Days) - Regular Growth</t>
  </si>
  <si>
    <t>INF174K01Z55</t>
  </si>
  <si>
    <t>Kotak FMP Series 181 - Direct Dividend</t>
  </si>
  <si>
    <t>INF174K01Z48</t>
  </si>
  <si>
    <t>Kotak FMP Series 181 - Direct Growth</t>
  </si>
  <si>
    <t>INF174K01Z63</t>
  </si>
  <si>
    <t>Kotak FMP Series 181 - Regular Dividend</t>
  </si>
  <si>
    <t>INF174K01Z30</t>
  </si>
  <si>
    <t>Kotak FMP Series 181 - Regular Growth</t>
  </si>
  <si>
    <t>INF174K015A5</t>
  </si>
  <si>
    <t>Kotak FMP Series 182 - Direct Dividend</t>
  </si>
  <si>
    <t>INF174K014A8</t>
  </si>
  <si>
    <t>Kotak FMP Series 182 - Direct Growth</t>
  </si>
  <si>
    <t>INF174K013A0</t>
  </si>
  <si>
    <t>Kotak FMP Series 182 - Regular Dividend</t>
  </si>
  <si>
    <t>INF174K012A2</t>
  </si>
  <si>
    <t>Kotak FMP Series 182 - Regular Growth</t>
  </si>
  <si>
    <t>INF174K010C2</t>
  </si>
  <si>
    <t>Kotak FMP Series 185 - Direct Growth</t>
  </si>
  <si>
    <t>INF174K019B5</t>
  </si>
  <si>
    <t>Kotak FMP Series 185 - Regular Dividend</t>
  </si>
  <si>
    <t>INF174K018B7</t>
  </si>
  <si>
    <t>Kotak FMP Series 185 - Regular Growth</t>
  </si>
  <si>
    <t>INF174KA1DW0</t>
  </si>
  <si>
    <t>Kotak FMP Series 186 - Direct Growth</t>
  </si>
  <si>
    <t>INF174KA1DV2</t>
  </si>
  <si>
    <t>Kotak FMP Series 186 - Regular Dividend</t>
  </si>
  <si>
    <t>INF174KA1DU4</t>
  </si>
  <si>
    <t>Kotak FMP Series 186 - Regular Growth</t>
  </si>
  <si>
    <t>INF174K015E7</t>
  </si>
  <si>
    <t>Kotak FMp Series 190 - Direct - Dividend Payout</t>
  </si>
  <si>
    <t>INF174K014E0</t>
  </si>
  <si>
    <t>Kotak FMP Series 190 - Direct - Growth</t>
  </si>
  <si>
    <t>INF174K013E2</t>
  </si>
  <si>
    <t>Kotak FMP Series 190 - Regular - Dividend Payout</t>
  </si>
  <si>
    <t>INF174K012E4</t>
  </si>
  <si>
    <t>Kotak FMP Series 190 - Regular - Growth</t>
  </si>
  <si>
    <t>INF174K018E1</t>
  </si>
  <si>
    <t>Kotak FMP Series 191 - Direct - Growth</t>
  </si>
  <si>
    <t>INF174K017E3</t>
  </si>
  <si>
    <t>Kotak FMP Series 191 - Regular - Dividend Payout</t>
  </si>
  <si>
    <t>INF174K016E5</t>
  </si>
  <si>
    <t>Kotak FMP Series 191 - Regular - Growth</t>
  </si>
  <si>
    <t>INF174K012F1</t>
  </si>
  <si>
    <t>Kotak FMP Series 192 - Direct - Growth</t>
  </si>
  <si>
    <t>INF174K011F3</t>
  </si>
  <si>
    <t>Kotak FMP Series 192 - Regular - Dividend Payout</t>
  </si>
  <si>
    <t>INF174K010F5</t>
  </si>
  <si>
    <t>Kotak FMP Series 192 - Regular - Growth</t>
  </si>
  <si>
    <t>INF174K016F2</t>
  </si>
  <si>
    <t>Kotak FMP Series 193 - Direct - Growth</t>
  </si>
  <si>
    <t>INF174K015F4</t>
  </si>
  <si>
    <t>Kotak FMP Series 193 - Regular - Dividend Payout</t>
  </si>
  <si>
    <t>INF174K014F7</t>
  </si>
  <si>
    <t>Kotak FMP Series 193 - Regular - Growth</t>
  </si>
  <si>
    <t>INF174K010G3</t>
  </si>
  <si>
    <t>Kotak FMP Series 194 - Direct - Growth</t>
  </si>
  <si>
    <t>INF174K019F6</t>
  </si>
  <si>
    <t>Kotak FMP Series 194 - Regular - Dividend Payout</t>
  </si>
  <si>
    <t>INF174K018F8</t>
  </si>
  <si>
    <t>Kotak FMP Series 194 - Regular- Growth</t>
  </si>
  <si>
    <t>INF174K015H0</t>
  </si>
  <si>
    <t>Kotak FMP Series 196 - Direct - Growth</t>
  </si>
  <si>
    <t>INF174K014H3</t>
  </si>
  <si>
    <t>Kotak FMP Series 196 - Regular - Dividend Payout</t>
  </si>
  <si>
    <t>INF174K013H5</t>
  </si>
  <si>
    <t>Kotak FMP Series 196 - Regular - Growth</t>
  </si>
  <si>
    <t>INF174K018K8</t>
  </si>
  <si>
    <t>Kotak FMP Series 199 - Direct Plan - Growth Option</t>
  </si>
  <si>
    <t>INF174K017K0</t>
  </si>
  <si>
    <t>Kotak FMP Series 199 - Regular Plan - Dividend Payout Option</t>
  </si>
  <si>
    <t>INF174K016K2</t>
  </si>
  <si>
    <t>Kotak FMP Series 199 - Regular Plan - Growth Option</t>
  </si>
  <si>
    <t>INF174K014M3</t>
  </si>
  <si>
    <t>Kotak FMP Series 200-Direct Plan-Dividend Payout Option</t>
  </si>
  <si>
    <t>INF174K013M5</t>
  </si>
  <si>
    <t>Kotak FMP Series 200-Direct Plan-Growth Option</t>
  </si>
  <si>
    <t>INF174K012M7</t>
  </si>
  <si>
    <t>Kotak FMP Series 200-Regular Plan-Dividend Payout</t>
  </si>
  <si>
    <t>INF174K011M9</t>
  </si>
  <si>
    <t>Kotak FMP Series 200-Regular Plan-Growth Option</t>
  </si>
  <si>
    <t>INF174K011N7</t>
  </si>
  <si>
    <t>Kotak FMP Series 202-Direct Plan-Growth Option</t>
  </si>
  <si>
    <t>INF174K012N5</t>
  </si>
  <si>
    <t>Kotak FMP Series 202-DirectPLan-Dividend Payout Option</t>
  </si>
  <si>
    <t>INF174K010N9</t>
  </si>
  <si>
    <t>Kotak FMP Series 202-Regular Plan-Dividend Payout Option</t>
  </si>
  <si>
    <t>INF174K019M2</t>
  </si>
  <si>
    <t>Kotak FMP Series 202-Regular Plan-Growth Option</t>
  </si>
  <si>
    <t>INF174K019N0</t>
  </si>
  <si>
    <t>Kotak FMP Series 203 - Direct Plan - Growth Option</t>
  </si>
  <si>
    <t>INF174K018N2</t>
  </si>
  <si>
    <t>Kotak FMP Series 203 - Regular Plan - Dividend Payout Option</t>
  </si>
  <si>
    <t>INF174K010O7</t>
  </si>
  <si>
    <t>Kotak FMP Series 203-Direct Plan-Dividend Payout Option</t>
  </si>
  <si>
    <t>INF174K017N4</t>
  </si>
  <si>
    <t>Kotak FMP Series 203-Regular Plan-Growth option</t>
  </si>
  <si>
    <t>INF174K017O2</t>
  </si>
  <si>
    <t>Kotak FMP Series 204-Direct Plan-Dividend Payout Option</t>
  </si>
  <si>
    <t>INF174K016O4</t>
  </si>
  <si>
    <t>Kotak FMP Series 204-Direct Plan-Growth Option</t>
  </si>
  <si>
    <t>INF174K015O6</t>
  </si>
  <si>
    <t>Kotak FMP Series 204-Regular Plan-Dividend Payout Option</t>
  </si>
  <si>
    <t>INF174K014O9</t>
  </si>
  <si>
    <t>Kotak FMP Series 204-Regular Plan-Growth Option</t>
  </si>
  <si>
    <t>INF174K012Q8</t>
  </si>
  <si>
    <t>Kotak FMP Series 210 - Direct Plan - Dividend Option</t>
  </si>
  <si>
    <t>INF174K011Q0</t>
  </si>
  <si>
    <t>Kotak FMP Series 210-Direct Plan-Growth Option</t>
  </si>
  <si>
    <t>INF174K010Q2</t>
  </si>
  <si>
    <t>Kotak FMP Series 210-Regular plan-Dividend Option</t>
  </si>
  <si>
    <t>INF174K019P5</t>
  </si>
  <si>
    <t>Kotak FMP Series 210-Regular Plan-Growth option</t>
  </si>
  <si>
    <t>INF174K016Q9</t>
  </si>
  <si>
    <t>Kotak FMP Series 211-Direct Plan-Dividend option</t>
  </si>
  <si>
    <t>INF174K015Q1</t>
  </si>
  <si>
    <t>Kotak FMP Series 211-Direct Plan-Growth Option</t>
  </si>
  <si>
    <t>INF174K013Q6</t>
  </si>
  <si>
    <t>Kotak FMP Series 211-Regular Plan -Growth option</t>
  </si>
  <si>
    <t>INF174K014Q4</t>
  </si>
  <si>
    <t>Kotak FMP Series 211-Regular Plan-Dividend Option</t>
  </si>
  <si>
    <t>INF174K019Q3</t>
  </si>
  <si>
    <t>Kotak FMP Series 212-Direct plan-Growth option</t>
  </si>
  <si>
    <t>INF174K018Q5</t>
  </si>
  <si>
    <t xml:space="preserve">Kotak FMP Series 212-Regular Plan - Payout of Income Distribution cum capital withdrawal option </t>
  </si>
  <si>
    <t>INF174K017Q7</t>
  </si>
  <si>
    <t>Kotak FMP Series 212-Regular Plan-Growth Option</t>
  </si>
  <si>
    <t>INF174K010R0</t>
  </si>
  <si>
    <t>Kotka FMP Series 212-Direct plan -Payout of Income Distribution cum capital withdrawal option</t>
  </si>
  <si>
    <t>INF174K014R2</t>
  </si>
  <si>
    <t xml:space="preserve">Kotak FMP Series 213-Direct Plan - Payout of Income Distribution cum capital withdrawal option </t>
  </si>
  <si>
    <t>INF174K013R4</t>
  </si>
  <si>
    <t>Kotak FMP Series 213-Direct Plan-Growth Option</t>
  </si>
  <si>
    <t>INF174K012R6</t>
  </si>
  <si>
    <t xml:space="preserve">Kotak FMP Series 213-Regular Plan - Payout of Income Distribution cum capital withdrawal option </t>
  </si>
  <si>
    <t>INF174K011R8</t>
  </si>
  <si>
    <t>Kotak FMP Series 213-Regular Plan-Growth Option</t>
  </si>
  <si>
    <t>INF174K017R5</t>
  </si>
  <si>
    <t>Kotak FMP Series 214-Direct Plan-Growth Option</t>
  </si>
  <si>
    <t>INF174K018R3</t>
  </si>
  <si>
    <t xml:space="preserve">Kotak FMP Series 214-Direct Plan-Payout of Income Distribution cum capital withdrawal option </t>
  </si>
  <si>
    <t>INF174K016R7</t>
  </si>
  <si>
    <t xml:space="preserve">Kotak FMP Series 214-Regular Plan-Payout of Income Distribution cum capital withdrawal option </t>
  </si>
  <si>
    <t>INF174K015R9</t>
  </si>
  <si>
    <t>Kotak FMP Series 214-RegularPlan-Growth Option</t>
  </si>
  <si>
    <t>INF174K011S6</t>
  </si>
  <si>
    <t>Kotak FMP Series 215-Direct Plan-Growth Option</t>
  </si>
  <si>
    <t>INF174K012S4</t>
  </si>
  <si>
    <t xml:space="preserve">Kotak FMP Series 215-Direct Plan-Payout of Income Distribution cum capital withdrawal option </t>
  </si>
  <si>
    <t>INF174K010S8</t>
  </si>
  <si>
    <t xml:space="preserve">Kotak FMP Series 215-Regular Plan - Payout of Income Distribution cum capital withdrawal option </t>
  </si>
  <si>
    <t>INF174K019R1</t>
  </si>
  <si>
    <t>Kotka FMP Series 215-Regular Plan-Growth Option</t>
  </si>
  <si>
    <t>INF174K016S5</t>
  </si>
  <si>
    <t>Kotak FMP Series 216 - Direct Plan-Payout of Income Distribution cum capital withdrawal Option</t>
  </si>
  <si>
    <t>INF174K015S7</t>
  </si>
  <si>
    <t>Kotak FMP Series 216-Direct Plan-Growth Option</t>
  </si>
  <si>
    <t>INF174K014S0</t>
  </si>
  <si>
    <t>Kotak FMP Series 216-Regular Plan- Payout of Income Distribution cum capital withdrawal Option</t>
  </si>
  <si>
    <t>INF174K013S2</t>
  </si>
  <si>
    <t>Kotak FMP Series 216-Regular Plan-Growth Option</t>
  </si>
  <si>
    <t>INF174K018T9</t>
  </si>
  <si>
    <t>Kotak FMP Series 217-Direct Plan-Growth Option</t>
  </si>
  <si>
    <t>INF174K017T1</t>
  </si>
  <si>
    <t>Kotak FMP Series 217-Direct Plan-Payout of Income Distribution cum capital withdrawal Option</t>
  </si>
  <si>
    <t>INF174K015T5</t>
  </si>
  <si>
    <t>Kotak FMP Series 217-Regular Plan-Growth Option</t>
  </si>
  <si>
    <t>INF174K016T3</t>
  </si>
  <si>
    <t>Kotak FMP Series 217-Regular Plan-Payout of Income Distribution cum capital withdrawal Option</t>
  </si>
  <si>
    <t>INF174K012U0</t>
  </si>
  <si>
    <t>Kotak FMP Series 218-Direct Plan-Dividend Option</t>
  </si>
  <si>
    <t>INF174K011U2</t>
  </si>
  <si>
    <t>Kotak FMP Series 218-Direct Plan-Growth option</t>
  </si>
  <si>
    <t>INF174K010U4</t>
  </si>
  <si>
    <t>Kotak FMP Series 218-Regular Plan-Dividend Option</t>
  </si>
  <si>
    <t>INF174K019T7</t>
  </si>
  <si>
    <t>Kotak FMP Series 218-Regular Plan-Growth Option</t>
  </si>
  <si>
    <t>INF174K016U1</t>
  </si>
  <si>
    <t>Kotak FMP Series 219-Direct Plan-Payout of Income Distribution cum capital withdrawal Option</t>
  </si>
  <si>
    <t>INF174K013U8</t>
  </si>
  <si>
    <t>Kotak FMP Series 219-Regular Plan-Growth Option</t>
  </si>
  <si>
    <t>INF174K014U6</t>
  </si>
  <si>
    <t>Kotak FMP Series 219-Regular Plan-Payout of Income Distribution cum capital withdrawal Option</t>
  </si>
  <si>
    <t>INF174K015U3</t>
  </si>
  <si>
    <t>Kotka FMP Series 219-Direct Plan-Growth Option</t>
  </si>
  <si>
    <t>INF174K019U5</t>
  </si>
  <si>
    <t>Kotak FMP Series 220-Direct Plan-Growth Option</t>
  </si>
  <si>
    <t>INF174K010V2</t>
  </si>
  <si>
    <t>Kotak FMP Series 220-Direct Plan-Payout of Income Distribution cum capital withdrawal Option</t>
  </si>
  <si>
    <t>INF174K017U9</t>
  </si>
  <si>
    <t>Kotak FMP Series 220-Regular Plan-Growth Option</t>
  </si>
  <si>
    <t>INF174K018U7</t>
  </si>
  <si>
    <t>Kotak FMP Series 220-Regular Plan-Payout of Income Distribution cum capital withdrawal Option</t>
  </si>
  <si>
    <t>INF174K017V7</t>
  </si>
  <si>
    <t>Kotak FMP Series 221-Direct plan-Growth Option</t>
  </si>
  <si>
    <t>INF174K012W6</t>
  </si>
  <si>
    <t>Kotak FMP Series 221-Regular Plan-Growth Option</t>
  </si>
  <si>
    <t>INF174K016V9</t>
  </si>
  <si>
    <t>Kotak FMP Series 221-Regular Plan-Payout of Income Distribution cum capital withdrawal Option</t>
  </si>
  <si>
    <t>INF174K011W8</t>
  </si>
  <si>
    <t>Kotak FMP Series 223-Direct Plan-Growth Option</t>
  </si>
  <si>
    <t>INF174K015V1</t>
  </si>
  <si>
    <t>Kotak FMP Series 223-Direct Plan-Payout of Income Distribution cum capital withdrawal Option</t>
  </si>
  <si>
    <t>INF174K019V3</t>
  </si>
  <si>
    <t>Kotak FMP Series 223-Regular Plan-Growth option</t>
  </si>
  <si>
    <t>INF174K010W0</t>
  </si>
  <si>
    <t>Kotak FMP Series 223-Regular Plan-Payout of Income Distribution cum capital withdrawal Option</t>
  </si>
  <si>
    <t>INF174K014W2</t>
  </si>
  <si>
    <t>Kotak FMP Series 224 - Regular Plan- Payout of Income Distribution cum capital withdrawal Option</t>
  </si>
  <si>
    <t>INF174K015W9</t>
  </si>
  <si>
    <t>Kotak FMP Series 224-Direct Plan-Growth Option</t>
  </si>
  <si>
    <t>INF174K013W4</t>
  </si>
  <si>
    <t>Kotak FMP Series 224-Regular Plan-Growth Option</t>
  </si>
  <si>
    <t>INF174K019W1</t>
  </si>
  <si>
    <t>Kotak FMP Series 225-Direct Plan-Growth Option</t>
  </si>
  <si>
    <t>INF174K010X8</t>
  </si>
  <si>
    <t>Kotak FMP Series 225-Direct Plan-Payout of Income Distribution cum capital withdrawal Option</t>
  </si>
  <si>
    <t>INF174K017W5</t>
  </si>
  <si>
    <t>Kotak FMP Series 225-Regular Plan -Growth Option</t>
  </si>
  <si>
    <t>INF174K018W3</t>
  </si>
  <si>
    <t>Kotak FMP Series 225-Regular Plan-Payout of Income Distribution cum capital withdrawal Option</t>
  </si>
  <si>
    <t>INF174K017X3</t>
  </si>
  <si>
    <t>Kotak FMP Series 226 - Direct Plan- Growth Option</t>
  </si>
  <si>
    <t>INF174K018X1</t>
  </si>
  <si>
    <t>KOtak FMP Series 226 - Direct Plan- Payout of Income Distribution cum capital withdrawal Option</t>
  </si>
  <si>
    <t>INF174K016X5</t>
  </si>
  <si>
    <t>Kotak FMP Series 226 - Regular Plan - Payout of Income Distribution cum capital withdrawal Option</t>
  </si>
  <si>
    <t>INF174K015X7</t>
  </si>
  <si>
    <t>Kotak FMP Series 226 - Regular Plan- Growth Option</t>
  </si>
  <si>
    <t>INF174K011Y4</t>
  </si>
  <si>
    <t>Kotak FMP Series 227 - Direct Plan - Growth Option.</t>
  </si>
  <si>
    <t>INF174K019X9</t>
  </si>
  <si>
    <t>Kotak FMP Series 227 - Regular Plan -Growth Option.</t>
  </si>
  <si>
    <t>INF174K010Y6</t>
  </si>
  <si>
    <t>Kotak FMP Series 227 - Regular Plan- Dividend Option.</t>
  </si>
  <si>
    <t>INF174K012Y2</t>
  </si>
  <si>
    <t>Kotak FMP Series 227- Direct Plan - Dividend Option.</t>
  </si>
  <si>
    <t>INF174K013Y0</t>
  </si>
  <si>
    <t>Kotak FMP Series 228 - Regular Plan - Growth Option</t>
  </si>
  <si>
    <t>INF174K014Y8</t>
  </si>
  <si>
    <t>Kotak FMP Series 228- Regular Plan  -Payout of Income Distribution cum capital withdrawal Option</t>
  </si>
  <si>
    <t>INF174K015Y5</t>
  </si>
  <si>
    <t>Kotak FMP Series 228-Direct Plan - Growth Option</t>
  </si>
  <si>
    <t>INF174K010Z3</t>
  </si>
  <si>
    <t>Kotak FMP Series 229 - Direct Plan - Dividend Option</t>
  </si>
  <si>
    <t>INF174K019Y7</t>
  </si>
  <si>
    <t>Kotak FMP Series 229 - Direct Plan - Growth Option</t>
  </si>
  <si>
    <t>INF174K018Y9</t>
  </si>
  <si>
    <t>Kotak FMP Series 229 - Regular Plan - Dividend Option</t>
  </si>
  <si>
    <t>INF174K017Y1</t>
  </si>
  <si>
    <t>Kotak FMP Series 229- Regular Plan  -Growth Option</t>
  </si>
  <si>
    <t>INF174K013Z7</t>
  </si>
  <si>
    <t>Kotak FMP Series 230-Direct Plan-Growth Option</t>
  </si>
  <si>
    <t>INF174K014Z5</t>
  </si>
  <si>
    <t>Kotak FMP Series 230-Direct Plan-Payout of Income Distribution cum capital withdrawal Option</t>
  </si>
  <si>
    <t>INF174K011Z1</t>
  </si>
  <si>
    <t>Kotak FMP Series 230-Regular Plan-Growth Option</t>
  </si>
  <si>
    <t>INF174K019Z4</t>
  </si>
  <si>
    <t>Kotak FMP Series 232- Regular Plan- Growth Option</t>
  </si>
  <si>
    <t>INF174KA1020</t>
  </si>
  <si>
    <t>Kotak FMP Series 232-Direct Plan-Growth Option</t>
  </si>
  <si>
    <t>INF174KA1012</t>
  </si>
  <si>
    <t>Kotak FMP Series 232-Regular Plan-Payout of Income Distribution cum capital withdrawal Option</t>
  </si>
  <si>
    <t>INF174KA1061</t>
  </si>
  <si>
    <t>Kotak FMP Series 233 - Direct Plan - Growth Option</t>
  </si>
  <si>
    <t>INF174KA1079</t>
  </si>
  <si>
    <t>Kotak FMP Series 233 - Direct Plan - Payout of Income Distribution cum capital withdrawal Option</t>
  </si>
  <si>
    <t>INF174KA1046</t>
  </si>
  <si>
    <t>Kotak FMP Series 233 - Regular Plan - Growth Option</t>
  </si>
  <si>
    <t>INF174KA1103</t>
  </si>
  <si>
    <t>Kotak FMP Series 234 - Direct Plan - Growth Option</t>
  </si>
  <si>
    <t>INF174KA1087</t>
  </si>
  <si>
    <t>Kotak FMP Series 234 - Regular Plan - Growth Option</t>
  </si>
  <si>
    <t>INF174KA1095</t>
  </si>
  <si>
    <t>Kotak FMP Series 234 -Regular Plan-Payout of Income Distribution cum capital withdrawal Option</t>
  </si>
  <si>
    <t>INF174KA1145</t>
  </si>
  <si>
    <t>Kotak FMP Series 235 - Direct Plan - Growth option</t>
  </si>
  <si>
    <t>INF174KA1129</t>
  </si>
  <si>
    <t>Kotak FMP Series 235 - Regular Plan - Growth Option</t>
  </si>
  <si>
    <t>INF174KA1137</t>
  </si>
  <si>
    <t>Kotak FMP Series 235 - Regular Plan - Payout of Income Distribution cum capital withdrawal Option</t>
  </si>
  <si>
    <t>INF174KA1285</t>
  </si>
  <si>
    <t>Kotak FMP Series 237 - Direct Plan-Growth Option</t>
  </si>
  <si>
    <t>INF174KA1277</t>
  </si>
  <si>
    <t>Kotak FMP Series 237 - Regular Plan -Payout of Income Distribution cum capital withdrawal Option</t>
  </si>
  <si>
    <t>INF174KA1269</t>
  </si>
  <si>
    <t>Kotak FMP Series 237- Regular Plan -Growth Option</t>
  </si>
  <si>
    <t>INF174KA1368</t>
  </si>
  <si>
    <t>Kotak FMP Series 239 - Direct Plan - Growth option</t>
  </si>
  <si>
    <t>INF174KA1376</t>
  </si>
  <si>
    <t>Kotak FMP Series 239 - Direct Plan - Payout of Income Distribution cum capital withdrawal Option</t>
  </si>
  <si>
    <t>INF174KA1343</t>
  </si>
  <si>
    <t>Kotak FMP Series 239 - Regular plan -Growth option</t>
  </si>
  <si>
    <t>INF174KA1350</t>
  </si>
  <si>
    <t>Kotak FMP Series 239 - Regular plan- Payout of Income Distribution cum capital withdrawal Option</t>
  </si>
  <si>
    <t>INF174KA1400</t>
  </si>
  <si>
    <t>Kotak FMP Series 240 - Direct Plan - Growth Option</t>
  </si>
  <si>
    <t>INF174KA1384</t>
  </si>
  <si>
    <t>Kotak FMP Series 240 - Regular Plan - Growth option</t>
  </si>
  <si>
    <t>INF174KA1392</t>
  </si>
  <si>
    <t>Kotak FMP Series 240-Regular Plan - Payout of Income Distribution cum capital withdrawal Option</t>
  </si>
  <si>
    <t>INF174KA1483</t>
  </si>
  <si>
    <t>Kotak FMP Series 242 - Direct Plan  -Growth Option</t>
  </si>
  <si>
    <t>INF174KA1491</t>
  </si>
  <si>
    <t>Kotak FMP Series 242 - Direct Plan - Payout of Income Distribution cum capital withdrawal Option</t>
  </si>
  <si>
    <t>INF174KA1467</t>
  </si>
  <si>
    <t>Kotak FMP Series 242 - Regular Growth</t>
  </si>
  <si>
    <t>INF174KA1475</t>
  </si>
  <si>
    <t>Kotak FMP Series 242 -Regular Plan -Payout of Income Distribution cum capital withdrawal Option</t>
  </si>
  <si>
    <t>INF174KA1558</t>
  </si>
  <si>
    <t>Kotak FMP Series 243 - Regular Plan -Payout of Income Distribution cum capital withdrawal Option</t>
  </si>
  <si>
    <t>INF174KA1574</t>
  </si>
  <si>
    <t>Kotak FMP Series 243-Direct Plan - Payout of Income Distribution cum capital withdrawal Option</t>
  </si>
  <si>
    <t>INF174KA1566</t>
  </si>
  <si>
    <t>Kotak FMP Series 243-Direct Plan -Growth Option</t>
  </si>
  <si>
    <t>INF174KA1541</t>
  </si>
  <si>
    <t>Kotak FMP Series 243-Regular Plan-Growth Option</t>
  </si>
  <si>
    <t>INF174KA1632</t>
  </si>
  <si>
    <t>Kotak FMP Series 245 -Regular Plan-Payout of Income Distribution cum capital withdrawal Option</t>
  </si>
  <si>
    <t>INF174KA1640</t>
  </si>
  <si>
    <t>Kotak FMP Series 245-Direct Plan-Growth Option</t>
  </si>
  <si>
    <t>INF174KA1657</t>
  </si>
  <si>
    <t>Kotak FMP Series 245-Direct Plan-Payout of Income Distribution cum capital withdrawal Option</t>
  </si>
  <si>
    <t>INF174KA1624</t>
  </si>
  <si>
    <t>Kotak FMP Series 245-Regular Plan-Growth Option</t>
  </si>
  <si>
    <t>INF174KA1681</t>
  </si>
  <si>
    <t>Kotak FMP Series 246 - Direct Plan - Growth Option</t>
  </si>
  <si>
    <t>INF174KA1673</t>
  </si>
  <si>
    <t>Kotak FMP Series 246 - Regular Plan - Payout of Income Distribution cum capital withdrawal Option</t>
  </si>
  <si>
    <t>INF174KA1699</t>
  </si>
  <si>
    <t>Kotak FMP Series 246 -Direct plan - Payout of Income Distribution cum capital withdrawal Option</t>
  </si>
  <si>
    <t>INF174KA1665</t>
  </si>
  <si>
    <t>Kotak FMP Series 246 -Regular Plan - Growth oPtion</t>
  </si>
  <si>
    <t>INF174KA1715</t>
  </si>
  <si>
    <t>Kotak FMP Series 247 - Regular Plan -Payout of Income Distribution cum capital withdrawal Option</t>
  </si>
  <si>
    <t>INF174KA1723</t>
  </si>
  <si>
    <t>Kotak FMP Series 247 -Direct Plan -Growth option</t>
  </si>
  <si>
    <t>INF174KA1707</t>
  </si>
  <si>
    <t>Kotak FMP Series 247 -Regular Plan - Growth option</t>
  </si>
  <si>
    <t>INF174KA1764</t>
  </si>
  <si>
    <t>Kotak FMP Series 248 - Direct Plan -Growth Option</t>
  </si>
  <si>
    <t>INF174KA1772</t>
  </si>
  <si>
    <t>Kotak FMP Series 248 - Direct Plan -Payout of Income Distribution cum capital withdrawal Option</t>
  </si>
  <si>
    <t>INF174KA1749</t>
  </si>
  <si>
    <t>Kotak FMP Series 248 -Regular Plan - Growth Option</t>
  </si>
  <si>
    <t>INF174KA1756</t>
  </si>
  <si>
    <t>Kotak FMP Series 248- Regular Plan - Payout of Income Distribution cum capital withdrawal Option</t>
  </si>
  <si>
    <t>INF174KA1848</t>
  </si>
  <si>
    <t>Kotak FMP Series 250-Direct Plan-Growth Option</t>
  </si>
  <si>
    <t>INF174KA1822</t>
  </si>
  <si>
    <t>Kotak FMP Series 250-Regular plan-growth option</t>
  </si>
  <si>
    <t>INF174KA1830</t>
  </si>
  <si>
    <t>Kotak FMP Series 250-regular plan-Payout of Income Distribution cum capital withdrawal Option</t>
  </si>
  <si>
    <t>INF174KA1AA2</t>
  </si>
  <si>
    <t>Kotak FMP Series 251-1265 days-Direct Paln-Gwoth option</t>
  </si>
  <si>
    <t>INF174KA1AB0</t>
  </si>
  <si>
    <t xml:space="preserve">Kotak Fmp series 251-1265 days-Direct Plan-Payout of Income Distribution cum capital withdrawal option </t>
  </si>
  <si>
    <t>INF174KA1988</t>
  </si>
  <si>
    <t>Kotak FMP Series 251-1265 days-Regular Plan-Growth Option</t>
  </si>
  <si>
    <t>INF174KA1AE4</t>
  </si>
  <si>
    <t>Kotak FMP Series 252-1261 days Direct plan-Growth option</t>
  </si>
  <si>
    <t>INF174KA1AD6</t>
  </si>
  <si>
    <t xml:space="preserve">Kotak FMP Series 252-1261 days-Regular Plan-Payout of Income Distribution cum capital withdrawal option </t>
  </si>
  <si>
    <t>INF174KA1AC8</t>
  </si>
  <si>
    <t>Kotak FMP Series 252-1261days-Regular Plan-Growth Option</t>
  </si>
  <si>
    <t>INF174KA1AH7</t>
  </si>
  <si>
    <t>Kotak FMP Series 253-1260 days -Regular paln-Payout of Income Distribution cum capital withdrawal option</t>
  </si>
  <si>
    <t>INF174KA1AJ3</t>
  </si>
  <si>
    <t>Kotak FMP Series 253-1260 days-direct paln-Payout of Income Distribution cum capital withdrawal option</t>
  </si>
  <si>
    <t>INF174KA1AI5</t>
  </si>
  <si>
    <t>Kotak FMP Series 253-1260 days-direct plan-growth option</t>
  </si>
  <si>
    <t>INF174KA1AG9</t>
  </si>
  <si>
    <t>Kotak FMP Series 253-1260 days-Regular plan-Growth option</t>
  </si>
  <si>
    <t>INF174KA1AM7</t>
  </si>
  <si>
    <t>Kotak FMP Series 254-Direct Plan-Growth Option</t>
  </si>
  <si>
    <t>INF174KA1AK1</t>
  </si>
  <si>
    <t>Kotak FMP Series 254-Regular Plan-Growth Option</t>
  </si>
  <si>
    <t>INF174KA1AQ8</t>
  </si>
  <si>
    <t>Kotak FMP Series 255-Direct Plan-Growth n</t>
  </si>
  <si>
    <t>INF174KA1AO3</t>
  </si>
  <si>
    <t>Kotak FMP Series 255-Regular Plan-Growth Option</t>
  </si>
  <si>
    <t>INF174KA1AP0</t>
  </si>
  <si>
    <t>Kotak FMP Series 255-Regular Plan-Payout of Income Distribution cum capital withdrawal option</t>
  </si>
  <si>
    <t>INF174KA1AU0</t>
  </si>
  <si>
    <t>Kotak FMP Series 256-Direct Plan-Growth Option</t>
  </si>
  <si>
    <t>INF174KA1AV8</t>
  </si>
  <si>
    <t>Kotak FMP Series 256-Direct Plan-Payout of Income Distribution cum capital withdrawal option</t>
  </si>
  <si>
    <t>INF174KA1AS4</t>
  </si>
  <si>
    <t>Kotak FMP Series 256-Regular Plan-Growth Option</t>
  </si>
  <si>
    <t>INF174KA1AT2</t>
  </si>
  <si>
    <t>Kotak FMP Series 256-Regular Plan-Payout of Income Distribution cum capital withdrawal option</t>
  </si>
  <si>
    <t>INF174KA1AY2</t>
  </si>
  <si>
    <t>Kotak FMP Series 257-Direct plan-Growth Option</t>
  </si>
  <si>
    <t>INF174KA1AZ9</t>
  </si>
  <si>
    <t>Kotak FMP Series 257-Direct Plan-Payout of Income Distribution cum capital withdrawal option</t>
  </si>
  <si>
    <t>INF174KA1AW6</t>
  </si>
  <si>
    <t>Kotak FMP Series 257-Regular Plan-Growth Option</t>
  </si>
  <si>
    <t>INF174KA1AX4</t>
  </si>
  <si>
    <t xml:space="preserve">Kotak FMP Series 257-Regular Plan-Payout of Income Distribution cum capital withdrawal option </t>
  </si>
  <si>
    <t>INF174KA1BO1</t>
  </si>
  <si>
    <t>kotak FMP Series 259 -Direct Plan-Growth Option</t>
  </si>
  <si>
    <t>INF174KA1BM5</t>
  </si>
  <si>
    <t>kotak FMP Series 259-Regular Plan-Growth Option</t>
  </si>
  <si>
    <t>INF174KA1BN3</t>
  </si>
  <si>
    <t>kotak FMP Series 259-Regular Plan-Payout of Income Distribution cum capital withdrawal option</t>
  </si>
  <si>
    <t>INF174KA1BW4</t>
  </si>
  <si>
    <t>kotak FMP Series 261-Direct Plan-Growth Option</t>
  </si>
  <si>
    <t>INF174KA1BX2</t>
  </si>
  <si>
    <t>kotak FMP Series 261-direct plan-Payout of Income Distribution cum capital withdrawal option</t>
  </si>
  <si>
    <t>INF174KA1BU8</t>
  </si>
  <si>
    <t>kotak FMP Series 261-Regular Plan-Growth Option</t>
  </si>
  <si>
    <t>INF174KA1BV6</t>
  </si>
  <si>
    <t>kotak FMP Series 261-Regular Plan-Payout of Income Distribution cum capital withdrawal option</t>
  </si>
  <si>
    <t>INF174KA1CO9</t>
  </si>
  <si>
    <t>Kotak FMP Series 263-1203 days- Direct Plan- Growth</t>
  </si>
  <si>
    <t>INF174KA1CM3</t>
  </si>
  <si>
    <t>Kotak FMP Series 263-1203 days- Regular plan- Growth</t>
  </si>
  <si>
    <t>INF174KA1CN1</t>
  </si>
  <si>
    <t xml:space="preserve">Kotak FMP Series 263-1203 days- Regular plan- Payout of Income Distribution cum capital withdrawal option </t>
  </si>
  <si>
    <t>INF174KA1CW2</t>
  </si>
  <si>
    <t>Kotak FMP Series 265-Direct Plan-Growth Option</t>
  </si>
  <si>
    <t>INF174KA1CU6</t>
  </si>
  <si>
    <t>Kotak FMP Series 265-Regular Plan-Growth Option</t>
  </si>
  <si>
    <t>INF174KA1DK5</t>
  </si>
  <si>
    <t>Kotak FMP Series 267-Direct PLan-Growth Option</t>
  </si>
  <si>
    <t>INF174KA1DI9</t>
  </si>
  <si>
    <t>Kotak FMP Series 267-Regular Plan-Growth Option</t>
  </si>
  <si>
    <t>INF174KA1DJ7</t>
  </si>
  <si>
    <t xml:space="preserve">Kotak FMP series 267-Regular Plan-Payout of Income Distribution cum capital withdrawal option </t>
  </si>
  <si>
    <t>INF174KA1HM2</t>
  </si>
  <si>
    <t>Kotak FMP Series 292 - Direct Plan - Growth</t>
  </si>
  <si>
    <t>INF174KA1HN0</t>
  </si>
  <si>
    <t>Kotak FMP Series 292 - Direct Plan - IDCW Payout</t>
  </si>
  <si>
    <t>INF174KA1HK6</t>
  </si>
  <si>
    <t>Kotak FMP Series 292 - Regular Plan - Growth</t>
  </si>
  <si>
    <t>INF174KA1HL4</t>
  </si>
  <si>
    <t>Kotak FMP Series 292 - Regular Plan - IDCW Payout</t>
  </si>
  <si>
    <t>INF174KA1IV1</t>
  </si>
  <si>
    <t>Kotak FMP Series 294-105 days - Regular Plan - IDCW Payout</t>
  </si>
  <si>
    <t>INF174KA1IU3</t>
  </si>
  <si>
    <t>Kotak FMP Series 294-105 days-Regular Plan-Growth</t>
  </si>
  <si>
    <t>INF174KA1IX7</t>
  </si>
  <si>
    <t>Kotak FMP Series 294-Direct Plan-IDCW Payout</t>
  </si>
  <si>
    <t>INF174KA1IW9</t>
  </si>
  <si>
    <t>Kotak FMP Series-294-105 days-Direct Plan- Growth</t>
  </si>
  <si>
    <t>INF174KA1JI6</t>
  </si>
  <si>
    <t>Kotak FMP Series 296-Direct Plan-Growth</t>
  </si>
  <si>
    <t>INF174KA1JJ4</t>
  </si>
  <si>
    <t>Kotak FMP Series 296-Direct Plan-IDCW Payout</t>
  </si>
  <si>
    <t>INF174KA1JG0</t>
  </si>
  <si>
    <t>Kotak FMP Series 296-Regular Plan-Growth</t>
  </si>
  <si>
    <t>INF174KA1JH8</t>
  </si>
  <si>
    <t>Kotak FMP Series 296-Regular Plan-IDCW Payout</t>
  </si>
  <si>
    <t>INF174KA1KF0</t>
  </si>
  <si>
    <t>Kotak FMP Series 297-Direct Plan- Payout of IDCW</t>
  </si>
  <si>
    <t>INF174KA1KE3</t>
  </si>
  <si>
    <t>Kotak FMP Series 297-Direct Plan-Growth</t>
  </si>
  <si>
    <t>INF174KA1KD5</t>
  </si>
  <si>
    <t>Kotak FMP Series 297-Regular Plan- Payout of IDCW</t>
  </si>
  <si>
    <t>INF174KA1KC7</t>
  </si>
  <si>
    <t>Kotak FMP Series 297-Regular Plan-Growth</t>
  </si>
  <si>
    <t>INF174KA1KS3</t>
  </si>
  <si>
    <t>Kotak FMP Series 299 - Direct Plan - Growth</t>
  </si>
  <si>
    <t>INF174KA1KQ7</t>
  </si>
  <si>
    <t>Kotak FMP Series 299 - Regular Plan - Growth</t>
  </si>
  <si>
    <t>INF174KA1KR5</t>
  </si>
  <si>
    <t>Kotak FMP Series 299 - Regular Plan - IDCW Payout</t>
  </si>
  <si>
    <t>INF174KA1KX3</t>
  </si>
  <si>
    <t>Kotak FMP Series 300 - Direct Plan - Growth</t>
  </si>
  <si>
    <t>INF174KA1KY1</t>
  </si>
  <si>
    <t>Kotak FMP Series 300 - Direct Plan - IDCW Payout</t>
  </si>
  <si>
    <t>INF174KA1KV7</t>
  </si>
  <si>
    <t>Kotak FMP Series 300 - Regular Plan - Growth</t>
  </si>
  <si>
    <t>INF174KA1KW5</t>
  </si>
  <si>
    <t>Kotak FMP Series 300 - Regular Plan - IDCW Payout</t>
  </si>
  <si>
    <t>INF174KA1LH4</t>
  </si>
  <si>
    <t>Kotak FMP Series 302 - Direct Plan - Growth</t>
  </si>
  <si>
    <t>INF174KA1LI2</t>
  </si>
  <si>
    <t>Kotak FMP Series 302 - Direct Plan - IDCW</t>
  </si>
  <si>
    <t>INF174KA1LF8</t>
  </si>
  <si>
    <t>Kotak FMP Series 302 - Regular Plan - Growth</t>
  </si>
  <si>
    <t>INF174KA1LG6</t>
  </si>
  <si>
    <t>Kotak FMP Series 302 - Regular Plan - IDCW</t>
  </si>
  <si>
    <t>INF174KA1LL6</t>
  </si>
  <si>
    <t>Kotak FMP Series 303 - Direct Plan - Growth</t>
  </si>
  <si>
    <t>INF174KA1LM4</t>
  </si>
  <si>
    <t>Kotak FMP Series 303 - Direct Plan - IDCW</t>
  </si>
  <si>
    <t>INF174KA1LJ0</t>
  </si>
  <si>
    <t>Kotak FMP Series 303 - Regular Plan - Growth</t>
  </si>
  <si>
    <t>INF174KA1LK8</t>
  </si>
  <si>
    <t>Kotak FMP Series 303 - Regular Plan - IDCW</t>
  </si>
  <si>
    <t>INF174KA1LP7</t>
  </si>
  <si>
    <t>Kotak FMP Series 304-Direct Plan-Growth Option</t>
  </si>
  <si>
    <t>INF174KA1LQ5</t>
  </si>
  <si>
    <t>Kotak FMP Series 304-Direct Plan-Payout of IDCW</t>
  </si>
  <si>
    <t>INF174KA1LN2</t>
  </si>
  <si>
    <t>Kotak FMP Series 304-Regular Plan-Growth Option</t>
  </si>
  <si>
    <t>INF174KA1LO0</t>
  </si>
  <si>
    <t>Kotak FMP Series 304-Regular Plan-Payout of IDCW</t>
  </si>
  <si>
    <t>INF174KA1LT9</t>
  </si>
  <si>
    <t>Kotak FMP Series 305 - Direct Plan - Growth</t>
  </si>
  <si>
    <t>INF174KA1LU7</t>
  </si>
  <si>
    <t>Kotak FMP Series 305 - Direct Plan - IDCW</t>
  </si>
  <si>
    <t>INF174KA1LR3</t>
  </si>
  <si>
    <t>Kotak FMP Series 305 - Regular Plan - Growth</t>
  </si>
  <si>
    <t>INF174KA1LS1</t>
  </si>
  <si>
    <t>Kotak FMP Series 305 - Regular Plan - IDCW</t>
  </si>
  <si>
    <t>INF174KA1LY9</t>
  </si>
  <si>
    <t>Kotak FMP Series 306 - Direct Plan - Growth</t>
  </si>
  <si>
    <t>INF174KA1LZ6</t>
  </si>
  <si>
    <t>Kotak FMP Series 306 - Direct Plan - IDCW Payout</t>
  </si>
  <si>
    <t>INF174KA1LW3</t>
  </si>
  <si>
    <t>Kotak FMP Series 306 - Regular Plan - Growth</t>
  </si>
  <si>
    <t>INF174KA1LX1</t>
  </si>
  <si>
    <t>Kotak FMP Series 306 - Regular Plan - IDCW Payout</t>
  </si>
  <si>
    <t>INF174KA1MO8</t>
  </si>
  <si>
    <t>Kotak FMP Series 307 - Direct Plan - Growth</t>
  </si>
  <si>
    <t>INF174KA1MP5</t>
  </si>
  <si>
    <t>Kotak FMP Series 307 - Direct Plan - IDCW Payout</t>
  </si>
  <si>
    <t>INF174KA1MM2</t>
  </si>
  <si>
    <t>Kotak FMP Series 307 - Regular Plan - Growth</t>
  </si>
  <si>
    <t>INF174KA1MN0</t>
  </si>
  <si>
    <t>Kotak FMP Series 307 - Regular Plan - IDCW Payout</t>
  </si>
  <si>
    <t>INF174KA1NG2</t>
  </si>
  <si>
    <t>Kotak FMP Series 308 - Direct Plan - Growth</t>
  </si>
  <si>
    <t>INF174KA1NH0</t>
  </si>
  <si>
    <t>Kotak FMP Series 308 - Direct Plan - IDCW Payout</t>
  </si>
  <si>
    <t>INF174KA1NE7</t>
  </si>
  <si>
    <t>Kotak FMP Series 308 - Regular Plan - Growth</t>
  </si>
  <si>
    <t>INF174KA1NF4</t>
  </si>
  <si>
    <t>Kotak FMP Series 308 - Regular Plan - IDCW Payout</t>
  </si>
  <si>
    <t>INF174KA1NK4</t>
  </si>
  <si>
    <t>Kotak FMP Series 309 - Direct Plan - Growth</t>
  </si>
  <si>
    <t>INF174KA1NI8</t>
  </si>
  <si>
    <t>Kotak FMP Series 309 - Regular Plan - Growth</t>
  </si>
  <si>
    <t>INF174KA1NJ6</t>
  </si>
  <si>
    <t>Kotak FMP Series 309 - Regular Plan - IDCW Payout</t>
  </si>
  <si>
    <t>INF174KA1NO6</t>
  </si>
  <si>
    <t>Kotak FMP Series 310 - Direct Plan - Growth Option</t>
  </si>
  <si>
    <t>INF174KA1NM0</t>
  </si>
  <si>
    <t>Kotak FMP Series 310 - Regular Plan - Growth Option</t>
  </si>
  <si>
    <t>INF174KA1NN8</t>
  </si>
  <si>
    <t>Kotak FMP Series 310 - Regular Plan - IDCW Payout option</t>
  </si>
  <si>
    <t>INF174KA1NS7</t>
  </si>
  <si>
    <t>Kotak FMP Series 311 - Direct Plan - Growth Option</t>
  </si>
  <si>
    <t>INF174KA1NT5</t>
  </si>
  <si>
    <t>Kotak FMP Series 311 - Direct Plan - IDCW Option</t>
  </si>
  <si>
    <t>INF174KA1NQ1</t>
  </si>
  <si>
    <t>Kotak FMP Series 311 - Regular Plan - Growth Option</t>
  </si>
  <si>
    <t>INF174KA1NR9</t>
  </si>
  <si>
    <t>Kotak FMP Series 311 - Regular Plan - IDCW Option</t>
  </si>
  <si>
    <t>INF174KA1PU8</t>
  </si>
  <si>
    <t>Kotak FMP Series 323 - Direct Plan - Growth Option</t>
  </si>
  <si>
    <t>INF174KA1PV6</t>
  </si>
  <si>
    <t>Kotak FMP Series 323 - Direct Plan - IDCW Option</t>
  </si>
  <si>
    <t>INF174KA1PS2</t>
  </si>
  <si>
    <t>Kotak FMP Series 323 - Regular Plan - Growth Option</t>
  </si>
  <si>
    <t>INF174KA1PT0</t>
  </si>
  <si>
    <t>Kotak FMP Series 323 - Regular Plan - IDCW Option</t>
  </si>
  <si>
    <t>INF174KA1QE0</t>
  </si>
  <si>
    <t>Kotak FMP Series 324 - Direct Plan - Growth Option</t>
  </si>
  <si>
    <t>INF174KA1QF7</t>
  </si>
  <si>
    <t>Kotak FMP Series 324 - Direct Plan - IDCW Option</t>
  </si>
  <si>
    <t>INF174KA1QC4</t>
  </si>
  <si>
    <t>Kotak FMP Series 324 - Regular Plan - Growth Option</t>
  </si>
  <si>
    <t>INF174KA1QD2</t>
  </si>
  <si>
    <t>Kotak FMP Series 324 - Regular Plan - IDCW Option</t>
  </si>
  <si>
    <t>INF174KA1QI1</t>
  </si>
  <si>
    <t>Kotak FMP Series 325 - Direct Plan - Growth Option</t>
  </si>
  <si>
    <t>INF174KA1QJ9</t>
  </si>
  <si>
    <t>Kotak FMP Series 325 - Direct Plan - IDCW Option</t>
  </si>
  <si>
    <t>INF174KA1QG5</t>
  </si>
  <si>
    <t>Kotak FMP Series 325 - Regular Plan - Growth Option</t>
  </si>
  <si>
    <t>INF174KA1QH3</t>
  </si>
  <si>
    <t>Kotak FMP Series 325 - Regular Plan - IDCW Option</t>
  </si>
  <si>
    <t>INF174KA1QM3</t>
  </si>
  <si>
    <t>Kotak FMP Series 326 - Direct Plan - Growth Option</t>
  </si>
  <si>
    <t>INF174KA1QN1</t>
  </si>
  <si>
    <t>Kotak FMP Series 326 - Direct Plan - IDCW Payout Option</t>
  </si>
  <si>
    <t>INF174KA1QK7</t>
  </si>
  <si>
    <t>Kotak FMP Series 326 - Regular Plan - Growth Option</t>
  </si>
  <si>
    <t>INF174KA1QL5</t>
  </si>
  <si>
    <t>Kotak FMP Series 326 - Regular Plan - IDCW Payout Option</t>
  </si>
  <si>
    <t>INF174KA1QQ4</t>
  </si>
  <si>
    <t>Kotak FMP Series 327 - Direct Plan - Growth Option</t>
  </si>
  <si>
    <t>INF174KA1QR2</t>
  </si>
  <si>
    <t>Kotak FMP Series 327 - Direct Plan - IDCW Option</t>
  </si>
  <si>
    <t>INF174KA1QO9</t>
  </si>
  <si>
    <t>Kotak FMP Series 327 - Regular Plan - Growth Option</t>
  </si>
  <si>
    <t>INF174KA1QP6</t>
  </si>
  <si>
    <t>Kotak FMP Series 327 - Regular Plan - IDCW Option</t>
  </si>
  <si>
    <t>INF174K01TK2</t>
  </si>
  <si>
    <t>Kotak Hybrid Fixed Term Plan Series 2 - Direct Plan - Diviedend</t>
  </si>
  <si>
    <t>INF174K01TJ4</t>
  </si>
  <si>
    <t>Kotak Hybrid Fixed Term Plan Series 2 - Direct Plan - Growth</t>
  </si>
  <si>
    <t>INF174K01TI6</t>
  </si>
  <si>
    <t>Kotak Hybrid Fixed Term Plan Series 2 - Regular Plan - Dividend</t>
  </si>
  <si>
    <t>INF174K01TH8</t>
  </si>
  <si>
    <t>Kotak Hybrid Fixed Term Plan Series 2 - Regular Plan - Growth</t>
  </si>
  <si>
    <t>INF204KB1403</t>
  </si>
  <si>
    <t>Nippon India Dual Advantage Fixed Tenure Fund IX- Plan D- Direct Plan-Dividend Payout Option</t>
  </si>
  <si>
    <t>INF204KB1411</t>
  </si>
  <si>
    <t>Nippon India Dual Advantage Fixed Tenure Fund IX- Plan D- Direct Plan-Growth Option</t>
  </si>
  <si>
    <t>INF204KB1429</t>
  </si>
  <si>
    <t>Nippon India Dual Advantage Fixed Tenure Fund IX- Plan D- Dividend Payout Option</t>
  </si>
  <si>
    <t>INF204KB1437</t>
  </si>
  <si>
    <t>Nippon India Dual Advantage Fixed Tenure Fund IX- Plan D- Growth Option</t>
  </si>
  <si>
    <t>INF204KB1AJ6</t>
  </si>
  <si>
    <t>Nippon India Dual Advantage Fixed Tenure Fund IX- Plan E- Direct Plan-Dividend Payout Option</t>
  </si>
  <si>
    <t>INF204KB1AK4</t>
  </si>
  <si>
    <t>Nippon India Dual Advantage Fixed Tenure Fund IX- Plan E- Direct Plan-Growth Option</t>
  </si>
  <si>
    <t>INF204KB1AL2</t>
  </si>
  <si>
    <t>Nippon India Dual Advantage Fixed Tenure Fund IX- Plan E- Dividend Payout Option</t>
  </si>
  <si>
    <t>INF204KB1AM0</t>
  </si>
  <si>
    <t>Nippon India Dual Advantage Fixed Tenure Fund IX- Plan E- Growth Option</t>
  </si>
  <si>
    <t>INF204KB1AR9</t>
  </si>
  <si>
    <t>Nippon India Dual Advantage Fixed Tenure Fund IX- Plan F-Direct Plan-Dividend Payout Option</t>
  </si>
  <si>
    <t>INF204KB1AS7</t>
  </si>
  <si>
    <t>Nippon India Dual Advantage Fixed Tenure Fund IX- Plan F-Direct Plan-Growth Option</t>
  </si>
  <si>
    <t>INF204KB1AT5</t>
  </si>
  <si>
    <t>Nippon India Dual Advantage Fixed Tenure Fund IX- Plan F-Dividend Payout Option</t>
  </si>
  <si>
    <t>INF204KB1AU3</t>
  </si>
  <si>
    <t>Nippon India Dual Advantage Fixed Tenure Fund IX- Plan F-Growth Option</t>
  </si>
  <si>
    <t>INF204KB1FA4</t>
  </si>
  <si>
    <t>Nippon India Dual Advantage Fixed Tenure Fund X- Plan A- Direct Plan- Growth Option</t>
  </si>
  <si>
    <t>INF204KB1EZ4</t>
  </si>
  <si>
    <t>Nippon India Dual Advantage Fixed Tenure Fund X- Plan A- Direct Plan-Dividend Payout Option</t>
  </si>
  <si>
    <t>INF204KB1FB2</t>
  </si>
  <si>
    <t>Nippon India Dual Advantage Fixed Tenure Fund X- Plan A- Dividend Payout Option</t>
  </si>
  <si>
    <t>INF204KB1FC0</t>
  </si>
  <si>
    <t>Nippon India Dual Advantage Fixed Tenure Fund X- Plan A- Growth Option</t>
  </si>
  <si>
    <t>INF204KB1FE6</t>
  </si>
  <si>
    <t>Nippon India Dual Advantage Fixed Tenure Fund X- Plan B- Direct Plan- Dividend Payout Option</t>
  </si>
  <si>
    <t>INF204KB1FF3</t>
  </si>
  <si>
    <t>Nippon India Dual Advantage Fixed Tenure Fund X- Plan B- Direct Plan-Growth Option</t>
  </si>
  <si>
    <t>INF204KB1FG1</t>
  </si>
  <si>
    <t>Nippon India Dual Advantage Fixed Tenure Fund X- Plan B- Dividend Payout Option</t>
  </si>
  <si>
    <t>INF204KB1FH9</t>
  </si>
  <si>
    <t>Nippon India Dual Advantage Fixed Tenure Fund X- Plan B- Growth Option</t>
  </si>
  <si>
    <t>INF204KB1GC8</t>
  </si>
  <si>
    <t>Nippon India Dual Advantage Fixed Tenure Fund - X - Plan C - Direct Plan - Dividend Payout Option</t>
  </si>
  <si>
    <t>INF204KB1GD6</t>
  </si>
  <si>
    <t>Nippon India Dual Advantage Fixed Tenure Fund - X - Plan C - Direct Plan - Growth Option</t>
  </si>
  <si>
    <t>INF204KB1GE4</t>
  </si>
  <si>
    <t>Nippon India Dual Advantage Fixed Tenure Fund - X - Plan C - Dividend Payout Option</t>
  </si>
  <si>
    <t>INF204KB1GF1</t>
  </si>
  <si>
    <t>Nippon India Dual Advantage Fixed Tenure Fund - X - Plan C - Growth Option</t>
  </si>
  <si>
    <t>INF204KB1GK1</t>
  </si>
  <si>
    <t>Nippon India Dual Advantage Fixed Tenure Fund X- Plan D- Direct Plan-Dividend Payout Option</t>
  </si>
  <si>
    <t>INF204KB1GL9</t>
  </si>
  <si>
    <t>Nippon India Dual Advantage Fixed Tenure Fund X- Plan D- Direct Plan-Growth Option</t>
  </si>
  <si>
    <t>INF204KB1GM7</t>
  </si>
  <si>
    <t>Nippon India Dual Advantage Fixed Tenure Fund X- Plan D- Dividend Payout Option</t>
  </si>
  <si>
    <t>INF204KB1GN5</t>
  </si>
  <si>
    <t>Nippon India Dual Advantage Fixed Tenure Fund X- Plan D- Growth Option</t>
  </si>
  <si>
    <t>INF204KB1GP0</t>
  </si>
  <si>
    <t>Nippon India Dual Advantage Fixed Tenure Fund X- Plan E- Direct Plan - Growth Option</t>
  </si>
  <si>
    <t>INF204KB1GO3</t>
  </si>
  <si>
    <t>Nippon India Dual Advantage Fixed Tenure Fund X- Plan E- Direct Plan- Dividend Payout Option</t>
  </si>
  <si>
    <t>INF204KB1GQ8</t>
  </si>
  <si>
    <t>Nippon India Dual Advantage Fixed Tenure Fund X- Plan E- Dividend Payout Option</t>
  </si>
  <si>
    <t>INF204KB1GR6</t>
  </si>
  <si>
    <t>Nippon India Dual Advantage Fixed Tenure Fund X- Plan E- Growth Option</t>
  </si>
  <si>
    <t>INF204KB1GW6</t>
  </si>
  <si>
    <t>Nippon India Dual Advantage Fixed Tenure Fund X- Plan F- Direct Plan-Dividend Payout Option</t>
  </si>
  <si>
    <t>INF204KB1GX4</t>
  </si>
  <si>
    <t>Nippon India Dual Advantage Fixed Tenure Fund X- Plan F- Direct Plan-Growth Option</t>
  </si>
  <si>
    <t>INF204KB1GY2</t>
  </si>
  <si>
    <t>Nippon India Dual Advantage Fixed Tenure Fund X- Plan F- Dividend Payout Option</t>
  </si>
  <si>
    <t>INF204KB1GZ9</t>
  </si>
  <si>
    <t>Nippon India Dual Advantage Fixed Tenure Fund X- Plan F- Growth Option</t>
  </si>
  <si>
    <t>INF204KB1JU4</t>
  </si>
  <si>
    <t>Nippon India Dual Advantage Fixed Tenure Fund XI- Plan A- Direct Plan - Dividend Payout Option</t>
  </si>
  <si>
    <t>INF204KB1JV2</t>
  </si>
  <si>
    <t>Nippon India Dual Advantage Fixed Tenure Fund XI- Plan A- Direct Plan- Growth Option</t>
  </si>
  <si>
    <t>INF204KB1JW0</t>
  </si>
  <si>
    <t>Nippon India Dual Advantage Fixed Tenure Fund XI- Plan A- Dividend Payout Option</t>
  </si>
  <si>
    <t>INF204KB1JX8</t>
  </si>
  <si>
    <t>Nippon India Dual Advantage Fixed Tenure Fund XI- Plan A- Growth Option</t>
  </si>
  <si>
    <t>INF204KB1NI1</t>
  </si>
  <si>
    <t>Nippon India Dual Advantage Fixed Tenure Fund XI- Plan B- Direct Plan - Dividend Payout Option</t>
  </si>
  <si>
    <t>INF204KB1NJ9</t>
  </si>
  <si>
    <t>Nippon India Dual Advantage Fixed Tenure Fund XI- Plan B- Direct Plan- Growth Option</t>
  </si>
  <si>
    <t>INF204KB1NK7</t>
  </si>
  <si>
    <t>Nippon India Dual Advantage Fixed Tenure Fund XI- Plan B- Dividend Payout Option</t>
  </si>
  <si>
    <t>INF204KB1NL5</t>
  </si>
  <si>
    <t>Nippon India Dual Advantage Fixed Tenure Fund XI- Plan B- Growth Option</t>
  </si>
  <si>
    <t>INF204KB1PU1</t>
  </si>
  <si>
    <t>NIPPON INDIA DUAL ADVANTAGE FIXED TENURE FUND XI - PLAN C - DIRECT Plan - IDCW Option</t>
  </si>
  <si>
    <t>INF204KB1PW7</t>
  </si>
  <si>
    <t>NIPPON INDIA DUAL ADVANTAGE FIXED TENURE FUND XI - PLAN C - IDCW Option</t>
  </si>
  <si>
    <t>INF204KB1PV9</t>
  </si>
  <si>
    <t>Nippon India Dual Advantage Fixed Tenure Fund XI- Plan C- Direct Plan- Growth Option</t>
  </si>
  <si>
    <t>INF204KB1PX5</t>
  </si>
  <si>
    <t>Nippon India Dual Advantage Fixed Tenure Fund XI- Plan C- Growth Option</t>
  </si>
  <si>
    <t>INF204KB1QT1</t>
  </si>
  <si>
    <t>NIPPON INDIA DUAL ADVANTAGE FIXED TENURE FUND XI - PLAN D - DIRECT Plan - IDCW Option</t>
  </si>
  <si>
    <t>INF204KB1QV7</t>
  </si>
  <si>
    <t>NIPPON INDIA DUAL ADVANTAGE FIXED TENURE FUND XI - PLAN D - IDCW Option</t>
  </si>
  <si>
    <t>INF204KB1QU9</t>
  </si>
  <si>
    <t>Nippon India Dual Advantage Fixed Tenure Fund XI- Plan D- Direct Plan- Growth Option</t>
  </si>
  <si>
    <t>INF204KB1QW5</t>
  </si>
  <si>
    <t>Nippon India Dual Advantage Fixed Tenure Fund XI- Plan D- Growth Option</t>
  </si>
  <si>
    <t>INF204KB1RK8</t>
  </si>
  <si>
    <t>NIPPON INDIA DUAL ADVANTAGE FIXED TENURE FUND XI - PLAN E - DIRECT Plan - IDCW Option</t>
  </si>
  <si>
    <t>INF204KB1RM4</t>
  </si>
  <si>
    <t>NIPPON INDIA DUAL ADVANTAGE FIXED TENURE FUND XI - PLAN E - IDCW Option</t>
  </si>
  <si>
    <t>INF204KB1RL6</t>
  </si>
  <si>
    <t>Nippon India Dual Advantage Fixed Tenure Fund XI- Plan E- Direct Plan- Growth Option</t>
  </si>
  <si>
    <t>INF204KB1RN2</t>
  </si>
  <si>
    <t>Nippon India Dual Advantage Fixed Tenure Fund XI- Plan E- Growth Option</t>
  </si>
  <si>
    <t>INF204KB1TK4</t>
  </si>
  <si>
    <t>NIPPON INDIA DUAL ADVANTAGE FIXED TENURE FUND XII - PLAN A - DIRECT Plan - IDCW Option</t>
  </si>
  <si>
    <t>INF204KB1TM0</t>
  </si>
  <si>
    <t>NIPPON INDIA DUAL ADVANTAGE FIXED TENURE FUND XII - PLAN A - IDCW Option</t>
  </si>
  <si>
    <t>INF204KB1TL2</t>
  </si>
  <si>
    <t>Nippon India Dual Advantage Fixed Tenure Fund XII- Plan A- Direct Plan-Growth Option</t>
  </si>
  <si>
    <t>INF204KB1TN8</t>
  </si>
  <si>
    <t>Nippon India Dual Advantage Fixed Tenure Fund XII- Plan A- Growth Option</t>
  </si>
  <si>
    <t>INF204KB1Z07</t>
  </si>
  <si>
    <t>NIPPON INDIA FIXED HORIZON FUND - XLI - SERIES 1 - DIRECT Plan - IDCW Option</t>
  </si>
  <si>
    <t>INF204KB1Y99</t>
  </si>
  <si>
    <t>Nippon India Fixed Horizon Fund XLI - Series 1 - Direct Plan - Growth Option</t>
  </si>
  <si>
    <t>INF204KB1Y73</t>
  </si>
  <si>
    <t>Nippon India Fixed Horizon Fund XLI - Series 1 - Growth Option</t>
  </si>
  <si>
    <t>INF204KB16C0</t>
  </si>
  <si>
    <t>NIPPON INDIA FIXED HORIZON FUND - XLI - SERIES 10 - DIRECT Plan - IDCW Option</t>
  </si>
  <si>
    <t>INF204KB14C5</t>
  </si>
  <si>
    <t>NIPPON INDIA FIXED HORIZON FUND - XLI - SERIES 10 - IDCW Option</t>
  </si>
  <si>
    <t>INF204KB15C2</t>
  </si>
  <si>
    <t>Nippon India Fixed Horizon Fund XLI - Series 10 - Direct Plan - Growth Option</t>
  </si>
  <si>
    <t>INF204KB13C7</t>
  </si>
  <si>
    <t>Nippon India Fixed Horizon Fund XLI - Series 10 - Growth Option</t>
  </si>
  <si>
    <t>INF204KB10D1</t>
  </si>
  <si>
    <t>NIPPON INDIA FIXED HORIZON FUND - XLI - SERIES 11 - DIRECT Plan - IDCW Option</t>
  </si>
  <si>
    <t>INF204KB18C6</t>
  </si>
  <si>
    <t>NIPPON INDIA FIXED HORIZON FUND - XLI - SERIES 11 - IDCW Option</t>
  </si>
  <si>
    <t>INF204KB19C4</t>
  </si>
  <si>
    <t>Nippon India Fixed Horizon Fund XLI - Series 11 - Direct Plan - Growth Option</t>
  </si>
  <si>
    <t>INF204KB17C8</t>
  </si>
  <si>
    <t>Nippon India Fixed Horizon Fund XLI - Series 11 - Growth Option</t>
  </si>
  <si>
    <t>INF204KB14D3</t>
  </si>
  <si>
    <t>NIPPON INDIA FIXED HORIZON FUND - XLI - SERIES 12 - DIRECT Plan - IDCW Option</t>
  </si>
  <si>
    <t>INF204KB12D7</t>
  </si>
  <si>
    <t>NIPPON INDIA FIXED HORIZON FUND - XLI - SERIES 12 - IDCW Option</t>
  </si>
  <si>
    <t>INF204KB13D5</t>
  </si>
  <si>
    <t>Nippon India Fixed Horizon Fund XLI - Series 12 - Direct Plan - Growth Option</t>
  </si>
  <si>
    <t>INF204KB11D9</t>
  </si>
  <si>
    <t>Nippon India Fixed Horizon Fund XLI - Series 12 - Growth Option</t>
  </si>
  <si>
    <t>INF204KB12A3</t>
  </si>
  <si>
    <t>NIPPON INDIA FIXED HORIZON FUND - XLI - SERIES 4 - DIRECT Plan - IDCW Option</t>
  </si>
  <si>
    <t>INF204KB10A7</t>
  </si>
  <si>
    <t>NIPPON INDIA FIXED HORIZON FUND - XLI - SERIES 4 - IDCW Option</t>
  </si>
  <si>
    <t>INF204KB11A5</t>
  </si>
  <si>
    <t>Nippon India Fixed Horizon Fund XLI - Series 4 - Direct Plan - Growth Option</t>
  </si>
  <si>
    <t>INF204KB1Z98</t>
  </si>
  <si>
    <t>Nippon India Fixed Horizon Fund XLI - Series 4 - Growth Option</t>
  </si>
  <si>
    <t>INF204KB1A14</t>
  </si>
  <si>
    <t>Nippon India Fixed Horizon Fund - XXV - Series 15 - Direct Plan - Dividend Payout Option</t>
  </si>
  <si>
    <t>INF204KB1A06</t>
  </si>
  <si>
    <t>Nippon India Fixed Horizon Fund - XXV - Series 15 - Direct Plan - Growth Option</t>
  </si>
  <si>
    <t>INF204KB1ZZ9</t>
  </si>
  <si>
    <t>Nippon India Fixed Horizon Fund - XXV - Series 15 - Dividend Payout Option</t>
  </si>
  <si>
    <t>INF204KB1ZY2</t>
  </si>
  <si>
    <t>Nippon India Fixed Horizon Fund - XXV - Series 15 - Growth Option</t>
  </si>
  <si>
    <t>INF204KB1N50</t>
  </si>
  <si>
    <t>NIPPON INDIA FIXED HORIZON FUND - XXXIX - SERIES 15 - IDCW Option</t>
  </si>
  <si>
    <t>INF204KB1N43</t>
  </si>
  <si>
    <t>Nippon India Fixed Horizon Fund XXXIX - Series 15 Growth option</t>
  </si>
  <si>
    <t>INF204KB1N68</t>
  </si>
  <si>
    <t>Nippon India Fixed Horizon Fund XXXIX- Series15- Direct Plan - Growth option</t>
  </si>
  <si>
    <t>INF204KB1O18</t>
  </si>
  <si>
    <t>NIPPON INDIA FIXED HORIZON FUND - XXXX - SERIES 1 - DIRECT Plan - IDCW Option</t>
  </si>
  <si>
    <t>INF204KB1N92</t>
  </si>
  <si>
    <t>NIPPON INDIA FIXED HORIZON FUND - XXXX - SERIES 1 - IDCW Option</t>
  </si>
  <si>
    <t>INF204KB1O00</t>
  </si>
  <si>
    <t>Nippon India Fixed Horizon Fund XXXX - Series 1 - Direct Plan - Growth Option</t>
  </si>
  <si>
    <t>INF204KB1N84</t>
  </si>
  <si>
    <t>Nippon India Fixed Horizon Fund XXXX - Series 1 - Growth Option</t>
  </si>
  <si>
    <t>INF204KB1U10</t>
  </si>
  <si>
    <t>NIPPON INDIA FIXED HORIZON FUND - XXXX - SERIES 11 - IDCW Option</t>
  </si>
  <si>
    <t>INF204KB1U28</t>
  </si>
  <si>
    <t>Nippon India Fixed Horizon Fund XXXX - Series 11 - Direct Plan - Growth Plan</t>
  </si>
  <si>
    <t>INF204KB1U02</t>
  </si>
  <si>
    <t>Nippon India Fixed Horizon Fund XXXX - Series 11 - Growth Option</t>
  </si>
  <si>
    <t>INF204KB1U77</t>
  </si>
  <si>
    <t>NIPPON INDIA FIXED HORIZON FUND - XXXX - SERIES 12 - DIRECT Plan - IDCW Option</t>
  </si>
  <si>
    <t>INF204KB1U51</t>
  </si>
  <si>
    <t>NIPPON INDIA FIXED HORIZON FUND - XXXX - SERIES 12 - IDCW Option</t>
  </si>
  <si>
    <t>INF204KB1U69</t>
  </si>
  <si>
    <t>Nippon India Fixed Horizon Fund XXXX - Series 12 - Direct Plan - Growth Option</t>
  </si>
  <si>
    <t>INF204KB1U44</t>
  </si>
  <si>
    <t>Nippon India Fixed Horizon Fund XXXX - Series 12 - Growth Option</t>
  </si>
  <si>
    <t>INF204KB1V50</t>
  </si>
  <si>
    <t>NIPPON INDIA FIXED HORIZON FUND - XXXX - SERIES 14 - DIRECT Plan - IDCW Option</t>
  </si>
  <si>
    <t>INF204KB1V35</t>
  </si>
  <si>
    <t>NIPPON INDIA FIXED HORIZON FUND - XXXX - SERIES 14 - IDCW Option</t>
  </si>
  <si>
    <t>INF204KB1V43</t>
  </si>
  <si>
    <t>Nippon India Fixed Horizon Fund XXXX - Series 14 - Direct Plan - Growth Option</t>
  </si>
  <si>
    <t>INF204KB1V27</t>
  </si>
  <si>
    <t>Nippon India Fixed Horizon Fund XXXX - Series 14 - Growth Option</t>
  </si>
  <si>
    <t>INF204KB1V84</t>
  </si>
  <si>
    <t>NIPPON INDIA FIXED HORIZON FUND - XXXX - SERIES 15 - IDCW Option</t>
  </si>
  <si>
    <t>INF204KB1V92</t>
  </si>
  <si>
    <t>Nippon India Fixed Horizon Fund XXXX - Series 15 - Direct Plan - Growth Option</t>
  </si>
  <si>
    <t>INF204KB1V76</t>
  </si>
  <si>
    <t>Nippon India Fixed Horizon Fund XXXX - Series 15 - Growth Option</t>
  </si>
  <si>
    <t>INF204KB1W42</t>
  </si>
  <si>
    <t>NIPPON INDIA FIXED HORIZON FUND - XXXX - SERIES 16 - DIRECT Plan - IDCW Option</t>
  </si>
  <si>
    <t>INF204KB1W26</t>
  </si>
  <si>
    <t>NIPPON INDIA FIXED HORIZON FUND - XXXX - SERIES 16 - IDCW Option</t>
  </si>
  <si>
    <t>INF204KB1W34</t>
  </si>
  <si>
    <t>Nippon India Fixed Horizon Fund XXXX - Series 16 - Direct Plan - Growth Option</t>
  </si>
  <si>
    <t>INF204KB1W18</t>
  </si>
  <si>
    <t>Nippon India Fixed Horizon Fund XXXX - Series 16 - Growth Option</t>
  </si>
  <si>
    <t>INF204KB1W83</t>
  </si>
  <si>
    <t>NIPPON INDIA FIXED HORIZON FUND - XXXX - SERIES 17 - DIRECT Plan - IDCW Option</t>
  </si>
  <si>
    <t>INF204KB1W75</t>
  </si>
  <si>
    <t>Nippon India Fixed Horizon Fund XXXX - Series 17 - Direct Plan - Growth Option</t>
  </si>
  <si>
    <t>INF204KB1W59</t>
  </si>
  <si>
    <t>Nippon India Fixed Horizon Fund XXXX - Series 17 - Growth Option</t>
  </si>
  <si>
    <t>INF204KB1Y24</t>
  </si>
  <si>
    <t>NIPPON INDIA FIXED HORIZON FUND - XXXX - SERIES 19 - DIRECT Plan - IDCW Option</t>
  </si>
  <si>
    <t>INF204KB1Y08</t>
  </si>
  <si>
    <t>NIPPON INDIA FIXED HORIZON FUND - XXXX - SERIES 19 - IDCW Option</t>
  </si>
  <si>
    <t>INF204KB1Y16</t>
  </si>
  <si>
    <t>Nippon India Fixed Horizon Fund XXXX - Series 19 - Direct Plan - Growth Option</t>
  </si>
  <si>
    <t>INF204KB1X90</t>
  </si>
  <si>
    <t>Nippon India Fixed Horizon Fund XXXX - Series 19 - Growth Option</t>
  </si>
  <si>
    <t>INF204KB1O59</t>
  </si>
  <si>
    <t>NIPPON INDIA FIXED HORIZON FUND - XXXX - SERIES 2 - DIRECT Plan - IDCW Option</t>
  </si>
  <si>
    <t>INF204KB1O34</t>
  </si>
  <si>
    <t>NIPPON INDIA FIXED HORIZON FUND - XXXX - SERIES 2 - IDCW Option</t>
  </si>
  <si>
    <t>INF204KB1O42</t>
  </si>
  <si>
    <t>Nippon India Fixed Horizon Fund XXXX - Series 2 - Direct Plan - Growth Option</t>
  </si>
  <si>
    <t>INF204KB1O26</t>
  </si>
  <si>
    <t>Nippon India Fixed Horizon Fund XXXX - Series 2 - Growth Option</t>
  </si>
  <si>
    <t>INF204KB1O91</t>
  </si>
  <si>
    <t>NIPPON INDIA FIXED HORIZON FUND - XXXX - SERIES 3 - DIRECT Plan - IDCW Option</t>
  </si>
  <si>
    <t>INF204KB1O75</t>
  </si>
  <si>
    <t>NIPPON INDIA FIXED HORIZON FUND - XXXX - SERIES 3 - IDCW Option</t>
  </si>
  <si>
    <t>INF204KB1O83</t>
  </si>
  <si>
    <t>Nippon India Fixed Horizon Fund XXXX - Series 3 - Direct Plan - Growth Option</t>
  </si>
  <si>
    <t>INF204KB1O67</t>
  </si>
  <si>
    <t>Nippon India Fixed Horizon Fund XXXX - Series 3 - Growth Option</t>
  </si>
  <si>
    <t>INF204KB1P33</t>
  </si>
  <si>
    <t>NIPPON INDIA FIXED HORIZON FUND - XXXX - SERIES 4 - DIRECT Plan - IDCW Option</t>
  </si>
  <si>
    <t>INF204KB1P17</t>
  </si>
  <si>
    <t>NIPPON INDIA FIXED HORIZON FUND - XXXX - SERIES 4 - IDCW Option</t>
  </si>
  <si>
    <t>INF204KB1P25</t>
  </si>
  <si>
    <t>Nippon India Fixed Horizon Fund XXXX - Series 4 - Direct Plan - Growth Option</t>
  </si>
  <si>
    <t>INF204KB1P09</t>
  </si>
  <si>
    <t>Nippon India Fixed Horizon Fund XXXX - Series 4 - Growth Option</t>
  </si>
  <si>
    <t>INF204KB1Q57</t>
  </si>
  <si>
    <t>NIPPON INDIA FIXED HORIZON FUND - XXXX - SERIES 5 - DIRECT Plan - IDCW Option</t>
  </si>
  <si>
    <t>INF204KB1Q32</t>
  </si>
  <si>
    <t>NIPPON INDIA FIXED HORIZON FUND - XXXX - SERIES 5 - IDCW Option</t>
  </si>
  <si>
    <t>INF204KB1Q40</t>
  </si>
  <si>
    <t>Nippon India Fixed Horizon Fund XXXX - Series 5 - Direct Plan - Growth Option</t>
  </si>
  <si>
    <t>INF204KB1Q24</t>
  </si>
  <si>
    <t>Nippon India Fixed Horizon Fund XXXX - Series 5 - Growth Option</t>
  </si>
  <si>
    <t>INF204KB1S30</t>
  </si>
  <si>
    <t>NIPPON INDIA FIXED HORIZON FUND - XXXX - SERIES 6 - DIRECT Plan - IDCW Option</t>
  </si>
  <si>
    <t>INF204KB1S14</t>
  </si>
  <si>
    <t>NIPPON INDIA FIXED HORIZON FUND - XXXX - SERIES 6 - IDCW Option</t>
  </si>
  <si>
    <t>INF204KB1S22</t>
  </si>
  <si>
    <t>Nippon India Fixed Horizon Fund XXXX - Series 6 - Direct Plan - Growth Option</t>
  </si>
  <si>
    <t>INF204KB1S06</t>
  </si>
  <si>
    <t>Nippon India Fixed Horizon Fund XXXX - Series 6 - Growth Option</t>
  </si>
  <si>
    <t>INF204KB1S63</t>
  </si>
  <si>
    <t>Nippon India Fixed Horizon Fund XXXX - Series 7 - Direct Plan - Growth Option</t>
  </si>
  <si>
    <t>INF204KB1S48</t>
  </si>
  <si>
    <t>Nippon India Fixed Horizon Fund XXXX - Series 7 - Growth Option</t>
  </si>
  <si>
    <t>INF204KB1T13</t>
  </si>
  <si>
    <t>NIPPON INDIA FIXED HORIZON FUND - XXXX - SERIES 8 - DIRECT Plan - IDCW Option</t>
  </si>
  <si>
    <t>INF204KB1S97</t>
  </si>
  <si>
    <t>NIPPON INDIA FIXED HORIZON FUND - XXXX - SERIES 8 - IDCW Option</t>
  </si>
  <si>
    <t>INF204KB1T05</t>
  </si>
  <si>
    <t>Nippon India Fixed Horizon Fund XXXX - Series 8 - Direct Plan - Growth Option</t>
  </si>
  <si>
    <t>INF204KB1S89</t>
  </si>
  <si>
    <t>Nippon India Fixed Horizon Fund XXXX - Series 8 - Growth Option</t>
  </si>
  <si>
    <t>INF204KB1BW7</t>
  </si>
  <si>
    <t>Nippon India Fixed Horizon Fund XXXI Series 9 - Direct Plan - Dividend Payout Option</t>
  </si>
  <si>
    <t>INF204KB1BV9</t>
  </si>
  <si>
    <t>Nippon India Fixed Horizon Fund XXXI Series 9 - Direct Plan - Growth Option</t>
  </si>
  <si>
    <t>INF204KB1BU1</t>
  </si>
  <si>
    <t>Nippon India Fixed Horizon Fund XXXI Series 9 - Dividend Payout Option</t>
  </si>
  <si>
    <t>INF204KB1BT3</t>
  </si>
  <si>
    <t>Nippon India Fixed Horizon Fund XXXI Series 9 - Growth Option</t>
  </si>
  <si>
    <t>INF204KB1DG6</t>
  </si>
  <si>
    <t>Nippon India Fixed Horizon Fund XXXI- Series 13- Direct Plan-Dividend Payout Option</t>
  </si>
  <si>
    <t>INF204KB1DF8</t>
  </si>
  <si>
    <t>Nippon India Fixed Horizon Fund XXXI- Series 13- Direct Plan-Growth Option</t>
  </si>
  <si>
    <t>INF204KB1DE1</t>
  </si>
  <si>
    <t>Nippon India Fixed Horizon Fund XXXI- Series 13- Dividend Payout Option</t>
  </si>
  <si>
    <t>INF204KB1DD3</t>
  </si>
  <si>
    <t>Nippon India Fixed Horizon Fund XXXI- Series 13- Growth Option</t>
  </si>
  <si>
    <t>INF204KB1EE9</t>
  </si>
  <si>
    <t>Nippon India Fixed Horizon Fund XXXI- Series 15- Direct Plan-Dividend Payout Option</t>
  </si>
  <si>
    <t>INF204KB1ED1</t>
  </si>
  <si>
    <t>Nippon India Fixed Horizon Fund XXXI- Series 15- Direct Plan-Growth Option</t>
  </si>
  <si>
    <t>INF204KB1EC3</t>
  </si>
  <si>
    <t>Nippon India Fixed Horizon Fund XXXI- Series 15- Dividend Payout Option</t>
  </si>
  <si>
    <t>INF204KB1EB5</t>
  </si>
  <si>
    <t>Nippon India Fixed Horizon Fund XXXI- Series 15-Growth Option</t>
  </si>
  <si>
    <t>INF204KB1BB1</t>
  </si>
  <si>
    <t>Nippon India Fixed Horizon Fund XXXI- Series 8- Direct Plan - Growth Option</t>
  </si>
  <si>
    <t>INF204KB1BC9</t>
  </si>
  <si>
    <t>Nippon India Fixed Horizon Fund XXXI- Series 8- Direct Plan-Dividend Payout Option</t>
  </si>
  <si>
    <t>INF204KB1BA3</t>
  </si>
  <si>
    <t>Nippon India Fixed Horizon Fund XXXI- Series 8- Dividend Payout Option</t>
  </si>
  <si>
    <t>INF204KB1AZ2</t>
  </si>
  <si>
    <t>Nippon India Fixed Horizon Fund XXXI- Series 8- Growth Option</t>
  </si>
  <si>
    <t>INF204KB1FP2</t>
  </si>
  <si>
    <t>Nippon India Fixed Horizon Fund XXXII- Series 1- Direct Plan- Dividend Payout Option</t>
  </si>
  <si>
    <t>INF204KB1FO5</t>
  </si>
  <si>
    <t>Nippon India Fixed Horizon Fund XXXII- Series 1- Direct Plan-Growth Option</t>
  </si>
  <si>
    <t>INF204KB1FN7</t>
  </si>
  <si>
    <t>Nippon India Fixed Horizon Fund XXXII- Series 1- Dividend Payout Option</t>
  </si>
  <si>
    <t>INF204KB1FM9</t>
  </si>
  <si>
    <t>Nippon India Fixed Horizon Fund XXXII- Series 1- Growth Option</t>
  </si>
  <si>
    <t>INF204KB1HL7</t>
  </si>
  <si>
    <t>Nippon India Fixed Horizon Fund XXXII- Series 10- Direct Plan- Dividend Payout Option</t>
  </si>
  <si>
    <t>INF204KB1HK9</t>
  </si>
  <si>
    <t>Nippon India Fixed Horizon Fund XXXII- Series 10- Direct Plan- Growth Option</t>
  </si>
  <si>
    <t>INF204KB1HJ1</t>
  </si>
  <si>
    <t>Nippon India Fixed Horizon Fund XXXII- Series 10- Dividend Payout Option</t>
  </si>
  <si>
    <t>INF204KB1HI3</t>
  </si>
  <si>
    <t>Nippon India Fixed Horizon Fund XXXII- Series 10- Growth Option</t>
  </si>
  <si>
    <t>INF204KB1FT4</t>
  </si>
  <si>
    <t>Nippon India Fixed Horizon Fund XXXII- Series 2- Direct Plan- Dividend Payout Option</t>
  </si>
  <si>
    <t>INF204KB1FS6</t>
  </si>
  <si>
    <t>Nippon India Fixed Horizon Fund XXXII- Series 2- Direct Plan-Growth Option</t>
  </si>
  <si>
    <t>INF204KB1FR8</t>
  </si>
  <si>
    <t>Nippon India Fixed Horizon Fund XXXII- Series 2- Dividend Payout Option</t>
  </si>
  <si>
    <t>INF204KB1FQ0</t>
  </si>
  <si>
    <t>Nippon India Fixed Horizon Fund XXXII- Series 2- Growth Option</t>
  </si>
  <si>
    <t>INF204KB1GB0</t>
  </si>
  <si>
    <t>Nippon India Fixed Horizon Fund XXXII- Series 4- Direct Plan- Dividend Payout Option</t>
  </si>
  <si>
    <t>INF204KB1GA2</t>
  </si>
  <si>
    <t>Nippon India Fixed Horizon Fund XXXII- Series 4- Direct Plan-Growth Option</t>
  </si>
  <si>
    <t>INF204KB1FZ1</t>
  </si>
  <si>
    <t>Nippon India Fixed Horizon Fund XXXII- Series 4- Dividend Payout Option</t>
  </si>
  <si>
    <t>INF204KB1FY4</t>
  </si>
  <si>
    <t>Nippon India Fixed Horizon Fund XXXII- Series 4- Growth Option</t>
  </si>
  <si>
    <t>INF204KB1GJ3</t>
  </si>
  <si>
    <t>Nippon India Fixed Horizon Fund XXXII- Series 5- Direct Plan-Dividend Payout Option</t>
  </si>
  <si>
    <t>INF204KB1GI5</t>
  </si>
  <si>
    <t>Nippon India Fixed Horizon Fund XXXII- Series 5- Direct Plan-Growth Option</t>
  </si>
  <si>
    <t>INF204KB1GH7</t>
  </si>
  <si>
    <t>Nippon India Fixed Horizon Fund XXXII- Series 5- Dividend Payout Option</t>
  </si>
  <si>
    <t>INF204KB1GG9</t>
  </si>
  <si>
    <t>Nippon India Fixed Horizon Fund XXXII- Series 5- Growth Option</t>
  </si>
  <si>
    <t>INF204KB1HD4</t>
  </si>
  <si>
    <t>Nippon India Fixed Horizon Fund XXXII- Series 7- Direct Plan-Dividend Payout Option</t>
  </si>
  <si>
    <t>INF204KB1HC6</t>
  </si>
  <si>
    <t>Nippon India Fixed Horizon Fund XXXII- Series 7- Direct Plan-Growth Option</t>
  </si>
  <si>
    <t>INF204KB1HB8</t>
  </si>
  <si>
    <t>Nippon India Fixed Horizon Fund XXXII- Series 7- Dividend Payout Option</t>
  </si>
  <si>
    <t>INF204KB1HA0</t>
  </si>
  <si>
    <t>Nippon India Fixed Horizon Fund XXXII- Series 7- Growth Option</t>
  </si>
  <si>
    <t>INF204KB1HG7</t>
  </si>
  <si>
    <t>Nippon India Fixed Horizon Fund XXXII- Series 8- Direct Plan-Growth Option</t>
  </si>
  <si>
    <t>INF204KB1HF9</t>
  </si>
  <si>
    <t>Nippon India Fixed Horizon Fund XXXII- Series 8- Dividend Payout Option</t>
  </si>
  <si>
    <t>INF204KB1HE2</t>
  </si>
  <si>
    <t>Nippon India Fixed Horizon Fund XXXII- Series 8- Growth Option</t>
  </si>
  <si>
    <t>INF204KB1HP8</t>
  </si>
  <si>
    <t>Nippon India Fixed Horizon Fund - XXXII - Series 9 - Direct Plan - Dividend Payout Option</t>
  </si>
  <si>
    <t>INF204KB1HO1</t>
  </si>
  <si>
    <t>Nippon India Fixed Horizon Fund - XXXII - Series 9 - Direct Plan - Growth Option</t>
  </si>
  <si>
    <t>INF204KB1HN3</t>
  </si>
  <si>
    <t>Nippon India Fixed Horizon Fund - XXXII - Series 9 - Dividend Payout Option</t>
  </si>
  <si>
    <t>INF204KB1HM5</t>
  </si>
  <si>
    <t>Nippon India Fixed Horizon Fund - XXXII - Series 9 - Growth Option</t>
  </si>
  <si>
    <t>INF204KB1IB6</t>
  </si>
  <si>
    <t>Nippon India Fixed Horizon Fund XXXIII- Series 1- Direct Plan- Dividend Payout Option</t>
  </si>
  <si>
    <t>INF204KB1IA8</t>
  </si>
  <si>
    <t>Nippon India Fixed Horizon Fund XXXIII- Series 1- Direct Plan- Growth Option</t>
  </si>
  <si>
    <t>INF204KB1HY0</t>
  </si>
  <si>
    <t>Nippon India Fixed Horizon Fund XXXIII- Series 1- Growth Option</t>
  </si>
  <si>
    <t>INF204KB1KF3</t>
  </si>
  <si>
    <t>Nippon India Fixed Horizon Fund XXXIII- Series 10- Direct Plan - Dividend Payout Option</t>
  </si>
  <si>
    <t>INF204KB1KE6</t>
  </si>
  <si>
    <t>Nippon India Fixed Horizon Fund XXXIII- Series 10- Direct Plan - Growth Option</t>
  </si>
  <si>
    <t>INF204KB1KD8</t>
  </si>
  <si>
    <t>Nippon India Fixed Horizon Fund XXXIII- Series 10- Dividend Payout Option</t>
  </si>
  <si>
    <t>INF204KB1KC0</t>
  </si>
  <si>
    <t>Nippon India Fixed Horizon Fund XXXIII- Series 10- Growth Option</t>
  </si>
  <si>
    <t>INF204KB1IF7</t>
  </si>
  <si>
    <t>Nippon India Fixed Horizon Fund XXXIII- Series 2- Direct Plan- Dividend Payout Option</t>
  </si>
  <si>
    <t>INF204KB1IE0</t>
  </si>
  <si>
    <t>Nippon India Fixed Horizon Fund XXXIII- Series 2- Direct Plan- Growth Option</t>
  </si>
  <si>
    <t>INF204KB1ID2</t>
  </si>
  <si>
    <t>Nippon India Fixed Horizon Fund XXXIII- Series 2- Dividend Payout Option</t>
  </si>
  <si>
    <t>INF204KB1IC4</t>
  </si>
  <si>
    <t>Nippon India Fixed Horizon Fund XXXIII- Series 2- Growth Option</t>
  </si>
  <si>
    <t>INF204KB1IH3</t>
  </si>
  <si>
    <t>Nippon India Fixed Horizon Fund XXXIII- Series 3 - Dividend Payout Option</t>
  </si>
  <si>
    <t>INF204KB1IG5</t>
  </si>
  <si>
    <t>Nippon India Fixed Horizon Fund XXXIII- Series 3- Growth Option</t>
  </si>
  <si>
    <t>INF204KB1II1</t>
  </si>
  <si>
    <t>Nippon India Fixed Horizon Fund XXXIII- Series 3-Direct Plan- Growth Option</t>
  </si>
  <si>
    <t>INF204KB1IU6</t>
  </si>
  <si>
    <t>Nippon India Fixed Horizon Fund XXXIII- Series 4- Direct Plan-Growth Option</t>
  </si>
  <si>
    <t>INF204KB1IS0</t>
  </si>
  <si>
    <t>Nippon India Fixed Horizon Fund XXXIII- Series 4- Growth Option</t>
  </si>
  <si>
    <t>INF204KB1IX0</t>
  </si>
  <si>
    <t>Nippon India Fixed Horizon Fund XXXIII- Series 5- Dividend Payout Option</t>
  </si>
  <si>
    <t>INF204KB1IW2</t>
  </si>
  <si>
    <t>Nippon India Fixed Horizon Fund XXXIII- Series 5- Growth Option</t>
  </si>
  <si>
    <t>INF204KB1IZ5</t>
  </si>
  <si>
    <t>Nippon India Fixed Horizon Fund XXXIII- Series 5-Direct Plan- Dividend Payout Option</t>
  </si>
  <si>
    <t>INF204KB1IY8</t>
  </si>
  <si>
    <t>Nippon India Fixed Horizon Fund XXXIII- Series 5-Direct Plan- Growth Option</t>
  </si>
  <si>
    <t>INF204KB1JD0</t>
  </si>
  <si>
    <t>Nippon India Fixed Horizon Fund XXXIII- Series 6- Direct Plan- Dividend Payout Option</t>
  </si>
  <si>
    <t>INF204KB1JB4</t>
  </si>
  <si>
    <t>Nippon India Fixed Horizon Fund XXXIII- Series 6- Dividend Payout Option</t>
  </si>
  <si>
    <t>INF204KB1JA6</t>
  </si>
  <si>
    <t>Nippon India Fixed Horizon Fund XXXIII- Series 6- Growth Option</t>
  </si>
  <si>
    <t>INF204KB1JC2</t>
  </si>
  <si>
    <t>Nippon India Fixed Horizon Fund XXXIII- Series 6-Direct Plan- Growth Option</t>
  </si>
  <si>
    <t>INF204KB1JL3</t>
  </si>
  <si>
    <t>Nippon India Fixed Horizon Fund XXXIII- Series 7- Direct Plan-Dividend Payout Option</t>
  </si>
  <si>
    <t>INF204KB1JK5</t>
  </si>
  <si>
    <t>Nippon India Fixed Horizon Fund XXXIII- Series 7- Direct Plan-Growth Option</t>
  </si>
  <si>
    <t>INF204KB1JI9</t>
  </si>
  <si>
    <t>Nippon India Fixed Horizon Fund XXXIII- Series 7- Growth Option</t>
  </si>
  <si>
    <t>INF204KB1JT6</t>
  </si>
  <si>
    <t>Nippon India Fixed Horizon Fund XXXIII- Series 8- Direct Plan-Dividend Payout Option</t>
  </si>
  <si>
    <t>INF204KB1JR0</t>
  </si>
  <si>
    <t>Nippon India Fixed Horizon Fund XXXIII- Series 8- Dividend Payout Option</t>
  </si>
  <si>
    <t>INF204KB1JQ2</t>
  </si>
  <si>
    <t>Nippon India Fixed Horizon Fund XXXIII- Series 8- Growth Option</t>
  </si>
  <si>
    <t>INF204KB1JS8</t>
  </si>
  <si>
    <t>Nippon India Fixed Horizon Fund XXXIII- Series 8-Direct Plan- Growth Option</t>
  </si>
  <si>
    <t>INF204KB1KB2</t>
  </si>
  <si>
    <t>Nippon India Fixed Horizon Fund XXXIII- Series 9- Direct Plan - Dividend Payout Option</t>
  </si>
  <si>
    <t>INF204KB1KA4</t>
  </si>
  <si>
    <t>Nippon India Fixed Horizon Fund XXXIII- Series 9- Direct Plan - Growth Option</t>
  </si>
  <si>
    <t>INF204KB1JZ3</t>
  </si>
  <si>
    <t>Nippon India Fixed Horizon Fund XXXIII- Series 9- Dividend Payout Option</t>
  </si>
  <si>
    <t>INF204KB1JY6</t>
  </si>
  <si>
    <t>Nippon India Fixed Horizon Fund XXXIII- Series 9- Growth Option</t>
  </si>
  <si>
    <t>INF204KB1NP6</t>
  </si>
  <si>
    <t>Nippon India Fixed Horizon Fund XXXIV- Series 1 - Direct Plan- Dividend Payout Option</t>
  </si>
  <si>
    <t>INF204KB1NO9</t>
  </si>
  <si>
    <t>Nippon India Fixed Horizon Fund XXXIV- Series 1 - Direct Plan- Growth Option</t>
  </si>
  <si>
    <t>INF204KB1NN1</t>
  </si>
  <si>
    <t>Nippon India Fixed Horizon Fund XXXIV- Series 1 - Dividend Payout Option</t>
  </si>
  <si>
    <t>INF204KB1NM3</t>
  </si>
  <si>
    <t>Nippon India Fixed Horizon Fund XXXIV- Series 1 - Growth Option</t>
  </si>
  <si>
    <t>INF204KB1QK0</t>
  </si>
  <si>
    <t>Nippon India Fixed Horizon Fund XXXIV- Series 10- Direct Plan-Dividend Payout Option</t>
  </si>
  <si>
    <t>INF204KB1QJ2</t>
  </si>
  <si>
    <t>Nippon India Fixed Horizon Fund XXXIV- Series 10- Direct Plan-Growth Option</t>
  </si>
  <si>
    <t>INF204KB1QI4</t>
  </si>
  <si>
    <t>Nippon India Fixed Horizon Fund XXXIV- Series 10- Dividend Payout Option</t>
  </si>
  <si>
    <t>INF204KB1QH6</t>
  </si>
  <si>
    <t>Nippon India Fixed Horizon Fund XXXIV- Series 10- Growth Option</t>
  </si>
  <si>
    <t>INF204KB1NT8</t>
  </si>
  <si>
    <t>Nippon India Fixed Horizon Fund XXXIV- Series 2 - Direct Plan- Dividend Payout Option</t>
  </si>
  <si>
    <t>INF204KB1NS0</t>
  </si>
  <si>
    <t>Nippon India Fixed Horizon Fund XXXIV- Series 2 - Direct Plan- Growth Option</t>
  </si>
  <si>
    <t>INF204KB1NR2</t>
  </si>
  <si>
    <t>Nippon India Fixed Horizon Fund XXXIV- Series 2 - Dividend Payout Option</t>
  </si>
  <si>
    <t>INF204KB1NQ4</t>
  </si>
  <si>
    <t>Nippon India Fixed Horizon Fund XXXIV- Series 2 - Growth Option</t>
  </si>
  <si>
    <t>INF204KB1NV4</t>
  </si>
  <si>
    <t>Nippon India Fixed Horizon Fund XXXIV- Series 3- Direct Plan-Dividend Payout Option</t>
  </si>
  <si>
    <t>INF204KB1NX0</t>
  </si>
  <si>
    <t>Nippon India Fixed Horizon Fund XXXIV- Series 3- Dividend Payout Option</t>
  </si>
  <si>
    <t>INF204KB1NW2</t>
  </si>
  <si>
    <t>Nippon India Fixed Horizon Fund XXXIV- Series 3- Growth Option</t>
  </si>
  <si>
    <t>INF204KB1NU6</t>
  </si>
  <si>
    <t>Nippon India Fixed Horizon Fund XXXIV- Series 3-Direct Plan- Growth Option</t>
  </si>
  <si>
    <t>INF204KB1OB4</t>
  </si>
  <si>
    <t>Nippon India Fixed Horizon Fund XXXIV- Series 4- Direct Plan-Dividend Payout Option</t>
  </si>
  <si>
    <t>INF204KB1NZ5</t>
  </si>
  <si>
    <t>Nippon India Fixed Horizon Fund XXXIV- Series 4- Dividend Payout Option</t>
  </si>
  <si>
    <t>INF204KB1NY8</t>
  </si>
  <si>
    <t>Nippon India Fixed Horizon Fund XXXIV- Series 4- Growth Option</t>
  </si>
  <si>
    <t>INF204KB1OA6</t>
  </si>
  <si>
    <t>Nippon India Fixed Horizon Fund XXXIV- Series 4-Direct Plan- Growth Option</t>
  </si>
  <si>
    <t>INF204KB1PL0</t>
  </si>
  <si>
    <t>Nippon India Fixed Horizon Fund XXXIV- Series 6- Direct Plan- Dividend Payout Option</t>
  </si>
  <si>
    <t>INF204KB1PK2</t>
  </si>
  <si>
    <t>Nippon India Fixed Horizon Fund XXXIV- Series 6- Direct Plan-Growth Option</t>
  </si>
  <si>
    <t>INF204KB1PJ4</t>
  </si>
  <si>
    <t>Nippon India Fixed Horizon Fund XXXIV- Series 6- Dividend Payout Option</t>
  </si>
  <si>
    <t>INF204KB1PI6</t>
  </si>
  <si>
    <t>Nippon India Fixed Horizon Fund XXXIV- Series 6- Growth Option</t>
  </si>
  <si>
    <t>INF204KB1PP1</t>
  </si>
  <si>
    <t>Nippon India Fixed Horizon Fund XXXIV- Series 7- Direct Plan- Dividend Payout Option</t>
  </si>
  <si>
    <t>INF204KB1PO4</t>
  </si>
  <si>
    <t>Nippon India Fixed Horizon Fund XXXIV- Series 7- Direct Plan-Growth Option</t>
  </si>
  <si>
    <t>INF204KB1PN6</t>
  </si>
  <si>
    <t>Nippon India Fixed Horizon Fund XXXIV- Series 7- Dividend Payout Option</t>
  </si>
  <si>
    <t>INF204KB1PM8</t>
  </si>
  <si>
    <t>Nippon India Fixed Horizon Fund XXXIV- Series 7- Growth Option</t>
  </si>
  <si>
    <t>INF204KB1PT3</t>
  </si>
  <si>
    <t>Nippon India Fixed Horizon Fund XXXIV- Series 8- Direct Plan- Dividend Payout Option</t>
  </si>
  <si>
    <t>INF204KB1PS5</t>
  </si>
  <si>
    <t>Nippon India Fixed Horizon Fund XXXIV- Series 8- Direct Plan-Growth Option</t>
  </si>
  <si>
    <t>INF204KB1PR7</t>
  </si>
  <si>
    <t>Nippon India Fixed Horizon Fund XXXIV- Series 8- Dividend Payout Option</t>
  </si>
  <si>
    <t>INF204KB1PQ9</t>
  </si>
  <si>
    <t>Nippon India Fixed Horizon Fund XXXIV- Series 8- Growth Option</t>
  </si>
  <si>
    <t>INF204KB1QG8</t>
  </si>
  <si>
    <t>Nippon India Fixed Horizon Fund XXXIV - Series 9 - Direct Plan - Dividend Payout Option</t>
  </si>
  <si>
    <t>INF204KB1QF0</t>
  </si>
  <si>
    <t>Nippon India Fixed Horizon Fund XXXIV - Series 9 - Direct Plan - Growth Option</t>
  </si>
  <si>
    <t>INF204KB1QE3</t>
  </si>
  <si>
    <t>Nippon India Fixed Horizon Fund XXXIV - Series 9 - Dividend Payout Option</t>
  </si>
  <si>
    <t>INF204KB1QD5</t>
  </si>
  <si>
    <t>Nippon India Fixed Horizon Fund XXXIV - Series 9 - Growth Option</t>
  </si>
  <si>
    <t>INF204KB1N35</t>
  </si>
  <si>
    <t>NIPPON INDIA FIXED HORIZON FUND - XXXIX - SERIES 14 - DIRECT Plan - IDCW Option</t>
  </si>
  <si>
    <t>INF204KB1N19</t>
  </si>
  <si>
    <t>NIPPON INDIA FIXED HORIZON FUND - XXXIX - SERIES 14 - IDCW Option</t>
  </si>
  <si>
    <t>INF204KB1N01</t>
  </si>
  <si>
    <t>Nippon India Fixed Horizon Fund XXXIX -  Series 14 -Growth Option</t>
  </si>
  <si>
    <t>INF204KB1N27</t>
  </si>
  <si>
    <t>Nippon India Fixed Horizon Fund XXXIX - Series 14 - Direct Plan - Growth Option</t>
  </si>
  <si>
    <t>INF204KB1G59</t>
  </si>
  <si>
    <t>NIPPON INDIA FIXED HORIZON FUND - XXXIX - SERIES 1 - DIRECT Plan - IDCW Option</t>
  </si>
  <si>
    <t>INF204KB1G34</t>
  </si>
  <si>
    <t>NIPPON INDIA FIXED HORIZON FUND - XXXIX - SERIES 1 - IDCW Option</t>
  </si>
  <si>
    <t>INF204KB1G42</t>
  </si>
  <si>
    <t>Nippon India Fixed Horizon Fund XXXIX- Series 1- Direct Plan- Growth Option</t>
  </si>
  <si>
    <t>INF204KB1G26</t>
  </si>
  <si>
    <t>Nippon India Fixed Horizon Fund XXXIX- Series 1- Growth Plan</t>
  </si>
  <si>
    <t>INF204KB1L78</t>
  </si>
  <si>
    <t>NIPPON INDIA FIXED HORIZON FUND - XXXIX - SERIES 11 - DIRECT Plan - IDCW Option</t>
  </si>
  <si>
    <t>INF204KB1L52</t>
  </si>
  <si>
    <t>NIPPON INDIA FIXED HORIZON FUND - XXXIX - SERIES 11 - IDCW Option</t>
  </si>
  <si>
    <t>INF204KB1L60</t>
  </si>
  <si>
    <t>Nippon India Fixed Horizon Fund XXXIX- Series 11- Direct Plan- Growth Option</t>
  </si>
  <si>
    <t>INF204KB1L45</t>
  </si>
  <si>
    <t>Nippon India Fixed Horizon Fund XXXIX- Series 11- Growth Option</t>
  </si>
  <si>
    <t>INF204KB1H74</t>
  </si>
  <si>
    <t>NIPPON INDIA FIXED HORIZON FUND - XXXIX - SERIES 2 - DIRECT Plan - IDCW Option</t>
  </si>
  <si>
    <t>INF204KB1H58</t>
  </si>
  <si>
    <t>NIPPON INDIA FIXED HORIZON FUND - XXXIX - SERIES 2 - IDCW Option</t>
  </si>
  <si>
    <t>INF204KB1H66</t>
  </si>
  <si>
    <t>Nippon India Fixed Horizon Fund XXXIX- Series 2- Direct Plan- Growth Option</t>
  </si>
  <si>
    <t>INF204KB1H41</t>
  </si>
  <si>
    <t>Nippon India Fixed Horizon Fund XXXIX- Series 2- Growth Option</t>
  </si>
  <si>
    <t>INF204KB1I99</t>
  </si>
  <si>
    <t>NIPPON INDIA FIXED HORIZON FUND - XXXIX - SERIES 4 - DIRECT Plan - IDCW Option</t>
  </si>
  <si>
    <t>INF204KB1I73</t>
  </si>
  <si>
    <t>NIPPON INDIA FIXED HORIZON FUND - XXXIX - SERIES 4 - IDCW Option</t>
  </si>
  <si>
    <t>INF204KB1I81</t>
  </si>
  <si>
    <t>Nippon India Fixed Horizon Fund XXXIX- Series 4- Direct Plan- Growth Option</t>
  </si>
  <si>
    <t>INF204KB1I65</t>
  </si>
  <si>
    <t>Nippon India Fixed Horizon Fund XXXIX- Series 4- Growth Option</t>
  </si>
  <si>
    <t>INF204KB1J31</t>
  </si>
  <si>
    <t>NIPPON INDIA FIXED HORIZON FUND - XXXIX - SERIES 5 - DIRECT Plan - IDCW Option</t>
  </si>
  <si>
    <t>INF204KB1J15</t>
  </si>
  <si>
    <t>NIPPON INDIA FIXED HORIZON FUND - XXXIX - SERIES 5 - IDCW Option</t>
  </si>
  <si>
    <t>INF204KB1J23</t>
  </si>
  <si>
    <t>Nippon India Fixed Horizon Fund XXXIX- Series 5- Direct Plan- Growth Option</t>
  </si>
  <si>
    <t>INF204KB1J07</t>
  </si>
  <si>
    <t>Nippon India Fixed Horizon Fund XXXIX- Series 5- Growth Option</t>
  </si>
  <si>
    <t>INF204KB1J64</t>
  </si>
  <si>
    <t>Nippon India Fixed Horizon Fund XXXIX- Series 6- Direct Plan- Growth Option</t>
  </si>
  <si>
    <t>INF204KB1J49</t>
  </si>
  <si>
    <t>Nippon India Fixed Horizon Fund XXXIX- Series 6- Growth Plan</t>
  </si>
  <si>
    <t>INF204KB1K53</t>
  </si>
  <si>
    <t>NIPPON INDIA FIXED HORIZON FUND - XXXIX - SERIES 8 - DIRECT Plan - IDCW Option</t>
  </si>
  <si>
    <t>INF204KB1K38</t>
  </si>
  <si>
    <t>NIPPON INDIA FIXED HORIZON FUND - XXXIX - SERIES 8 - IDCW Option</t>
  </si>
  <si>
    <t>INF204KB1K46</t>
  </si>
  <si>
    <t>Nippon India Fixed Horizon Fund XXXIX- Series 8- Direct Plan- Growth Option</t>
  </si>
  <si>
    <t>INF204KB1K20</t>
  </si>
  <si>
    <t>Nippon India Fixed Horizon Fund XXXIX- Series 8- Growth Option</t>
  </si>
  <si>
    <t>INF204KB1K95</t>
  </si>
  <si>
    <t>NIPPON INDIA FIXED HORIZON FUND - XXXIX - SERIES 9 - DIRECT Plan - IDCW Option</t>
  </si>
  <si>
    <t>INF204KB1K79</t>
  </si>
  <si>
    <t>NIPPON INDIA FIXED HORIZON FUND - XXXIX - SERIES 9 - IDCW Option</t>
  </si>
  <si>
    <t>INF204KB1K87</t>
  </si>
  <si>
    <t>Nippon India Fixed Horizon Fund XXXIX- Series 9- Direct Plan- Growth Option</t>
  </si>
  <si>
    <t>INF204KB1K61</t>
  </si>
  <si>
    <t>Nippon India Fixed Horizon Fund XXXIX- Series 9- Growth Option</t>
  </si>
  <si>
    <t>INF204KB1SX9</t>
  </si>
  <si>
    <t>NIPPON INDIA FIXED HORIZON FUND - XXXV - SERIES 11 - DIRECT Plan - IDCW Option</t>
  </si>
  <si>
    <t>INF204KB1SV3</t>
  </si>
  <si>
    <t>NIPPON INDIA FIXED HORIZON FUND - XXXV - SERIES 11 - IDCW Option</t>
  </si>
  <si>
    <t>INF204KB1SW1</t>
  </si>
  <si>
    <t>Nippon India Fixed Horizon Fund XXXV- Series 11- Direct Plan-Growth Option</t>
  </si>
  <si>
    <t>INF204KB1SU5</t>
  </si>
  <si>
    <t>Nippon India Fixed Horizon Fund XXXV- Series 11- Growth Option</t>
  </si>
  <si>
    <t>INF204KB1TB3</t>
  </si>
  <si>
    <t>NIPPON INDIA FIXED HORIZON FUND - XXXV - SERIES 12 - DIRECT Plan - IDCW Option</t>
  </si>
  <si>
    <t>INF204KB1TA5</t>
  </si>
  <si>
    <t>Nippon India Fixed Horizon Fund XXXV- Series 12- Direct Plan-Growth Option</t>
  </si>
  <si>
    <t>INF204KB1SY7</t>
  </si>
  <si>
    <t>Nippon India Fixed Horizon Fund XXXV- Series 12- Growth Option</t>
  </si>
  <si>
    <t>INF204KB1TF4</t>
  </si>
  <si>
    <t>NIPPON INDIA FIXED HORIZON FUND - XXXV - SERIES 13 - DIRECT Plan - IDCW Option</t>
  </si>
  <si>
    <t>INF204KB1TD9</t>
  </si>
  <si>
    <t>NIPPON INDIA FIXED HORIZON FUND - XXXV - SERIES 13 - IDCW Option</t>
  </si>
  <si>
    <t>INF204KB1TE7</t>
  </si>
  <si>
    <t>Nippon India Fixed Horizon Fund XXXV- Series 13- Direct Plan-Growth Option</t>
  </si>
  <si>
    <t>INF204KB1TC1</t>
  </si>
  <si>
    <t>Nippon India Fixed Horizon Fund XXXV- Series 13- Growth Option</t>
  </si>
  <si>
    <t>INF204KB1TR9</t>
  </si>
  <si>
    <t>NIPPON INDIA FIXED HORIZON FUND - XXXV - SERIES 14 - DIRECT Plan - IDCW Option</t>
  </si>
  <si>
    <t>INF204KB1TP3</t>
  </si>
  <si>
    <t>NIPPON INDIA FIXED HORIZON FUND - XXXV - SERIES 14 - IDCW Option</t>
  </si>
  <si>
    <t>INF204KB1TQ1</t>
  </si>
  <si>
    <t>Nippon India Fixed Horizon Fund XXXV- Series 14- Direct Plan-Growth Option</t>
  </si>
  <si>
    <t>INF204KB1TO6</t>
  </si>
  <si>
    <t>Nippon India Fixed Horizon Fund XXXV- Series 14- Growth Option</t>
  </si>
  <si>
    <t>INF204KB1TV1</t>
  </si>
  <si>
    <t>NIPPON INDIA FIXED HORIZON FUND - XXXV - SERIES 15 - DIRECT Plan - IDCW Option</t>
  </si>
  <si>
    <t>INF204KB1TT5</t>
  </si>
  <si>
    <t>NIPPON INDIA FIXED HORIZON FUND - XXXV - SERIES 15 - IDCW Option</t>
  </si>
  <si>
    <t>INF204KB1TU3</t>
  </si>
  <si>
    <t>Nippon India Fixed Horizon Fund XXXV- Series 15- Direct Plan-Growth Option</t>
  </si>
  <si>
    <t>INF204KB1TS7</t>
  </si>
  <si>
    <t>Nippon India Fixed Horizon Fund XXXV- Series 15- Growth Option</t>
  </si>
  <si>
    <t>INF204KB1TZ2</t>
  </si>
  <si>
    <t>NIPPON INDIA FIXED HORIZON FUND - XXXV - SERIES 16 - DIRECT Plan - IDCW Option</t>
  </si>
  <si>
    <t>INF204KB1TX7</t>
  </si>
  <si>
    <t>NIPPON INDIA FIXED HORIZON FUND - XXXV - SERIES 16 - IDCW Option</t>
  </si>
  <si>
    <t>INF204KB1TY5</t>
  </si>
  <si>
    <t>Nippon India Fixed Horizon Fund XXXV- Series 16- Direct Plan-Growth Option</t>
  </si>
  <si>
    <t>INF204KB1TW9</t>
  </si>
  <si>
    <t>Nippon India Fixed Horizon Fund XXXV- Series 16- Growth Option</t>
  </si>
  <si>
    <t>INF204KB1RJ0</t>
  </si>
  <si>
    <t>Nippon India Fixed Horizon Fund XXXV- Series 5- Direct Plan- Dividend Payout Option</t>
  </si>
  <si>
    <t>INF204KB1RI2</t>
  </si>
  <si>
    <t>Nippon India Fixed Horizon Fund XXXV- Series 5- Direct Plan-Growth Option</t>
  </si>
  <si>
    <t>INF204KB1RH4</t>
  </si>
  <si>
    <t>Nippon India Fixed Horizon Fund XXXV- Series 5- Dividend Payout Option</t>
  </si>
  <si>
    <t>INF204KB1RG6</t>
  </si>
  <si>
    <t>Nippon India Fixed Horizon Fund XXXV- Series 5- Growth Option</t>
  </si>
  <si>
    <t>INF204KB1RZ6</t>
  </si>
  <si>
    <t>NIPPON INDIA FIXED HORIZON FUND - XXXV - SERIES 6 - DIRECT Plan - IDCW Option</t>
  </si>
  <si>
    <t>INF204KB1RX1</t>
  </si>
  <si>
    <t>NIPPON INDIA FIXED HORIZON FUND - XXXV - SERIES 6 - IDCW Option</t>
  </si>
  <si>
    <t>INF204KB1RY9</t>
  </si>
  <si>
    <t>Nippon India Fixed Horizon Fund XXXV- Series 6- Direct Plan-Growth Option</t>
  </si>
  <si>
    <t>INF204KB1RW3</t>
  </si>
  <si>
    <t>Nippon India Fixed Horizon Fund XXXV- Series 6- Growth Option</t>
  </si>
  <si>
    <t>INF204KB1SC3</t>
  </si>
  <si>
    <t>Nippon India Fixed Horizon Fund XXXV- Series 7- Direct Plan-Growth Option</t>
  </si>
  <si>
    <t>INF204KB1SA7</t>
  </si>
  <si>
    <t>Nippon India Fixed Horizon Fund XXXV- Series 7- Growth Option</t>
  </si>
  <si>
    <t>INF204KB1SL4</t>
  </si>
  <si>
    <t>NIPPON INDIA FIXED HORIZON FUND - XXXV - SERIES 9 - DIRECT Plan - IDCW Option</t>
  </si>
  <si>
    <t>INF204KB1SJ8</t>
  </si>
  <si>
    <t>NIPPON INDIA FIXED HORIZON FUND - XXXV - SERIES 9 - IDCW Option</t>
  </si>
  <si>
    <t>INF204KB1SK6</t>
  </si>
  <si>
    <t>Nippon India Fixed Horizon Fund XXXV- Series 9- Direct Plan-Growth Option</t>
  </si>
  <si>
    <t>INF204KB1SI0</t>
  </si>
  <si>
    <t>Nippon India Fixed Horizon Fund XXXV- Series 9- Growth Option</t>
  </si>
  <si>
    <t>INF204KB1UL0</t>
  </si>
  <si>
    <t>NIPPON INDIA FIXED HORIZON FUND - XXXVI - SERIES 2 - DIRECT Plan - IDCW Option</t>
  </si>
  <si>
    <t>INF204KB1UJ4</t>
  </si>
  <si>
    <t>NIPPON INDIA FIXED HORIZON FUND - XXXVI - SERIES 2 - IDCW Option</t>
  </si>
  <si>
    <t>INF204KB1UK2</t>
  </si>
  <si>
    <t>Nippon India Fixed Horizon Fund XXXVI- Series 2- Direct Plan-Growth Option</t>
  </si>
  <si>
    <t>INF204KB1UI6</t>
  </si>
  <si>
    <t>Nippon India Fixed Horizon Fund XXXVI- Series 2- Growth Option</t>
  </si>
  <si>
    <t>INF204KB1UP1</t>
  </si>
  <si>
    <t>NIPPON INDIA FIXED HORIZON FUND - XXXVI - SERIES 3 - DIRECT Plan - IDCW Option</t>
  </si>
  <si>
    <t>INF204KB1UN6</t>
  </si>
  <si>
    <t>NIPPON INDIA FIXED HORIZON FUND - XXXVI - SERIES 3 - IDCW Option</t>
  </si>
  <si>
    <t>INF204KB1UO4</t>
  </si>
  <si>
    <t>Nippon India Fixed Horizon Fund XXXVI- Series 3- Direct Plan-Growth Option</t>
  </si>
  <si>
    <t>INF204KB1UM8</t>
  </si>
  <si>
    <t>Nippon India Fixed Horizon Fund XXXVI- Series 3- Growth Option</t>
  </si>
  <si>
    <t>INF204KB1UX5</t>
  </si>
  <si>
    <t>NIPPON INDIA FIXED HORIZON FUND - XXXVI - SERIES 5 - DIRECT Plan - IDCW Option</t>
  </si>
  <si>
    <t>INF204KB1UV9</t>
  </si>
  <si>
    <t>NIPPON INDIA FIXED HORIZON FUND - XXXVI - SERIES 5 - IDCW Option</t>
  </si>
  <si>
    <t>INF204KB1UW7</t>
  </si>
  <si>
    <t>Nippon India Fixed Horizon Fund XXXVI- Series 5- Direct Plan-Growth Option</t>
  </si>
  <si>
    <t>INF204KB1UU1</t>
  </si>
  <si>
    <t>Nippon India Fixed Horizon Fund XXXVI- Series 5- Growth Option</t>
  </si>
  <si>
    <t>INF204KB1VB9</t>
  </si>
  <si>
    <t>NIPPON INDIA FIXED HORIZON FUND - XXXVI - SERIES 6 - DIRECT Plan - IDCW Option</t>
  </si>
  <si>
    <t>INF204KB1UZ0</t>
  </si>
  <si>
    <t>NIPPON INDIA FIXED HORIZON FUND - XXXVI - SERIES 6 - IDCW Option</t>
  </si>
  <si>
    <t>INF204KB1VA1</t>
  </si>
  <si>
    <t>Nippon India Fixed Horizon Fund XXXVI- Series 6- Direct Plan-Growth Option</t>
  </si>
  <si>
    <t>INF204KB1UY3</t>
  </si>
  <si>
    <t>Nippon India Fixed Horizon Fund XXXVI- Series 6- Growth Option</t>
  </si>
  <si>
    <t>INF204KB1VJ2</t>
  </si>
  <si>
    <t>NIPPON INDIA FIXED HORIZON FUND - XXXVI - SERIES 7 - DIRECT Plan - IDCW Option</t>
  </si>
  <si>
    <t>INF204KB1VH6</t>
  </si>
  <si>
    <t>NIPPON INDIA FIXED HORIZON FUND - XXXVI - SERIES 7 - IDCW Option</t>
  </si>
  <si>
    <t>INF204KB1VI4</t>
  </si>
  <si>
    <t>Nippon India Fixed Horizon Fund XXXVI- Series 7- Direct Plan-Growth Option</t>
  </si>
  <si>
    <t>INF204KB1VG8</t>
  </si>
  <si>
    <t>Nippon India Fixed Horizon Fund XXXVI- Series 7- Growth Option</t>
  </si>
  <si>
    <t>INF204KB1VN4</t>
  </si>
  <si>
    <t>NIPPON INDIA FIXED HORIZON FUND - XXXVI - SERIES 8 - DIRECT Plan - IDCW Option</t>
  </si>
  <si>
    <t>INF204KB1VL8</t>
  </si>
  <si>
    <t>NIPPON INDIA FIXED HORIZON FUND - XXXVI - SERIES 8 - IDCW Option</t>
  </si>
  <si>
    <t>INF204KB1VM6</t>
  </si>
  <si>
    <t>Nippon India Fixed Horizon Fund XXXVI- Series 8- Direct Plan-Growth Option</t>
  </si>
  <si>
    <t>INF204KB1VK0</t>
  </si>
  <si>
    <t>Nippon India Fixed Horizon Fund XXXVI- Series 8- Growth Option</t>
  </si>
  <si>
    <t>INF204KB1XN0</t>
  </si>
  <si>
    <t>NIPPON INDIA FIXED HORIZON FUND - XXXVI - SERIES 9 - DIRECT Plan - IDCW Option</t>
  </si>
  <si>
    <t>INF204KB1VU9</t>
  </si>
  <si>
    <t>Nippon India Fixed Horizon Fund XXXVI- Series 9- Direct Plan-Growth Option</t>
  </si>
  <si>
    <t>INF204KB1XK6</t>
  </si>
  <si>
    <t>Nippon India Fixed Horizon Fund XXXVI- Series 9- Growth Option</t>
  </si>
  <si>
    <t>INF204KB1WD3</t>
  </si>
  <si>
    <t>NIPPON INDIA FIXED HORIZON FUND - XXXVII - SERIES 01 - DIRECT Plan - IDCW Option</t>
  </si>
  <si>
    <t>INF204KB1WB7</t>
  </si>
  <si>
    <t>NIPPON INDIA FIXED HORIZON FUND - XXXVII - SERIES 01 - IDCW Option</t>
  </si>
  <si>
    <t>INF204KB1WC5</t>
  </si>
  <si>
    <t>Nippon India Fixed Horizon Fund XXXVII- Series 1- Direct Plan- Growth Option</t>
  </si>
  <si>
    <t>INF204KB1WA9</t>
  </si>
  <si>
    <t>Nippon India Fixed Horizon Fund XXXVII- Series 1- Growth Option</t>
  </si>
  <si>
    <t>INF204KB1XR1</t>
  </si>
  <si>
    <t>NIPPON INDIA FIXED HORIZON FUND - XXXVII - SERIES 10 - DIRECT Plan - IDCW Option</t>
  </si>
  <si>
    <t>INF204KB1XQ3</t>
  </si>
  <si>
    <t>Nippon India Fixed Horizon Fund XXXVII- Series 10- Direct Plan- Growth Option</t>
  </si>
  <si>
    <t>INF204KB1XO8</t>
  </si>
  <si>
    <t>Nippon India Fixed Horizon Fund XXXVII- Series 10- Growth Option</t>
  </si>
  <si>
    <t>INF204KB1XX9</t>
  </si>
  <si>
    <t>NIPPON INDIA FIXED HORIZON FUND - XXXVII - SERIES 12 - IDCW Option</t>
  </si>
  <si>
    <t>INF204KB1XY7</t>
  </si>
  <si>
    <t>Nippon India Fixed Horizon Fund XXXVII- Series 12- Direct Plan- Growth Option</t>
  </si>
  <si>
    <t>INF204KB1XW1</t>
  </si>
  <si>
    <t>Nippon India Fixed Horizon Fund XXXVII- Series 12- Growth Option</t>
  </si>
  <si>
    <t>INF204KB1YN8</t>
  </si>
  <si>
    <t>NIPPON INDIA FIXED HORIZON FUND - XXXVII - SERIES 15 - IDCW Option</t>
  </si>
  <si>
    <t>INF204KB1YO6</t>
  </si>
  <si>
    <t>Nippon India Fixed Horizon Fund XXXVII- Series 15- Direct Plan- Growth Option</t>
  </si>
  <si>
    <t>INF204KB1YM0</t>
  </si>
  <si>
    <t>Nippon India Fixed Horizon Fund XXXVII- Series 15- Growth Option</t>
  </si>
  <si>
    <t>INF204KB1WL6</t>
  </si>
  <si>
    <t>NIPPON INDIA FIXED HORIZON FUND - XXXVII - SERIES 03 - DIRECT Plan - IDCW Option</t>
  </si>
  <si>
    <t>INF204KB1WJ0</t>
  </si>
  <si>
    <t>NIPPON INDIA FIXED HORIZON FUND - XXXVII - SERIES 03 - IDCW Option</t>
  </si>
  <si>
    <t>INF204KB1WK8</t>
  </si>
  <si>
    <t>Nippon India Fixed Horizon Fund XXXVII- Series 3- Direct Plan- Growth Option</t>
  </si>
  <si>
    <t>INF204KB1WI2</t>
  </si>
  <si>
    <t>Nippon India Fixed Horizon Fund XXXVII- Series 3- Growth Option</t>
  </si>
  <si>
    <t>INF204KB1WN2</t>
  </si>
  <si>
    <t>NIPPON INDIA FIXED HORIZON FUND - XXXVII - SERIES 04 - IDCW Option</t>
  </si>
  <si>
    <t>INF204KB1WO0</t>
  </si>
  <si>
    <t>Nippon India Fixed Horizon Fund XXXVII- Series 4- Direct Plan- Growth Option</t>
  </si>
  <si>
    <t>INF204KB1WM4</t>
  </si>
  <si>
    <t>Nippon India Fixed Horizon Fund XXXVII- Series 4- Growth Option</t>
  </si>
  <si>
    <t>INF204KB1WX1</t>
  </si>
  <si>
    <t>NIPPON INDIA FIXED HORIZON FUND - XXXVII - SERIES 05 - DIRECT Plan - IDCW Option</t>
  </si>
  <si>
    <t>INF204KB1WV5</t>
  </si>
  <si>
    <t>NIPPON INDIA FIXED HORIZON FUND - XXXVII - SERIES 05 - IDCW Option</t>
  </si>
  <si>
    <t>INF204KB1WW3</t>
  </si>
  <si>
    <t>Nippon India Fixed Horizon Fund XXXVII- Series 5- Direct Plan- Growth Option</t>
  </si>
  <si>
    <t>INF204KB1WU7</t>
  </si>
  <si>
    <t>Nippon India Fixed Horizon Fund XXXVII- Series 5- Growth Option</t>
  </si>
  <si>
    <t>INF204KB1XB5</t>
  </si>
  <si>
    <t>NIPPON INDIA FIXED HORIZON FUND - XXXVII - SERIES 06 - DIRECT Plan - IDCW Option</t>
  </si>
  <si>
    <t>INF204KB1WZ6</t>
  </si>
  <si>
    <t>NIPPON INDIA FIXED HORIZON FUND - XXXVII - SERIES 06 - IDCW Option</t>
  </si>
  <si>
    <t>INF204KB1XA7</t>
  </si>
  <si>
    <t>Nippon India Fixed Horizon Fund XXXVII- Series 6- Direct Plan- Growth Option</t>
  </si>
  <si>
    <t>INF204KB1WY9</t>
  </si>
  <si>
    <t>Nippon India Fixed Horizon Fund XXXVII- Series 6- Growth Option</t>
  </si>
  <si>
    <t>NIPPON INDIA FIXED HORIZON FUND - XXXVII - SERIES 09 - DIRECT Plan - IDCW Option</t>
  </si>
  <si>
    <t>INF204KB1XL4</t>
  </si>
  <si>
    <t>NIPPON INDIA FIXED HORIZON FUND - XXXVII - SERIES 09 - IDCW Option</t>
  </si>
  <si>
    <t>INF204KB1XM2</t>
  </si>
  <si>
    <t>Nippon India Fixed Horizon Fund XXXVII- Series 9- Direct Plan- Growth Option</t>
  </si>
  <si>
    <t>Nippon India Fixed Horizon Fund XXXVII- Series 9- Growth Option</t>
  </si>
  <si>
    <t>INF204KB1A97</t>
  </si>
  <si>
    <t>NIPPON INDIA FIXED HORIZON FUND - XXXVIII - SERIES 01 - DIRECT Plan - IDCW Option</t>
  </si>
  <si>
    <t>INF204KB1A89</t>
  </si>
  <si>
    <t>Nippon India Fixed Horizon Fund XXXVIII- Series 1- Direct Plan- Growth Option</t>
  </si>
  <si>
    <t>INF204KB1A63</t>
  </si>
  <si>
    <t>Nippon India Fixed Horizon Fund XXXVIII- Series 1- Growth Option</t>
  </si>
  <si>
    <t>INF204KB1E51</t>
  </si>
  <si>
    <t>NIPPON INDIA FIXED HORIZON FUND - XXXVIII - SERIES 10 - DIRECT Plan - IDCW Option</t>
  </si>
  <si>
    <t>INF204KB1E36</t>
  </si>
  <si>
    <t>NIPPON INDIA FIXED HORIZON FUND - XXXVIII - SERIES 10 - IDCW Option</t>
  </si>
  <si>
    <t>INF204KB1E44</t>
  </si>
  <si>
    <t>Nippon India Fixed Horizon Fund XXXVIII- Series 10- Direct Plan- Growth Option</t>
  </si>
  <si>
    <t>INF204KB1E28</t>
  </si>
  <si>
    <t>Nippon India Fixed Horizon Fund XXXVIII- Series 10- Growth Option</t>
  </si>
  <si>
    <t>INF204KB1E93</t>
  </si>
  <si>
    <t>NIPPON INDIA FIXED HORIZON FUND - XXXVIII - SERIES 11 - DIRECT Plan - IDCW Option</t>
  </si>
  <si>
    <t>INF204KB1E77</t>
  </si>
  <si>
    <t>NIPPON INDIA FIXED HORIZON FUND - XXXVIII - SERIES 11 - IDCW Option</t>
  </si>
  <si>
    <t>INF204KB1E85</t>
  </si>
  <si>
    <t>Nippon India Fixed Horizon Fund XXXVIII- Series 11- Direct Plan- Growth Option</t>
  </si>
  <si>
    <t>INF204KB1E69</t>
  </si>
  <si>
    <t>Nippon India Fixed Horizon Fund XXXVIII- Series 11- Growth Option</t>
  </si>
  <si>
    <t>INF204KB1F35</t>
  </si>
  <si>
    <t>NIPPON INDIA FIXED HORIZON FUND - XXXVIII - SERIES 12 - DIRECT Plan - IDCW Option</t>
  </si>
  <si>
    <t>INF204KB1F19</t>
  </si>
  <si>
    <t>NIPPON INDIA FIXED HORIZON FUND - XXXVIII - SERIES 12 - IDCW Option</t>
  </si>
  <si>
    <t>INF204KB1F27</t>
  </si>
  <si>
    <t>Nippon India Fixed Horizon Fund XXXVIII- Series 12- Direct Plan- Growth Option</t>
  </si>
  <si>
    <t>INF204KB1F01</t>
  </si>
  <si>
    <t>Nippon India Fixed Horizon Fund XXXVIII- Series 12- Growth Option</t>
  </si>
  <si>
    <t>INF204KB1G18</t>
  </si>
  <si>
    <t>NIPPON INDIA FIXED HORIZON FUND - XXXVIII - SERIES 14 - DIRECT Plan - IDCW Option</t>
  </si>
  <si>
    <t>INF204KB1F92</t>
  </si>
  <si>
    <t>NIPPON INDIA FIXED HORIZON FUND - XXXVIII - SERIES 14 - IDCW Option</t>
  </si>
  <si>
    <t>INF204KB1G00</t>
  </si>
  <si>
    <t>Nippon India Fixed Horizon Fund XXXVIII- Series 14- Direct Plan- Growth Option</t>
  </si>
  <si>
    <t>INF204KB1F84</t>
  </si>
  <si>
    <t>Nippon India Fixed Horizon Fund XXXVIII- Series 14- Growth Option</t>
  </si>
  <si>
    <t>INF204KB1B39</t>
  </si>
  <si>
    <t>NIPPON INDIA FIXED HORIZON FUND - XXXVIII - SERIES 02 - DIRECT Plan - IDCW Option</t>
  </si>
  <si>
    <t>INF204KB1B13</t>
  </si>
  <si>
    <t>NIPPON INDIA FIXED HORIZON FUND - XXXVIII - SERIES 02 - IDCW Option</t>
  </si>
  <si>
    <t>INF204KB1B21</t>
  </si>
  <si>
    <t>Nippon India Fixed Horizon Fund XXXVIII- Series 2- Direct Plan- Growth Option</t>
  </si>
  <si>
    <t>INF204KB1B05</t>
  </si>
  <si>
    <t>Nippon India Fixed Horizon Fund XXXVIII- Series 2- Growth Option</t>
  </si>
  <si>
    <t>INF204KB1B70</t>
  </si>
  <si>
    <t>NIPPON INDIA FIXED HORIZON FUND - XXXVIII - SERIES 03 - DIRECT Plan - IDCW Option</t>
  </si>
  <si>
    <t>INF204KB1B54</t>
  </si>
  <si>
    <t>NIPPON INDIA FIXED HORIZON FUND - XXXVIII - SERIES 03 - IDCW Option</t>
  </si>
  <si>
    <t>INF204KB1B62</t>
  </si>
  <si>
    <t>Nippon India Fixed Horizon Fund XXXVIII- Series 3- Direct Plan- Growth Option</t>
  </si>
  <si>
    <t>INF204KB1B47</t>
  </si>
  <si>
    <t>Nippon India Fixed Horizon Fund XXXVIII- Series 3- Growth Option</t>
  </si>
  <si>
    <t>INF204KB1C53</t>
  </si>
  <si>
    <t>NIPPON INDIA FIXED HORIZON FUND - XXXVIII - SERIES 05 - DIRECT Plan - IDCW Option</t>
  </si>
  <si>
    <t>INF204KB1C38</t>
  </si>
  <si>
    <t>NIPPON INDIA FIXED HORIZON FUND - XXXVIII - SERIES 05 - IDCW Option</t>
  </si>
  <si>
    <t>INF204KB1C46</t>
  </si>
  <si>
    <t>Nippon India Fixed Horizon Fund XXXVIII- Series 5- Direct Plan - Growth Option</t>
  </si>
  <si>
    <t>INF204KB1C20</t>
  </si>
  <si>
    <t>Nippon India Fixed Horizon Fund XXXVIII- Series 5- Growth Option</t>
  </si>
  <si>
    <t>INF204KB1C95</t>
  </si>
  <si>
    <t>NIPPON INDIA FIXED HORIZON FUND - XXXVIII - SERIES 06 - DIRECT Plan - IDCW Option</t>
  </si>
  <si>
    <t>INF204KB1C79</t>
  </si>
  <si>
    <t>NIPPON INDIA FIXED HORIZON FUND - XXXVIII - SERIES 06 - IDCW Option</t>
  </si>
  <si>
    <t>INF204KB1C87</t>
  </si>
  <si>
    <t>Nippon India Fixed Horizon Fund XXXVIII- Series 6- Direct Plan -Growth Option</t>
  </si>
  <si>
    <t>INF204KB1C61</t>
  </si>
  <si>
    <t>Nippon India Fixed Horizon Fund XXXVIII- Series 6- Growth Option</t>
  </si>
  <si>
    <t>INF204KB1D37</t>
  </si>
  <si>
    <t>NIPPON INDIA FIXED HORIZON FUND - XXXVIII - SERIES 07 - DIRECT Plan - IDCW Option</t>
  </si>
  <si>
    <t>INF204KB1D11</t>
  </si>
  <si>
    <t>NIPPON INDIA FIXED HORIZON FUND - XXXVIII - SERIES 07 - IDCW Option</t>
  </si>
  <si>
    <t>INF204KB1D29</t>
  </si>
  <si>
    <t>Nippon India Fixed Horizon Fund XXXVIII- Series 7- Direct Plan- Growth Option</t>
  </si>
  <si>
    <t>INF204KB1D03</t>
  </si>
  <si>
    <t>Nippon India Fixed Horizon Fund XXXVIII- Series 7- Growth Option</t>
  </si>
  <si>
    <t>INF204KB18B8</t>
  </si>
  <si>
    <t>NIPPON INDIA FIXED MATURITY  PLAN - XLI - SERIES 8 - DIRECT Plan - IDCW Option</t>
  </si>
  <si>
    <t>INF204KB16B2</t>
  </si>
  <si>
    <t>NIPPON INDIA FIXED MATURITY PLAN  - XLI - SERIES 8 - IDCW Option</t>
  </si>
  <si>
    <t>INF204KB17B0</t>
  </si>
  <si>
    <t>Nippon India Fixed Maturity Plan XLI - Series 8 - Direct Plan - Growth Option</t>
  </si>
  <si>
    <t>INF204KB15B4</t>
  </si>
  <si>
    <t>Nippon India Fixed Maturity Plan XLI - Series 8 - Growth Option</t>
  </si>
  <si>
    <t>INF204KC1188</t>
  </si>
  <si>
    <t>Nippon India Fixed Maturity Plan - XLIII - Series 1 - Direct Plan - Income Distribution Cum Capital Withdrawal Plan</t>
  </si>
  <si>
    <t>INF204KC1154</t>
  </si>
  <si>
    <t>Nippon India Fixed Maturity Plan - XLIII - Series 1 - Regular Plan - Growth Option</t>
  </si>
  <si>
    <t>INF204KC1162</t>
  </si>
  <si>
    <t>Nippon India Fixed Maturity Plan - XLIII - Series 1 - Regular Plan - Income Distribution cum Capital Withdrawal Plan</t>
  </si>
  <si>
    <t>INF204KC1170</t>
  </si>
  <si>
    <t>Nippon India Fixed Maturity Plan - XLIII - Series 1- Direct Plan - Growth Option</t>
  </si>
  <si>
    <t>INF204KC1477</t>
  </si>
  <si>
    <t>Nippon India Fixed Maturity Plan-XLIII-Series 5- Direct Plan-Growth Option</t>
  </si>
  <si>
    <t>INF204KC1485</t>
  </si>
  <si>
    <t>Nippon India Fixed Maturity Plan-XLIII-Series 5- Direct Plan-Payout of IDCW</t>
  </si>
  <si>
    <t>INF204KC1451</t>
  </si>
  <si>
    <t>Nippon India Fixed Maturity Plan-XLIII-Series 5- Regular Plan-Growth Option</t>
  </si>
  <si>
    <t>INF204KC1469</t>
  </si>
  <si>
    <t>Nippon India Fixed Maturity Plan-XLIII-Series 5- Regular Plan-Payout of IDCW</t>
  </si>
  <si>
    <t>INF204KC1634</t>
  </si>
  <si>
    <t>Nippon India Fixed Maturity Plan-XLIV-Series 1-Direct Plan-Growth Option</t>
  </si>
  <si>
    <t>INF204KC1642</t>
  </si>
  <si>
    <t>Nippon India Fixed Maturity Plan-XLIV-Series 1-Direct Plan-Payout of IDCW</t>
  </si>
  <si>
    <t>INF204KC1618</t>
  </si>
  <si>
    <t>Nippon India Fixed Maturity Plan-XLIV-Series 1-Regular Plan-Growth Option</t>
  </si>
  <si>
    <t>INF204KC1626</t>
  </si>
  <si>
    <t>Nippon India Fixed Maturity Plan-XLIV-Series 1-Regular Plan-Payout of IDCW</t>
  </si>
  <si>
    <t>INF204KC1BJ3</t>
  </si>
  <si>
    <t>Nippon India Fixed Maturity Plan-XLV-Series 5-Direct Plan-Growth Option</t>
  </si>
  <si>
    <t>INF204KC1BH7</t>
  </si>
  <si>
    <t>Nippon India Fixed Maturity Plan-XLV-Series 5-Regular Plan-Growth Option</t>
  </si>
  <si>
    <t>INF204KC1BI5</t>
  </si>
  <si>
    <t>Nippon India Fixed Maturity Plan-XLV-Series 5-Regular Plan-Payout of IDCW</t>
  </si>
  <si>
    <t>INF204KA1H68</t>
  </si>
  <si>
    <t>Reliance Dual Advantage Fixed Tenure Fund - II - Plan A - Dividend Payout Option</t>
  </si>
  <si>
    <t>INF204KA1H50</t>
  </si>
  <si>
    <t>Reliance Dual Advantage Fixed Tenure Fund - II - Plan A - Growth Option</t>
  </si>
  <si>
    <t>INF204K01RS4</t>
  </si>
  <si>
    <t>Reliance Dual Advantage Fixed Tenure Fund II - Plan B - Dividend Payout Option</t>
  </si>
  <si>
    <t>INF204K01RR6</t>
  </si>
  <si>
    <t>Reliance Dual Advantge Fixed Tenure Fund II - Plan B - Growth Option</t>
  </si>
  <si>
    <t>INF204KA1X68</t>
  </si>
  <si>
    <t>Reliance Dual Advantage Fixed Tenure Fund II - Plan C - Dividend Payout Option</t>
  </si>
  <si>
    <t>INF204KA1X50</t>
  </si>
  <si>
    <t>Reliance Dual Advantage Fixed Tenure Fund II - Plan C - Growth Option</t>
  </si>
  <si>
    <t>INF204K01RW6</t>
  </si>
  <si>
    <t>Reliance Dual Advantage Fixed Tenure Fund II - Plan D - Dividend Payout Option</t>
  </si>
  <si>
    <t>INF204K01RV8</t>
  </si>
  <si>
    <t>Reliance Dual Advantage Fixed Tenure Fund II - Plan D - Growth Option</t>
  </si>
  <si>
    <t>INF204K01RY2</t>
  </si>
  <si>
    <t>Reliance Dual Advantage Fixed Tenure Fund II - Plan E - Dividend Payout Option</t>
  </si>
  <si>
    <t>INF204K01RX4</t>
  </si>
  <si>
    <t>Reliance Dual Advantage Fixed Tenure Fund II - Plan E - Growth Option</t>
  </si>
  <si>
    <t>INF204K01SC6</t>
  </si>
  <si>
    <t>Reliance Dual Advantage Fixed Tenure Fund II - Plan G - Dividend Payout Option</t>
  </si>
  <si>
    <t>INF204K01SB8</t>
  </si>
  <si>
    <t>Reliance Dual Advantage Fixed Tenure Fund II - Plan G - Growth Option</t>
  </si>
  <si>
    <t>INF204K01SE2</t>
  </si>
  <si>
    <t>Reliance Dual Advantage Fixed Tenure Fund II - Plan H - Dividend Payout Option</t>
  </si>
  <si>
    <t>INF204K01SD4</t>
  </si>
  <si>
    <t>Reliance Dual Advantage Fixed Tenure Fund II - Plan H - Growth Option</t>
  </si>
  <si>
    <t>INF204K01M96</t>
  </si>
  <si>
    <t>Reliance Dual Advantage Fixed Tenure Fund III - Plan A - Direct Plan - Dividend Payout Option</t>
  </si>
  <si>
    <t>INF204K01M88</t>
  </si>
  <si>
    <t>Reliance Dual Advantage Fixed Tenure Fund III - Plan A - Direct Plan - Growth Option</t>
  </si>
  <si>
    <t>INF204K01M70</t>
  </si>
  <si>
    <t>Reliance Dual Advantage Fixed Tenure Fund III - Plan A - Dividend Payout Option</t>
  </si>
  <si>
    <t>INF204K01M62</t>
  </si>
  <si>
    <t>Reliance Dual Advantage Fixed Tenure Fund III - Plan A - Growth Option</t>
  </si>
  <si>
    <t>INF204K01N38</t>
  </si>
  <si>
    <t>Reliance Dual Advantage Fixed Tenure Fund III - Plan B - Direct Plan - Dividend Payout Option</t>
  </si>
  <si>
    <t>INF204K01N20</t>
  </si>
  <si>
    <t>Reliance Dual Advantage Fixed Tenure Fund III - Plan B - Direct Plan - Growth Option</t>
  </si>
  <si>
    <t>INF204K01N12</t>
  </si>
  <si>
    <t>Reliance Dual Advantage Fixed Tenure Fund III - Plan B - Dividend Payout Option</t>
  </si>
  <si>
    <t>INF204K01N04</t>
  </si>
  <si>
    <t>Reliance Dual Advantage Fixed Tenure Fund III - Plan B - Growth Option</t>
  </si>
  <si>
    <t>INF204K01N79</t>
  </si>
  <si>
    <t>Reliance Dual Advantage Fixed Tenure Fund III - Plan C - Direct Plan - Dividend Option</t>
  </si>
  <si>
    <t>INF204K01N53</t>
  </si>
  <si>
    <t>Reliance Dual Advantage Fixed Tenure Fund III - Plan C - Dividend Option</t>
  </si>
  <si>
    <t>INF204K01N46</t>
  </si>
  <si>
    <t>Reliance Dual Advantage Fixed Tenure Fund III - Plan C - Growth Option</t>
  </si>
  <si>
    <t>INF204K01N61</t>
  </si>
  <si>
    <t>Reliance Dual Advantage Fixed Tenure Fund III -Plan C- Direct Plan - Growth Option</t>
  </si>
  <si>
    <t>INF204K01O11</t>
  </si>
  <si>
    <t>Reliance Dual Advantage Fixed Tenure Fund III - Plan D - Direct Plan - Dividend Payout Option</t>
  </si>
  <si>
    <t>INF204K01O03</t>
  </si>
  <si>
    <t>Reliance Dual Advantage Fixed Tenure Fund III - Plan D - Direct Plan - Growth Option</t>
  </si>
  <si>
    <t>INF204K01N95</t>
  </si>
  <si>
    <t>Reliance Dual Advantage Fixed Tenure Fund III - Plan D - Dividend Payout Option</t>
  </si>
  <si>
    <t>INF204K01N87</t>
  </si>
  <si>
    <t>Reliance Dual Advantage Fixed Tenure Fund III - Plan D - Growth Option</t>
  </si>
  <si>
    <t>INF204KA1669</t>
  </si>
  <si>
    <t>Reliance Dual Advantage Fixed Tenure Fund IV - Plan A - Direct Plan -Growth Option</t>
  </si>
  <si>
    <t>INF204KA1677</t>
  </si>
  <si>
    <t>Reliance Dual Advantage Fixed Tenure Fund IV - Plan A - Direct Plan- Dividend Payout option</t>
  </si>
  <si>
    <t>INF204KA1651</t>
  </si>
  <si>
    <t>Reliance Dual Advantage Fixed Tenure Fund IV - Plan A - Dividend Option</t>
  </si>
  <si>
    <t>INF204KA1644</t>
  </si>
  <si>
    <t>Reliance Dual Advantage Fixed Tenure Fund IV - Plan A - Growth Option</t>
  </si>
  <si>
    <t>INF204KA1701</t>
  </si>
  <si>
    <t>Reliance Dual Advantage Fixed Tenure Fund IV - Plan B - Direct Plan - Growth Option</t>
  </si>
  <si>
    <t>INF204KA1693</t>
  </si>
  <si>
    <t>Reliance Dual Advantage Fixed Tenure Fund IV - Plan B - Dividend Payout Option</t>
  </si>
  <si>
    <t>INF204KA1685</t>
  </si>
  <si>
    <t>Reliance Dual Advantage Fixed Tenure Fund IV - Plan B - Growth Option</t>
  </si>
  <si>
    <t>INF204KA1750</t>
  </si>
  <si>
    <t>Reliance Dual Advantage Fixed Tenure Fund IV - Plan C - Direct Plan - Dividend Payout Option</t>
  </si>
  <si>
    <t>INF204KA1743</t>
  </si>
  <si>
    <t>Reliance Dual Advantage Fixed Tenure Fund IV - Plan C - Direct Plan - Growth Option</t>
  </si>
  <si>
    <t>INF204KA1735</t>
  </si>
  <si>
    <t>Reliance Dual Advantage Fixed Tenure Fund IV - Plan C - Dividend Payout Option</t>
  </si>
  <si>
    <t>INF204KA1727</t>
  </si>
  <si>
    <t>Reliance Dual Advantage Fixed Tenure Fund IV - Plan C - Growth Option</t>
  </si>
  <si>
    <t>INF204KA1792</t>
  </si>
  <si>
    <t>Reliance Dual Advantage Fixed Tenure Fund IV - Plan D - Direct Plan - Dividend Payout Option</t>
  </si>
  <si>
    <t>INF204KA1784</t>
  </si>
  <si>
    <t>Reliance Dual Advantage Fixed Tenure Fund IV - Plan D - Direct Plan - Growth Option</t>
  </si>
  <si>
    <t>INF204KA1776</t>
  </si>
  <si>
    <t>Reliance Dual Advantage Fixed Tenure Fund IV - Plan D - Dividend Payout Option</t>
  </si>
  <si>
    <t>INF204KA1768</t>
  </si>
  <si>
    <t>Reliance Dual Advantage Fixed Tenure Fund IV - Plan D - Growth Option</t>
  </si>
  <si>
    <t>INF204KA1834</t>
  </si>
  <si>
    <t>Reliance Dual Advantage Fixed Tenure Fund IV - Plan E - Direct Plan - Dividend Payout Option</t>
  </si>
  <si>
    <t>INF204KA1826</t>
  </si>
  <si>
    <t>Reliance Dual Advantage Fixed Tenure Fund IV - Plan E - Direct Plan - Growth Option</t>
  </si>
  <si>
    <t>INF204KA1818</t>
  </si>
  <si>
    <t>Reliance Dual Advantage Fixed Tenure Fund IV - Plan E - Dividend Payout Option</t>
  </si>
  <si>
    <t>INF204KA1800</t>
  </si>
  <si>
    <t>Reliance Dual Advantage Fixed Tenure Fund IV - Plan E - Growth Option</t>
  </si>
  <si>
    <t>INF204KA17W8</t>
  </si>
  <si>
    <t>Reliance Dual Advantage Fixed Tenure Fund IX- Plan A- Direct Plan-Dividend Payout Option</t>
  </si>
  <si>
    <t>INF204KA18W6</t>
  </si>
  <si>
    <t>Reliance Dual Advantage Fixed Tenure Fund IX- Plan A- Direct Plan-Growth Option</t>
  </si>
  <si>
    <t>INF204KA19W4</t>
  </si>
  <si>
    <t>Reliance Dual Advantage Fixed Tenure Fund IX- Plan A- Dividend Payout Option</t>
  </si>
  <si>
    <t>INF204KA10X1</t>
  </si>
  <si>
    <t>Reliance Dual Advantage Fixed Tenure Fund IX- Plan A- Growth Option</t>
  </si>
  <si>
    <t>INF204KA15Z5</t>
  </si>
  <si>
    <t>Reliance Dual Advantage Fixed Tenure Fund IX- Plan B- Direct Plan-Dividend Payout Option</t>
  </si>
  <si>
    <t>INF204KA16Z3</t>
  </si>
  <si>
    <t>Reliance Dual Advantage Fixed Tenure Fund IX- Plan B- Direct Plan-Growth Option</t>
  </si>
  <si>
    <t>INF204KA17Z1</t>
  </si>
  <si>
    <t>Reliance Dual Advantage Fixed Tenure Fund IX- Plan B- Dividend Payout Option</t>
  </si>
  <si>
    <t>INF204KA18Z9</t>
  </si>
  <si>
    <t>Reliance Dual Advantage Fixed Tenure Fund IX- Plan B- Growth Option</t>
  </si>
  <si>
    <t>INF204KB1304</t>
  </si>
  <si>
    <t>Reliance Dual Advantage Fixed Tenure Fund IX- Plan C- Direct Plan-Dividend Payout Option</t>
  </si>
  <si>
    <t>INF204KB1296</t>
  </si>
  <si>
    <t>Reliance Dual Advantage Fixed Tenure Fund IX- Plan C- Direct Plan-Growth Option</t>
  </si>
  <si>
    <t>Reliance Dual Advantage Fixed Tenure Fund IX- Plan C- Dividend Payout Option</t>
  </si>
  <si>
    <t>INF204KB1312</t>
  </si>
  <si>
    <t>Reliance Dual Advantage Fixed Tenure Fund IX- Plan C- Growth Option</t>
  </si>
  <si>
    <t>INF204KA1HW5</t>
  </si>
  <si>
    <t>Reliance Dual Advantage Fixed Tenure Fund V - Plan A - Direct Plan - Dividend Payout Option</t>
  </si>
  <si>
    <t>INF204KA1HV7</t>
  </si>
  <si>
    <t>Reliance Dual Advantage Fixed Tenure Fund V - Plan A - Direct Plan - Growth Option</t>
  </si>
  <si>
    <t>INF204KA1HU9</t>
  </si>
  <si>
    <t>Reliance Dual Advantage Fixed Tenure Fund V - Plan A - Dividend Payout Option</t>
  </si>
  <si>
    <t>INF204KA1HT1</t>
  </si>
  <si>
    <t>Reliance Dual Advantage Fixed Tenure Fund V - Plan A - Growth Option</t>
  </si>
  <si>
    <t>INF204KA1IU7</t>
  </si>
  <si>
    <t>Reliance Dual Advantage Fixed Tenure Fund V - Plan B - Direct Plan - Dividend Payout Option</t>
  </si>
  <si>
    <t>INF204KA1IT9</t>
  </si>
  <si>
    <t>Reliance Dual Advantage Fixed Tenure Fund V - Plan B - Direct Plan - Growth Option</t>
  </si>
  <si>
    <t>INF204KA1IS1</t>
  </si>
  <si>
    <t>Reliance Dual Advantage Fixed Tenure Fund V - Plan B - Dividend Payout Option</t>
  </si>
  <si>
    <t>INF204KA1IR3</t>
  </si>
  <si>
    <t>Reliance Dual Advantage Fixed Tenure Fund V - Plan B - Growth Option</t>
  </si>
  <si>
    <t>INF204KA1IX1</t>
  </si>
  <si>
    <t>Reliance Dual Advantage Fixed Tenure Fund V - Plan C -Direct Plan -Growth Option</t>
  </si>
  <si>
    <t>INF204KA1IW3</t>
  </si>
  <si>
    <t>Reliance Dual Advantage Fixed Tenure Fund V - Plan C -Dividend Payout Option</t>
  </si>
  <si>
    <t>INF204KA1IV5</t>
  </si>
  <si>
    <t>Reliance Dual Advantage Fixed Tenure Fund V - Plan C -Growth Option</t>
  </si>
  <si>
    <t>INF204KA1KU3</t>
  </si>
  <si>
    <t>Reliance Dual Advantage Fixed Tenure Fund V - Plan E - Direct Plan - Dividend Payout Option</t>
  </si>
  <si>
    <t>INF204KA1KT5</t>
  </si>
  <si>
    <t>Reliance Dual Advantage Fixed Tenure Fund V - Plan E - Direct Plan - Growth Option</t>
  </si>
  <si>
    <t>INF204KA1KS7</t>
  </si>
  <si>
    <t>Reliance Dual Advantage Fixed Tenure Fund V - Plan E - Dividend Payout Option</t>
  </si>
  <si>
    <t>INF204KA1KR9</t>
  </si>
  <si>
    <t>Reliance Dual Advantage Fixed Tenure Fund V - Plan E - Growth Option</t>
  </si>
  <si>
    <t>INF204KA1MB9</t>
  </si>
  <si>
    <t>Reliance Dual Advantage Fixed Tenure Fund V - Plan F- Direct Plan - Dividend Payout Option</t>
  </si>
  <si>
    <t>INF204KA1MA1</t>
  </si>
  <si>
    <t>Reliance Dual Advantage Fixed Tenure Fund V - Plan F- Direct Plan - Growth Option</t>
  </si>
  <si>
    <t>INF204KA1LZ0</t>
  </si>
  <si>
    <t>Reliance Dual Advantage Fixed Tenure Fund V - Plan F- Dividend Payout Option</t>
  </si>
  <si>
    <t>INF204KA1LY3</t>
  </si>
  <si>
    <t>Reliance Dual Advantage Fixed Tenure Fund V - Plan F- Growth Option</t>
  </si>
  <si>
    <t>INF204KA1NA9</t>
  </si>
  <si>
    <t>Reliance Dual Advantage Fixed Tenure Fund V- Plan G- Direct Plan - Dividend Payout Option</t>
  </si>
  <si>
    <t>INF204KA1MZ8</t>
  </si>
  <si>
    <t>Reliance Dual Advantage Fixed Tenure Fund V- Plan G- Direct Plan - Growth Option</t>
  </si>
  <si>
    <t>INF204KA1MY1</t>
  </si>
  <si>
    <t>Reliance Dual Advantage Fixed Tenure Fund V- Plan G- Dividend Payout Option</t>
  </si>
  <si>
    <t>INF204KA1MX3</t>
  </si>
  <si>
    <t>Reliance Dual Advantage Fixed Tenure Fund V- Plan G- Growth Option</t>
  </si>
  <si>
    <t>INF204KA1PM9</t>
  </si>
  <si>
    <t>Reliance Dual Advantage Fixed Tenure Fund V- Plan H- Direct Plan- Dividend payout option</t>
  </si>
  <si>
    <t>INF204KA1PL1</t>
  </si>
  <si>
    <t>Reliance Dual Advantage Fixed Tenure Fund V- Plan H- Direct Plan- Growth Option</t>
  </si>
  <si>
    <t>INF204KA1PK3</t>
  </si>
  <si>
    <t>Reliance Dual Advantage Fixed Tenure Fund V- Plan H- Dividend Payout Option</t>
  </si>
  <si>
    <t>INF204KA1PJ5</t>
  </si>
  <si>
    <t>Reliance Dual Advantage Fixed Tenure Fund V- Plan H- Growth Option</t>
  </si>
  <si>
    <t>INF204KA1RQ6</t>
  </si>
  <si>
    <t>Reliance Dual Advantage Fixed Tenure Fund VI- Plan A- Direct Plan- Growth Option</t>
  </si>
  <si>
    <t>INF204KA1RO1</t>
  </si>
  <si>
    <t>Reliance Dual Advantage Fixed Tenure Fund VI- Plan A- Growth Option</t>
  </si>
  <si>
    <t>INF204KA1RR4</t>
  </si>
  <si>
    <t>Reliance Dual Advantage Fixed Tenure Fund- VI- Plan A- Direct Plan- Dividend Payout Option</t>
  </si>
  <si>
    <t>INF204KA1RP8</t>
  </si>
  <si>
    <t>Reliance Dual Advantage Fixed Tenure Fund- VI- Plan A- Dividend Payout Option</t>
  </si>
  <si>
    <t>INF204KA1TA6</t>
  </si>
  <si>
    <t>Reliance Dual Advantage Fixed Tenure Fund VI- Plan B- Direct Plan- DIvidend Payout Option</t>
  </si>
  <si>
    <t>INF204KA1SZ5</t>
  </si>
  <si>
    <t>Reliance Dual Advantage Fixed Tenure Fund VI- Plan B- Direct Plan- Growth Option</t>
  </si>
  <si>
    <t>INF204KA1SY8</t>
  </si>
  <si>
    <t>Reliance Dual Advantage Fixed Tenure Fund VI- Plan B- Dividend Payout Option</t>
  </si>
  <si>
    <t>INF204KA1SX0</t>
  </si>
  <si>
    <t>Reliance Dual Advantage Fixed Tenure Fund VI- Plan B- Growth Option</t>
  </si>
  <si>
    <t>INF204KA1UI7</t>
  </si>
  <si>
    <t>Reliance Dual Advantage Fixed Tenure Fund VI- Plan C- Direct Plan Dividend Payout Option</t>
  </si>
  <si>
    <t>INF204KA1UH9</t>
  </si>
  <si>
    <t>Reliance Dual Advantage Fixed Tenure Fund VI- Plan C- Direct Plan- Growth Option</t>
  </si>
  <si>
    <t>INF204KA1UG1</t>
  </si>
  <si>
    <t>Reliance Dual Advantage Fixed Tenure Fund VI- Plan C- Dividend Payout Option</t>
  </si>
  <si>
    <t>INF204KA1UF3</t>
  </si>
  <si>
    <t>Reliance Dual Advantage Fixed Tenure Fund VI- Plan C- Growth Option</t>
  </si>
  <si>
    <t>INF204KA1UO5</t>
  </si>
  <si>
    <t>Reliance Dual Advantage Fixed Tenure Fund VI Plan D- Growth Option</t>
  </si>
  <si>
    <t>INF204KA1UR8</t>
  </si>
  <si>
    <t>Reliance Dual Advantage Fixed Tenure Fund VI- Plan D- Direct Plan- Dividend Payout Option</t>
  </si>
  <si>
    <t>INF204KA1UQ0</t>
  </si>
  <si>
    <t>Reliance Dual Advantage Fixed Tenure Fund VI- Plan D- Direct Plan- Growth Option</t>
  </si>
  <si>
    <t>INF204KA1UP2</t>
  </si>
  <si>
    <t>Reliance Dual Advantage Fixed Tenure Fund VI- Plan D- Dividend Payout Option</t>
  </si>
  <si>
    <t>INF204KA1VS4</t>
  </si>
  <si>
    <t>Reliance Dual Advantage Fixed Tenure Fund VI- Plan E - Growth Option</t>
  </si>
  <si>
    <t>INF204KA1VU0</t>
  </si>
  <si>
    <t>Reliance Dual Advantage Fixed Tenure Fund VI- Plan E- Direct Plan- Growth Option</t>
  </si>
  <si>
    <t>INF204KA1VT2</t>
  </si>
  <si>
    <t>Reliance Dual Advantage Fixed Tenure Fund VI- Plan E- Dividend Payout Option</t>
  </si>
  <si>
    <t>INF204KA1WN3</t>
  </si>
  <si>
    <t>Reliance Dual Advantage Fixed Tenure Fund VI- Plan F- Direct Plan - Dividend Payout Option</t>
  </si>
  <si>
    <t>INF204KA1WM5</t>
  </si>
  <si>
    <t>Reliance Dual Advantage Fixed Tenure Fund VI- Plan F- Direct Plan - Growth Option</t>
  </si>
  <si>
    <t>INF204KA1WL7</t>
  </si>
  <si>
    <t>Reliance Dual Advantage Fixed Tenure Fund VI- Plan F- Dividend Payout Option</t>
  </si>
  <si>
    <t>INF204KA1WK9</t>
  </si>
  <si>
    <t>Reliance Dual Advantage Fixed Tenure Fund VI- Plan F- Growth Option</t>
  </si>
  <si>
    <t>INF204KA1ZC9</t>
  </si>
  <si>
    <t>Reliance Dual Advantage Fixed Tenure Fund VII - Plan B - Direct Plan - Dividend Payout Option</t>
  </si>
  <si>
    <t>INF204KA1ZD7</t>
  </si>
  <si>
    <t>Reliance Dual Advantage Fixed Tenure Fund VII - Plan B - Direct Plan - Growth Option</t>
  </si>
  <si>
    <t>INF204KA1ZE5</t>
  </si>
  <si>
    <t>Reliance Dual Advantage Fixed Tenure Fund VII - Plan B - Dividend Payout Option</t>
  </si>
  <si>
    <t>INF204KA1ZF2</t>
  </si>
  <si>
    <t>Reliance Dual Advantage Fixed Tenure Fund VII - Plan B - Growth Option</t>
  </si>
  <si>
    <t>INF204KA1XU6</t>
  </si>
  <si>
    <t>Reliance Dual Advantage Fixed Tenure Fund VII- Plan A- Direct Plan-Dividend Payout Option</t>
  </si>
  <si>
    <t>INF204KA1XV4</t>
  </si>
  <si>
    <t>Reliance Dual Advantage Fixed Tenure Fund VII- Plan A- Direct Plan-Growth Option</t>
  </si>
  <si>
    <t>INF204KA1XW2</t>
  </si>
  <si>
    <t>Reliance Dual Advantage Fixed Tenure Fund VII- Plan A- Dividend Payout Option</t>
  </si>
  <si>
    <t>INF204KA1XX0</t>
  </si>
  <si>
    <t>Reliance Dual Advantage Fixed Tenure Fund VII- Plan A- Growth Option</t>
  </si>
  <si>
    <t>INF204KA1B23</t>
  </si>
  <si>
    <t>Reliance Dual Advantage Fixed Tenure Fund VII- Plan C- Direct Plan-Dividend Payout Option</t>
  </si>
  <si>
    <t>INF204KA1B31</t>
  </si>
  <si>
    <t>Reliance Dual Advantage Fixed Tenure Fund VII- Plan C- Direct Plan-Growth Option</t>
  </si>
  <si>
    <t>INF204KA1B49</t>
  </si>
  <si>
    <t>Reliance Dual Advantage Fixed Tenure Fund VII- Plan C- Dividend Payout Option</t>
  </si>
  <si>
    <t>INF204KA1B56</t>
  </si>
  <si>
    <t>Reliance Dual Advantage Fixed Tenure Fund VII- Plan C- Growth Option</t>
  </si>
  <si>
    <t>INF204KA1G44</t>
  </si>
  <si>
    <t>Reliance Dual Advantage Fixed Tenure Fund VII- Plan D- Direct Plan- Growth Option</t>
  </si>
  <si>
    <t>INF204KA1G36</t>
  </si>
  <si>
    <t>Reliance Dual Advantage Fixed Tenure Fund VII- Plan D- Direct Plan-Dividend Payout Option</t>
  </si>
  <si>
    <t>INF204KA1G51</t>
  </si>
  <si>
    <t>Reliance Dual Advantage Fixed Tenure Fund VII- Plan D- Dividend Payout Option</t>
  </si>
  <si>
    <t>INF204KA1G69</t>
  </si>
  <si>
    <t>Reliance Dual Advantage Fixed Tenure Fund VII- Plan D- Growth Option</t>
  </si>
  <si>
    <t>INF204KA1L70</t>
  </si>
  <si>
    <t>Reliance Dual Advantage Fixed Tenure Fund VII- Plan E- Direct Plan-Dividend Payout Option</t>
  </si>
  <si>
    <t>INF204KA1L88</t>
  </si>
  <si>
    <t>Reliance Dual Advantage Fixed Tenure Fund VII- Plan E- Direct Plan-Growth Option</t>
  </si>
  <si>
    <t>INF204KA1L96</t>
  </si>
  <si>
    <t>Reliance Dual Advantage Fixed Tenure Fund VII- Plan E- Dividend Payout Option</t>
  </si>
  <si>
    <t>INF204KA1M04</t>
  </si>
  <si>
    <t>Reliance Dual Advantage Fixed Tenure Fund VII- Plan E- Growth Option</t>
  </si>
  <si>
    <t>INF204KA11J8</t>
  </si>
  <si>
    <t>Reliance Dual Advantage Fixed Tenure Fund VIII- Plan A- Direct Plan- Growth Option</t>
  </si>
  <si>
    <t>INF204KA10J0</t>
  </si>
  <si>
    <t>Reliance Dual Advantage Fixed Tenure Fund VIII- Plan A- Direct Plan-Dividend Payout Option</t>
  </si>
  <si>
    <t>INF204KA12J6</t>
  </si>
  <si>
    <t>Reliance Dual Advantage Fixed Tenure Fund VIII- Plan A- Dividend Payout Option</t>
  </si>
  <si>
    <t>INF204KA13J4</t>
  </si>
  <si>
    <t>Reliance Dual Advantage Fixed Tenure Fund VIII- Plan A- Growth Option</t>
  </si>
  <si>
    <t>INF204KA18K1</t>
  </si>
  <si>
    <t>Reliance Dual Advantage Fixed Tenure Fund VIII- Plan B-Direct Plan-Dividend Payout Option</t>
  </si>
  <si>
    <t>INF204KA19K9</t>
  </si>
  <si>
    <t>Reliance Dual Advantage Fixed Tenure Fund VIII- Plan B-Direct Plan-Growth Option</t>
  </si>
  <si>
    <t>INF204KA10L6</t>
  </si>
  <si>
    <t>Reliance Dual Advantage Fixed Tenure Fund VIII- Plan B-Dividend Payout Option</t>
  </si>
  <si>
    <t>INF204KA11L4</t>
  </si>
  <si>
    <t>Reliance Dual Advantage Fixed Tenure Fund VIII- Plan B-Growth Option</t>
  </si>
  <si>
    <t>INF204KA11O8</t>
  </si>
  <si>
    <t>Reliance Dual Advantage Fixed Tenure Fund VIII- Plan C- Direct Plan-Dividend Payout Option</t>
  </si>
  <si>
    <t>INF204KA12O6</t>
  </si>
  <si>
    <t>Reliance Dual Advantage Fixed Tenure Fund VIII- Plan C- Direct Plan-Growth Option</t>
  </si>
  <si>
    <t>INF204KA13O4</t>
  </si>
  <si>
    <t>Reliance Dual Advantage Fixed Tenure Fund VIII- Plan C- Dividend Payout Option</t>
  </si>
  <si>
    <t>INF204KA14O2</t>
  </si>
  <si>
    <t>Reliance Dual Advantage Fixed Tenure Fund VIII- Plan C- Growth Option</t>
  </si>
  <si>
    <t>INF204KB1Z49</t>
  </si>
  <si>
    <t>Reliance Fixed Horizon Fund XLI - Series 2 - Direct Plan - Dividend Payout Option</t>
  </si>
  <si>
    <t>INF204KB1Z31</t>
  </si>
  <si>
    <t>Reliance Fixed Horizon Fund XLI - Series 2 - Direct Plan - Growth Option</t>
  </si>
  <si>
    <t>INF204KB1Z23</t>
  </si>
  <si>
    <t>Reliance Fixed Horizon Fund XLI - Series 2 - Dividend Payout Option</t>
  </si>
  <si>
    <t>INF204KB1Z15</t>
  </si>
  <si>
    <t>Reliance Fixed Horizon Fund XLI - Series 2 - Growth Option</t>
  </si>
  <si>
    <t>INF204KA1TS8</t>
  </si>
  <si>
    <t>Reliance Fixed Horizon Fund - XXII - Series 21 - Dividend Payout Option</t>
  </si>
  <si>
    <t>INF204KA1TR0</t>
  </si>
  <si>
    <t>Reliance Fixed Horizon Fund - XXII - Series 21 - Growth Option</t>
  </si>
  <si>
    <t>INF204KA1VJ3</t>
  </si>
  <si>
    <t>Reliance Fixed Horizon Fund - XXII - Series 22 - Dividend Payout Option</t>
  </si>
  <si>
    <t>INF204KA1VI5</t>
  </si>
  <si>
    <t>Reliance Fixed Horizon Fund - XXII - Series 22 - Growth Option</t>
  </si>
  <si>
    <t>INF204K01VM9</t>
  </si>
  <si>
    <t>Reliance Fixed Horizon Fund - XXII - Series 23 - Dividend Payout Option</t>
  </si>
  <si>
    <t>INF204K01VL1</t>
  </si>
  <si>
    <t>Reliance Fixed Horizon Fund - XXII - Series 23 - Growth Option</t>
  </si>
  <si>
    <t>INF204K01VO5</t>
  </si>
  <si>
    <t>Reliance Fixed Horizon Fund - XXII - Series 24 - Dividend Payout Option</t>
  </si>
  <si>
    <t>INF204K01VN7</t>
  </si>
  <si>
    <t>Reliance Fixed Horizon Fund - XXII - Series 24 - Growth Option</t>
  </si>
  <si>
    <t>INF204KA1VX4</t>
  </si>
  <si>
    <t>Reliance Fixed Horizon Fund - XXII - Series 26 - Dividend Payout Option</t>
  </si>
  <si>
    <t>INF204KA1VW6</t>
  </si>
  <si>
    <t>Reliance Fixed Horizon Fund - XXII - Series 26 - Growth Option</t>
  </si>
  <si>
    <t>INF204KA1XF7</t>
  </si>
  <si>
    <t>Reliance Fixed Horizon Fund - XXII - Series 29 - Dividend Option</t>
  </si>
  <si>
    <t>INF204KA1XE0</t>
  </si>
  <si>
    <t>Reliance Fixed Horizon Fund - XXII - Series 29 - Growth Option</t>
  </si>
  <si>
    <t>INF204K01WA2</t>
  </si>
  <si>
    <t>Reliance Fixed Horizon Fund XXII - Sereis 30 - Dividend Payout Option</t>
  </si>
  <si>
    <t>INF204K01VZ1</t>
  </si>
  <si>
    <t>Reliance Fixed Horizon Fund XXII - Series 30 - Growth Option</t>
  </si>
  <si>
    <t>INF204K01WI5</t>
  </si>
  <si>
    <t>Reliance Fixed Horizon Fund - XXII - Series 34 - Dividend Payout Option</t>
  </si>
  <si>
    <t>INF204K01WH7</t>
  </si>
  <si>
    <t>Reliance Fixed Horizon Fund - XXII -Series -34 Growth Option</t>
  </si>
  <si>
    <t>INF204K016B5</t>
  </si>
  <si>
    <t>Reliance Fixed Horizon Fund - XXIII - Series 11 - Direct Plan - Growth Option</t>
  </si>
  <si>
    <t>INF204K015B7</t>
  </si>
  <si>
    <t>Reliance Fixed Horizon Fund - XXIII - Series 11 - Dividend Payout Option</t>
  </si>
  <si>
    <t>INF204K014B0</t>
  </si>
  <si>
    <t>Reliance Fixed Horizon Fund - XXIII - Series 11 - Growth Option</t>
  </si>
  <si>
    <t>INF204K010C6</t>
  </si>
  <si>
    <t>Reliance Fixed Horizon Fund - XXIII - Series 12 - Direct Plan - Growth  Option</t>
  </si>
  <si>
    <t>INF204K019B9</t>
  </si>
  <si>
    <t>Reliance Fixed Horizon Fund - XXIII - Series 12 - Dividend Payout Option</t>
  </si>
  <si>
    <t>INF204K018B1</t>
  </si>
  <si>
    <t>Reliance Fixed Horizon Fund - XXIII - Series 12 - Growth Option</t>
  </si>
  <si>
    <t>INF204K015A9</t>
  </si>
  <si>
    <t>Reliance Fixed Horizon Fund - XXIII - Series 8 - Direct Plan - Dividend Payout Option</t>
  </si>
  <si>
    <t>INF204K014A2</t>
  </si>
  <si>
    <t>Reliance Fixed Horizon Fund - XXIII - Series 8 - Direct Plan - Growth Option</t>
  </si>
  <si>
    <t>INF204K013A4</t>
  </si>
  <si>
    <t>Reliance Fixed Horizon Fund - XXIII - Series 8 - Dividend Payout Option</t>
  </si>
  <si>
    <t>INF204K012A6</t>
  </si>
  <si>
    <t>Reliance Fixed Horizon Fund - XXIII - Series 8 - Growth Option</t>
  </si>
  <si>
    <t>INF204KA1032</t>
  </si>
  <si>
    <t>Reliance Fixed Horizon Fund - XXIV - Series 10 - Direct Plan - Dividend Payout Option</t>
  </si>
  <si>
    <t>INF204KA1024</t>
  </si>
  <si>
    <t>Reliance Fixed Horizon Fund - XXIV - Series 10 - Direct Plan - Growth Option</t>
  </si>
  <si>
    <t>INF204KA1016</t>
  </si>
  <si>
    <t>Reliance Fixed Horizon Fund - XXIV - Series 10 - Dividend Payout Option</t>
  </si>
  <si>
    <t>INF204K019Z8</t>
  </si>
  <si>
    <t>Reliance Fixed Horizon Fund - XXIV - Series 10 - Growth Option</t>
  </si>
  <si>
    <t>INF204KA1TP4</t>
  </si>
  <si>
    <t>Reliance Fixed Horizon Fund - XXIV - Series 11 - Direct Plan - Growth Option</t>
  </si>
  <si>
    <t>INF204KA1TN9</t>
  </si>
  <si>
    <t>Reliance Fixed Horizon Fund - XXIV - Series 11 - Growth Option</t>
  </si>
  <si>
    <t>INF204KA1149</t>
  </si>
  <si>
    <t>Reliance Fixed Horizon Fund - XXIV - Series 13 -Direct Plan -Growth Option</t>
  </si>
  <si>
    <t>INF204KA1131</t>
  </si>
  <si>
    <t>Reliance Fixed Horizon Fund - XXIV - Series 13 -Dividend Payout Option</t>
  </si>
  <si>
    <t>INF204KA1123</t>
  </si>
  <si>
    <t>Reliance Fixed Horizon Fund - XXIV - Series 13 -Growth Option</t>
  </si>
  <si>
    <t>INF204KA1UL1</t>
  </si>
  <si>
    <t>Reliance Fixed Horizon Fund - XXIV - Series 15-Direct Plan -Growth Option</t>
  </si>
  <si>
    <t>INF204KA1UK3</t>
  </si>
  <si>
    <t>Reliance Fixed Horizon Fund - XXIV - Series 15-Dividend Payout Option</t>
  </si>
  <si>
    <t>INF204KA1UJ5</t>
  </si>
  <si>
    <t>Reliance Fixed Horizon Fund - XXIV - Series 15-Growth Option</t>
  </si>
  <si>
    <t>INF204KA1UY4</t>
  </si>
  <si>
    <t>Reliance Fixed Horizon Fund - XXIV - Series 16 - Direct Plan - Growth Plan</t>
  </si>
  <si>
    <t>INF204KA1UW8</t>
  </si>
  <si>
    <t>Reliance Fixed Horizon Fund - XXIV - Series 16 - Growth Plan</t>
  </si>
  <si>
    <t>INF204KA1VF1</t>
  </si>
  <si>
    <t>Reliance Fixed Horizon Fund - XXIV - Series 17 -Dividend Payout Option</t>
  </si>
  <si>
    <t>INF204KA1VH7</t>
  </si>
  <si>
    <t>Reliance Fixed Horizon Fund - XXIV - Series 17- Direct Plan -Dividend Payout Option</t>
  </si>
  <si>
    <t>INF204KA1VG9</t>
  </si>
  <si>
    <t>Reliance Fixed Horizon Fund - XXIV - Series 17-Direct Plan -Growth Option</t>
  </si>
  <si>
    <t>INF204KA1VE4</t>
  </si>
  <si>
    <t>Reliance Fixed Horizon Fund - XXIV - Series 17-Growth Option</t>
  </si>
  <si>
    <t>INF204KA1VM7</t>
  </si>
  <si>
    <t>Reliance Fixed Horizon Fund - XXIV - Series 18 -Direct Plan -Growth Option</t>
  </si>
  <si>
    <t>INF204KA1VL9</t>
  </si>
  <si>
    <t>Reliance Fixed Horizon Fund - XXIV - Series 18 -Dividend Payout Optioin</t>
  </si>
  <si>
    <t>INF204KA1VK1</t>
  </si>
  <si>
    <t>Reliance Fixed Horizon Fund - XXIV - Series 18-Growth Option</t>
  </si>
  <si>
    <t>INF204K010X2</t>
  </si>
  <si>
    <t>Reliance Fixed Horizon Fund - XXIV - Series 2 - Direct Plan - Dividend Payout Option</t>
  </si>
  <si>
    <t>INF204K019W5</t>
  </si>
  <si>
    <t>Reliance Fixed Horizon Fund - XXIV - Series 2 - Direct Plan - Growth Option</t>
  </si>
  <si>
    <t>INF204K018W7</t>
  </si>
  <si>
    <t>Reliance Fixed Horizon Fund - XXIV - Series 2 - Dividend Payout Option</t>
  </si>
  <si>
    <t>INF204K017W9</t>
  </si>
  <si>
    <t>Reliance Fixed Horizon Fund - XXIV - Series 2 - Growth Option</t>
  </si>
  <si>
    <t>INF204KA1438</t>
  </si>
  <si>
    <t>Reliance Fixed Horizon Fund - XXIV - Series 20 - Direct Plan - Dividend Payout Option</t>
  </si>
  <si>
    <t>INF204KA1420</t>
  </si>
  <si>
    <t>Reliance Fixed Horizon Fund - XXIV - Series 20 - Direct Plan - Growth Option</t>
  </si>
  <si>
    <t>INF204KA1412</t>
  </si>
  <si>
    <t>Reliance Fixed Horizon Fund - XXIV - Series 20 - Dividend Payout Option</t>
  </si>
  <si>
    <t>INF204KA1404</t>
  </si>
  <si>
    <t>Reliance Fixed Horizon Fund - XXIV - Series 20 - Growth Option</t>
  </si>
  <si>
    <t>INF204KA11E9</t>
  </si>
  <si>
    <t>Reliance Fixed Horizon Fund - XXIV - Series 22 - Direct Plan - Dividend Payout Option</t>
  </si>
  <si>
    <t>INF204KA10E1</t>
  </si>
  <si>
    <t>Reliance Fixed Horizon Fund - XXIV - Series 22 - Direct Plan - Growth Option</t>
  </si>
  <si>
    <t>INF204KA19D4</t>
  </si>
  <si>
    <t>Reliance Fixed Horizon Fund - XXIV - Series 22 - Dividend Payout Option</t>
  </si>
  <si>
    <t>INF204KA18D6</t>
  </si>
  <si>
    <t>Reliance Fixed Horizon Fund - XXIV - Series 22 - Growth Option</t>
  </si>
  <si>
    <t>INF204KA1594</t>
  </si>
  <si>
    <t>Reliance Fixed Horizon Fund - XXIV - Series 24 - Direct Plan - Dividend Payout Option</t>
  </si>
  <si>
    <t>INF204KA1586</t>
  </si>
  <si>
    <t>Reliance Fixed Horizon Fund - XXIV - Series 24 - Direct Plan - Growth Option</t>
  </si>
  <si>
    <t>INF204KA1578</t>
  </si>
  <si>
    <t>Reliance Fixed Horizon Fund - XXIV - Series 24 - Dividend Payout Option</t>
  </si>
  <si>
    <t>INF204KA1560</t>
  </si>
  <si>
    <t>Reliance Fixed Horizon Fund - XXIV - Series 24 - Growth Option</t>
  </si>
  <si>
    <t>INF204KA1636</t>
  </si>
  <si>
    <t>Reliance Fixed Horizon Fund - XXIV - Series 25 - Direct Plan - Dividend Payout Option</t>
  </si>
  <si>
    <t>INF204KA1610</t>
  </si>
  <si>
    <t>Reliance Fixed Horizon Fund - XXIV - Series 25 - Dividend Payout Option</t>
  </si>
  <si>
    <t>INF204KA1602</t>
  </si>
  <si>
    <t>Reliance Fixed Horizon Fund - XXIV - Series 25 - Growth Option</t>
  </si>
  <si>
    <t>INF204KA1628</t>
  </si>
  <si>
    <t>Reliance Fixed Horizon Fund - XXIV - Series 25- Direct Plan - Growth Option</t>
  </si>
  <si>
    <t>INF204KA1SG5</t>
  </si>
  <si>
    <t>Reliance Fixed Horizon Fund - XXIV - Series 3-Direct Plan - Dividend Payout Option</t>
  </si>
  <si>
    <t>INF204KA1SF7</t>
  </si>
  <si>
    <t>Reliance Fixed Horizon Fund - XXIV - Series 3-Direct Plan - Growth Option</t>
  </si>
  <si>
    <t>INF204KA1SE0</t>
  </si>
  <si>
    <t>Reliance Fixed Horizon Fund - XXIV - Series 3-Dividend payout Option</t>
  </si>
  <si>
    <t>INF204KA1SD2</t>
  </si>
  <si>
    <t>Reliance Fixed Horizon Fund - XXIV - Series 3-Growth Option</t>
  </si>
  <si>
    <t>INF204KA1TE8</t>
  </si>
  <si>
    <t>Reliance Fixed Horizon Fund - XXIV - Series 4-Direct Plan - Dividend Payout Option</t>
  </si>
  <si>
    <t>INF204KA1TD0</t>
  </si>
  <si>
    <t>Reliance Fixed Horizon Fund - XXIV - Series 4-Direct Plan - Growth Option</t>
  </si>
  <si>
    <t>INF204KA1TC2</t>
  </si>
  <si>
    <t>Reliance Fixed Horizon Fund - XXIV - Series 4-Dividend payout Option</t>
  </si>
  <si>
    <t>INF204KA1TB4</t>
  </si>
  <si>
    <t>Reliance Fixed Horizon Fund - XXIV - Series 4-Growth Option</t>
  </si>
  <si>
    <t>INF204K012Y6</t>
  </si>
  <si>
    <t>Reliance Fixed Horizon Fund - XXIV - Series 5 - Direct Plan - Dividend Payout Option</t>
  </si>
  <si>
    <t>INF204K011Y8</t>
  </si>
  <si>
    <t>Reliance Fixed Horizon Fund - XXIV - Series 5 - Direct Plan - Growth Option</t>
  </si>
  <si>
    <t>INF204K010Y0</t>
  </si>
  <si>
    <t>Reliance Fixed Horizon Fund - XXIV - Series 5 - Dividend Payout Option</t>
  </si>
  <si>
    <t>INF204K019X3</t>
  </si>
  <si>
    <t>Reliance Fixed Horizon Fund - XXIV - Series 5 - Growth Option</t>
  </si>
  <si>
    <t>INF204KA12B3</t>
  </si>
  <si>
    <t>Reliance Fixed Horizon Fund - XXIV - Series 6 - Direct Plan - Dividend Payout Option</t>
  </si>
  <si>
    <t>INF204KA11B5</t>
  </si>
  <si>
    <t>Reliance Fixed Horizon Fund - XXIV - Series 6 - Direct Plan - Growth Option</t>
  </si>
  <si>
    <t>INF204KA10B7</t>
  </si>
  <si>
    <t>Reliance Fixed Horizon Fund - XXIV - Series 6 - Dividend Payout Option</t>
  </si>
  <si>
    <t>INF204KA19A0</t>
  </si>
  <si>
    <t>Reliance Fixed Horizon Fund - XXIV - Series 6 - Growth Option</t>
  </si>
  <si>
    <t>INF204K010Z7</t>
  </si>
  <si>
    <t>Reliance Fixed Horizon Fund - XXIV - Series 7 - Direct Plan - Dividend Payout Option</t>
  </si>
  <si>
    <t>INF204K019Y1</t>
  </si>
  <si>
    <t>Reliance Fixed Horizon Fund - XXIV - Series 7 - Direct Plan - Growth Option</t>
  </si>
  <si>
    <t>INF204K018Y3</t>
  </si>
  <si>
    <t>Reliance Fixed Horizon Fund - XXIV - Series 7 - Dividend Payout Option</t>
  </si>
  <si>
    <t>INF204K017Y5</t>
  </si>
  <si>
    <t>Reliance Fixed Horizon Fund - XXIV - Series 7 - Growth Option</t>
  </si>
  <si>
    <t>INF204K013Z1</t>
  </si>
  <si>
    <t>Reliance Fixed Horizon Fund - XXIV - Series 8-Direct Plan-Growth Option</t>
  </si>
  <si>
    <t>INF204K012Z3</t>
  </si>
  <si>
    <t>Reliance Fixed Horizon Fund - XXIV - Series 8-Dividend Payout Option</t>
  </si>
  <si>
    <t>INF204K011Z5</t>
  </si>
  <si>
    <t>Reliance Fixed Horizon Fund - XXIV - Series 8-Growth Option</t>
  </si>
  <si>
    <t>INF204KA1TL3</t>
  </si>
  <si>
    <t>Reliance Fixed Horizon Fund - XXIV - Series 9 -Direct Plan -Growth Option</t>
  </si>
  <si>
    <t>INF204KA1TK5</t>
  </si>
  <si>
    <t>Reliance Fixed Horizon Fund - XXIV - Series 9 -Dividend Payout Option</t>
  </si>
  <si>
    <t>INF204KA1TJ7</t>
  </si>
  <si>
    <t>Reliance Fixed Horizon Fund - XXIV - Series 9-Growth Option</t>
  </si>
  <si>
    <t>INF204KA19H5</t>
  </si>
  <si>
    <t>Reliance Fixed Horizon Fund - XXV - Series 1 -Direct Plan -Dividend Payout Option</t>
  </si>
  <si>
    <t>INF204KA18H7</t>
  </si>
  <si>
    <t>Reliance Fixed Horizon Fund - XXV - Series 1-Direct Plan -Growth Option</t>
  </si>
  <si>
    <t>INF204KA17H9</t>
  </si>
  <si>
    <t>Reliance Fixed Horizon Fund - XXV - Series 1-Dividend Payout Option</t>
  </si>
  <si>
    <t>INF204KA16H1</t>
  </si>
  <si>
    <t>Reliance Fixed Horizon Fund - XXV - Series 1-Growth Option</t>
  </si>
  <si>
    <t>INF204KA1GF2</t>
  </si>
  <si>
    <t>Reliance Fixed Horizon Fund - XXV - Series 11 - Direct Plan - Growth Option</t>
  </si>
  <si>
    <t>INF204KA1GH8</t>
  </si>
  <si>
    <t>Reliance Fixed Horizon Fund - XXV - Series 11 - Growth Option</t>
  </si>
  <si>
    <t>INF204KA1GJ4</t>
  </si>
  <si>
    <t>Reliance Fixed Horizon Fund - XXV - Series 12 - Direct Plan - Growth Option</t>
  </si>
  <si>
    <t>INF204KA1GM8</t>
  </si>
  <si>
    <t>Reliance Fixed Horizon Fund - XXV - Series 12 - Dividend Payout Option</t>
  </si>
  <si>
    <t>INF204KA1GL0</t>
  </si>
  <si>
    <t>Reliance Fixed Horizon Fund - XXV - Series 12 - Growth Option</t>
  </si>
  <si>
    <t>INF204KA1GN6</t>
  </si>
  <si>
    <t>Reliance Fixed Horizon Fund - XXV - Series 13 - Direct Plan - Growth Option</t>
  </si>
  <si>
    <t>INF204KA1GQ9</t>
  </si>
  <si>
    <t>Reliance Fixed Horizon Fund - XXV - Series 13 - Dividend Payout Option</t>
  </si>
  <si>
    <t>INF204KA1GP1</t>
  </si>
  <si>
    <t>Reliance Fixed Horizon Fund - XXV - Series 13 - Growth Option</t>
  </si>
  <si>
    <t>INF204KA1GR7</t>
  </si>
  <si>
    <t>Reliance Fixed Horizon Fund - XXV - Series 14-Direct Plan -Growth Option</t>
  </si>
  <si>
    <t>INF204KA1GT3</t>
  </si>
  <si>
    <t>Reliance Fixed Horizon Fund - XXV - Series 14-Growth Option</t>
  </si>
  <si>
    <t>INF204KA1HA1</t>
  </si>
  <si>
    <t>Reliance Fixed Horizon Fund - XXV - Series 16 - Direct Plan - Dividend Payout Option</t>
  </si>
  <si>
    <t>INF204KA1GZ0</t>
  </si>
  <si>
    <t>Reliance Fixed Horizon Fund - XXV - Series 16 - Direct Plan - Growth Option</t>
  </si>
  <si>
    <t>INF204KA1HC7</t>
  </si>
  <si>
    <t>Reliance Fixed Horizon Fund - XXV - Series 16 - Dividend Payout Option</t>
  </si>
  <si>
    <t>INF204KA1HB9</t>
  </si>
  <si>
    <t>Reliance Fixed Horizon Fund - XXV - Series 16 - Growth Option</t>
  </si>
  <si>
    <t>INF204KA1HE3</t>
  </si>
  <si>
    <t>Reliance Fixed Horizon Fund - XXV - Series 17 - Direct Plan - Dividend Payout Option</t>
  </si>
  <si>
    <t>INF204KA1HD5</t>
  </si>
  <si>
    <t>Reliance Fixed Horizon Fund - XXV - Series 17 - Direct Plan - Growth Option</t>
  </si>
  <si>
    <t>INF204KA1HF0</t>
  </si>
  <si>
    <t>Reliance Fixed Horizon Fund - XXV - Series 17 - Growth Option</t>
  </si>
  <si>
    <t>INF204KA1E46</t>
  </si>
  <si>
    <t>Reliance Fixed Horizon Fund - XXV - Series 18 - Direct Plan - Growth Option</t>
  </si>
  <si>
    <t>INF204KA1E20</t>
  </si>
  <si>
    <t>Reliance Fixed Horizon Fund - XXV - Series 18 - Growth Option</t>
  </si>
  <si>
    <t>INF204KA1HL8</t>
  </si>
  <si>
    <t>Reliance Fixed Horizon Fund - XXV - Series 19 - Direct Plan - Growth Option</t>
  </si>
  <si>
    <t>INF204KA1HO2</t>
  </si>
  <si>
    <t>Reliance Fixed Horizon Fund - XXV - Series 19 - Dividend Payout Option</t>
  </si>
  <si>
    <t>INF204KA1HN4</t>
  </si>
  <si>
    <t>Reliance Fixed Horizon Fund - XXV - Series 19 - Growth Option</t>
  </si>
  <si>
    <t>INF204KA1EW2</t>
  </si>
  <si>
    <t>Reliance Fixed Horizon Fund - XXV - Series 2 -Direct Plan -Dividend Payout Option</t>
  </si>
  <si>
    <t>INF204KA1EV4</t>
  </si>
  <si>
    <t>Reliance Fixed Horizon Fund - XXV - Series 2-Direct Plan-Growth Option</t>
  </si>
  <si>
    <t>INF204KA1EY8</t>
  </si>
  <si>
    <t>Reliance Fixed Horizon Fund - XXV - Series 2-Dividend Payout Option</t>
  </si>
  <si>
    <t>INF204KA1EX0</t>
  </si>
  <si>
    <t>Reliance Fixed Horizon Fund - XXV - Series 2-Growth Option</t>
  </si>
  <si>
    <t>INF204KA1HQ7</t>
  </si>
  <si>
    <t>Reliance Fixed Horizon Fund - XXV - Series 20 - Direct Plan - Dividend Payout Option</t>
  </si>
  <si>
    <t>INF204KA1HP9</t>
  </si>
  <si>
    <t>Reliance Fixed Horizon Fund - XXV - Series 20 - Direct Plan - Growth Option</t>
  </si>
  <si>
    <t>INF204KA1HS3</t>
  </si>
  <si>
    <t>Reliance Fixed Horizon Fund - XXV - Series 20 - Dividend Payout Option</t>
  </si>
  <si>
    <t>INF204KA1HR5</t>
  </si>
  <si>
    <t>Reliance Fixed Horizon Fund - XXV - Series 20 - Growth Option</t>
  </si>
  <si>
    <t>INF204KA1HY1</t>
  </si>
  <si>
    <t>Reliance Fixed Horizon Fund - XXV - Series 21 - Direct Plan - Dividend Payout Option</t>
  </si>
  <si>
    <t>INF204KA1HX3</t>
  </si>
  <si>
    <t>Reliance Fixed Horizon Fund - XXV - Series 21 - Direct Plan - Growth Option</t>
  </si>
  <si>
    <t>INF204KA1IA9</t>
  </si>
  <si>
    <t>Reliance Fixed Horizon Fund - XXV - Series 21 - Dividend Payout Option</t>
  </si>
  <si>
    <t>INF204KA1HZ8</t>
  </si>
  <si>
    <t>Reliance Fixed Horizon Fund - XXV - Series 21 - Growth Option</t>
  </si>
  <si>
    <t>INF204KA1IC5</t>
  </si>
  <si>
    <t>Reliance Fixed Horizon Fund - XXV - Series 22 - Direct Plan - Dividend Payout Option</t>
  </si>
  <si>
    <t>INF204KA1IB7</t>
  </si>
  <si>
    <t>Reliance Fixed Horizon Fund - XXV - Series 22 - Direct Plan - Growth Option</t>
  </si>
  <si>
    <t>INF204KA1IE1</t>
  </si>
  <si>
    <t>Reliance Fixed Horizon Fund - XXV - Series 22 - Dividend Payout Option</t>
  </si>
  <si>
    <t>INF204KA1ID3</t>
  </si>
  <si>
    <t>Reliance Fixed Horizon Fund - XXV - Series 22 - Growth Option</t>
  </si>
  <si>
    <t>INF204KA1II2</t>
  </si>
  <si>
    <t>Reliance Fixed Horizon Fund - XXV - Series 23 - Direct Plan - Dividend Payout Option</t>
  </si>
  <si>
    <t>INF204KA1IH4</t>
  </si>
  <si>
    <t>Reliance Fixed Horizon Fund - XXV - Series 23 - Direct Plan - Growth Option</t>
  </si>
  <si>
    <t>INF204KA1IG6</t>
  </si>
  <si>
    <t>Reliance Fixed Horizon Fund - XXV - Series 23 - Dividend Payout Option</t>
  </si>
  <si>
    <t>INF204KA1IF8</t>
  </si>
  <si>
    <t>Reliance Fixed Horizon Fund - XXV - Series 23 - Growth Option</t>
  </si>
  <si>
    <t>INF204KA1G10</t>
  </si>
  <si>
    <t>Reliance Fixed Horizon Fund - XXV - Series 24 - Direct Plan - Growth Option</t>
  </si>
  <si>
    <t>INF204KA1F94</t>
  </si>
  <si>
    <t>Reliance Fixed Horizon Fund - XXV - Series 24 - Growth Option</t>
  </si>
  <si>
    <t>INF204KA1IQ5</t>
  </si>
  <si>
    <t>Reliance Fixed Horizon Fund - XXV - Series 25 - Direct Plan - Dividend Payout Option</t>
  </si>
  <si>
    <t>INF204KA1IP7</t>
  </si>
  <si>
    <t>Reliance Fixed Horizon Fund - XXV - Series 25 - Direct Plan - Growth Option</t>
  </si>
  <si>
    <t>INF204KA1IO0</t>
  </si>
  <si>
    <t>Reliance Fixed Horizon Fund - XXV - Series 25 - Dividend Payout Option</t>
  </si>
  <si>
    <t>INF204KA1IN2</t>
  </si>
  <si>
    <t>Reliance Fixed Horizon Fund - XXV - Series 25 - Growth Option</t>
  </si>
  <si>
    <t>INF204KA1JB5</t>
  </si>
  <si>
    <t>Reliance Fixed Horizon Fund - XXV - Series 26 - Direct Plan - Growth Option</t>
  </si>
  <si>
    <t>INF204KA1IZ6</t>
  </si>
  <si>
    <t>Reliance Fixed Horizon Fund - XXV - Series 26 - Growth Option</t>
  </si>
  <si>
    <t>INF204KA1JG4</t>
  </si>
  <si>
    <t>Reliance Fixed Horizon Fund - XXV - Series 27 - Direct Plan - Dividend Payout Option</t>
  </si>
  <si>
    <t>INF204KA1JF6</t>
  </si>
  <si>
    <t>Reliance Fixed Horizon Fund - XXV - Series 27 - Direct Plan - Growth Option</t>
  </si>
  <si>
    <t>INF204KA1JE9</t>
  </si>
  <si>
    <t>Reliance Fixed Horizon Fund - XXV - Series 27 - Dividend Payout Option</t>
  </si>
  <si>
    <t>INF204KA1JD1</t>
  </si>
  <si>
    <t>Reliance Fixed Horizon Fund - XXV - Series 27 - Growth Option</t>
  </si>
  <si>
    <t>INF204KA1JK6</t>
  </si>
  <si>
    <t>Reliance Fixed Horizon Fund - XXV - Series 28 - Direct Plan - Dividend Payout Option</t>
  </si>
  <si>
    <t>INF204KA1JJ8</t>
  </si>
  <si>
    <t>Reliance Fixed Horizon Fund - XXV - Series 28 - Direct Plan - Growth Option</t>
  </si>
  <si>
    <t>INF204KA1JI0</t>
  </si>
  <si>
    <t>Reliance Fixed Horizon Fund - XXV - Series 28 - Dividend Payout Option</t>
  </si>
  <si>
    <t>INF204KA1JH2</t>
  </si>
  <si>
    <t>Reliance Fixed Horizon Fund - XXV - Series 28 - Growth Option</t>
  </si>
  <si>
    <t>INF204KA19G7</t>
  </si>
  <si>
    <t>Reliance Fixed Horizon Fund - XXV - Series 3  - Dividend Payout Option</t>
  </si>
  <si>
    <t>INF204KA11H2</t>
  </si>
  <si>
    <t>Reliance Fixed Horizon Fund - XXV - Series 3 - Direct Plan - Dividend Payout Option</t>
  </si>
  <si>
    <t>INF204KA10H4</t>
  </si>
  <si>
    <t>Reliance Fixed Horizon Fund - XXV - Series 3 - Direct Plan - Growth Option</t>
  </si>
  <si>
    <t>INF204KA18G9</t>
  </si>
  <si>
    <t>Reliance Fixed Horizon Fund - XXV - Series 3 - Growth Option</t>
  </si>
  <si>
    <t>INF204KA1JS9</t>
  </si>
  <si>
    <t>Reliance Fixed Horizon Fund - XXV - Series 30 - Direct Plan - Dividend Payout Option</t>
  </si>
  <si>
    <t>INF204KA1JR1</t>
  </si>
  <si>
    <t>Reliance Fixed Horizon Fund - XXV - Series 30 - Direct Plan - Growth Option</t>
  </si>
  <si>
    <t>INF204KA1JQ3</t>
  </si>
  <si>
    <t>Reliance Fixed Horizon Fund - XXV - Series 30 - Dividend Payout Option</t>
  </si>
  <si>
    <t>INF204KA1JP5</t>
  </si>
  <si>
    <t>Reliance Fixed Horizon Fund - XXV - Series 30 - Growth Option</t>
  </si>
  <si>
    <t>INF204KA1JV3</t>
  </si>
  <si>
    <t>Reliance Fixed Horizon Fund - XXV - Series 31 - Direct Plan - Growth Option</t>
  </si>
  <si>
    <t>INF204KA1JU5</t>
  </si>
  <si>
    <t>Reliance Fixed Horizon Fund - XXV - Series 31 - Dividend Payout Option</t>
  </si>
  <si>
    <t>INF204KA1JT7</t>
  </si>
  <si>
    <t>Reliance Fixed Horizon Fund - XXV - Series 31 - Growth Option</t>
  </si>
  <si>
    <t>INF204KA1KD9</t>
  </si>
  <si>
    <t>Reliance Fixed Horizon Fund - XXV - Series 32 - Direct Plan - Growth Option</t>
  </si>
  <si>
    <t>INF204KA1KB3</t>
  </si>
  <si>
    <t>Reliance Fixed Horizon Fund - XXV - Series 32 - Growth Option</t>
  </si>
  <si>
    <t>INF204KA1KH0</t>
  </si>
  <si>
    <t>Reliance Fixed Horizon Fund - XXV - Series 33 - Direct Plan - Growth Option</t>
  </si>
  <si>
    <t>INF204KA1KG2</t>
  </si>
  <si>
    <t>Reliance Fixed Horizon Fund - XXV - Series 33 - Dividend Payout Option</t>
  </si>
  <si>
    <t>INF204KA1KF4</t>
  </si>
  <si>
    <t>Reliance Fixed Horizon Fund - XXV - Series 33 - Growth Option</t>
  </si>
  <si>
    <t>INF204KA1KL2</t>
  </si>
  <si>
    <t>Reliance Fixed Horizon Fund - XXV - Series 34 - Direct Plan - Growth Option</t>
  </si>
  <si>
    <t>INF204KA1KJ6</t>
  </si>
  <si>
    <t>Reliance Fixed Horizon Fund - XXV - Series 34 - Growth Option</t>
  </si>
  <si>
    <t>INF204KA1LC9</t>
  </si>
  <si>
    <t>Reliance Fixed Horizon Fund - XXV - Series 35- Direct Plan - Dividend Payout Option</t>
  </si>
  <si>
    <t>INF204KA1LB1</t>
  </si>
  <si>
    <t>Reliance Fixed Horizon Fund - XXV - Series 35- Direct Plan - Growth Option</t>
  </si>
  <si>
    <t>INF204KA1LA3</t>
  </si>
  <si>
    <t>Reliance Fixed Horizon Fund - XXV - Series 35- Dividend Payout Option</t>
  </si>
  <si>
    <t>INF204KA1KZ2</t>
  </si>
  <si>
    <t>Reliance Fixed Horizon Fund - XXV - Series 35- Growth Option</t>
  </si>
  <si>
    <t>INF204KA1YP4</t>
  </si>
  <si>
    <t>Reliance Fixed Horizon Fund - XXV - Series 4 - Direct Plan - Dividend Payout Option</t>
  </si>
  <si>
    <t>INF204KA1YO7</t>
  </si>
  <si>
    <t>Reliance Fixed Horizon Fund - XXV - Series 4 - Direct Plan - Growth Option</t>
  </si>
  <si>
    <t>INF204KA1YM1</t>
  </si>
  <si>
    <t>Reliance Fixed Horizon Fund - XXV - Series 4 - Growth Option</t>
  </si>
  <si>
    <t>INF204KA1FM0</t>
  </si>
  <si>
    <t>Reliance Fixed Horizon Fund - XXV - Series 6 - Direct Plan - Dividend Payout Option</t>
  </si>
  <si>
    <t>INF204KA1FL2</t>
  </si>
  <si>
    <t>Reliance Fixed Horizon Fund - XXV - Series 6 - Direct Plan - Growth Option</t>
  </si>
  <si>
    <t>INF204KA1FO6</t>
  </si>
  <si>
    <t>Reliance Fixed Horizon Fund - XXV - Series 6 - Dividend Payout Option</t>
  </si>
  <si>
    <t>INF204KA1FN8</t>
  </si>
  <si>
    <t>Reliance Fixed Horizon Fund - XXV - Series 6 - Growth Option</t>
  </si>
  <si>
    <t>INF204KA1KA5</t>
  </si>
  <si>
    <t>Reliance Fixed Horizon Fund - XXVI - Series 1 - Direct Plan - Dividend Payout Option</t>
  </si>
  <si>
    <t>INF204KA1JZ4</t>
  </si>
  <si>
    <t>Reliance Fixed Horizon Fund - XXVI - Series 1 - Direct Plan - Growth Option</t>
  </si>
  <si>
    <t>INF204KA1JY7</t>
  </si>
  <si>
    <t>Reliance Fixed Horizon Fund - XXVI - Series 1 - Dividend Payout Option</t>
  </si>
  <si>
    <t>INF204KA1JX9</t>
  </si>
  <si>
    <t>Reliance Fixed Horizon Fund - XXVI - Series 1 - Growth Option</t>
  </si>
  <si>
    <t>INF204KA1NM4</t>
  </si>
  <si>
    <t>Reliance Fixed Horizon Fund - XXVI - Series 14- Direct Plan - Dividend Payout Option</t>
  </si>
  <si>
    <t>INF204KA1NL6</t>
  </si>
  <si>
    <t>Reliance Fixed Horizon Fund - XXVI - Series 14- Direct Plan - Growth Option</t>
  </si>
  <si>
    <t>INF204KA1NK8</t>
  </si>
  <si>
    <t>Reliance Fixed Horizon Fund - XXVI - Series 14- Dividend payout Option</t>
  </si>
  <si>
    <t>INF204KA1NJ0</t>
  </si>
  <si>
    <t>Reliance Fixed Horizon Fund - XXVI - Series 14- Growth Option</t>
  </si>
  <si>
    <t>INF204KA1NX1</t>
  </si>
  <si>
    <t>Reliance Fixed Horizon Fund - XXVI - Series 17- Direct Plan - Growth Option</t>
  </si>
  <si>
    <t>INF204KA1NW3</t>
  </si>
  <si>
    <t>Reliance Fixed Horizon Fund - XXVI - Series 17- Dividend payout Option</t>
  </si>
  <si>
    <t>INF204KA1NV5</t>
  </si>
  <si>
    <t>Reliance Fixed Horizon Fund - XXVI - Series 17- Growth Option</t>
  </si>
  <si>
    <t>INF204KA1OC3</t>
  </si>
  <si>
    <t>Reliance Fixed Horizon Fund - XXVI - Series 18- Direct Plan - Dividend Payout Option</t>
  </si>
  <si>
    <t>INF204KA1OB5</t>
  </si>
  <si>
    <t>Reliance Fixed Horizon Fund - XXVI - Series 18- Direct Plan - Growth Option</t>
  </si>
  <si>
    <t>INF204KA1OA7</t>
  </si>
  <si>
    <t>Reliance Fixed Horizon Fund - XXVI - Series 18- Dividend payout Option</t>
  </si>
  <si>
    <t>INF204KA1NZ6</t>
  </si>
  <si>
    <t>Reliance Fixed Horizon Fund - XXVI - Series 18- Growth Option</t>
  </si>
  <si>
    <t>INF204KA1KX7</t>
  </si>
  <si>
    <t>Reliance Fixed Horizon Fund - XXVI - Series 2 - Direct Plan - Growth Option</t>
  </si>
  <si>
    <t>INF204KA1KW9</t>
  </si>
  <si>
    <t>Reliance Fixed Horizon Fund - XXVI - Series 2 - Dividend Payout Option</t>
  </si>
  <si>
    <t>INF204KA1KV1</t>
  </si>
  <si>
    <t>Reliance Fixed Horizon Fund - XXVI - Series 2 - Growth Option</t>
  </si>
  <si>
    <t>INF204KA1QO3</t>
  </si>
  <si>
    <t>Reliance Fixed Horizon Fund - XXVI - Series 29 - Direct Plan - Dividend Payout Option</t>
  </si>
  <si>
    <t>INF204KA1QN5</t>
  </si>
  <si>
    <t>Reliance Fixed Horizon Fund - XXVI - Series 29 - Direct Plan - Growth Option</t>
  </si>
  <si>
    <t>INF204KA1QM7</t>
  </si>
  <si>
    <t>Reliance Fixed Horizon Fund - XXVI - Series 29 - Dividend Payout Option</t>
  </si>
  <si>
    <t>INF204KA1QL9</t>
  </si>
  <si>
    <t>Reliance Fixed Horizon Fund - XXVI - Series 29 - Growth Option</t>
  </si>
  <si>
    <t>INF204KA1QS4</t>
  </si>
  <si>
    <t>Reliance Fixed Horizon Fund - XXVI - Series 30 - Direct Plan - Dividend Payout Option</t>
  </si>
  <si>
    <t>INF204KA1QR6</t>
  </si>
  <si>
    <t>Reliance Fixed Horizon Fund - XXVI - Series 30 - Direct Plan - Growth Option</t>
  </si>
  <si>
    <t>INF204KA1QQ8</t>
  </si>
  <si>
    <t>Reliance Fixed Horizon Fund - XXVI - Series 30 - Dividend Payout Option</t>
  </si>
  <si>
    <t>INF204KA1QP0</t>
  </si>
  <si>
    <t>Reliance Fixed Horizon Fund - XXVI - Series 30 - Growth Option</t>
  </si>
  <si>
    <t>INF204KA1QW6</t>
  </si>
  <si>
    <t>Reliance Fixed Horizon Fund - XXVI - Series 31 - Direct Plan - Dividend Payout Option</t>
  </si>
  <si>
    <t>INF204KA1QV8</t>
  </si>
  <si>
    <t>Reliance Fixed Horizon Fund - XXVI - Series 31 - Direct Plan - Growth Option</t>
  </si>
  <si>
    <t>INF204KA1QU0</t>
  </si>
  <si>
    <t>Reliance Fixed Horizon Fund - XXVI - Series 31 - Dividend Payout Option</t>
  </si>
  <si>
    <t>INF204KA1QT2</t>
  </si>
  <si>
    <t>Reliance Fixed Horizon Fund - XXVI - Series 31 - Growth Option</t>
  </si>
  <si>
    <t>INF204KA1LL0</t>
  </si>
  <si>
    <t>Reliance Fixed Horizon Fund - XXVI - Series 4-Direct Plan - Dividend Payout Option</t>
  </si>
  <si>
    <t>INF204KA1LK2</t>
  </si>
  <si>
    <t>Reliance Fixed Horizon Fund - XXVI - Series 4-Direct Plan - Growth Option</t>
  </si>
  <si>
    <t>INF204KA1LJ4</t>
  </si>
  <si>
    <t>Reliance Fixed Horizon Fund - XXVI - Series 4-Dividend payout Option</t>
  </si>
  <si>
    <t>INF204KA1LI6</t>
  </si>
  <si>
    <t>Reliance Fixed Horizon Fund - XXVI - Series 4-Growth Option</t>
  </si>
  <si>
    <t>INF204KA1TV2</t>
  </si>
  <si>
    <t>Reliance Fixed Horizon Fund - XXVII - Series 5 - Direct Plan - Growth Option</t>
  </si>
  <si>
    <t>INF204KA1TU4</t>
  </si>
  <si>
    <t>Reliance Fixed Horizon Fund - XXVII - Series 5 - Dividend Payout Option</t>
  </si>
  <si>
    <t>INF204KA1TT6</t>
  </si>
  <si>
    <t>Reliance Fixed Horizon Fund - XXVII - Series 5 - Growth Option</t>
  </si>
  <si>
    <t>INF204K01WE4</t>
  </si>
  <si>
    <t>Reliance Fixed Horizon Fund XXII - Series 32 - Dividend Payout Option</t>
  </si>
  <si>
    <t>INF204K01WD6</t>
  </si>
  <si>
    <t>Reliance Fixed Horizon Fund XXII - Series 32 - Growth Option</t>
  </si>
  <si>
    <t>INF204KA1Z17</t>
  </si>
  <si>
    <t>Reliance Fixed Horizon Fund XXIII - Series 10 - Direct Plan - Growth Option</t>
  </si>
  <si>
    <t>INF204KA1Z09</t>
  </si>
  <si>
    <t>Reliance Fixed Horizon Fund XXIII - Series 10 - Dividend Option</t>
  </si>
  <si>
    <t>INF204KA1Y91</t>
  </si>
  <si>
    <t>Reliance Fixed Horizon Fund XXIII - Series 10 -Growth Option</t>
  </si>
  <si>
    <t>INF204KA11K6</t>
  </si>
  <si>
    <t>Reliance Fixed Horizon Fund XXIX - Series 2 - Direct Plan - Dividend Payout Option</t>
  </si>
  <si>
    <t>INF204KA10K8</t>
  </si>
  <si>
    <t>Reliance Fixed Horizon Fund XXIX - Series 2 - Direct Plan - Growth Option</t>
  </si>
  <si>
    <t>INF204KA19J1</t>
  </si>
  <si>
    <t>Reliance Fixed Horizon Fund XXIX - Series 2 - Regular Plan - Dividend Payout Option</t>
  </si>
  <si>
    <t>INF204KA18J3</t>
  </si>
  <si>
    <t>Reliance Fixed Horizon Fund XXIX - Series 2 - Regular Plan - Growth Option</t>
  </si>
  <si>
    <t>INF204KA17J5</t>
  </si>
  <si>
    <t>Reliance Fixed Horizon Fund XXIX - Series 1- Direct Plan-Dividend Payout Option</t>
  </si>
  <si>
    <t>INF204KA16J7</t>
  </si>
  <si>
    <t>Reliance Fixed Horizon Fund XXIX - Series 1- Direct Plan-Growth Option</t>
  </si>
  <si>
    <t>INF204KA15J9</t>
  </si>
  <si>
    <t>Reliance Fixed Horizon Fund XXIX - Series 1- Dividend Payout Option</t>
  </si>
  <si>
    <t>INF204KA14J2</t>
  </si>
  <si>
    <t>Reliance Fixed Horizon Fund XXIX - Series 1- Growth Option</t>
  </si>
  <si>
    <t>INF204KA13P1</t>
  </si>
  <si>
    <t>Reliance Fixed Horizon Fund XXIX- Series 10- Direct Plan-Growth Option</t>
  </si>
  <si>
    <t>INF204KA14P9</t>
  </si>
  <si>
    <t>Reliance Fixed Horizon Fund XXIX- Series 10- Dividend Payout Option</t>
  </si>
  <si>
    <t>INF204KA11P5</t>
  </si>
  <si>
    <t>Reliance Fixed Horizon Fund XXIX- Series 10- Growth Option</t>
  </si>
  <si>
    <t>INF204KA16Q2</t>
  </si>
  <si>
    <t>Reliance Fixed Horizon Fund XXIX- Series 13- Direct Plan-Dividend Payout Option</t>
  </si>
  <si>
    <t>INF204KA15Q4</t>
  </si>
  <si>
    <t>Reliance Fixed Horizon Fund XXIX- Series 13- Direct Plan-Growth Option</t>
  </si>
  <si>
    <t>INF204KA14Q7</t>
  </si>
  <si>
    <t>Reliance Fixed Horizon Fund XXIX- Series 13- Dividend Payout Option</t>
  </si>
  <si>
    <t>INF204KA13Q9</t>
  </si>
  <si>
    <t>Reliance Fixed Horizon Fund XXIX- Series 13- Growth Option</t>
  </si>
  <si>
    <t>INF204KA10R3</t>
  </si>
  <si>
    <t>Reliance Fixed Horizon Fund XXIX- Series 14- Direct Plan-Dividend Payout Option</t>
  </si>
  <si>
    <t>INF204KA17Q0</t>
  </si>
  <si>
    <t>Reliance Fixed Horizon Fund XXIX- Series 14- Growth Option</t>
  </si>
  <si>
    <t>INF204KA19Q6</t>
  </si>
  <si>
    <t>Reliance Fixed Horizon Fund XXIX- Series 14-Direct Plan-Growth Option</t>
  </si>
  <si>
    <t>INF204KA18Q8</t>
  </si>
  <si>
    <t>Reliance Fixed Horizon Fund XXIX- Series 14-Dividend Payout Option</t>
  </si>
  <si>
    <t>INF204KA12S7</t>
  </si>
  <si>
    <t>Reliance Fixed Horizon Fund XXIX- Series 16- Direct Plan-Dividend Payout Option</t>
  </si>
  <si>
    <t>INF204KA11S9</t>
  </si>
  <si>
    <t>Reliance Fixed Horizon Fund XXIX- Series 16- Direct Plan-Growth Option</t>
  </si>
  <si>
    <t>INF204KA19R4</t>
  </si>
  <si>
    <t>Reliance Fixed Horizon Fund XXIX- Series 16- Growth Option</t>
  </si>
  <si>
    <t>INF204KA10T9</t>
  </si>
  <si>
    <t>Reliance Fixed Horizon Fund XXIX- Series 18- Direct Plan-Dividend Payout Option</t>
  </si>
  <si>
    <t>INF204KA19S2</t>
  </si>
  <si>
    <t>Reliance Fixed Horizon Fund XXIX- Series 18- Direct Plan-Growth Option</t>
  </si>
  <si>
    <t>INF204KA18S4</t>
  </si>
  <si>
    <t>Reliance Fixed Horizon Fund XXIX- Series 18- Dividend Payout Option</t>
  </si>
  <si>
    <t>INF204KA17S6</t>
  </si>
  <si>
    <t>Reliance Fixed Horizon Fund XXIX- Series 18- Growth Option</t>
  </si>
  <si>
    <t>INF204KA14T1</t>
  </si>
  <si>
    <t>Reliance Fixed Horizon Fund XXIX- Series 19- Direct Plan-Dividend Payout Option</t>
  </si>
  <si>
    <t>INF204KA13T3</t>
  </si>
  <si>
    <t>Reliance Fixed Horizon Fund XXIX- Series 19- Direct Plan-Growth Option</t>
  </si>
  <si>
    <t>INF204KA12T5</t>
  </si>
  <si>
    <t>Reliance Fixed Horizon Fund XXIX- Series 19- Dividend Payout Option</t>
  </si>
  <si>
    <t>INF204KA11T7</t>
  </si>
  <si>
    <t>Reliance Fixed Horizon Fund XXIX- Series 19- Growth Option</t>
  </si>
  <si>
    <t>INF204KA17T4</t>
  </si>
  <si>
    <t>Reliance Fixed Horizon Fund XXIX- Series 20- Direct Plan-Growth Option</t>
  </si>
  <si>
    <t>INF204KA16T6</t>
  </si>
  <si>
    <t>Reliance Fixed Horizon Fund XXIX- Series 20- Dividend Payout Option</t>
  </si>
  <si>
    <t>INF204KA15T8</t>
  </si>
  <si>
    <t>Reliance Fixed Horizon Fund XXIX- Series 20- Growth Option</t>
  </si>
  <si>
    <t>INF204KA15K7</t>
  </si>
  <si>
    <t>Reliance Fixed Horizon Fund XXIX- Series 3- Direct Plan-Dividend Payout Option</t>
  </si>
  <si>
    <t>INF204KA14K0</t>
  </si>
  <si>
    <t>Reliance Fixed Horizon Fund XXIX- Series 3- Direct Plan-Growth Option</t>
  </si>
  <si>
    <t>INF204KA13K2</t>
  </si>
  <si>
    <t>Reliance Fixed Horizon Fund XXIX- Series 3- Dividend Payout Option</t>
  </si>
  <si>
    <t>INF204KA12K4</t>
  </si>
  <si>
    <t>Reliance Fixed Horizon Fund XXIX- Series 3- Growth Option</t>
  </si>
  <si>
    <t>INF204KA16M1</t>
  </si>
  <si>
    <t>Reliance Fixed Horizon Fund XXIX- Series 6- Direct Plan - Growth Option</t>
  </si>
  <si>
    <t>INF204KA15M3</t>
  </si>
  <si>
    <t>Reliance Fixed Horizon Fund XXIX- Series 6- Dividend Payout Option</t>
  </si>
  <si>
    <t>INF204KA14M6</t>
  </si>
  <si>
    <t>Reliance Fixed Horizon Fund XXIX- Series 6- Growth Option</t>
  </si>
  <si>
    <t>INF204KA14N4</t>
  </si>
  <si>
    <t>Reliance Fixed Horizon Fund XXIX- Series 7- Direct Plan- Growth Option</t>
  </si>
  <si>
    <t>INF204KA15N1</t>
  </si>
  <si>
    <t>Reliance Fixed Horizon Fund XXIX- Series 7- Dividend Payout Option</t>
  </si>
  <si>
    <t>INF204KA16N9</t>
  </si>
  <si>
    <t>Reliance Fixed Horizon Fund XXIX- Series 7- Growth Option</t>
  </si>
  <si>
    <t>INF204KA18N5</t>
  </si>
  <si>
    <t>Reliance Fixed Horizon Fund XXIX- Series 8- Direct Plan-Growth Option</t>
  </si>
  <si>
    <t>INF204KA19N3</t>
  </si>
  <si>
    <t>Reliance Fixed Horizon Fund XXIX- Series 8- Dividend Payout Option</t>
  </si>
  <si>
    <t>INF204KA10O0</t>
  </si>
  <si>
    <t>Reliance Fixed Horizon Fund XXIX- Series 8- Growth Option</t>
  </si>
  <si>
    <t>INF204KA18O3</t>
  </si>
  <si>
    <t>Reliance Fixed Horizon Fund XXIX- Series 9- Direct Plan-Growth Option</t>
  </si>
  <si>
    <t>INF204KA19O1</t>
  </si>
  <si>
    <t>Reliance Fixed Horizon Fund XXIX- Series 9- Dividend Payout Option</t>
  </si>
  <si>
    <t>INF204KA10P7</t>
  </si>
  <si>
    <t>Reliance Fixed Horizon Fund XXIX- Series 9- Growth Option</t>
  </si>
  <si>
    <t>INF204KA1NQ5</t>
  </si>
  <si>
    <t>Reliance Fixed Horizon Fund XXVI- Series 15- Direct Plan - Dividend Payout Option</t>
  </si>
  <si>
    <t>INF204KA1NP7</t>
  </si>
  <si>
    <t>Reliance Fixed Horizon Fund XXVI- Series 15- Direct Plan - Growth Option</t>
  </si>
  <si>
    <t>INF204KA1NO0</t>
  </si>
  <si>
    <t>Reliance Fixed Horizon Fund XXVI- Series 15- Dividend payout Option</t>
  </si>
  <si>
    <t>INF204KA1NN2</t>
  </si>
  <si>
    <t>Reliance Fixed Horizon Fund XXVI- Series 15- Growth Option</t>
  </si>
  <si>
    <t>INF204KA1OJ8</t>
  </si>
  <si>
    <t>Reliance Fixed Horizon Fund XXVI- Series 20- Direct Plan- Growth Option</t>
  </si>
  <si>
    <t>INF204KA1OI0</t>
  </si>
  <si>
    <t>Reliance Fixed Horizon Fund XXVI- Series 20- Dividend Payout Option</t>
  </si>
  <si>
    <t>INF204KA1OH2</t>
  </si>
  <si>
    <t>Reliance Fixed Horizon Fund XXVI- Series 20- Growth Option</t>
  </si>
  <si>
    <t>INF204KA1OS9</t>
  </si>
  <si>
    <t>Reliance Fixed Horizon Fund XXVI- Series 22- Direct Plan- Dividend Payout Option</t>
  </si>
  <si>
    <t>INF204KA1OR1</t>
  </si>
  <si>
    <t>Reliance Fixed Horizon Fund XXVI- Series 22- Direct Plan- Growth Option</t>
  </si>
  <si>
    <t>INF204KA1OQ3</t>
  </si>
  <si>
    <t>Reliance Fixed Horizon Fund XXVI- Series 22- Dividend Payout Option</t>
  </si>
  <si>
    <t>INF204KA1OP5</t>
  </si>
  <si>
    <t>Reliance Fixed Horizon Fund XXVI- Series 22- Growth Option</t>
  </si>
  <si>
    <t>INF204KA1PE6</t>
  </si>
  <si>
    <t>Reliance Fixed Horizon Fund- XXVI- Series 24- Direct Plan- Dividend Payout Option</t>
  </si>
  <si>
    <t>INF204KA1PD8</t>
  </si>
  <si>
    <t>Reliance Fixed Horizon Fund- XXVI- Series 24- Direct Plan- Growth Option</t>
  </si>
  <si>
    <t>INF204KA1PC0</t>
  </si>
  <si>
    <t>Reliance Fixed Horizon Fund- XXVI- Series 24- Dividend Payout Option</t>
  </si>
  <si>
    <t>INF204KA1PB2</t>
  </si>
  <si>
    <t>Reliance Fixed Horizon Fund- XXVI- Series 24- Growth Option</t>
  </si>
  <si>
    <t>INF204KA1PQ0</t>
  </si>
  <si>
    <t>Reliance Fixed Horizon Fund XXVI- Series 26- Direct Plan- Dividend Payout Option</t>
  </si>
  <si>
    <t>INF204KA1PP2</t>
  </si>
  <si>
    <t>Reliance Fixed Horizon Fund XXVI- Series 26- Direct Plan- Growth Option</t>
  </si>
  <si>
    <t>INF204KA1PO5</t>
  </si>
  <si>
    <t>Reliance Fixed Horizon Fund XXVI- Series 26- Dividend Payout Option</t>
  </si>
  <si>
    <t>INF204KA1PN7</t>
  </si>
  <si>
    <t>Reliance Fixed Horizon Fund- XXVI- Series 26- Growth Option</t>
  </si>
  <si>
    <t>INF204KA1QZ9</t>
  </si>
  <si>
    <t>Reliance Fixed Horizon Fund XXVI- Series 32- Direct Plan- Growth Option</t>
  </si>
  <si>
    <t>INF204KA1QY2</t>
  </si>
  <si>
    <t>Reliance Fixed Horizon Fund XXVI- Series 32- Dividend Payout Option</t>
  </si>
  <si>
    <t>INF204KA1QX4</t>
  </si>
  <si>
    <t>Reliance Fixed Horizon Fund XXVI- Series 32- Growth Option</t>
  </si>
  <si>
    <t>INF204KA1RC6</t>
  </si>
  <si>
    <t>Reliance Fixed Horizon Fund XXVI Series- 33- Dividend Payout Option</t>
  </si>
  <si>
    <t>INF204KA1RE2</t>
  </si>
  <si>
    <t>Reliance Fixed Horizon Fund XXVI- Series 33- Direct Plan- Dividend Payout Option</t>
  </si>
  <si>
    <t>INF204KA1RD4</t>
  </si>
  <si>
    <t>Reliance Fixed Horizon Fund XXVI- Series 33- Direct Plan- Growth Option</t>
  </si>
  <si>
    <t>INF204KA1RB8</t>
  </si>
  <si>
    <t>Reliance Fixed Horizon Fund XXVI- Series 33- Growth Option</t>
  </si>
  <si>
    <t>INF204KA1RM5</t>
  </si>
  <si>
    <t>Reliance Fixed Horizon Fund XXVI-  Series 35- Direct Plan- Growth Option</t>
  </si>
  <si>
    <t>INF204KA1RN3</t>
  </si>
  <si>
    <t>Reliance Fixed Horizon Fund XXVI- Series 35- Direct Plan- Dividend Payout Option</t>
  </si>
  <si>
    <t>INF204KA1RK9</t>
  </si>
  <si>
    <t>Reliance Fixed Horizon Fund XXVI- Series 35- Dividend payout option</t>
  </si>
  <si>
    <t>INF204KA1RJ1</t>
  </si>
  <si>
    <t>Reliance Fixed Horizon Fund XXVI- Series 35- Growth Option</t>
  </si>
  <si>
    <t>INF204KA1WZ7</t>
  </si>
  <si>
    <t>Reliance Fixed Horizon Fund XXVII- Series 11- Direct Plan-Dividend Payout Option</t>
  </si>
  <si>
    <t>INF204KA1WY0</t>
  </si>
  <si>
    <t>Reliance Fixed Horizon Fund XXVII- Series 11- Direct Plan-Growth Option</t>
  </si>
  <si>
    <t>INF204KA1WW4</t>
  </si>
  <si>
    <t>Reliance Fixed Horizon Fund XXVII- Series 11- Growth Option</t>
  </si>
  <si>
    <t>INF204KA1YT6</t>
  </si>
  <si>
    <t>Reliance Fixed Horizon Fund XXVII- Series 15- Direct Plan- Dividend Payout Option</t>
  </si>
  <si>
    <t>INF204KA1YS8</t>
  </si>
  <si>
    <t>Reliance Fixed Horizon Fund XXVII- Series 15- Direct Plan- Growth Option</t>
  </si>
  <si>
    <t>INF204KA1YR0</t>
  </si>
  <si>
    <t>Reliance Fixed Horizon Fund XXVII- Series 15- Dividend Payout Option</t>
  </si>
  <si>
    <t>INF204KA1YQ2</t>
  </si>
  <si>
    <t>Reliance Fixed Horizon Fund XXVII- Series 15- Growth Option</t>
  </si>
  <si>
    <t>INF204KA1SS0</t>
  </si>
  <si>
    <t>Reliance Fixed Horizon Fund XXVII- Series 3- Direct Plan- Dividend Payout Option</t>
  </si>
  <si>
    <t>INF204KA1SR2</t>
  </si>
  <si>
    <t>Reliance Fixed Horizon Fund XXVII- Series 3- Direct Plan- Growth Option</t>
  </si>
  <si>
    <t>INF204KA1SQ4</t>
  </si>
  <si>
    <t>Reliance Fixed Horizon Fund XXVII- Series 3- Dividend Payout option</t>
  </si>
  <si>
    <t>INF204KA1SP6</t>
  </si>
  <si>
    <t>Reliance Fixed Horizon Fund XXVII- Series 3- Growth Option</t>
  </si>
  <si>
    <t>INF204KA1TH1</t>
  </si>
  <si>
    <t>Reliance Fixed Horizon Fund XXVII- Series 4- Direct Plan- Growth Option</t>
  </si>
  <si>
    <t>INF204KA1TG3</t>
  </si>
  <si>
    <t>Reliance Fixed Horizon Fund XXVII- Series 4- Dividend Payout Option</t>
  </si>
  <si>
    <t>INF204KA1TF5</t>
  </si>
  <si>
    <t>Reliance Fixed Horizon Fund XXVII- Series 4- Growth Option</t>
  </si>
  <si>
    <t>INF204KA1TZ3</t>
  </si>
  <si>
    <t>Reliance Fixed Horizon Fund XXVII- Series 6- Direct Plan- Growth Option</t>
  </si>
  <si>
    <t>INF204KA1TX8</t>
  </si>
  <si>
    <t>Reliance Fixed Horizon Fund XXVII- Series 6- Growth Option</t>
  </si>
  <si>
    <t>INF204KA1UU2</t>
  </si>
  <si>
    <t>Reliance Fixed Horizon Fund XXVII- Series 7- Direct Plan- Growth Option</t>
  </si>
  <si>
    <t>INF204KA1UT4</t>
  </si>
  <si>
    <t>Reliance Fixed Horizon Fund XXVII- Series 7- Dividend Payout Option</t>
  </si>
  <si>
    <t>INF204KA1US6</t>
  </si>
  <si>
    <t>Reliance Fixed Horizon Fund XXVII- Series 7- Growth Option</t>
  </si>
  <si>
    <t>INF204KA1UV0</t>
  </si>
  <si>
    <t>Reliance Fixed Horizon Fund XXVII- Series 8- Direct Plan- Dividend Payout Option</t>
  </si>
  <si>
    <t>Reliance Fixed Horizon Fund XXVII- Series 8- Direct Plan- Growth Option</t>
  </si>
  <si>
    <t>Reliance Fixed Horizon Fund XXVII- Series 8- Growth Option</t>
  </si>
  <si>
    <t>INF204KA1WJ1</t>
  </si>
  <si>
    <t>Reliance Fixed Horizon Fund XXVII- Series 9- Direct Plan-Dividend Payout Option</t>
  </si>
  <si>
    <t>INF204KA1WI3</t>
  </si>
  <si>
    <t>Reliance Fixed Horizon Fund XXVII- Series 9- Direct Plan-Growth option</t>
  </si>
  <si>
    <t>INF204KA1WH5</t>
  </si>
  <si>
    <t>Reliance Fixed Horizon Fund XXVII- Series 9- Dividend Payout Option</t>
  </si>
  <si>
    <t>INF204KA1WG7</t>
  </si>
  <si>
    <t>Reliance Fixed Horizon Fund XXVII- Series 9- Growth option</t>
  </si>
  <si>
    <t>INF204KA1H35</t>
  </si>
  <si>
    <t>Reliance Fixed Horizon Fund XXVIII- Series 10- Direct Plan- Growth Option</t>
  </si>
  <si>
    <t>INF204KA1H27</t>
  </si>
  <si>
    <t>Reliance Fixed Horizon Fund XXVIII- Series 10- Dividend Payout Option</t>
  </si>
  <si>
    <t>INF204KA1H19</t>
  </si>
  <si>
    <t>Reliance Fixed Horizon Fund XXVIII- Series 10- Growth Option</t>
  </si>
  <si>
    <t>INF204KA1J66</t>
  </si>
  <si>
    <t>Reliance Fixed Horizon Fund XXVIII- Series 14- Direct Plan-Dividend Payout Option</t>
  </si>
  <si>
    <t>INF204KA1J58</t>
  </si>
  <si>
    <t>Reliance Fixed Horizon Fund XXVIII- Series 14- Direct Plan-Growth Option</t>
  </si>
  <si>
    <t>INF204KA1J41</t>
  </si>
  <si>
    <t>Reliance Fixed Horizon Fund XXVIII- Series 14- Dividend Payout Option</t>
  </si>
  <si>
    <t>INF204KA1J33</t>
  </si>
  <si>
    <t>Reliance Fixed Horizon Fund XXVIII- Series 14- Growth Option</t>
  </si>
  <si>
    <t>INF204KA1V86</t>
  </si>
  <si>
    <t>Reliance Fixed Horizon Fund XXVIII- Series 18- Direct Plan-Dividend Payout Option</t>
  </si>
  <si>
    <t>INF204KA1V78</t>
  </si>
  <si>
    <t>Reliance Fixed Horizon Fund XXVIII- Series 18- Direct Plan-Growth Option</t>
  </si>
  <si>
    <t>INF204KA1V60</t>
  </si>
  <si>
    <t>Reliance Fixed Horizon Fund XXVIII- Series 18- Dividend Payout Option</t>
  </si>
  <si>
    <t>INF204KA1V52</t>
  </si>
  <si>
    <t>Reliance Fixed Horizon Fund XXVIII- Series 18- Growth Option</t>
  </si>
  <si>
    <t>INF204KA13A3</t>
  </si>
  <si>
    <t>Reliance Fixed Horizon Fund XXVIII- Series 19- Direct Plan-Growth Option</t>
  </si>
  <si>
    <t>INF204KA12A5</t>
  </si>
  <si>
    <t>Reliance Fixed Horizon Fund XXVIII- Series 19- Dividend Payout Option</t>
  </si>
  <si>
    <t>INF204KA11A7</t>
  </si>
  <si>
    <t>Reliance Fixed Horizon Fund XXVIII- Series 19- Growth Option</t>
  </si>
  <si>
    <t>INF204KA1ZR7</t>
  </si>
  <si>
    <t>Reliance Fixed Horizon Fund XXVIII- Series 2- Direct Plan-Dividend Payout Option</t>
  </si>
  <si>
    <t>INF204KA1ZQ9</t>
  </si>
  <si>
    <t>Reliance Fixed Horizon Fund XXVIII- Series 2- Direct Plan-Growth Option</t>
  </si>
  <si>
    <t>INF204KA1ZP1</t>
  </si>
  <si>
    <t>Reliance Fixed Horizon Fund XXVIII- Series 2- Dividend Payout Option</t>
  </si>
  <si>
    <t>INF204KA1ZO4</t>
  </si>
  <si>
    <t>Reliance Fixed Horizon Fund XXVIII- Series 2- Growth Option</t>
  </si>
  <si>
    <t>INF204KA1B15</t>
  </si>
  <si>
    <t>Reliance Fixed Horizon Fund XXVIII- Series 4- Direct Plan-Dividend Payout Option</t>
  </si>
  <si>
    <t>INF204KA1A99</t>
  </si>
  <si>
    <t>Reliance Fixed Horizon Fund XXVIII- Series 4- Dividend Payout Option</t>
  </si>
  <si>
    <t>INF204KA1A81</t>
  </si>
  <si>
    <t>Reliance Fixed Horizon Fund XXVIII- Series 4- Growth Option</t>
  </si>
  <si>
    <t>INF204KA1B07</t>
  </si>
  <si>
    <t>Reliance Fixed Horizon Fund XXVIII- Series 4-Direct Plan- Growth Option</t>
  </si>
  <si>
    <t>INF204KA1E95</t>
  </si>
  <si>
    <t>Reliance Fixed Horizon Fund XXVIII- Series 7- Direct Plan-Growth Option</t>
  </si>
  <si>
    <t>INF204KA1E87</t>
  </si>
  <si>
    <t>Reliance Fixed Horizon Fund XXVIII- Series 7- Dividend Payout Option</t>
  </si>
  <si>
    <t>INF204KA1E79</t>
  </si>
  <si>
    <t>Reliance Fixed Horizon Fund XXVIII- Series 7- Growth Option</t>
  </si>
  <si>
    <t>INF204KA10U7</t>
  </si>
  <si>
    <t>Reliance Fixed Horizon Fund XXX- Series 1 - Dividend Payout Option</t>
  </si>
  <si>
    <t>INF204KA12U3</t>
  </si>
  <si>
    <t>Reliance Fixed Horizon Fund XXX- Series 1 -Direct Plan- Dividend Payout Option</t>
  </si>
  <si>
    <t>INF204KA11U5</t>
  </si>
  <si>
    <t>Reliance Fixed Horizon Fund XXX- Series 1 -Direct Plan- Growth Option</t>
  </si>
  <si>
    <t>INF204KA19T0</t>
  </si>
  <si>
    <t>Reliance Fixed Horizon Fund XXX- Series 1 -Growth Option</t>
  </si>
  <si>
    <t>INF204KB1114</t>
  </si>
  <si>
    <t>Reliance Fixed Horizon Fund XXX- Series 13 -Direct Plan- Dividend Payout Option</t>
  </si>
  <si>
    <t>INF204KB1106</t>
  </si>
  <si>
    <t>Reliance Fixed Horizon Fund XXX- Series 13 -Direct Plan- Growth Option</t>
  </si>
  <si>
    <t>INF204KB1098</t>
  </si>
  <si>
    <t>Reliance Fixed Horizon Fund XXX- Series 13 -Dividend Payout Option</t>
  </si>
  <si>
    <t>INF204KB1080</t>
  </si>
  <si>
    <t>Reliance Fixed Horizon Fund XXX- Series 13 -Growth Option</t>
  </si>
  <si>
    <t>INF204KA19Z7</t>
  </si>
  <si>
    <t>Reliance Fixed Horizon Fund XXX- Series 14 - Growth Option</t>
  </si>
  <si>
    <t>INF204KB1031</t>
  </si>
  <si>
    <t>Reliance Fixed Horizon Fund XXX- Series 14 -Direct Plan- Dividend Payout Option</t>
  </si>
  <si>
    <t>INF204KB1023</t>
  </si>
  <si>
    <t>Reliance Fixed Horizon Fund XXX- Series 14 -Direct Plan- Growth Option</t>
  </si>
  <si>
    <t>INF204KB1015</t>
  </si>
  <si>
    <t>Reliance Fixed Horizon Fund XXX- Series 14 -Dividend Payout Option</t>
  </si>
  <si>
    <t>INF204KA14U9</t>
  </si>
  <si>
    <t>Reliance Fixed Horizon Fund XXX- Series 2 - Dividend Payout Option</t>
  </si>
  <si>
    <t>INF204KA13U1</t>
  </si>
  <si>
    <t>Reliance Fixed Horizon Fund XXX- Series 2 - Growth Option</t>
  </si>
  <si>
    <t>INF204KA16U4</t>
  </si>
  <si>
    <t>Reliance Fixed Horizon Fund XXX- Series 2 -Direct Plan- Dividend Payout Option</t>
  </si>
  <si>
    <t>INF204KA15U6</t>
  </si>
  <si>
    <t>Reliance Fixed Horizon Fund XXX- Series 2 -Direct Plan- Growth Option</t>
  </si>
  <si>
    <t>INF204KA18V8</t>
  </si>
  <si>
    <t>Reliance Fixed Horizon Fund XXX- Series 4 -Direct Plan- Dividend Payout Option</t>
  </si>
  <si>
    <t>INF204KA17V0</t>
  </si>
  <si>
    <t>Reliance Fixed Horizon Fund XXX- Series 4 -Direct Plan- Growth Option</t>
  </si>
  <si>
    <t>INF204KA16V2</t>
  </si>
  <si>
    <t>Reliance Fixed Horizon Fund XXX- Series 4 -Dividend Payout Option</t>
  </si>
  <si>
    <t>INF204KA15V4</t>
  </si>
  <si>
    <t>Reliance Fixed Horizon Fund XXX- Series 4 -Growth Option</t>
  </si>
  <si>
    <t>INF204KA16Y6</t>
  </si>
  <si>
    <t>Reliance Fixed Horizon Fund XXX- Series 10- Direct Plan-Dividend Payout Option</t>
  </si>
  <si>
    <t>INF204KA15Y8</t>
  </si>
  <si>
    <t>Reliance Fixed Horizon Fund XXX- Series 10- Direct Plan-Growth Option</t>
  </si>
  <si>
    <t>INF204KA13Y3</t>
  </si>
  <si>
    <t>Reliance Fixed Horizon Fund XXX- Series 10- Growth Option</t>
  </si>
  <si>
    <t>INF204KA10Z6</t>
  </si>
  <si>
    <t>Reliance Fixed Horizon Fund XXX- Series 11- Direct Plan-Dividend Payout Option</t>
  </si>
  <si>
    <t>INF204KA19Y0</t>
  </si>
  <si>
    <t>Reliance Fixed Horizon Fund XXX- Series 11- Direct Plan-Growth Option</t>
  </si>
  <si>
    <t>INF204KA18Y2</t>
  </si>
  <si>
    <t>Reliance Fixed Horizon Fund XXX- Series 11- Dividend Payout Option</t>
  </si>
  <si>
    <t>INF204KA17Y4</t>
  </si>
  <si>
    <t>Reliance Fixed Horizon Fund XXX- Series 11- Growth Option</t>
  </si>
  <si>
    <t>INF204KA14Z8</t>
  </si>
  <si>
    <t>Reliance Fixed Horizon Fund XXX- Series 12- Direct Plan-Dividend Payout Option</t>
  </si>
  <si>
    <t>INF204KA13Z0</t>
  </si>
  <si>
    <t>Reliance Fixed Horizon Fund XXX- Series 12- Direct Plan-Growth Option</t>
  </si>
  <si>
    <t>INF204KA12Z2</t>
  </si>
  <si>
    <t>Reliance Fixed Horizon Fund XXX- Series 12- Dividend Payout Option</t>
  </si>
  <si>
    <t>INF204KA11Z4</t>
  </si>
  <si>
    <t>Reliance Fixed Horizon Fund XXX- Series 12- Growth Option</t>
  </si>
  <si>
    <t>INF204KB1197</t>
  </si>
  <si>
    <t>Reliance Fixed Horizon Fund XXX- Series 17- Direct Plan-Dividend Payout Option</t>
  </si>
  <si>
    <t>INF204KB1189</t>
  </si>
  <si>
    <t>Reliance Fixed Horizon Fund XXX- Series 17- Direct Plan-Growth Option</t>
  </si>
  <si>
    <t>INF204KB1171</t>
  </si>
  <si>
    <t>Reliance Fixed Horizon Fund XXX- Series 17- Dividend Payout Option</t>
  </si>
  <si>
    <t>INF204KB1163</t>
  </si>
  <si>
    <t>Reliance Fixed Horizon Fund XXX- Series 17- Growth Option</t>
  </si>
  <si>
    <t>INF204KB1270</t>
  </si>
  <si>
    <t>Reliance Fixed Horizon Fund XXX- Series 18- Direct Plan-Dividend Payout Option</t>
  </si>
  <si>
    <t>INF204KB1262</t>
  </si>
  <si>
    <t>Reliance Fixed Horizon Fund XXX- Series 18- Direct Plan-Growth Option</t>
  </si>
  <si>
    <t>INF204KB1254</t>
  </si>
  <si>
    <t>Reliance Fixed Horizon Fund XXX- Series 18- Dividend Payout Option</t>
  </si>
  <si>
    <t>INF204KB1247</t>
  </si>
  <si>
    <t>Reliance Fixed Horizon Fund XXX- Series 18- Growth Option</t>
  </si>
  <si>
    <t>INF204KB1353</t>
  </si>
  <si>
    <t>Reliance Fixed Horizon Fund XXX- Series 19- Direct Plan-Dividend Payout Option</t>
  </si>
  <si>
    <t>INF204KB1346</t>
  </si>
  <si>
    <t>Reliance Fixed Horizon Fund XXX- Series 19- Direct Plan-Growth Option</t>
  </si>
  <si>
    <t>INF204KB1338</t>
  </si>
  <si>
    <t>Reliance Fixed Horizon Fund XXX- Series 19- Dividend Payout Option</t>
  </si>
  <si>
    <t>INF204KB1320</t>
  </si>
  <si>
    <t>Reliance Fixed Horizon Fund XXX- Series 19- Growth Option</t>
  </si>
  <si>
    <t>INF204KB1478</t>
  </si>
  <si>
    <t>Reliance Fixed Horizon Fund XXX- Series 20- Direct Plan-Dividend Payout Option</t>
  </si>
  <si>
    <t>INF204KB1460</t>
  </si>
  <si>
    <t>Reliance Fixed Horizon Fund XXX- Series 20- Direct Plan-Growth Option</t>
  </si>
  <si>
    <t>INF204KB1452</t>
  </si>
  <si>
    <t>Reliance Fixed Horizon Fund XXX- Series 20- Dividend Payout Option</t>
  </si>
  <si>
    <t>INF204KB1445</t>
  </si>
  <si>
    <t>Reliance Fixed Horizon Fund XXX- Series 20- Growth Option</t>
  </si>
  <si>
    <t>INF204KA14V7</t>
  </si>
  <si>
    <t>Reliance Fixed Horizon Fund XXX-Series 3- Direct Plan-Dividend Payout Option</t>
  </si>
  <si>
    <t>INF204KA13V9</t>
  </si>
  <si>
    <t>Reliance Fixed Horizon Fund XXX-Series 3- Direct Plan-Growth Option</t>
  </si>
  <si>
    <t>INF204KA12V1</t>
  </si>
  <si>
    <t>Reliance Fixed Horizon Fund XXX-Series 3- Dividend Payout Option</t>
  </si>
  <si>
    <t>INF204KA11V3</t>
  </si>
  <si>
    <t>Reliance Fixed Horizon Fund XXX-Series 3- Growth Option</t>
  </si>
  <si>
    <t>INF204KA12W9</t>
  </si>
  <si>
    <t>Reliance Fixed Horizon Fund XXX- Series 5- Direct Plan- Growth Option</t>
  </si>
  <si>
    <t>INF204KA11W1</t>
  </si>
  <si>
    <t>Reliance Fixed Horizon Fund XXX- Series 5- Direct Plan-Dividend Payout Option</t>
  </si>
  <si>
    <t>INF204KA10W3</t>
  </si>
  <si>
    <t>Reliance Fixed Horizon Fund XXX- Series 5- Dividend Payout Option</t>
  </si>
  <si>
    <t>INF204KA19V6</t>
  </si>
  <si>
    <t>Reliance Fixed Horizon Fund XXX- Series 5- Growth Option</t>
  </si>
  <si>
    <t>INF204KA16W0</t>
  </si>
  <si>
    <t>Reliance Fixed Horizon Fund XXX- Series 6- Direct Plan-Dividend Payout Option</t>
  </si>
  <si>
    <t>INF204KA15W2</t>
  </si>
  <si>
    <t>Reliance Fixed Horizon Fund XXX- Series 6- Direct Plan-Growth Option</t>
  </si>
  <si>
    <t>INF204KA13W7</t>
  </si>
  <si>
    <t>Reliance Fixed Horizon Fund XXX- Series 6- Growth Option</t>
  </si>
  <si>
    <t>INF204KA13X5</t>
  </si>
  <si>
    <t>Reliance Fixed Horizon Fund XXX- Series 7- Direct Plan-Growth Option</t>
  </si>
  <si>
    <t>INF204KA11X9</t>
  </si>
  <si>
    <t>Reliance Fixed Horizon Fund XXX- Series 7- Growth Option</t>
  </si>
  <si>
    <t>INF204KA18X4</t>
  </si>
  <si>
    <t>Reliance Fixed Horizon Fund XXX- Series 8- Direct Plan- Dividen Payout Option</t>
  </si>
  <si>
    <t>INF204KA17X6</t>
  </si>
  <si>
    <t>Reliance Fixed Horizon Fund XXX- Series 8- Direct Plan- Growth Option</t>
  </si>
  <si>
    <t>INF204KA16X8</t>
  </si>
  <si>
    <t>Reliance Fixed Horizon Fund XXX- Series 8- Dividend Payout Option</t>
  </si>
  <si>
    <t>INF204KA15X0</t>
  </si>
  <si>
    <t>Reliance Fixed Horizon Fund XXX- Series 8- Growth Option</t>
  </si>
  <si>
    <t>INF204KA12Y5</t>
  </si>
  <si>
    <t>Reliance Fixed Horizon Fund XXX- Series 9- Direct Plan-Dividend Payout Option</t>
  </si>
  <si>
    <t>INF204KA11Y7</t>
  </si>
  <si>
    <t>Reliance Fixed Horizon Fund XXX- Series 9- Direct Plan-Growth Option</t>
  </si>
  <si>
    <t>INF204KA10Y9</t>
  </si>
  <si>
    <t>Reliance Fixed Horizon Fund XXX- Series 9- Dividend Payout Option</t>
  </si>
  <si>
    <t>INF204KA19X2</t>
  </si>
  <si>
    <t>Reliance Fixed Horizon Fund XXX- Series 9- Growth Option</t>
  </si>
  <si>
    <t>INF204KB1635</t>
  </si>
  <si>
    <t>Reliance Fixed Horizon Fund XXXI Series 2 - Direct Plan - Dividend Payout Option</t>
  </si>
  <si>
    <t>INF204KB1627</t>
  </si>
  <si>
    <t>Reliance Fixed Horizon Fund XXXI Series 2 - Direct Plan - Growth Option</t>
  </si>
  <si>
    <t>INF204KB1619</t>
  </si>
  <si>
    <t>Reliance Fixed Horizon Fund XXXI Series 2 - Dividend Payout Option</t>
  </si>
  <si>
    <t>INF204KB1601</t>
  </si>
  <si>
    <t>Reliance Fixed Horizon Fund XXXI Series 2 - Growth Option</t>
  </si>
  <si>
    <t>INF204KB1593</t>
  </si>
  <si>
    <t>Reliance Fixed Horizon Fund XXXI- Series 1- Direct Plan-Dividend Payout Option</t>
  </si>
  <si>
    <t>INF204KB1585</t>
  </si>
  <si>
    <t>Reliance Fixed Horizon Fund XXXI- Series 1- Direct Plan-Growth Option</t>
  </si>
  <si>
    <t>INF204KB1569</t>
  </si>
  <si>
    <t>Reliance Fixed Horizon Fund XXXI- Series 1- Growth Option</t>
  </si>
  <si>
    <t>INF204KB1CU9</t>
  </si>
  <si>
    <t>Reliance Fixed Horizon Fund XXXI- Series 11- Direct Plan-Dividend Payout Option</t>
  </si>
  <si>
    <t>INF204KB1CT1</t>
  </si>
  <si>
    <t>Reliance Fixed Horizon Fund XXXI- Series 11- Direct Plan-Growth Option</t>
  </si>
  <si>
    <t>INF204KB1CS3</t>
  </si>
  <si>
    <t>Reliance Fixed Horizon Fund XXXI- Series 11- Dividend Payout Option</t>
  </si>
  <si>
    <t>INF204KB1CR5</t>
  </si>
  <si>
    <t>Reliance Fixed Horizon Fund XXXI- Series 11- Growth Option</t>
  </si>
  <si>
    <t>INF204KB1791</t>
  </si>
  <si>
    <t>Reliance Fixed Horizon Fund XXXI- Series 4- Direct Plan-Dividend Payout Option</t>
  </si>
  <si>
    <t>INF204KB1783</t>
  </si>
  <si>
    <t>Reliance Fixed Horizon Fund XXXI- Series 4- Direct Plan-Growth Option</t>
  </si>
  <si>
    <t>INF204KB1775</t>
  </si>
  <si>
    <t>Reliance Fixed Horizon Fund XXXI- Series 4- Dividend Payout Option</t>
  </si>
  <si>
    <t>INF204KB1767</t>
  </si>
  <si>
    <t>Reliance Fixed Horizon Fund XXXI- Series 4- Growth Option</t>
  </si>
  <si>
    <t>INF204KB1AD9</t>
  </si>
  <si>
    <t>Reliance Fixed Horizon Fund XXXI- Series 5- Direct Plan-Growth Option</t>
  </si>
  <si>
    <t>INF204KB1AC1</t>
  </si>
  <si>
    <t>Reliance Fixed Horizon Fund XXXI- Series 5- Dividend Payout Option</t>
  </si>
  <si>
    <t>INF204KB1AB3</t>
  </si>
  <si>
    <t>Reliance Fixed Horizon Fund XXXI- Series 5- Growth Option</t>
  </si>
  <si>
    <t>INF204KB1AI8</t>
  </si>
  <si>
    <t>Reliance Fixed Horizon Fund XXXI- Series 6- Direct Plan-Dividend Payout Option</t>
  </si>
  <si>
    <t>INF204KB1AH0</t>
  </si>
  <si>
    <t>Reliance Fixed Horizon Fund XXXI- Series 6- Direct Plan-Growth Option</t>
  </si>
  <si>
    <t>INF204KB1AG2</t>
  </si>
  <si>
    <t>Reliance Fixed Horizon Fund XXXI- Series 6- Dividend Payout Option</t>
  </si>
  <si>
    <t>INF204KB1AF4</t>
  </si>
  <si>
    <t>Reliance Fixed Horizon Fund XXXI- Series 6- Growth Option</t>
  </si>
  <si>
    <t>INF204KB1AQ1</t>
  </si>
  <si>
    <t>Reliance Fixed Horizon Fund XXXI- Series 7- Direct Plan - Dividend Payout Option</t>
  </si>
  <si>
    <t>INF204KB1AP3</t>
  </si>
  <si>
    <t>Reliance Fixed Horizon Fund XXXI- Series 7- Direct Plan-Growth Option</t>
  </si>
  <si>
    <t>INF204KB1AO6</t>
  </si>
  <si>
    <t>Reliance Fixed Horizon Fund XXXI- Series 7- Dividend Payout Option</t>
  </si>
  <si>
    <t>INF204KB1AN8</t>
  </si>
  <si>
    <t>Reliance Fixed Horizon Fund XXXI- Series 7- Growth Option</t>
  </si>
  <si>
    <t>INF204KB1L29</t>
  </si>
  <si>
    <t>Reliance Fixed Horizon Fund XXXIX Series 10- Direct Plan- Growth Option</t>
  </si>
  <si>
    <t>INF204KB1L37</t>
  </si>
  <si>
    <t>Reliance Fixed Horizon Fund XXXIX- Series 10- Direct Plan- Dividend Option</t>
  </si>
  <si>
    <t>INF204KB1L11</t>
  </si>
  <si>
    <t>Reliance Fixed Horizon Fund XXXIX- Series 10- Dividend Option</t>
  </si>
  <si>
    <t>INF204KB1L03</t>
  </si>
  <si>
    <t>Reliance Fixed Horizon Fund XXXIX- Series 10- Growth Option</t>
  </si>
  <si>
    <t>INF204KB1I16</t>
  </si>
  <si>
    <t>Reliance Fixed Horizon Fund XXXIX- Series 3 - Direct Plan- Dividend Plan</t>
  </si>
  <si>
    <t>INF204KB1I08</t>
  </si>
  <si>
    <t>Reliance Fixed Horizon Fund XXXIX- Series 3- Direct Plan- Growth Option</t>
  </si>
  <si>
    <t>INF204KB1H90</t>
  </si>
  <si>
    <t>Reliance Fixed Horizon Fund XXXIX- Series 3- Dividend Plan</t>
  </si>
  <si>
    <t>INF204KB1H82</t>
  </si>
  <si>
    <t>Reliance Fixed Horizon Fund XXXIX- Series 3- Growth Option</t>
  </si>
  <si>
    <t>INF204KB1K12</t>
  </si>
  <si>
    <t>Reliance Fixed Horizon Fund XXXIX- Series 7- Direct Plan- Dividend Option</t>
  </si>
  <si>
    <t>INF204KB1K04</t>
  </si>
  <si>
    <t>Reliance Fixed Horizon Fund XXXIX- Series 7- Direct Plan- Growth Option</t>
  </si>
  <si>
    <t>INF204KB1J80</t>
  </si>
  <si>
    <t>Reliance Fixed Horizon Fund XXXIX- Series 7- Growth Option</t>
  </si>
  <si>
    <t>INF204KB1UT3</t>
  </si>
  <si>
    <t>Reliance Fixed Horizon Fund XXXVI- Series 4- Direct Plan-Dividend Payout Option</t>
  </si>
  <si>
    <t>INF204KB1US5</t>
  </si>
  <si>
    <t>Reliance Fixed Horizon Fund XXXVI- Series 4- Direct Plan-Growth Option</t>
  </si>
  <si>
    <t>INF204KB1UR7</t>
  </si>
  <si>
    <t>Reliance Fixed Horizon Fund XXXVI- Series 4- Dividend Payout Option</t>
  </si>
  <si>
    <t>INF204KB1UQ9</t>
  </si>
  <si>
    <t>Reliance Fixed Horizon Fund XXXVI- Series 4- Growth Option</t>
  </si>
  <si>
    <t>INF204KB1XV3</t>
  </si>
  <si>
    <t>Reliance Fixed Horizon Fund XXXVII- Series 11- Direct Plan- Dividend Payout Option</t>
  </si>
  <si>
    <t>INF204KB1XU5</t>
  </si>
  <si>
    <t>Reliance Fixed Horizon Fund XXXVII- Series 11- Direct Plan- Growth Option</t>
  </si>
  <si>
    <t>INF204KB1XT7</t>
  </si>
  <si>
    <t>Reliance Fixed Horizon Fund XXXVII- Series 11- Dividend Payout Option</t>
  </si>
  <si>
    <t>INF204KB1XS9</t>
  </si>
  <si>
    <t>Reliance Fixed Horizon Fund XXXVII- Series 11- Growth Option</t>
  </si>
  <si>
    <t>INF204KB1YD9</t>
  </si>
  <si>
    <t>Reliance Fixed Horizon Fund XXXVII- Series 13- Direct Plan- Dividend Payout Option</t>
  </si>
  <si>
    <t>INF204KB1YC1</t>
  </si>
  <si>
    <t>Reliance Fixed Horizon Fund XXXVII- Series 13- Direct Plan- Growth Option</t>
  </si>
  <si>
    <t>INF204KB1YB3</t>
  </si>
  <si>
    <t>Reliance Fixed Horizon Fund XXXVII- Series 13- Dividend Payout Option</t>
  </si>
  <si>
    <t>INF204KB1YA5</t>
  </si>
  <si>
    <t>Reliance Fixed Horizon Fund XXXVII- Series 13- Growth Option</t>
  </si>
  <si>
    <t>INF204KB1XF6</t>
  </si>
  <si>
    <t>Reliance Fixed Horizon Fund XXXVII- Series 7- Direct Plan- Dividend Payout Option</t>
  </si>
  <si>
    <t>INF204KB1XE9</t>
  </si>
  <si>
    <t>Reliance Fixed Horizon Fund XXXVII- Series 7- Direct Plan- Growth Option</t>
  </si>
  <si>
    <t>INF204KB1XD1</t>
  </si>
  <si>
    <t>Reliance Fixed Horizon Fund XXXVII- Series 7- Dividend Payout Option</t>
  </si>
  <si>
    <t>INF204KB1XC3</t>
  </si>
  <si>
    <t>Reliance Fixed Horizon Fund XXXVII- Series 7- Growth Option</t>
  </si>
  <si>
    <t>INF204KB1XJ8</t>
  </si>
  <si>
    <t>Reliance Fixed Horizon Fund XXXVII- Series 8- Direct Plan- Dividend Payout Option</t>
  </si>
  <si>
    <t>INF204KB1XI0</t>
  </si>
  <si>
    <t>Reliance Fixed Horizon Fund XXXVII- Series 8- Direct Plan- Growth Option</t>
  </si>
  <si>
    <t>INF204KB1XH2</t>
  </si>
  <si>
    <t>Reliance Fixed Horizon Fund XXXVII- Series 8- Dividend Payout Option</t>
  </si>
  <si>
    <t>INF204KB1XG4</t>
  </si>
  <si>
    <t>Reliance Fixed Horizon Fund XXXVII- Series 8- Growth Option</t>
  </si>
  <si>
    <t>INF204KB1F76</t>
  </si>
  <si>
    <t>Reliance Fixed Horizon Fund XXXVIII- Series 13 - Direct Plan- Dividend Plan</t>
  </si>
  <si>
    <t>INF204KB1F68</t>
  </si>
  <si>
    <t>Reliance Fixed Horizon Fund XXXVIII- Series 13- Direct Plan- Growth Option</t>
  </si>
  <si>
    <t>INF204KB1F50</t>
  </si>
  <si>
    <t>Reliance Fixed Horizon Fund XXXVIII- Series 13- Dividend Plan</t>
  </si>
  <si>
    <t>INF204KB1F43</t>
  </si>
  <si>
    <t>Reliance Fixed Horizon Fund XXXVIII- Series 13- Growth Option</t>
  </si>
  <si>
    <t>INF204KB1G91</t>
  </si>
  <si>
    <t>Reliance Fixed Horizon Fund XXXVIII- Series 15 - Direct Plan- Dividend Plan</t>
  </si>
  <si>
    <t>INF204KB1G83</t>
  </si>
  <si>
    <t>Reliance Fixed Horizon Fund XXXVIII- Series 15- Direct Plan- Growth Option</t>
  </si>
  <si>
    <t>INF204KB1G75</t>
  </si>
  <si>
    <t>Reliance Fixed Horizon Fund XXXVIII- Series 15- Dividend Plan</t>
  </si>
  <si>
    <t>INF204KB1G67</t>
  </si>
  <si>
    <t>Reliance Fixed Horizon Fund XXXVIII- Series 15- Growth Option</t>
  </si>
  <si>
    <t>INF204KB1C12</t>
  </si>
  <si>
    <t>Reliance Fixed Horizon Fund XXXVIII- Series 4- Direct Plan- Dividend Plan</t>
  </si>
  <si>
    <t>INF204KB1C04</t>
  </si>
  <si>
    <t>Reliance Fixed Horizon Fund XXXVIII- Series 4- Direct Plan- Growth Option</t>
  </si>
  <si>
    <t>INF204KB1B88</t>
  </si>
  <si>
    <t>Reliance Fixed Horizon Fund XXXVIII- Series 4- Growth Option</t>
  </si>
  <si>
    <t>INF204KB1D78</t>
  </si>
  <si>
    <t>Reliance Fixed Horizon Fund XXXVIII- Series 8- Direct Plan- Dividend Plan</t>
  </si>
  <si>
    <t>INF204KB1D60</t>
  </si>
  <si>
    <t>Reliance Fixed Horizon Fund XXXVIII- Series 8- Direct Plan- Growth Option</t>
  </si>
  <si>
    <t>INF204KB1D52</t>
  </si>
  <si>
    <t>Reliance Fixed Horizon Fund XXXVIII- Series 8- Dividend Plan</t>
  </si>
  <si>
    <t>INF204KB1D45</t>
  </si>
  <si>
    <t>Reliance Fixed Horizon Fund XXXVIII- Series 8- Growth Option</t>
  </si>
  <si>
    <t>INF204KA1NE1</t>
  </si>
  <si>
    <t>Reliance Fixed Horizon Fund- XXVI- Series 12- Direct Plan - Dividend Payout Option</t>
  </si>
  <si>
    <t>INF204KA1ND3</t>
  </si>
  <si>
    <t>Reliance Fixed Horizon Fund- XXVI- Series 12- Direct Plan - Growth Option</t>
  </si>
  <si>
    <t>INF204KA1NC5</t>
  </si>
  <si>
    <t>Reliance Fixed Horizon Fund- XXVI- Series 12- Dividend payout Option</t>
  </si>
  <si>
    <t>INF204KA1NB7</t>
  </si>
  <si>
    <t>Reliance Fixed Horizon Fund- XXVI- Series 12- Growth Option</t>
  </si>
  <si>
    <t>INF204KA1NI2</t>
  </si>
  <si>
    <t>Reliance Fixed Horizon Fund- XXVI- Series 13- Direct Plan - Dividend Payout Option</t>
  </si>
  <si>
    <t>INF204KA1NH4</t>
  </si>
  <si>
    <t>Reliance Fixed Horizon Fund- XXVI- Series 13- Direct Plan - Growth Option</t>
  </si>
  <si>
    <t>INF204KA1NG6</t>
  </si>
  <si>
    <t>Reliance Fixed Horizon Fund- XXVI- Series 13- Dividend payout Option</t>
  </si>
  <si>
    <t>INF204KA1NF8</t>
  </si>
  <si>
    <t>Reliance Fixed Horizon Fund- XXVI- Series 13- Growth Option</t>
  </si>
  <si>
    <t>INF204KA1NU7</t>
  </si>
  <si>
    <t>Reliance Fixed Horizon Fund- XXVI- Series 16- Direct Plan - Dividend Payout Option</t>
  </si>
  <si>
    <t>INF204KA1NT9</t>
  </si>
  <si>
    <t>Reliance Fixed Horizon Fund- XXVI- Series 16- Direct Plan - Growth Option</t>
  </si>
  <si>
    <t>INF204KA1NS1</t>
  </si>
  <si>
    <t>Reliance Fixed Horizon Fund- XXVI- Series 16- Dividend payout Option</t>
  </si>
  <si>
    <t>INF204KA1NR3</t>
  </si>
  <si>
    <t>Reliance Fixed Horizon Fund- XXVI- Series 16- Growth Option</t>
  </si>
  <si>
    <t>INF204KA1OF6</t>
  </si>
  <si>
    <t>Reliance Fixed Horizon Fund- XXVI- Series 19- Direct Plan- Growth Option</t>
  </si>
  <si>
    <t>INF204KA1OE9</t>
  </si>
  <si>
    <t>Reliance Fixed Horizon Fund- XXVI- Series 19- Dividend Payout Option</t>
  </si>
  <si>
    <t>INF204KA1OD1</t>
  </si>
  <si>
    <t>Reliance Fixed Horizon Fund- XXVI- Series 19- Growth Option</t>
  </si>
  <si>
    <t>INF204KA1ON0</t>
  </si>
  <si>
    <t>Reliance Fixed Horizon Fund- XXVI- Series 21- Direct Plan- Growth Option</t>
  </si>
  <si>
    <t>INF204KA1OM2</t>
  </si>
  <si>
    <t>Reliance Fixed Horizon Fund- XXVI- Series 21- Dividend Payout Option</t>
  </si>
  <si>
    <t>INF204KA1OL4</t>
  </si>
  <si>
    <t>Reliance Fixed Horizon Fund- XXVI- Series 21- Growth Option</t>
  </si>
  <si>
    <t>INF204KA1OZ4</t>
  </si>
  <si>
    <t>Reliance Fixed Horizon Fund XXVI- Series 23- Direct Plan- Growth Option</t>
  </si>
  <si>
    <t>INF204KA1PA4</t>
  </si>
  <si>
    <t>Reliance Fixed Horizon Fund- XXVI- Series 23- Direct Plan- Dividend Payout Option</t>
  </si>
  <si>
    <t>INF204KA1OY7</t>
  </si>
  <si>
    <t>Reliance Fixed Horizon Fund- XXVI- Series 23- Dividend Payout Opiton</t>
  </si>
  <si>
    <t>INF204KA1OX9</t>
  </si>
  <si>
    <t>Reliance Fixed Horizon Fund- XXVI- Series 23- Growth Option</t>
  </si>
  <si>
    <t>INF204KA11D1</t>
  </si>
  <si>
    <t>Reliance Fixed Horizon Fund XXVI- Series 25- Direct Plan- Dividend Payout Option</t>
  </si>
  <si>
    <t>INF204KA10D3</t>
  </si>
  <si>
    <t>Reliance Fixed Horizon Fund XXVI- Series 25- Direct Plan- Growth Option</t>
  </si>
  <si>
    <t>INF204KA19C6</t>
  </si>
  <si>
    <t>Reliance Fixed Horizon Fund XXVI- Series 25- Dividend Payout Option</t>
  </si>
  <si>
    <t>INF204KA12D9</t>
  </si>
  <si>
    <t>Reliance Fixed Horizon Fund XXVI- Series 25- Growth Option</t>
  </si>
  <si>
    <t>INF204KA1LO4</t>
  </si>
  <si>
    <t>Reliance Fixed Horizon Fund - XXVI- Series 5- Direct Plan - Growth Option</t>
  </si>
  <si>
    <t>INF204KA1LN6</t>
  </si>
  <si>
    <t>Reliance Fixed Horizon Fund - XXVI- Series 5- Dividend payout Option</t>
  </si>
  <si>
    <t>INF204KA1LM8</t>
  </si>
  <si>
    <t>Reliance Fixed Horizon Fund - XXVI- Series 5- Growth Option</t>
  </si>
  <si>
    <t>INF204KA1LQ9</t>
  </si>
  <si>
    <t>Reliance Fixed Horizon Fund- XXVI- Series 6-  Growth Option</t>
  </si>
  <si>
    <t>INF204KA1LT3</t>
  </si>
  <si>
    <t>Reliance Fixed Horizon Fund- XXVI- Series 6- Direct Plan - Dividend Payout Option</t>
  </si>
  <si>
    <t>INF204KA1LS5</t>
  </si>
  <si>
    <t>Reliance Fixed Horizon Fund- XXVI- Series 6- Direct Plan - Growth Option</t>
  </si>
  <si>
    <t>INF204KA1LX5</t>
  </si>
  <si>
    <t>Reliance Fixed Horizon Fund- XXVI- Series 7- Direct Plan - Dividend Payout Option</t>
  </si>
  <si>
    <t>INF204KA1LW7</t>
  </si>
  <si>
    <t>Reliance Fixed Horizon Fund- XXVI- Series 7- Direct Plan - Growth Option</t>
  </si>
  <si>
    <t>INF204KA1LV9</t>
  </si>
  <si>
    <t>Reliance Fixed Horizon Fund- XXVI- Series 7- Dividend payout Option</t>
  </si>
  <si>
    <t>INF204KA1LU1</t>
  </si>
  <si>
    <t>Reliance Fixed Horizon Fund- XXVI- Series 7- Growth Option</t>
  </si>
  <si>
    <t>INF204KA1MF0</t>
  </si>
  <si>
    <t>Reliance Fixed Horizon Fund- XXVI- Series 8- Direct Plan - Dividend Payout Option</t>
  </si>
  <si>
    <t>INF204KA1ME3</t>
  </si>
  <si>
    <t>Reliance Fixed Horizon Fund- XXVI- Series 8- Direct Plan - Growth Option</t>
  </si>
  <si>
    <t>INF204KA1MD5</t>
  </si>
  <si>
    <t>Reliance Fixed Horizon Fund- XXVI- Series 8- Dividend payout Option</t>
  </si>
  <si>
    <t>INF204KA1MC7</t>
  </si>
  <si>
    <t>Reliance Fixed Horizon Fund- XXVI- Series 8- Growth Option</t>
  </si>
  <si>
    <t>INF204KA1MI4</t>
  </si>
  <si>
    <t>Reliance Fixed Horizon Fund- XXVI- Series 9- Direct Plan - Growth Option</t>
  </si>
  <si>
    <t>INF204KA1MH6</t>
  </si>
  <si>
    <t>Reliance Fixed Horizon Fund- XXVI- Series 9- Dividend payout Option</t>
  </si>
  <si>
    <t>INF204KA1MG8</t>
  </si>
  <si>
    <t>Reliance Fixed Horizon Fund- XXVI- Series 9- Growth Option</t>
  </si>
  <si>
    <t>INF204KA1PX6</t>
  </si>
  <si>
    <t>Reliance Fixed Horizon Fund-XXVI-Series 28-Direct Plan-Growth Option</t>
  </si>
  <si>
    <t>INF204KA1PW8</t>
  </si>
  <si>
    <t>Reliance Fixed Horizon Fund-XXVI-Series 28-Dividend Payout Option</t>
  </si>
  <si>
    <t>INF204KA1PV0</t>
  </si>
  <si>
    <t>Reliance Fixed Horizon Fund-XXVI-Series 28-Growth Option</t>
  </si>
  <si>
    <t>INF204KA1VD6</t>
  </si>
  <si>
    <t>Reliance Interval Fund III- Series 1- Direct Plan- Growth Option</t>
  </si>
  <si>
    <t>INF204KA1VB0</t>
  </si>
  <si>
    <t>Reliance Interval Fund III- Series 1- Growth Option</t>
  </si>
  <si>
    <t>INF204K01S33</t>
  </si>
  <si>
    <t>Reliance Yearly Interval Fund - Series 3 - Direct Plan - Growth Plan - Growth Option</t>
  </si>
  <si>
    <t>INF204K01S17</t>
  </si>
  <si>
    <t>INF204K01S25</t>
  </si>
  <si>
    <t>Reliance Yearly Interval Fund - Series 3 - Dividend Plan - Dividend Option</t>
  </si>
  <si>
    <t>INF204K01S09</t>
  </si>
  <si>
    <t>Reliance Yearly Interval Fund - Series 3 - Growth Plan - Growth Option</t>
  </si>
  <si>
    <t>INF204K01U21</t>
  </si>
  <si>
    <t>INF204K01U39</t>
  </si>
  <si>
    <t>Reliance Yearly Interval Fund - Series 6 - Direct Plan - Dividend Option</t>
  </si>
  <si>
    <t>INF204K01U13</t>
  </si>
  <si>
    <t>Reliance Yearly Interval Fund - Series 6 - Direct Plan - Growth Option</t>
  </si>
  <si>
    <t>INF204K01T99</t>
  </si>
  <si>
    <t>INF204K01U05</t>
  </si>
  <si>
    <t>Reliance Yearly Interval Fund - Series 6 - Dividend Option</t>
  </si>
  <si>
    <t>INF204K01T81</t>
  </si>
  <si>
    <t>Reliance Yearly Interval Fund - Series 6 - Growth Option</t>
  </si>
  <si>
    <t>INF204K01U88</t>
  </si>
  <si>
    <t>INF204K01U96</t>
  </si>
  <si>
    <t>Reliance Yearly Interval Fund - Series 7 - Direct Plan - Dividend Option</t>
  </si>
  <si>
    <t>INF204K01U70</t>
  </si>
  <si>
    <t>Reliance Yearly Interval Fund - Series 7 - Direct Plan - Growth Option</t>
  </si>
  <si>
    <t>INF204K01U54</t>
  </si>
  <si>
    <t>INF204K01U62</t>
  </si>
  <si>
    <t>Reliance Yearly Interval Fund - Series 7- Dividend Option</t>
  </si>
  <si>
    <t>INF204K01U47</t>
  </si>
  <si>
    <t>Reliance Yearly Interval Fund - Series 7- Growth Option</t>
  </si>
  <si>
    <t>INF204K01T08</t>
  </si>
  <si>
    <t>INF204K01T16</t>
  </si>
  <si>
    <t>Reliance Yearly Interval Fund - Series 4 - Direct Plan - Dividend Plan - Dividend Option</t>
  </si>
  <si>
    <t>INF204K01S90</t>
  </si>
  <si>
    <t>Reliance Yearly Interval Fund - Series 4 - Direct Plan - Growth Plan - Growth Option</t>
  </si>
  <si>
    <t>INF204K01S74</t>
  </si>
  <si>
    <t>INF204K01S82</t>
  </si>
  <si>
    <t>Reliance Yearly Interval Fund - Series 4 - Dividend Plan - Dividend Option</t>
  </si>
  <si>
    <t>INF204K01S66</t>
  </si>
  <si>
    <t>Reliance Yearly Interval Fund - Series 4- Growth Plan - Growth Option</t>
  </si>
  <si>
    <t>INF200KA1D03</t>
  </si>
  <si>
    <t>SBI Fixed Maturity Plan (FMP) - Series 1 (3668 Days) - Direct Plan - Growth</t>
  </si>
  <si>
    <t>INF200KA1D11</t>
  </si>
  <si>
    <t>SBI Fixed Maturity Plan (FMP) - Series 1 (3668 Days) - Direct Plan - Income Distribution cum Capital Withdrawal Option (IDCW)</t>
  </si>
  <si>
    <t>INF200KA1C87</t>
  </si>
  <si>
    <t>SBI Fixed Maturity Plan (FMP) - Series 1 (3668 Days) - Regular Plan - Growth</t>
  </si>
  <si>
    <t>INF200KA1C95</t>
  </si>
  <si>
    <t>SBI Fixed Maturity Plan (FMP) - Series 1 (3668 Days) - Regular Plan - Income Distribution cum Capital Withdrawal Option (IDCW)</t>
  </si>
  <si>
    <t>INF200KA1Q73</t>
  </si>
  <si>
    <t>SBI Fixed Maturity Plan (FMP) - Series 34 (3682 Days) - Direct Plan - Growth</t>
  </si>
  <si>
    <t>INF200KA1Q81</t>
  </si>
  <si>
    <t>SBI Fixed Maturity Plan (FMP) - Series 34 (3682 Days) - Direct Plan - Income Distribution cum Capital Withdrawal Option (IDCW)</t>
  </si>
  <si>
    <t>INF200KA1Q57</t>
  </si>
  <si>
    <t>SBI Fixed Maturity Plan (FMP) - Series 34 (3682 Days) - Regular Plan - Growth</t>
  </si>
  <si>
    <t>INF200KA1Q65</t>
  </si>
  <si>
    <t>SBI Fixed Maturity Plan (FMP) - Series 34 (3682 Days) - Regular Plan - Income Distribution cum Capital Withdrawal Option (IDCW)</t>
  </si>
  <si>
    <t>INF200KA1X41</t>
  </si>
  <si>
    <t>SBI Fixed Maturity Plan (FMP) - Series 46 (1850 Days) - Direct Plan - Growth</t>
  </si>
  <si>
    <t>INF200KA1X58</t>
  </si>
  <si>
    <t>SBI Fixed Maturity Plan (FMP) - Series 46 (1850 Days) - Direct Plan - Income Distribution cum Capital Withdrawal Option (IDCW)</t>
  </si>
  <si>
    <t>INF200KA1X25</t>
  </si>
  <si>
    <t>SBI Fixed Maturity Plan (FMP) - Series 46 (1850 Days) - Regular Plan - Growth</t>
  </si>
  <si>
    <t>INF200KA1X33</t>
  </si>
  <si>
    <t>SBI Fixed Maturity Plan (FMP) - Series 46 (1850 Days) - Regular Plan - Income Distribution cum Capital Withdrawal Option (IDCW)</t>
  </si>
  <si>
    <t>INF200KA1Z23</t>
  </si>
  <si>
    <t>SBI Fixed Maturity Plan (FMP) - Series 49 (1823 Days) - Direct Plan - Growth</t>
  </si>
  <si>
    <t>INF200KA1Z31</t>
  </si>
  <si>
    <t>SBI Fixed Maturity Plan (FMP) - Series 49 (1823 Days) - Direct Plan - Income Distribution cum Capital Withdrawal Option (IDCW)</t>
  </si>
  <si>
    <t>INF200KA1Z07</t>
  </si>
  <si>
    <t>SBI Fixed Maturity Plan (FMP) - Series 49 (1823 Days) - Regular Plan - Growth</t>
  </si>
  <si>
    <t>INF200KA1Z15</t>
  </si>
  <si>
    <t>SBI Fixed Maturity Plan (FMP) - Series 49 (1823 Days) - Regular Plan - Income Distribution cum Capital Withdrawal Option (IDCW)</t>
  </si>
  <si>
    <t>INF200KA1Z64</t>
  </si>
  <si>
    <t>SBI Fixed Maturity Plan (FMP) - Series 50 (1843 Days) - Direct Plan - Growth</t>
  </si>
  <si>
    <t>INF200KA1Z72</t>
  </si>
  <si>
    <t>SBI Fixed Maturity Plan (FMP) - Series 50 (1843 Days) - Direct Plan - Income Distribution Capital Withdrawal Option (IDCW)</t>
  </si>
  <si>
    <t>INF200KA1Z49</t>
  </si>
  <si>
    <t>SBI Fixed Maturity Plan (FMP) - Series 50 (1843 Days) - Regular Plan - Growth</t>
  </si>
  <si>
    <t>INF200KA1Z56</t>
  </si>
  <si>
    <t>SBI Fixed Maturity Plan (FMP) - Series 50 (1843 Days) - Regular Plan -Income Distribution Capital Withdrawal Option (IDCW)</t>
  </si>
  <si>
    <t>INF200KA10A7</t>
  </si>
  <si>
    <t>SBI Fixed Maturity Plan (FMP) - Series 51 (1846 Days) - Direct Plan - Growth</t>
  </si>
  <si>
    <t>INF200KA11A5</t>
  </si>
  <si>
    <t>SBI Fixed Maturity Plan (FMP) - Series 51 (1846 Days) - Direct Plan - Income Distribution Capital Withdrawal Option (IDCW)</t>
  </si>
  <si>
    <t>INF200KA1Z80</t>
  </si>
  <si>
    <t>SBI Fixed Maturity Plan (FMP) - Series 51 (1846 Days) - Regular Plan - Growth</t>
  </si>
  <si>
    <t>INF200KA1Z98</t>
  </si>
  <si>
    <t>SBI Fixed Maturity Plan (FMP) - Series 51 (1846 Days) - Regular Plan - Income Distribution Capital Withdrawal Option (IDCW)</t>
  </si>
  <si>
    <t>INF200KA14A9</t>
  </si>
  <si>
    <t>SBI Fixed Maturity Plan (FMP) - Series 52 (1848 Days) - Direct Plan - Growth</t>
  </si>
  <si>
    <t>INF200KA15A6</t>
  </si>
  <si>
    <t>SBI Fixed Maturity Plan (FMP) - Series 52 (1848 Days) - Direct Plan - Income Distribution Cum Withdrawal (IDCW)</t>
  </si>
  <si>
    <t>INF200KA12A3</t>
  </si>
  <si>
    <t>SBI Fixed Maturity Plan (FMP) - Series 52 (1848 Days) - Regular Plan - Growth</t>
  </si>
  <si>
    <t>INF200KA13A1</t>
  </si>
  <si>
    <t>SBI Fixed Maturity Plan (FMP) - Series 52 (1848 Days) - Regular Plan - Income Distribution Cum Withdrawal (IDCW)</t>
  </si>
  <si>
    <t>INF200KA18A0</t>
  </si>
  <si>
    <t>SBI Fixed Maturity Plan (FMP) - Series 53 (1839 Days) - Direct Plan - Growth</t>
  </si>
  <si>
    <t>INF200KA19A8</t>
  </si>
  <si>
    <t>SBI Fixed Maturity Plan (FMP) - Series 53 (1839 Days) - Direct Plan - Income Distribution Cum Withdrawal Option (IDCW)</t>
  </si>
  <si>
    <t>INF200KA16A4</t>
  </si>
  <si>
    <t>SBI Fixed Maturity Plan (FMP) - Series 53 (1839 Days) - Regular Plan - Growth</t>
  </si>
  <si>
    <t>INF200KA17A2</t>
  </si>
  <si>
    <t>SBI Fixed Maturity Plan (FMP) - Series 53 (1839 Days) - Regular Plan - Income  Distribution Cum Withdrawal Option (IDCW)</t>
  </si>
  <si>
    <t>INF200KA12B1</t>
  </si>
  <si>
    <t>SBI Fixed Maturity Plan (FMP) - Series 54 (1842 Days) - Direct Plan - Growth</t>
  </si>
  <si>
    <t>INF200KA13B9</t>
  </si>
  <si>
    <t>SBI Fixed Maturity Plan (FMP) - Series 54 (1842 Days) - Direct Plan - Income Distribution Cum Withdrawal Option (IDCW)</t>
  </si>
  <si>
    <t>INF200KA10B5</t>
  </si>
  <si>
    <t>SBI Fixed Maturity Plan (FMP) - Series 54 (1842 Days) - Regular Plan - Growth</t>
  </si>
  <si>
    <t>INF200KA11B3</t>
  </si>
  <si>
    <t>SBI Fixed Maturity Plan (FMP) - Series 54 (1842 Days) - Regular Plan - Income Distribution Cum Capital Withdrawal Option (IDCW)</t>
  </si>
  <si>
    <t>INF200KA16B2</t>
  </si>
  <si>
    <t>SBI Fixed Maturity Plan (FMP) - Series 55 (1849 Days) - Direct Plan - Growth</t>
  </si>
  <si>
    <t>INF200KA17B0</t>
  </si>
  <si>
    <t>SBI Fixed Maturity Plan (FMP) - Series 55 (1849 Days) - Direct Plan - Income Distribution cum Capital Withdrawal Option (IDCW)</t>
  </si>
  <si>
    <t>INF200KA14B7</t>
  </si>
  <si>
    <t>SBI Fixed Maturity Plan (FMP) - Series 55 (1849 Days) - Regular Plan - Growth</t>
  </si>
  <si>
    <t>INF200KA15B4</t>
  </si>
  <si>
    <t>SBI Fixed Maturity Plan (FMP) - Series 55 (1849 Days) - Regular Plan - Income Distribution Cum Capital Withdrawal Option (IDCW)</t>
  </si>
  <si>
    <t>INF200KA14C5</t>
  </si>
  <si>
    <t>SBI Fixed Maturity Plan (FMP) - Series 57 (1835 Days) - Direct Plan - Growth</t>
  </si>
  <si>
    <t>INF200KA15C2</t>
  </si>
  <si>
    <t>SBI Fixed Maturity Plan (FMP) - Series 57 (1835 Days) - Direct Plan - Income Distribution cum Capital Withdrawal Option (IDCW)</t>
  </si>
  <si>
    <t>INF200KA12C9</t>
  </si>
  <si>
    <t>SBI Fixed Maturity Plan (FMP) - Series 57 (1835 Days) - Regular Plan - Growth</t>
  </si>
  <si>
    <t>INF200KA13C7</t>
  </si>
  <si>
    <t>SBI Fixed Maturity Plan (FMP) - Series 57 (1835 Days) - Regular Plan - Income Distribution cum Capital Withdrawal Option (IDCW)</t>
  </si>
  <si>
    <t>INF200KA18C6</t>
  </si>
  <si>
    <t>SBI Fixed Maturity Plan (FMP) - Series 58 (1842 Days) - Direct Plan - Growth</t>
  </si>
  <si>
    <t>INF200KA19C4</t>
  </si>
  <si>
    <t>SBI Fixed Maturity Plan (FMP) - Series 58 (1842 Days) - Direct Plan - Income Distribution cum Capital withdrawal option (IDCW)</t>
  </si>
  <si>
    <t>INF200KA16C0</t>
  </si>
  <si>
    <t>SBI Fixed Maturity Plan (FMP) - Series 58 (1842 Days) - Regular Plan - Growth</t>
  </si>
  <si>
    <t>INF200KA17C8</t>
  </si>
  <si>
    <t>SBI Fixed Maturity Plan (FMP) - Series 58 (1842 Days) - Regular Plan - Income Distribution cum Capital withdrawal option (IDCW)</t>
  </si>
  <si>
    <t>INF200KA19D2</t>
  </si>
  <si>
    <t>SBI Fixed Maturity Plan (FMP) - Series 59 (1618 Days) - Direct Plan - Growth</t>
  </si>
  <si>
    <t>INF200KA10E9</t>
  </si>
  <si>
    <t>SBI Fixed Maturity Plan (FMP) - Series 59 (1618 Days) - Direct Plan - Income Distribution cum Capital Withdrawal Option (IDCW)</t>
  </si>
  <si>
    <t>INF200KA17D6</t>
  </si>
  <si>
    <t>SBI Fixed Maturity Plan (FMP) - Series 59 (1618 Days) - Regular Plan - Growth</t>
  </si>
  <si>
    <t>INF200KA18D4</t>
  </si>
  <si>
    <t>SBI Fixed Maturity Plan (FMP) - Series 59 (1618 Days) - Regular Plan - Income Distribution cum Capital Withdrawal Option (IDCW)</t>
  </si>
  <si>
    <t>INF200KA1F27</t>
  </si>
  <si>
    <t>SBI Fixed Maturity Plan (FMP) - Series 6 (3668 Days) - Direct Plan - Growth</t>
  </si>
  <si>
    <t>INF200KA1F35</t>
  </si>
  <si>
    <t>SBI Fixed Maturity Plan (FMP) - Series 6 (3668 Days) - Direct Plan - Income Distribution cum Capital Withdrawal Option (IDCW)</t>
  </si>
  <si>
    <t>INF200KA1F01</t>
  </si>
  <si>
    <t>SBI Fixed Maturity Plan (FMP) - Series 6 (3668 Days) - Regular Plan - Growth</t>
  </si>
  <si>
    <t>INF200KA1F19</t>
  </si>
  <si>
    <t>SBI Fixed Maturity Plan (FMP) - Series 6 (3668 Days) - Regular Plan - Income Distribution cum Capital Withdrawal Option (IDCW)</t>
  </si>
  <si>
    <t>INF200KA13E3</t>
  </si>
  <si>
    <t>SBI Fixed Maturity Plan (FMP) - Series 60 (1878 Days) - Direct Plan - Growth</t>
  </si>
  <si>
    <t>INF200KA14E1</t>
  </si>
  <si>
    <t>SBI Fixed Maturity Plan (FMP) - Series 60 (1878 Days) - Direct Plan - Income Distribution cum Capital Withdrwal Option (IDCW)</t>
  </si>
  <si>
    <t>INF200KA11E7</t>
  </si>
  <si>
    <t>SBI Fixed Maturity Plan (FMP) - Series 60 (1878 Days) - Regular Plan - Growth</t>
  </si>
  <si>
    <t>INF200KA12E5</t>
  </si>
  <si>
    <t>SBI Fixed Maturity Plan (FMP) - Series 60 (1878 Days) - Regular Plan - Income Distribution cum Capital Withdrawal Option (IDCW)</t>
  </si>
  <si>
    <t>INF200KA13F0</t>
  </si>
  <si>
    <t>SBI Fixed Maturity Plan (FMP)- Series 61 (1927 Days)- Direct Plan- Growth option</t>
  </si>
  <si>
    <t>INF200KA14F8</t>
  </si>
  <si>
    <t>SBI Fixed Maturity Plan (FMP)- Series 61 (1927 Days)- Direct Plan- Income Distribution Cum Capital withdrawal option</t>
  </si>
  <si>
    <t>INF200KA11F4</t>
  </si>
  <si>
    <t>SBI Fixed Maturity Plan (FMP)- Series 61 (1927 Days)- Regular Plan- Growth option</t>
  </si>
  <si>
    <t>INF200KA12F2</t>
  </si>
  <si>
    <t>SBI Fixed Maturity Plan (FMP)- Series 61 (1927 Days)- Regular Plan- Income Distribution Cum Capital withdrawal option</t>
  </si>
  <si>
    <t>INF200KA11M0</t>
  </si>
  <si>
    <t>SBI Fixed Maturity Plan (FMP) - Series 66 (1361 Days) - Direct Plan - Growth</t>
  </si>
  <si>
    <t>INF200KA12M8</t>
  </si>
  <si>
    <t>SBI Fixed Maturity Plan (FMP) - Series 66 (1361 Days) - Direct Plan - Income Distribution cum Capital Withdrawal Option (IDCW)</t>
  </si>
  <si>
    <t>INF200KA19L5</t>
  </si>
  <si>
    <t>SBI Fixed Maturity Plan (FMP) - Series 66 (1361 Days) - Regular Plan - Growth</t>
  </si>
  <si>
    <t>INF200KA10M2</t>
  </si>
  <si>
    <t>SBI Fixed Maturity Plan (FMP) - Series 66 (1361 Days) - Regular Plan - Income Distribution cum Capital Withdrawal Option (IDCW)</t>
  </si>
  <si>
    <t>INF200KA15M1</t>
  </si>
  <si>
    <t>SBI Fixed Maturity Plan (FMP) - Series 67 (1467 Days) - Direct Plan - Growth</t>
  </si>
  <si>
    <t>INF200KA16M9</t>
  </si>
  <si>
    <t>SBI Fixed Maturity Plan (FMP) - Series 67 (1467 Days) - Direct Plan - IDCW Payout</t>
  </si>
  <si>
    <t>INF200KA13M6</t>
  </si>
  <si>
    <t>SBI Fixed Maturity Plan (FMP) - Series 67 (1467 Days) - Regular Plan - Growth</t>
  </si>
  <si>
    <t>INF200KA14M4</t>
  </si>
  <si>
    <t>SBI Fixed Maturity Plan (FMP) - Series 67 (1467 Days) - Regular Plan - IDCW Payout</t>
  </si>
  <si>
    <t>INF200KA15O7</t>
  </si>
  <si>
    <t>SBI Fixed Maturity Plan (FMP) - Series 68 (1302 Days) - Direct Plan - Growth</t>
  </si>
  <si>
    <t>INF200KA16O5</t>
  </si>
  <si>
    <t>SBI Fixed Maturity Plan (FMP) - Series 68 (1302 Days) - Direct Plan - IDCW Payout</t>
  </si>
  <si>
    <t>INF200KA13O2</t>
  </si>
  <si>
    <t>SBI Fixed Maturity Plan (FMP) - Series 68 (1302 Days) - Regular Plan - Growth</t>
  </si>
  <si>
    <t>INF200KA14O0</t>
  </si>
  <si>
    <t>SBI Fixed Maturity Plan (FMP) - Series 68 (1302 Days) - Regular Plan - IDCW Payout</t>
  </si>
  <si>
    <t>INF200KA19W2</t>
  </si>
  <si>
    <t>SBI Fixed Maturity Plan (FMP) - Series 79 (1130 Days) - Direct Plan - Growth</t>
  </si>
  <si>
    <t>INF200KA10X9</t>
  </si>
  <si>
    <t>SBI Fixed Maturity Plan (FMP) - Series 79 (1130 Days) - Direct Plan - Income Distribution cum Capital Withdrawal Payout</t>
  </si>
  <si>
    <t>INF200KA17W6</t>
  </si>
  <si>
    <t>SBI Fixed Maturity Plan (FMP) - Series 79 (1130 Days) - Regular Plan - Growth</t>
  </si>
  <si>
    <t>INF200KA18W4</t>
  </si>
  <si>
    <t>SBI Fixed Maturity Plan (FMP) - Series 79 (1130 Days) - Regular Plan - Income Distribution cum Capital Withdrawal Payout</t>
  </si>
  <si>
    <t>INF200KA1V27</t>
  </si>
  <si>
    <t>SBI Fixed Maturity Plan (FMP) - Series 42 (1857 Days) Direct Plan - Income Distribution cum Capital Withdrawal Option (IDCW)</t>
  </si>
  <si>
    <t>INF200KA1V01</t>
  </si>
  <si>
    <t>SBI Fixed Maturity Plan (FMP) - Series 42 (1857 Days) Regular Plan - Income Distribution cum Capital Withdrawal Option (IDCW)</t>
  </si>
  <si>
    <t>INF200KA1V19</t>
  </si>
  <si>
    <t>SBI Fixed Maturity Plan (FMP) Series 42 (1857 Days) - Direct Plan - Growth</t>
  </si>
  <si>
    <t>INF200KA1U93</t>
  </si>
  <si>
    <t>SBI Fixed Maturity Plan (FMP) Series 42 (1857 Days) - Regular Plan - Growth</t>
  </si>
  <si>
    <t>INF200KA1W59</t>
  </si>
  <si>
    <t>SBI Fixed Maturity Plan (FMP) - Series 44 (1855 Days) - Direct Plan - Growth</t>
  </si>
  <si>
    <t>INF200KA1W67</t>
  </si>
  <si>
    <t>SBI Fixed Maturity Plan (FMP) - Series 44 (1855 Days) - Direct Plan - Income Distribution cum Capital Withdrawal Option (IDCW)</t>
  </si>
  <si>
    <t>INF200KA1W34</t>
  </si>
  <si>
    <t>SBI Fixed Maturity Plan (FMP) - Series 44 (1855 Days) - Regular Plan - Growth</t>
  </si>
  <si>
    <t>INF200KA1W42</t>
  </si>
  <si>
    <t>SBI Fixed Maturity Plan (FMP) Series 44 (1855 Days) - Regular Plan - Income Distribution cum Capital Withdrawal Option (IDCW)</t>
  </si>
  <si>
    <t>INF200KA1W91</t>
  </si>
  <si>
    <t>SBI Fixed Maturity Plan (FMP) Series 45 (1840 Days) - Direct Plan - Growth</t>
  </si>
  <si>
    <t>INF200KA1X09</t>
  </si>
  <si>
    <t>SBI Fixed Maturity Plan (FMP) Series 45 (1840 Days) - Direct Plan - Income Distribution cum Capital Withdrawal Option (IDCW)</t>
  </si>
  <si>
    <t>INF200KA1W75</t>
  </si>
  <si>
    <t>SBI Fixed Maturity Plan (FMP) Series 45 (1840 Days) - Regular Plan - Growth</t>
  </si>
  <si>
    <t>INF200KA1W83</t>
  </si>
  <si>
    <t>SBI Fixed Maturity Plan (FMP) Series 45 (1840Days) - Regular Plan - Income Distribution cum Capital Withdrawal Option (IDCW)</t>
  </si>
  <si>
    <t>INF200KA17S4</t>
  </si>
  <si>
    <t>SBI Fixed Maturity Plan (FMP)-Series 72 (1239 Days) Direct Plan- Growth</t>
  </si>
  <si>
    <t>INF200KA18S2</t>
  </si>
  <si>
    <t>SBI Fixed Maturity Plan (FMP)-Series 72 (1239 Days) Direct Plan- Income Distribution Cum Capital Withdrawal Payout</t>
  </si>
  <si>
    <t>INF200KA15S8</t>
  </si>
  <si>
    <t>SBI Fixed Maturity Plan (FMP)-Series 72 (1239 Days) Regular Plan- Growth</t>
  </si>
  <si>
    <t>INF200KA16S6</t>
  </si>
  <si>
    <t>SBI Fixed Maturity Plan (FMP)-Series 72 (1239 Days) Regular Plan- Income Distribution Cum Capital Withdrawal Payout</t>
  </si>
  <si>
    <t>INF200KA11T5</t>
  </si>
  <si>
    <t>SBI Fixed Maturity Plan (FMP) - Series 73 (1226 Days) - Direct Plan - Growth</t>
  </si>
  <si>
    <t>INF200KA12T3</t>
  </si>
  <si>
    <t>SBI Fixed Maturity Plan (FMP) - Series 73 (1226 Days) - Direct Plan - IDCW Payout</t>
  </si>
  <si>
    <t>INF200KA19S0</t>
  </si>
  <si>
    <t>SBI Fixed Maturity Plan (FMP) - Series 73 (1226 Days) - Regular Plan - Growth</t>
  </si>
  <si>
    <t>INF200KA10T7</t>
  </si>
  <si>
    <t>SBI Fixed Maturity Plan (FMP) - Series 73 (1226 Days) - Regular Plan - IDCW Payout</t>
  </si>
  <si>
    <t>INF200KA11U3</t>
  </si>
  <si>
    <t>SBI Fixed Maturity Plan (FMP)-Series 74 (1243 Days)- Direct Plan- Growth</t>
  </si>
  <si>
    <t>INF200KA12U1</t>
  </si>
  <si>
    <t>SBI Fixed Maturity Plan (FMP)-Series 74 (1243 Days)- Direct Plan- Income Distribution Cum Capital Withdrawal Payout</t>
  </si>
  <si>
    <t>INF200KA19T8</t>
  </si>
  <si>
    <t>SBI Fixed Maturity Plan (FMP)-Series 74 (1243 Days)- Regular Plan- Growth</t>
  </si>
  <si>
    <t>INF200KA10U5</t>
  </si>
  <si>
    <t>SBI Fixed Maturity Plan (FMP)-Series 74 (1243 Days)- Regular Plan- Income Distribution Cum Capital Withdrawal Payout</t>
  </si>
  <si>
    <t>INF200KA19U6</t>
  </si>
  <si>
    <t>SBI Fixed Maturity Plan (FMP) - Series 76 (1221 Days) - Direct Plan - Growth</t>
  </si>
  <si>
    <t>INF200KA10V3</t>
  </si>
  <si>
    <t>SBI Fixed Maturity Plan (FMP) - Series 76 (1221 Days) - Direct Plan - Income Distribution Cum Capital Withdrawal Payout</t>
  </si>
  <si>
    <t>INF200KA17U0</t>
  </si>
  <si>
    <t>SBI Fixed Maturity Plan (FMP) - Series 76 (1221 Days) - Regular Plan - Growth</t>
  </si>
  <si>
    <t>INF200KA18U8</t>
  </si>
  <si>
    <t>SBI Fixed Maturity Plan (FMP) - Series 76 (1221 Days) - Regular Plan - Income Distribution Cum Capital Withdrawal Payout</t>
  </si>
  <si>
    <t>INF200KA19V4</t>
  </si>
  <si>
    <t>SBI Fixed Maturity Plan (FMP)-Series 78 (1170 Days) Direct Plan- Growth</t>
  </si>
  <si>
    <t>INF200KA10W1</t>
  </si>
  <si>
    <t>SBI Fixed Maturity Plan (FMP)-Series 78 (1170 Days) Direct Plan- Income Distribution Cum Capital Withdrawal Payout</t>
  </si>
  <si>
    <t>INF200KA17V8</t>
  </si>
  <si>
    <t>SBI Fixed Maturity Plan (FMP)-Series 78 (1170 Days) Regular Plan- Growth</t>
  </si>
  <si>
    <t>INF200KA18V6</t>
  </si>
  <si>
    <t>SBI Fixed Maturity Plan (FMP)-Series 78 (1170 Days) Regular Plan- Income Distribution Cum Capital Withdrawal Payout</t>
  </si>
  <si>
    <t>INF200KA17X4</t>
  </si>
  <si>
    <t>SBI Fixed Maturity Plan (FMP)-Series 81 (1157 Days) Direct Plan- Growth</t>
  </si>
  <si>
    <t>INF200KA18X2</t>
  </si>
  <si>
    <t>SBI Fixed Maturity Plan (FMP)-Series 81 (1157 Days) Direct Plan- Income Distribution Cum Capital Withdrawal Payout</t>
  </si>
  <si>
    <t>INF200KA15X8</t>
  </si>
  <si>
    <t>SBI Fixed Maturity Plan (FMP)-Series 81 (1157 Days) Regular Plan- Growth</t>
  </si>
  <si>
    <t>INF200KA16X6</t>
  </si>
  <si>
    <t>SBI Fixed Maturity Plan (FMP)-Series 81 (1157 Days) Regular Plan- Income Distribution Cum Capital Withdrawal Payout</t>
  </si>
  <si>
    <t>INF277KA1AC4</t>
  </si>
  <si>
    <t>Tata Fixed Maturity Plan Series 61 Scheme A (91 days) - Direct Plan Growth Option</t>
  </si>
  <si>
    <t>INF277KA1AE0</t>
  </si>
  <si>
    <t>Tata Fixed Maturity Plan Series 61 Scheme A (91 days) - Direct Plan IDCW Payout Option</t>
  </si>
  <si>
    <t>INF277KA1AD2</t>
  </si>
  <si>
    <t>Tata Fixed Maturity Plan Series 61 Scheme A (91 days) - Direct Plan IDCW Reinvestment Option</t>
  </si>
  <si>
    <t>INF277KA1992</t>
  </si>
  <si>
    <t>Tata Fixed Maturity Plan Series 61 Scheme A (91 days) - Regular Plan Growth Option</t>
  </si>
  <si>
    <t>INF277KA1AB6</t>
  </si>
  <si>
    <t>Tata Fixed Maturity Plan Series 61 Scheme A (91 days) - Regular Plan IDCW Payout Option</t>
  </si>
  <si>
    <t>INF277KA1AA8</t>
  </si>
  <si>
    <t>Tata Fixed Maturity Plan Series 61 Scheme A (91 days) - Regular Plan IDCW Reinvestment Option</t>
  </si>
  <si>
    <t>INF277KA1DE4</t>
  </si>
  <si>
    <t>Tata Fixed Maturity Plan Series 61 Scheme D Direct Plan Growth</t>
  </si>
  <si>
    <t>INF277KA1DF1</t>
  </si>
  <si>
    <t>Tata Fixed Maturity Plan Series 61 Scheme D Direct Plan IDCW Payout</t>
  </si>
  <si>
    <t>INF277KA1DG9</t>
  </si>
  <si>
    <t>Tata Fixed Maturity Plan Series 61 Scheme D Regular Plan Growth</t>
  </si>
  <si>
    <t>INF277KA1DD6</t>
  </si>
  <si>
    <t>Tata Fixed Maturity Plan Series 61 Scheme D Regular Plan IDCW Payout</t>
  </si>
  <si>
    <t>INF0GCD01651</t>
  </si>
  <si>
    <t>TRUSTMF FIXED MATURITY PLAN -SERIES II (1196 DAYS)-DIRECT PLAN -GROWTH</t>
  </si>
  <si>
    <t>INF0GCD01636</t>
  </si>
  <si>
    <t>TRUSTMF FIXED MATURITY PLAN -SERIES II (1196 DAYS)-REGULAR PLAN -GROWTH</t>
  </si>
  <si>
    <t>INF0GCD01644</t>
  </si>
  <si>
    <t>TRUSTMF FIXED MATURITY PLAN -SERIES II (1196 DAYS)-REGULAR PLAN -IDCW PAYOUT</t>
  </si>
  <si>
    <t>INF582M01IW0</t>
  </si>
  <si>
    <t>Union Fixed Maturity Plan - Series 13 - Direct Plan - Growth Option</t>
  </si>
  <si>
    <t>INF582M01IY6</t>
  </si>
  <si>
    <t>Union Fixed Maturity Plan - Series 13 - Regular Plan - Growth Option</t>
  </si>
  <si>
    <t>INF582M01IZ3</t>
  </si>
  <si>
    <t>Union Fixed Maturity Plan - Series 13 - Regular Plan - IDCW Payout Option</t>
  </si>
  <si>
    <t>INF789FC1TE6</t>
  </si>
  <si>
    <t>UTI Capital Protection Oriented Scheme - Series IX-I (1467 Days) - Direct Plan - IDCW</t>
  </si>
  <si>
    <t>INF789FC1TC0</t>
  </si>
  <si>
    <t>UTI Capital Protection Oriented Scheme - Series IX-I (1467 Days) - Regular Plan - IDCW</t>
  </si>
  <si>
    <t>INF789FC1TF3</t>
  </si>
  <si>
    <t>UTI Capital Protection Oriented Scheme Series IX-I (1467 Days) - Direct Plan - Growth Option</t>
  </si>
  <si>
    <t>INF789FC1TD8</t>
  </si>
  <si>
    <t>UTI Capital Protection Oriented Scheme Series IX-I (1467 Days) - Regular Plan - Growth Option</t>
  </si>
  <si>
    <t>INF789FC1A04</t>
  </si>
  <si>
    <t>UTI Capital Protection Oriented Scheme - Series IX-II (1462 Days) - Direct Plan - IDCW</t>
  </si>
  <si>
    <t>INF789FC1ZY1</t>
  </si>
  <si>
    <t>UTI Capital Protection Oriented Scheme - Series IX-II (1462 Days) - Regular Plan - IDCW</t>
  </si>
  <si>
    <t>INF789FC1A12</t>
  </si>
  <si>
    <t>UTI Capital Protection Oriented Scheme Series IX-II ( 1462 Days) - Direct Plan - Growth Option</t>
  </si>
  <si>
    <t>INF789FC1ZZ8</t>
  </si>
  <si>
    <t>UTI Capital Protection Oriented Scheme Series IX-II ( 1462 Days) - Regular Plan - Growth Option</t>
  </si>
  <si>
    <t>INF789FC1Q14</t>
  </si>
  <si>
    <t>UTI Capital Protection Oriented Scheme - Series IX-III (1389 Days) - Direct Plan - IDCW</t>
  </si>
  <si>
    <t>INF789FC1P98</t>
  </si>
  <si>
    <t>UTI Capital Protection Oriented Scheme - Series IX-III (1389 Days) - Regular Plan - IDCW</t>
  </si>
  <si>
    <t>INF789FC1Q22</t>
  </si>
  <si>
    <t>UTI Capital Protection Oriented Scheme Series IX-III ( 1389 Days) - Direct Plan - Growth Option</t>
  </si>
  <si>
    <t>INF789FC1Q06</t>
  </si>
  <si>
    <t>UTI Capital Protection Oriented Scheme Series IX-III ( 1389 Days) - Regular Plan - Growth Option</t>
  </si>
  <si>
    <t>INF789FC1DN1</t>
  </si>
  <si>
    <t>UTI Capital Protection Oriented Scheme - Series VIII-II (1831 Days) - Direct Plan - IDCW</t>
  </si>
  <si>
    <t>INF789FC1DL5</t>
  </si>
  <si>
    <t>UTI Capital Protection Oriented Scheme - Series VIII-II (1831 Days) - Regular Plan - IDCW</t>
  </si>
  <si>
    <t>INF789FC1DM3</t>
  </si>
  <si>
    <t>UTI Capital Protection Oriented Scheme Series VIII - II (1831 Days) - Regular Plan - Growth Option</t>
  </si>
  <si>
    <t>INF789FC1DO9</t>
  </si>
  <si>
    <t>UTI Capital Protection Oriented Scheme Series VIII -II  (1831 Days) - Direct Plan - Growth Option</t>
  </si>
  <si>
    <t>INF789FC1EB4</t>
  </si>
  <si>
    <t>UTI Capital Protection Oriented Scheme Series VIII-III (1281 Days) - Direct Plan - Dividend Option</t>
  </si>
  <si>
    <t>INF789FC1DZ5</t>
  </si>
  <si>
    <t>UTI Capital Protection Oriented Scheme Series VIII-III (1281 Days) - Regular Plan - Dividend Option</t>
  </si>
  <si>
    <t>INF789FC1EA6</t>
  </si>
  <si>
    <t>UTI Capital Protection Oriented Scheme Series VIII-III (1281 Days) - Regular Plan - Growth Option</t>
  </si>
  <si>
    <t>INF789FC1EC2</t>
  </si>
  <si>
    <t>UTI Capital Protection Oriented Scheme Series VIII-III (1281Days) - Direct Plan - Growth Option</t>
  </si>
  <si>
    <t>INF789FC1EZ3</t>
  </si>
  <si>
    <t>UTI Capital Protection Oriented Scheme - Series VIII-IV (1996 Days) - Direct Plan - IDCW</t>
  </si>
  <si>
    <t>INF789FC1EX8</t>
  </si>
  <si>
    <t>UTI Capital Protection Oriented Scheme - Series VIII-IV (1996 Days) - Regular Plan - IDCW</t>
  </si>
  <si>
    <t>INF789FC1FA3</t>
  </si>
  <si>
    <t>UTI Capital Protection Oriented Scheme Series VIII-IV (1996 Days) - Direct Plan - Growth Option</t>
  </si>
  <si>
    <t>INF789FC1EY6</t>
  </si>
  <si>
    <t>UTI Capital Protection Oriented Scheme Series VIII-IV (1996 Days) - Regular Plan - Growth Option</t>
  </si>
  <si>
    <t>INF789FC19P4</t>
  </si>
  <si>
    <t>UTI Capital Protection Oriented Scheme - Series X-II (1134 Days) - Direct Plan - IDCW</t>
  </si>
  <si>
    <t>INF789FC17P8</t>
  </si>
  <si>
    <t>UTI Capital Protection Oriented Scheme - Series X-II (1134 Days) - Regular Plan - IDCW</t>
  </si>
  <si>
    <t>INF789FC10Q1</t>
  </si>
  <si>
    <t>UTI Capital Protection Oriented Scheme Series X-II ( 1134 Days) - Direct Plan - Growth Option</t>
  </si>
  <si>
    <t>INF789FC18P6</t>
  </si>
  <si>
    <t>UTI Capital Protection Oriented Scheme Series X-II ( 1134 Days) - Regular Plan - Growth Option</t>
  </si>
  <si>
    <t>INF789FB1W26</t>
  </si>
  <si>
    <t>UTI Dual Advantage Fixed Term Fund Series II-I (1998 Days) - Direct Plan - Dividend Option</t>
  </si>
  <si>
    <t>INF789FB1W34</t>
  </si>
  <si>
    <t>UTI Dual Advantage Fixed Term Fund Series II-I (1998 Days) - Direct Plan - Growth Option</t>
  </si>
  <si>
    <t>INF789FB1W00</t>
  </si>
  <si>
    <t>UTI Dual Advantage Fixed Term Fund Series II-I (1998 Days) - Regular Plan - Dividend Option</t>
  </si>
  <si>
    <t>INF789FB1W18</t>
  </si>
  <si>
    <t>UTI Dual Advantage Fixed Term Fund Series II-I (1998 Days) - Regular Plan - Growth Option</t>
  </si>
  <si>
    <t>INF789FB1Z49</t>
  </si>
  <si>
    <t>UTI Dual Advantage Fixed Term Fund Series II-II (1997 Days) - Direct Plan - Dividend Option</t>
  </si>
  <si>
    <t>INF789FB1Z56</t>
  </si>
  <si>
    <t>UTI Dual Advantage Fixed Term Fund Series II-II (1997 Days) - Direct Plan- Growth Option</t>
  </si>
  <si>
    <t>INF789FB1Z23</t>
  </si>
  <si>
    <t>UTI Dual Advantage Fixed Term Fund Series II-II (1997 days) - Regular Plan - Dividend Option</t>
  </si>
  <si>
    <t>INF789FB1Z31</t>
  </si>
  <si>
    <t>UTI Dual Advantage Fixed Term Fund Series II-II (1997 Days) - Regular Plan - Growth Option</t>
  </si>
  <si>
    <t>INF789FB13E3</t>
  </si>
  <si>
    <t>UTI Dual Advantage Fixed Term Fund Series II-III (1998 Days) - Direct Plan - Growth Option</t>
  </si>
  <si>
    <t>INF789FB12E5</t>
  </si>
  <si>
    <t>UTI Dual Advantage Fixed Term Fund Series II-III (1998 Days) - Direct Plan - IDCW</t>
  </si>
  <si>
    <t>INF789FB11E7</t>
  </si>
  <si>
    <t>UTI Dual Advantage Fixed Term Fund Series II-III (1998 Days) - Regular Plan - Growth Option</t>
  </si>
  <si>
    <t>INF789FB10E9</t>
  </si>
  <si>
    <t>UTI Dual Advantage Fixed Term Fund Series II-III (1998 Days) - Regular Plan - IDCW</t>
  </si>
  <si>
    <t>INF789FB11K4</t>
  </si>
  <si>
    <t>UTI - Dual Advantage Fixed Term Series II-IV (1997 Days) - Direct Plan - Growth Option</t>
  </si>
  <si>
    <t>INF789FB19J9</t>
  </si>
  <si>
    <t>UTI - Dual Advantage Fixed Term Series II-IV (1997 Days) - Regular Plan - Growth Option</t>
  </si>
  <si>
    <t>INF789FB10K6</t>
  </si>
  <si>
    <t>UTI Dual Advantage Fixed Term Fund Series II-IV (1997 Days) - Direct Plan - IDCW</t>
  </si>
  <si>
    <t>INF789FB18J1</t>
  </si>
  <si>
    <t>UTI Dual Advantage Fixed Term Fund Series II-IV (1997 Days) - Regular Plan - IDCW</t>
  </si>
  <si>
    <t>INF789FB13P9</t>
  </si>
  <si>
    <t>UTI - Dual Advantage Fixed Term Series II-V (1997 Days) - Direct Plan - Growth Option</t>
  </si>
  <si>
    <t>INF789FB11P3</t>
  </si>
  <si>
    <t>UTI - Dual Advantage Fixed Term Series II-V (1997 Days) - Regular Plan - Growth Option</t>
  </si>
  <si>
    <t>INF789FB12P1</t>
  </si>
  <si>
    <t>UTI Dual Advantage Fixed Term Fund Series II-V (1997 Days) - Direct Plan - IDCW</t>
  </si>
  <si>
    <t>INF789FB10P5</t>
  </si>
  <si>
    <t>UTI Dual Advantage Fixed Term Fund Series II-V (1997 Days) - Regular Plan - IDCW</t>
  </si>
  <si>
    <t>INF789FB11W9</t>
  </si>
  <si>
    <t>UTI - Dual Advantage Fixed Term Series III-I (1998 Days) - Direct Plan - Growth Option</t>
  </si>
  <si>
    <t>INF789FB19V4</t>
  </si>
  <si>
    <t>UTI - Dual Advantage Fixed Term Series III-I (1998 Days) - Regular Plan - Growth Option</t>
  </si>
  <si>
    <t>INF789FB10W1</t>
  </si>
  <si>
    <t>UTI Dual Advantage Fixed Term Fund Series III-I (1998 Days) - Direct Plan - IDCW</t>
  </si>
  <si>
    <t>INF789FB18V6</t>
  </si>
  <si>
    <t>UTI Dual Advantage Fixed Term Fund Series III-I (1998 Days) - Regular Plan - IDCW</t>
  </si>
  <si>
    <t>INF789FC1GG8</t>
  </si>
  <si>
    <t>UTI - Dual Advantage Fixed Term Series IV-I (1279 Days) - Direct Plan - Dividend Option</t>
  </si>
  <si>
    <t>INF789FC1GH6</t>
  </si>
  <si>
    <t>UTI - Dual Advantage Fixed Term Series IV-I (1279 Days) - Direct Plan - Growth Option</t>
  </si>
  <si>
    <t>INF789FC1GE3</t>
  </si>
  <si>
    <t>UTI - Dual Advantage Fixed Term Series IV-I (1279 Days) - Regular Plan - Dividend Option</t>
  </si>
  <si>
    <t>INF789FC1GF0</t>
  </si>
  <si>
    <t>UTI - Dual Advantage Fixed Term Series IV-I (1279 Days) - Regular Plan - Growth Option</t>
  </si>
  <si>
    <t>INF789FC1HW3</t>
  </si>
  <si>
    <t>UTI - Dual Advantage Fixed Term Series IV-II (1278 Days) - Direct  Plan - Dividend Option</t>
  </si>
  <si>
    <t>INF789FC1HX1</t>
  </si>
  <si>
    <t>UTI - Dual Advantage Fixed Term Series IV-II (1278 Days) - Direct Plan - Growth Option</t>
  </si>
  <si>
    <t>INF789FC1HU7</t>
  </si>
  <si>
    <t>UTI - Dual Advantage Fixed Term Series IV-II (1278 Days) - Regular Plan - Dividend Option</t>
  </si>
  <si>
    <t>INF789FC1HV5</t>
  </si>
  <si>
    <t>UTI - Dual Advantage Fixed Term Series IV-II (1278 Days) - Regular Plan - Growth Option</t>
  </si>
  <si>
    <t>INF789FC1IO8</t>
  </si>
  <si>
    <t>UTI - Dual Advantage Fixed Term Series IV-III (1279 Days) - Direct Plan - Dividend Option</t>
  </si>
  <si>
    <t>INF789FC1IP5</t>
  </si>
  <si>
    <t>UTI - Dual Advantage Fixed Term Series IV-III (1279 Days) - Direct Plan - Growth Option</t>
  </si>
  <si>
    <t>INF789FC1IM2</t>
  </si>
  <si>
    <t>UTI - Dual Advantage Fixed Term Series IV-III (1279 Days) - Regular Plan - Dividend Option</t>
  </si>
  <si>
    <t>INF789FC1IN0</t>
  </si>
  <si>
    <t>UTI - Dual Advantage Fixed Term Series IV-III (1279 Days) - Regular Plan - Growth Option</t>
  </si>
  <si>
    <t>INF789FC1IL4</t>
  </si>
  <si>
    <t>UTI - Dual Advantage Fixed Term Series IV-IV (1997 Days) - Direct Plan - Growth Option</t>
  </si>
  <si>
    <t>INF789FC1IJ8</t>
  </si>
  <si>
    <t>UTI - Dual Advantage Fixed Term Series IV-IV (1997 Days) - Regular Plan - Growth Option</t>
  </si>
  <si>
    <t>INF789FC1IK6</t>
  </si>
  <si>
    <t>UTI Dual Advantage Fixed Term Fund Series IV-IV (1997 Days) - Direct Plan - IDCW</t>
  </si>
  <si>
    <t>INF789FC1II0</t>
  </si>
  <si>
    <t>UTI Dual Advantage Fixed Term Fund Series IV-IV (1997 Days) - Regular Plan - IDCW</t>
  </si>
  <si>
    <t>INF789FC1T03</t>
  </si>
  <si>
    <t>UTI Dual Advantage Fixed Term Fund  Series V-I ( 1103 days) - Direct  Plan - Growth Option</t>
  </si>
  <si>
    <t>INF789FC1S95</t>
  </si>
  <si>
    <t>UTI Dual Advantage Fixed Term Fund  Series V-I ( 1103 days) - Direct Plan - Dividend Option</t>
  </si>
  <si>
    <t>INF789FC1S79</t>
  </si>
  <si>
    <t>UTI Dual Advantage Fixed Term Fund  Series V-I ( 1103 days) - Regular Plan - Dividend Option</t>
  </si>
  <si>
    <t>INF789FC1S87</t>
  </si>
  <si>
    <t>UTI Dual Advantage Fixed Term Fund  Series V-I ( 1103 days) - Regular Plan - Growth Option</t>
  </si>
  <si>
    <t>INF789F01VZ1</t>
  </si>
  <si>
    <t>UTI F I I F-Annual Interval Plan Series - II - Direct Plan - Growth Option</t>
  </si>
  <si>
    <t>INF789F01FM2</t>
  </si>
  <si>
    <t>UTI F I I F-Annual Interval Plan Series - II - Regular Plan - Growth Option</t>
  </si>
  <si>
    <t>INF789F01VX6</t>
  </si>
  <si>
    <t>INF789F01VY4</t>
  </si>
  <si>
    <t>UTI FIIF Annual Interval Plan II - Direct Plan - IDCW</t>
  </si>
  <si>
    <t>INF789F01FK6</t>
  </si>
  <si>
    <t>INF789F01FL4</t>
  </si>
  <si>
    <t>UTI FIIF Annual Interval Plan II - Regular Plan - IDCW</t>
  </si>
  <si>
    <t>INF789F01WD6</t>
  </si>
  <si>
    <t>INF789F01WE4</t>
  </si>
  <si>
    <t>UTI FIIF Annual Interval Plan IV - Direct Plan - IDCW</t>
  </si>
  <si>
    <t>INF789F01FW1</t>
  </si>
  <si>
    <t>INF789F01FX9</t>
  </si>
  <si>
    <t>UTI FIIF Annual Interval Plan IV - Regular Plan - IDCW</t>
  </si>
  <si>
    <t>INF789F01WF1</t>
  </si>
  <si>
    <t>UTI Fixed Interval Income Fund (Annual Interval Plan) Series IV - Direct Plan - Growth Option</t>
  </si>
  <si>
    <t>INF789F01FY7</t>
  </si>
  <si>
    <t>UTI Fixed Interval Income Fund (Annual Interval Plan) Series IV - Regular Plan - Growth Option</t>
  </si>
  <si>
    <t>INF789F01VR8</t>
  </si>
  <si>
    <t>INF789F01VS6</t>
  </si>
  <si>
    <t>UTI FIIF Half Yearly Plan I - Direct Plan - IDCW</t>
  </si>
  <si>
    <t>INF789F01EY0</t>
  </si>
  <si>
    <t>INF789F01EZ7</t>
  </si>
  <si>
    <t>UTI FIIF Half Yearly Plan I - Regular Plan - IDCW</t>
  </si>
  <si>
    <t>INF789F01VT4</t>
  </si>
  <si>
    <t>UTI Fixed  Income Interval Fund ( Half Yearly Plan - I) - Direct Plan - Growth Option</t>
  </si>
  <si>
    <t>INF789F01FA7</t>
  </si>
  <si>
    <t>UTI Fixed  Income Interval Fund ( Half Yearly Plan - I) - Regular Plan - Growth Option</t>
  </si>
  <si>
    <t>INF789F01WV8</t>
  </si>
  <si>
    <t>INF789F01WW6</t>
  </si>
  <si>
    <t>UTI FIIF Half Yearly Plan II - Direct Plan - IDCW</t>
  </si>
  <si>
    <t>INF789F01HG0</t>
  </si>
  <si>
    <t>INF789F01HH8</t>
  </si>
  <si>
    <t>UTI FIIF Half Yearly Plan II - Regular Plan - IDCW</t>
  </si>
  <si>
    <t>INF789F01WX4</t>
  </si>
  <si>
    <t>UTI Fixed Income Interval Fund ( Half Yearly Plan-II)- Direct Plan - Growth Option</t>
  </si>
  <si>
    <t>INF789F01HI6</t>
  </si>
  <si>
    <t>UTI Fixed Income Interval Fund ( Half Yearly Plan-II)- Regular Plan - Growth Option</t>
  </si>
  <si>
    <t>INF789F01VQ0</t>
  </si>
  <si>
    <t>UTI - Fixed Income Interval Fund - Monthly Interval Plan  - Direct Plan - Growth Option</t>
  </si>
  <si>
    <t>INF789F01EU8</t>
  </si>
  <si>
    <t>UTI - Fixed Income Interval Fund - Monthly Interval Plan  - Regular Plan - Growth Option</t>
  </si>
  <si>
    <t>INF789F01EV6</t>
  </si>
  <si>
    <t>INF789F01EW4</t>
  </si>
  <si>
    <t>UTI - Fixed Income Interval Fund - Monthly Interval Plan - Institutional Dividend Option</t>
  </si>
  <si>
    <t>INF789F01VO5</t>
  </si>
  <si>
    <t>INF789F01VP2</t>
  </si>
  <si>
    <t>UTI FIIF Monthly Interval Plan I - Direct Plan - Monthly IDCW</t>
  </si>
  <si>
    <t>INF789F01ES2</t>
  </si>
  <si>
    <t>INF789F01ET0</t>
  </si>
  <si>
    <t>UTI FIIF Monthly Interval Plan I - Regular Plan - Monthly IDCW</t>
  </si>
  <si>
    <t>INF789F01VL1</t>
  </si>
  <si>
    <t>INF789F01VM9</t>
  </si>
  <si>
    <t>UTI FIIF Monthly Interval Plan II - Direct Plan - Monthly IDCW</t>
  </si>
  <si>
    <t>INF789F01EM5</t>
  </si>
  <si>
    <t>INF789F01EN3</t>
  </si>
  <si>
    <t>UTI FIIF Monthly Interval Plan II - Regular Plan - Monthly IDCW</t>
  </si>
  <si>
    <t>INF789F01VN7</t>
  </si>
  <si>
    <t>UTI Fixed Income Interval Fund - Monthly Interval Plan II-Direct Plan - Growth Option</t>
  </si>
  <si>
    <t>INF789F01EO1</t>
  </si>
  <si>
    <t>UTI Fixed Income Interval Fund - Monthly Interval Plan II-Regular Plan - Growth Option</t>
  </si>
  <si>
    <t>INF789F01WJ3</t>
  </si>
  <si>
    <t>INF789F01WK1</t>
  </si>
  <si>
    <t>UTI FIIF Quarterly Interval Plan III - Direct Plan - IDCW</t>
  </si>
  <si>
    <t>INF789F01GI8</t>
  </si>
  <si>
    <t>INF789F01GJ6</t>
  </si>
  <si>
    <t>UTI FIIF Quarterly Interval Plan III - Regular Plan - IDCW</t>
  </si>
  <si>
    <t>INF789F01WL9</t>
  </si>
  <si>
    <t>UTI Fixed  Income Interval Fund ( Quarterly Interval Plan - III) - Direct Plan - Growth Option</t>
  </si>
  <si>
    <t>INF789F01GK4</t>
  </si>
  <si>
    <t>UTI Fixed  Income Interval Fund ( Quarterly Interval Plan - III) -Regular Plan - Growth Option</t>
  </si>
  <si>
    <t>INF789F01GL2</t>
  </si>
  <si>
    <t>INF789F01GM0</t>
  </si>
  <si>
    <t>UTI Fixed  Income Interval Fund ( Quarterly Interval Plan -III) - Inst Dividend Plan</t>
  </si>
  <si>
    <t>INF789F01WO3</t>
  </si>
  <si>
    <t>UTI F I I F Series II -Quarterly Interval Plan - IV -Direct Plan - Growth Option</t>
  </si>
  <si>
    <t>INF789F01GT5</t>
  </si>
  <si>
    <t>UTI F I I F Series II -Quarterly Interval Plan - IV -Instn. Growth  Option</t>
  </si>
  <si>
    <t>INF789F01GQ1</t>
  </si>
  <si>
    <t>UTI F I I F Series II -Quarterly Interval Plan - IV -Regular Plan - Growth Option</t>
  </si>
  <si>
    <t>INF789F01WM7</t>
  </si>
  <si>
    <t>INF789F01WN5</t>
  </si>
  <si>
    <t>UTI FIIF Sr-2 Quarterly Interval Plan IV - Direct Plan - IDCW</t>
  </si>
  <si>
    <t>INF789F01GO6</t>
  </si>
  <si>
    <t>INF789F01GP3</t>
  </si>
  <si>
    <t>UTI FIIF Sr-2 Quarterly Interval Plan IV - Regular Plan - IDCW</t>
  </si>
  <si>
    <t>INF789F01VK3</t>
  </si>
  <si>
    <t>UTI F I I F Series II -Quarterly Interval Plan - VII - Direct Plan - Growth Option</t>
  </si>
  <si>
    <t>INF789F01EI3</t>
  </si>
  <si>
    <t>UTI F I I F Series II -Quarterly Interval Plan - VII - Regular Plan - Growth Option</t>
  </si>
  <si>
    <t>INF789F01VI7</t>
  </si>
  <si>
    <t>INF789F01VJ5</t>
  </si>
  <si>
    <t>UTI FIIF Sr-2 Quarterly Interval Plan VII - Direct Plan - IDCW</t>
  </si>
  <si>
    <t>INF789F01EG7</t>
  </si>
  <si>
    <t>INF789F01EH5</t>
  </si>
  <si>
    <t>UTI FIIF Sr-2 Quarterly Interval Plan VII - Regular Plan - IDCW</t>
  </si>
  <si>
    <t>INF789FC13P7</t>
  </si>
  <si>
    <t>UTI Fixed Term Income fund - Series XXIX - I (1134 DAYS) - Direct Plan - Annual IDCW</t>
  </si>
  <si>
    <t>INF789FC14P5</t>
  </si>
  <si>
    <t>UTI Fixed Term Income fund - Series XXIX - I (1134 DAYS) - Direct Plan - Maturity IDCW</t>
  </si>
  <si>
    <t>INF789FC12P9</t>
  </si>
  <si>
    <t>UTI Fixed Term Income fund - Series XXIX - I (1134 DAYS) - Direct Plan - Quarterly IDCW</t>
  </si>
  <si>
    <t>INF789FC18O9</t>
  </si>
  <si>
    <t>UTI Fixed Term Income fund - Series XXIX - I (1134 DAYS) - Regular Plan - Annual IDCW</t>
  </si>
  <si>
    <t>INF789FC11P1</t>
  </si>
  <si>
    <t>UTI Fixed Term Income fund - Series XXIX - I (1134 DAYS) - Regular Plan - Flexi IDCW</t>
  </si>
  <si>
    <t>INF789FC19O7</t>
  </si>
  <si>
    <t>UTI Fixed Term Income fund - Series XXIX - I (1134 DAYS) - Regular Plan - Maturity IDCW</t>
  </si>
  <si>
    <t>INF789FC17O1</t>
  </si>
  <si>
    <t>UTI Fixed Term Income fund - Series XXIX - I (1134 DAYS) - Regular Plan - Quarterly IDCW</t>
  </si>
  <si>
    <t>INF789FC15P2</t>
  </si>
  <si>
    <t>UTI Fixed Term Income Fund Series XXIX -I (1134 days) - Direct Plan - Growth Option</t>
  </si>
  <si>
    <t>INF789FC10P3</t>
  </si>
  <si>
    <t>UTI Fixed Term Income Fund Series XXIX-I (1134 days) - Regular Plan - Growth Opton</t>
  </si>
  <si>
    <t>INF789FC17Q6</t>
  </si>
  <si>
    <t>UTI Fixed Term Income fund - Series XXIX - II (1118 DAYS) - Direct Plan - Annual IDCW</t>
  </si>
  <si>
    <t>INF789FC18Q4</t>
  </si>
  <si>
    <t>UTI Fixed Term Income fund - Series XXIX - II (1118 DAYS) - Direct Plan - Maturity IDCW</t>
  </si>
  <si>
    <t>INF789FC16Q8</t>
  </si>
  <si>
    <t>UTI Fixed Term Income fund - Series XXIX - II (1118 DAYS) - Direct Plan - Quarterly IDCW</t>
  </si>
  <si>
    <t>INF789FC12Q7</t>
  </si>
  <si>
    <t>UTI Fixed Term Income fund - Series XXIX - II (1118 DAYS) - Regular Plan - Annual IDCW</t>
  </si>
  <si>
    <t>INF789FC15Q0</t>
  </si>
  <si>
    <t>UTI Fixed Term Income fund - Series XXIX - II (1118 DAYS) - Regular Plan - Flexi IDCW</t>
  </si>
  <si>
    <t>INF789FC13Q5</t>
  </si>
  <si>
    <t>UTI Fixed Term Income fund - Series XXIX - II (1118 DAYS) - Regular Plan - Maturity IDCW</t>
  </si>
  <si>
    <t>INF789FC11Q9</t>
  </si>
  <si>
    <t>UTI Fixed Term Income fund - Series XXIX - II (1118 DAYS) - Regular Plan - Quarterly IDCW</t>
  </si>
  <si>
    <t>INF789FC19Q2</t>
  </si>
  <si>
    <t>UTI Fixed Term Income Fund Series XXIX-II ( 1118 Days) - Direct Plan - Growth Option</t>
  </si>
  <si>
    <t>INF789FC14Q3</t>
  </si>
  <si>
    <t>UTI Fixed Term Income Fund Series XXIX-II (1118 days) - Regular Plan - Growth Option</t>
  </si>
  <si>
    <t>INF789FC17R4</t>
  </si>
  <si>
    <t>UTI Fixed Term Income fund - Series XXIX - III (1131 DAYS) - Direct Plan - Annual IDCW</t>
  </si>
  <si>
    <t>INF789FC10S7</t>
  </si>
  <si>
    <t>UTI Fixed Term Income fund - Series XXIX - III (1131 DAYS) - Direct Plan - Flexi IDCW</t>
  </si>
  <si>
    <t>INF789FC18R2</t>
  </si>
  <si>
    <t>UTI Fixed Term Income fund - Series XXIX - III (1131 DAYS) - Direct Plan - Maturity IDCW</t>
  </si>
  <si>
    <t>INF789FC16R6</t>
  </si>
  <si>
    <t>UTI Fixed Term Income fund - Series XXIX - III (1131 DAYS) - Direct Plan - Quarterly IDCW</t>
  </si>
  <si>
    <t>INF789FC12R5</t>
  </si>
  <si>
    <t>UTI Fixed Term Income fund - Series XXIX - III (1131 DAYS) - Regular Plan - Annual IDCW</t>
  </si>
  <si>
    <t>INF789FC13R3</t>
  </si>
  <si>
    <t>UTI Fixed Term Income fund - Series XXIX - III (1131 DAYS) - Regular Plan - Maturity IDCW</t>
  </si>
  <si>
    <t>INF789FC11R7</t>
  </si>
  <si>
    <t>UTI Fixed Term Income fund - Series XXIX - III (1131 DAYS) - Regular Plan - Quarterly IDCW</t>
  </si>
  <si>
    <t>INF789FC19R0</t>
  </si>
  <si>
    <t>UTI Fixed Term Income Fund Series XXIX-III (1131 days) - Direct Plan - Growth Option</t>
  </si>
  <si>
    <t>INF789FC14R1</t>
  </si>
  <si>
    <t>UTI Fixed Term Income Fund Series XXIX-III (1131 days) - Regular Plan - Growth Option</t>
  </si>
  <si>
    <t>INF789FC10T5</t>
  </si>
  <si>
    <t>UTI Fixed Term Income fund - Series XXIX - IV (1422 DAYS) - Direct Plan - Flexi IDCW</t>
  </si>
  <si>
    <t>INF789FC12S3</t>
  </si>
  <si>
    <t>UTI Fixed Term Income fund - Series XXIX - IV (1422 DAYS) - Regular Plan - Annual IDCW</t>
  </si>
  <si>
    <t>INF789FC19S8</t>
  </si>
  <si>
    <t>UTI Fixed Term Income Fund Series XXIX-IV (1422 days) - Direct Plan - Growth Option</t>
  </si>
  <si>
    <t>INF789FC14S9</t>
  </si>
  <si>
    <t>UTI Fixed Term Income Fund Series XXIX-IV (1422 days) - Regular Plan - Growth Option</t>
  </si>
  <si>
    <t>INF789FC19X8</t>
  </si>
  <si>
    <t>UTI Fixed Term Income fund - Series XXIX - IX (1109 DAYS) - Direct Plan - Annual IDCW</t>
  </si>
  <si>
    <t>INF789FC10Y5</t>
  </si>
  <si>
    <t>UTI Fixed Term Income fund - Series XXIX - IX (1109 DAYS) - Direct Plan - Maturity IDCW</t>
  </si>
  <si>
    <t>INF789FC18X0</t>
  </si>
  <si>
    <t>UTI Fixed Term Income fund - Series XXIX - IX (1109 DAYS) - Direct Plan - Quarterly IDCW</t>
  </si>
  <si>
    <t>INF789FC14X9</t>
  </si>
  <si>
    <t>UTI Fixed Term Income fund - Series XXIX - IX (1109 DAYS) - Regular Plan - Annual IDCW</t>
  </si>
  <si>
    <t>INF789FC15X6</t>
  </si>
  <si>
    <t>UTI Fixed Term Income fund - Series XXIX - IX (1109 DAYS) - Regular Plan - Maturity IDCW</t>
  </si>
  <si>
    <t>INF789FC13X1</t>
  </si>
  <si>
    <t>UTI Fixed Term Income fund - Series XXIX - IX (1109 DAYS) - Regular Plan - Quarterly IDCW</t>
  </si>
  <si>
    <t>INF789FC11Y3</t>
  </si>
  <si>
    <t>UTI Fixed Term Income Fund Series XXIX-IX (1109 days) - Direct Plan - Growth Option</t>
  </si>
  <si>
    <t>INF789FC16X4</t>
  </si>
  <si>
    <t>UTI Fixed Term Income Fund Series XXIX-IX (1109 days) - Regular Plan - Growth Option</t>
  </si>
  <si>
    <t>INF789FC19T6</t>
  </si>
  <si>
    <t>UTI Fixed Term Income fund - Series XXIX - V (1113 DAYS) - Direct Plan - Annual IDCW</t>
  </si>
  <si>
    <t>INF789FC12U9</t>
  </si>
  <si>
    <t>UTI Fixed Term Income fund - Series XXIX - V (1113 DAYS) - Direct Plan - Flexi IDCW</t>
  </si>
  <si>
    <t>INF789FC10U3</t>
  </si>
  <si>
    <t>UTI Fixed Term Income fund - Series XXIX - V (1113 DAYS) - Direct Plan - Maturity IDCW</t>
  </si>
  <si>
    <t>INF789FC18T8</t>
  </si>
  <si>
    <t>UTI Fixed Term Income fund - Series XXIX - V (1113 DAYS) - Direct Plan - Quarterly IDCW</t>
  </si>
  <si>
    <t>INF789FC14T7</t>
  </si>
  <si>
    <t>UTI Fixed Term Income fund - Series XXIX - V (1113 DAYS) - Regular Plan - Annual IDCW</t>
  </si>
  <si>
    <t>INF789FC17T0</t>
  </si>
  <si>
    <t>UTI Fixed Term Income fund - Series XXIX - V (1113 DAYS) - Regular Plan - Flexi IDCW</t>
  </si>
  <si>
    <t>INF789FC15T4</t>
  </si>
  <si>
    <t>UTI Fixed Term Income fund - Series XXIX - V (1113 DAYS) - Regular Plan - Maturity IDCW</t>
  </si>
  <si>
    <t>INF789FC13T9</t>
  </si>
  <si>
    <t>UTI Fixed Term Income fund - Series XXIX - V (1113 DAYS) - Regular Plan - Quarterly IDCW</t>
  </si>
  <si>
    <t>INF789FC11U1</t>
  </si>
  <si>
    <t>UTI Fixed Term Income Fund Series XXIX-V (1113 days) - Direct Plan - Growth Option</t>
  </si>
  <si>
    <t>INF789FC16T2</t>
  </si>
  <si>
    <t>UTI Fixed Term Income Fund Series XXIX-V (1113 days) - Regular Plan - Growth Option</t>
  </si>
  <si>
    <t>INF789FC19U4</t>
  </si>
  <si>
    <t>UTI Fixed Term Income fund - Series XXIX - VI (1135 DAYS) - Direct Plan - Annual IDCW</t>
  </si>
  <si>
    <t>INF789FC14U5</t>
  </si>
  <si>
    <t>UTI Fixed Term Income fund - Series XXIX - VI (1135 DAYS) - Regular Plan - Annual IDCW</t>
  </si>
  <si>
    <t>INF789FC11V9</t>
  </si>
  <si>
    <t>UTI Fixed Term Income Fund Series XXIX-VI (1135 days) - Direct Plan - Growth Option</t>
  </si>
  <si>
    <t>INF789FC16U0</t>
  </si>
  <si>
    <t>UTI Fixed Term Income Fund Series XXIX-VI (1135 days) - Regular Plan - Growth Option</t>
  </si>
  <si>
    <t>INF789FC18V4</t>
  </si>
  <si>
    <t>UTI Fixed Term Income fund - Series XXIX - VII (1135 DAYS) - Direct Plan - Quarterly IDCW</t>
  </si>
  <si>
    <t>INF789FC14V3</t>
  </si>
  <si>
    <t>UTI Fixed Term Income fund - Series XXIX - VII (1135 DAYS) - Regular Plan - Annual IDCW</t>
  </si>
  <si>
    <t>INF789FC13V5</t>
  </si>
  <si>
    <t>UTI Fixed Term Income fund - Series XXIX - VII (1135 DAYS) - Regular Plan - Quarterly IDCW</t>
  </si>
  <si>
    <t>INF789FC11W7</t>
  </si>
  <si>
    <t>UTI Fixed Term Income Fund Series XXIX-VII (1135 days) - Direct Plan - Growth Option</t>
  </si>
  <si>
    <t>INF789FC16V8</t>
  </si>
  <si>
    <t>UTI Fixed Term Income Fund Series XXIX-VII (1135 days) - Regular Plan - Growth Option</t>
  </si>
  <si>
    <t>INF789FC19W0</t>
  </si>
  <si>
    <t>UTI Fixed Term Income fund - Series XXIX - VIII (1127 DAYS) - Direct Plan - Annual IDCW</t>
  </si>
  <si>
    <t>INF789FC12X3</t>
  </si>
  <si>
    <t>UTI Fixed Term Income fund - Series XXIX - VIII (1127 DAYS) - Direct Plan - Flexi IDCW</t>
  </si>
  <si>
    <t>INF789FC10X7</t>
  </si>
  <si>
    <t>UTI Fixed Term Income fund - Series XXIX - VIII (1127 DAYS) - Direct Plan - Maturity IDCW</t>
  </si>
  <si>
    <t>INF789FC18W2</t>
  </si>
  <si>
    <t>UTI Fixed Term Income fund - Series XXIX - VIII (1127 DAYS) - Direct Plan - Quarterly IDCW</t>
  </si>
  <si>
    <t>INF789FC14W1</t>
  </si>
  <si>
    <t>UTI Fixed Term Income fund - Series XXIX - VIII (1127 DAYS) - Regular Plan - Annual IDCW</t>
  </si>
  <si>
    <t>INF789FC17W4</t>
  </si>
  <si>
    <t>UTI Fixed Term Income fund - Series XXIX - VIII (1127 DAYS) - Regular Plan - Flexi IDCW</t>
  </si>
  <si>
    <t>INF789FC13W3</t>
  </si>
  <si>
    <t>UTI Fixed Term Income fund - Series XXIX - VIII (1127 DAYS) - Regular Plan - Quarterly IDCW</t>
  </si>
  <si>
    <t>INF789FC11X5</t>
  </si>
  <si>
    <t>UTI Fixed Term Income Fund Series XXIX-VIII (1127 days) - Direct Plan - Growth Option</t>
  </si>
  <si>
    <t>INF789FC16W6</t>
  </si>
  <si>
    <t>UTI Fixed Term Income Fund Series XXIX-VIII (1127 days) - Regular Plan - Growth Option</t>
  </si>
  <si>
    <t>INF789F1A033</t>
  </si>
  <si>
    <t>UTI Fixed Term Income fund - Series XXIX - XI (1112 DAYS) - Direct Plan - Flexi IDCW</t>
  </si>
  <si>
    <t>INF789F1A017</t>
  </si>
  <si>
    <t>UTI Fixed Term Income fund - Series XXIX - XI (1112 DAYS) - Direct Plan - Maturity IDCW</t>
  </si>
  <si>
    <t>INF789F1A025</t>
  </si>
  <si>
    <t>UTI Fixed Term Income Fund Series XXIX-XI (1112 days) - Direct Plan - Growth Option</t>
  </si>
  <si>
    <t>INF789FC16Z9</t>
  </si>
  <si>
    <t>UTI Fixed Term Income Fund Series XXIX-XI (1112 days) - Regular Plan - Growth Option</t>
  </si>
  <si>
    <t>INF789F1A108</t>
  </si>
  <si>
    <t>UTI Fixed Term Income fund - Series XXIX - XIII (1122 DAYS) - Direct Plan - Annual IDCW</t>
  </si>
  <si>
    <t>INF789F1A116</t>
  </si>
  <si>
    <t>UTI Fixed Term Income fund - Series XXIX - XIII (1122 DAYS) - Direct Plan - Maturity IDCW</t>
  </si>
  <si>
    <t>INF789F1A090</t>
  </si>
  <si>
    <t>UTI Fixed Term Income fund - Series XXIX - XIII (1122 DAYS) - Direct Plan - Quarterly IDCW</t>
  </si>
  <si>
    <t>INF789F1A058</t>
  </si>
  <si>
    <t>UTI Fixed Term Income fund - Series XXIX - XIII (1122 DAYS) - Regular Plan - Annual IDCW</t>
  </si>
  <si>
    <t>INF789F1A082</t>
  </si>
  <si>
    <t>UTI Fixed Term Income fund - Series XXIX - XIII (1122 DAYS) - Regular Plan - Flexi IDCW</t>
  </si>
  <si>
    <t>INF789F1A066</t>
  </si>
  <si>
    <t>UTI Fixed Term Income fund - Series XXIX - XIII (1122 DAYS) - Regular Plan - Maturity IDCW</t>
  </si>
  <si>
    <t>INF789F1A041</t>
  </si>
  <si>
    <t>UTI Fixed Term Income fund - Series XXIX - XIII (1122 DAYS) - Regular Plan - Quarterly IDCW</t>
  </si>
  <si>
    <t>INF789F1A124</t>
  </si>
  <si>
    <t>UTI Fixed Term Income Fund Series XXIX-XIII (1122 days) - Direct Plan - Growth Option</t>
  </si>
  <si>
    <t>INF789F1A074</t>
  </si>
  <si>
    <t>UTI Fixed Term Income Fund Series XXIX-XIII (1122 days) - Regular Plan - Growth Option</t>
  </si>
  <si>
    <t>INF789F1A298</t>
  </si>
  <si>
    <t>UTI Fixed Term Income fund - Series XXIX - XIV (1131 DAYS) - Direct Plan - Quarterly IDCW</t>
  </si>
  <si>
    <t>INF789F1A264</t>
  </si>
  <si>
    <t>UTI Fixed Term Income fund - Series XXIX - XIV (1131 DAYS) - Regular Plan - Maturity IDCW</t>
  </si>
  <si>
    <t>INF789F1A322</t>
  </si>
  <si>
    <t>UTI Fixed Term Income Fund Series XXIX-XIV (1131 days) - Direct Plan - Growth Option</t>
  </si>
  <si>
    <t>INF789F1A272</t>
  </si>
  <si>
    <t>UTI Fixed Term Income Fund Series XXIX-XIV (1131 days) - Regular Plan - Growth Option</t>
  </si>
  <si>
    <t>INF789F1A413</t>
  </si>
  <si>
    <t>UTI Fixed Term Income Fund Series XXIX-XV (1124 days) - Direct Plan - Growth Option</t>
  </si>
  <si>
    <t>INF789F1A371</t>
  </si>
  <si>
    <t>UTI Fixed Term Income Fund Series XXIX-XV (1124 days) - Regular Plan - Growth Option</t>
  </si>
  <si>
    <t>INF789F1A694</t>
  </si>
  <si>
    <t>UTI Fixed Term Income fund - Series XXX - I (1104 DAYS) - Direct Plan - Maturity IDCW</t>
  </si>
  <si>
    <t>INF789F1A678</t>
  </si>
  <si>
    <t>UTI Fixed Term Income fund - Series XXX - I (1104 DAYS) - Direct Plan - Quarterly IDCW</t>
  </si>
  <si>
    <t>INF789F1A637</t>
  </si>
  <si>
    <t>UTI Fixed Term Income fund - Series XXX - I (1104 DAYS) - Regular Plan - Annual IDCW</t>
  </si>
  <si>
    <t>INF789F1A660</t>
  </si>
  <si>
    <t>UTI Fixed Term Income fund - Series XXX - I (1104 DAYS) - Regular Plan - Flexi IDCW</t>
  </si>
  <si>
    <t>INF789F1A645</t>
  </si>
  <si>
    <t>UTI Fixed Term Income fund - Series XXX - I (1104 DAYS) - Regular Plan - Maturity IDCW</t>
  </si>
  <si>
    <t>INF789F1A629</t>
  </si>
  <si>
    <t>UTI Fixed Term Income fund - Series XXX - I (1104 DAYS) - Regular Plan - Quarterly IDCW</t>
  </si>
  <si>
    <t>INF789F1A702</t>
  </si>
  <si>
    <t>UTI Fixed Term Income Fund Series XXX-I (1104 days) - Direct Plan - Growth Option</t>
  </si>
  <si>
    <t>INF789F1A652</t>
  </si>
  <si>
    <t>UTI Fixed Term Income Fund Series XXX-I (1104 days) - Regular Plan - Growth Option</t>
  </si>
  <si>
    <t>INF789F1A926</t>
  </si>
  <si>
    <t>UTI Fixed Term Income fund - Series XXX - II (1107 DAYS) - Direct Plan - Annual IDCW</t>
  </si>
  <si>
    <t>INF789F1A868</t>
  </si>
  <si>
    <t>UTI Fixed Term Income fund - Series XXX - II (1107 DAYS) - Regular Plan - Quarterly IDCW</t>
  </si>
  <si>
    <t>INF789F1A942</t>
  </si>
  <si>
    <t>UTI Fixed Term Income Fund Series XXX-II (1107 days) - Direct Plan - Growth Option</t>
  </si>
  <si>
    <t>INF789F1A892</t>
  </si>
  <si>
    <t>UTI Fixed Term Income Fund Series XXX-II (1107 days) - Regular Plan - Growth Option</t>
  </si>
  <si>
    <t>INF789F1AAC3</t>
  </si>
  <si>
    <t>UTI Fixed Term Income Fund Series XXX-III (1106 Days) - Direct Plan - Annual IDCW</t>
  </si>
  <si>
    <t>INF789F1AAF6</t>
  </si>
  <si>
    <t>UTI Fixed Term Income Fund Series XXX-III (1106 Days) - Direct Plan - Flexi IDCW</t>
  </si>
  <si>
    <t>INF789F1AAE9</t>
  </si>
  <si>
    <t>UTI Fixed Term Income Fund Series XXX-III (1106 days) - Direct Plan - Growth Option</t>
  </si>
  <si>
    <t>INF789F1AAD1</t>
  </si>
  <si>
    <t>UTI Fixed Term Income Fund Series XXX-III (1106 Days) - Direct Plan - Maturity IDCW</t>
  </si>
  <si>
    <t>INF789F1AAB5</t>
  </si>
  <si>
    <t>UTI Fixed Term Income Fund Series XXX-III (1106 Days) - Direct Plan - Quarterly IDCW</t>
  </si>
  <si>
    <t>INF789F1A975</t>
  </si>
  <si>
    <t>UTI Fixed Term Income Fund Series XXX-III (1106 Days) - Regular Plan - Annual IDCW</t>
  </si>
  <si>
    <t>INF789F1AAA7</t>
  </si>
  <si>
    <t>UTI Fixed Term Income Fund Series XXX-III (1106 Days) - Regular Plan - Flexi IDCW</t>
  </si>
  <si>
    <t>INF789F1A991</t>
  </si>
  <si>
    <t>UTI Fixed Term Income Fund Series XXX-III (1106 days) - Regular Plan - Growth Option</t>
  </si>
  <si>
    <t>INF789F1A983</t>
  </si>
  <si>
    <t>UTI Fixed Term Income Fund Series XXX-III (1106 Days) - Regular Plan - Maturity IDCW</t>
  </si>
  <si>
    <t>INF789F1A967</t>
  </si>
  <si>
    <t>UTI Fixed Term Income Fund Series XXX-III (1106 Days) - Regular Plan - Quarterly IDCW</t>
  </si>
  <si>
    <t>INF789F1AAL4</t>
  </si>
  <si>
    <t>UTI - Fixed Term Income Fund Series XXX-IV (1125 Days) - Direct Plan - Growth Option</t>
  </si>
  <si>
    <t>INF789F1AAG4</t>
  </si>
  <si>
    <t>UTI - Fixed Term Income Fund Series XXX-IV (1125 Days) - Regular Plan - Growth Option</t>
  </si>
  <si>
    <t>INF789F1AAN0</t>
  </si>
  <si>
    <t>UTI Fixed Term Income Fund Series XXX-IV (1125 Days) - Direct Plan - Annual IDCW</t>
  </si>
  <si>
    <t>INF789F1AAP5</t>
  </si>
  <si>
    <t>UTI Fixed Term Income Fund Series XXX-IV (1125 Days) - Direct Plan - Flexi IDCW</t>
  </si>
  <si>
    <t>INF789F1AAO8</t>
  </si>
  <si>
    <t>UTI Fixed Term Income Fund Series XXX-IV (1125 Days) - Direct Plan - Maturity IDCW</t>
  </si>
  <si>
    <t>INF789F1AAM2</t>
  </si>
  <si>
    <t>UTI Fixed Term Income Fund Series XXX-IV (1125 Days) - Direct Plan - Quarterly IDCW</t>
  </si>
  <si>
    <t>INF789F1AAI0</t>
  </si>
  <si>
    <t>UTI Fixed Term Income Fund Series XXX-IV (1125 Days) - Regular Plan - Annual IDCW</t>
  </si>
  <si>
    <t>INF789F1AAK6</t>
  </si>
  <si>
    <t>UTI Fixed Term Income Fund Series XXX-IV (1125 Days) - Regular Plan - Flexi IDCW</t>
  </si>
  <si>
    <t>INF789F1AAJ8</t>
  </si>
  <si>
    <t>UTI Fixed Term Income Fund Series XXX-IV (1125 Days) - Regular Plan - Maturity IDCW</t>
  </si>
  <si>
    <t>INF789F1AAH2</t>
  </si>
  <si>
    <t>UTI Fixed Term Income Fund Series XXX-IV (1125 Days) - Regular Plan - Quarterly IDCW</t>
  </si>
  <si>
    <t>INF789F1ABZ2</t>
  </si>
  <si>
    <t>UTI - Fixed Term Income Fund Series XXX-IX (1266 Days) - Direct Plan - Growth Option</t>
  </si>
  <si>
    <t>INF789F1ABU3</t>
  </si>
  <si>
    <t>UTI - Fixed Term Income Fund Series XXX-IX (1266 Days) - Regular Plan - Growth Option</t>
  </si>
  <si>
    <t>INF789F1ACC9</t>
  </si>
  <si>
    <t>UTI Fixed Term Income Fund Series XXX-IX (1266 Days) - Direct Plan - Maturity IDCW</t>
  </si>
  <si>
    <t>INF789F1ACA3</t>
  </si>
  <si>
    <t>UTI Fixed Term Income Fund Series XXX-IX (1266 Days) - Direct Plan - Quarterly IDCW</t>
  </si>
  <si>
    <t>INF789F1ABW9</t>
  </si>
  <si>
    <t>UTI Fixed Term Income Fund Series XXX-IX (1266 Days) - Regular Plan - Annual IDCW</t>
  </si>
  <si>
    <t>INF789F1ABY5</t>
  </si>
  <si>
    <t>UTI Fixed Term Income Fund Series XXX-IX (1266 Days) - Regular Plan - Flexi IDCW</t>
  </si>
  <si>
    <t>INF789F1ABX7</t>
  </si>
  <si>
    <t>UTI Fixed Term Income Fund Series XXX-IX (1266 Days) - Regular Plan - Maturity IDCW</t>
  </si>
  <si>
    <t>INF789F1ABV1</t>
  </si>
  <si>
    <t>UTI Fixed Term Income Fund Series XXX-IX (1266 Days) - Regular Plan - Quarterly IDCW</t>
  </si>
  <si>
    <t>INF789F1AAV3</t>
  </si>
  <si>
    <t>UTI - Fixed Term Income Fund Series XXX-V (1135 Days) - Direct Plan - Growth Option</t>
  </si>
  <si>
    <t>INF789F1AAQ3</t>
  </si>
  <si>
    <t>UTI - Fixed Term Income Fund Series XXX-V (1135 Days) - Regular Plan - Growth Option</t>
  </si>
  <si>
    <t>INF789F1AAY7</t>
  </si>
  <si>
    <t>UTI Fixed Term Income Fund Series XXX-V (1135 Days) - Direct Plan - Maturity IDCW</t>
  </si>
  <si>
    <t>INF789F1AAR1</t>
  </si>
  <si>
    <t>UTI Fixed Term Income Fund Series XXX-V (1135 Days) - Regular Plan - Quarterly IDCW</t>
  </si>
  <si>
    <t>INF789F1ABF4</t>
  </si>
  <si>
    <t>UTI - Fixed Term Income Fund Series XXX-VI (1107 Days) - Direct Plan - Growth Option</t>
  </si>
  <si>
    <t>INF789F1ABA5</t>
  </si>
  <si>
    <t>UTI - Fixed Term Income Fund Series XXX-VI (1107 Days) - Regular Plan - Growth Option</t>
  </si>
  <si>
    <t>INF789F1ABH0</t>
  </si>
  <si>
    <t>UTI Fixed Term Income Fund Series XXX-VI (1107 Days) - Direct Plan - Annual IDCW</t>
  </si>
  <si>
    <t>INF789F1ABI8</t>
  </si>
  <si>
    <t>UTI Fixed Term Income Fund Series XXX-VI (1107 Days) - Direct Plan - Maturity IDCW</t>
  </si>
  <si>
    <t>INF789F1ABG2</t>
  </si>
  <si>
    <t>UTI Fixed Term Income Fund Series XXX-VI (1107 Days) - Direct Plan - Quarterly IDCW</t>
  </si>
  <si>
    <t>INF789F1ABC1</t>
  </si>
  <si>
    <t>UTI Fixed Term Income Fund Series XXX-VI (1107 Days) - Regular Plan - Annual IDCW</t>
  </si>
  <si>
    <t>INF789F1ABD9</t>
  </si>
  <si>
    <t>UTI Fixed Term Income Fund Series XXX-VI (1107 Days) - Regular Plan - Maturity IDCW</t>
  </si>
  <si>
    <t>INF789F1ABB3</t>
  </si>
  <si>
    <t>UTI Fixed Term Income Fund Series XXX-VI (1107 Days) - Regular Plan - Quarterly IDCW</t>
  </si>
  <si>
    <t>INF789F1ACJ4</t>
  </si>
  <si>
    <t>UTI - Fixed Term Income Fund Series XXX-VIII (1286 Days) - Direct Plan - Growth Option</t>
  </si>
  <si>
    <t>INF789F1ACE5</t>
  </si>
  <si>
    <t>UTI - Fixed Term Income Fund Series XXX-VIII (1286 Days) - Regular Plan - Growth Option</t>
  </si>
  <si>
    <t>INF789F1ADL8</t>
  </si>
  <si>
    <t>UTI - Fixed Term Income Fund Series XXX-X (1267 Days) - Direct Plan - Growth Option</t>
  </si>
  <si>
    <t>INF789F1ADG8</t>
  </si>
  <si>
    <t>UTI - Fixed Term Income Fund Series XXX-X (1267 Days) - Regular Plan - Growth Option</t>
  </si>
  <si>
    <t>INF789F1ADM6</t>
  </si>
  <si>
    <t>UTI Fixed Term Income Fund Series XXX-X (1267 Days) - Direct Plan - Quarterly IDCW</t>
  </si>
  <si>
    <t>INF789F1ADI4</t>
  </si>
  <si>
    <t>UTI Fixed Term Income Fund Series XXX-X (1267 Days) - Regular Plan - Annual IDCW</t>
  </si>
  <si>
    <t>INF789F1ADH6</t>
  </si>
  <si>
    <t>UTI Fixed Term Income Fund Series XXX-X (1267 Days) - Regular Plan - Quarterly IDCW</t>
  </si>
  <si>
    <t>INF789F1ADV7</t>
  </si>
  <si>
    <t>UTI - Fixed Term Income Fund Series XXX-XI (1246 Days) - Direct Plan - Growth Option</t>
  </si>
  <si>
    <t>INF789F1ADQ7</t>
  </si>
  <si>
    <t>UTI - Fixed Term Income Fund Series XXX-XI (1246 Days) - Regular Plan - Growth Option</t>
  </si>
  <si>
    <t>INF789F1ADX3</t>
  </si>
  <si>
    <t>UTI Fixed Term Income Fund Series XXX-XI (1246 Days) - Direct Plan - Annual IDCW</t>
  </si>
  <si>
    <t>INF789F1ADZ8</t>
  </si>
  <si>
    <t>UTI Fixed Term Income Fund Series XXX-XI (1246 Days) - Direct Plan - Flexi IDCW</t>
  </si>
  <si>
    <t>INF789F1ADY1</t>
  </si>
  <si>
    <t>UTI Fixed Term Income Fund Series XXX-XI (1246 Days) - Direct Plan - Maturity IDCW</t>
  </si>
  <si>
    <t>INF789F1ADW5</t>
  </si>
  <si>
    <t>UTI Fixed Term Income Fund Series XXX-XI (1246 Days) - Direct Plan - Quarterly IDCW</t>
  </si>
  <si>
    <t>INF789F1ADS3</t>
  </si>
  <si>
    <t>UTI Fixed Term Income Fund Series XXX-XI (1246 Days) - Regular Plan - Annual IDCW</t>
  </si>
  <si>
    <t>INF789F1ADU9</t>
  </si>
  <si>
    <t>UTI Fixed Term Income Fund Series XXX-XI (1246 Days) - Regular Plan - Flexi IDCW</t>
  </si>
  <si>
    <t>INF789F1ADR5</t>
  </si>
  <si>
    <t>UTI Fixed Term Income Fund Series XXX-XI (1246 Days) - Regular Plan - Quarterly IDCW</t>
  </si>
  <si>
    <t>INF789F1AEF8</t>
  </si>
  <si>
    <t>UTI - Fixed Term Income Fund Series XXX-XII (1254 Days) - Direct Plan - Growth Option</t>
  </si>
  <si>
    <t>INF789F1AEA9</t>
  </si>
  <si>
    <t>UTI - Fixed Term Income Fund Series XXX-XII (1254 Days) - Regular Plan - Growth Option</t>
  </si>
  <si>
    <t>INF789F1AEC5</t>
  </si>
  <si>
    <t>UTI Fixed Term Income Fund Series XXX-XII (1254 Days) - Regular Plan - Annual IDCW</t>
  </si>
  <si>
    <t>INF789F1AEE1</t>
  </si>
  <si>
    <t>UTI Fixed Term Income Fund Series XXX-XII (1254 Days) - Regular Plan - Flexi IDCW</t>
  </si>
  <si>
    <t>INF789F1AED3</t>
  </si>
  <si>
    <t>UTI Fixed Term Income Fund Series XXX-XII (1254 Days) - Regular Plan - Maturity IDCW</t>
  </si>
  <si>
    <t>INF789F1AEB7</t>
  </si>
  <si>
    <t>UTI Fixed Term Income Fund Series XXX-XII (1254 Days) - Regular Plan - Quarterly IDCW</t>
  </si>
  <si>
    <t>INF789F1AEP7</t>
  </si>
  <si>
    <t>UTI - Fixed Term Income Fund Series XXX-XIII (1224 Days) - Direct Plan - Growth Option</t>
  </si>
  <si>
    <t>INF789F1AEK8</t>
  </si>
  <si>
    <t>UTI - Fixed Term Income Fund Series XXX-XIII (1224 Days) - Regular Plan - Growth Option</t>
  </si>
  <si>
    <t>INF789F1AER3</t>
  </si>
  <si>
    <t>UTI Fixed Term Income Fund Series XXX-XIII (1224 Days) - Direct Plan - Annual IDCW</t>
  </si>
  <si>
    <t>INF789F1AES1</t>
  </si>
  <si>
    <t>UTI Fixed Term Income Fund Series XXX-XIII (1224 Days) - Direct Plan - Maturity IDCW</t>
  </si>
  <si>
    <t>INF789F1AEM4</t>
  </si>
  <si>
    <t>UTI Fixed Term Income Fund Series XXX-XIII (1224 Days) - Regular Plan - Annual IDCW</t>
  </si>
  <si>
    <t>INF789F1AEO0</t>
  </si>
  <si>
    <t>UTI Fixed Term Income Fund Series XXX-XIII (1224 Days) - Regular Plan - Flexi IDCW</t>
  </si>
  <si>
    <t>INF789F1AEN2</t>
  </si>
  <si>
    <t>UTI Fixed Term Income Fund Series XXX-XIII (1224 Days) - Regular Plan - Maturity IDCW</t>
  </si>
  <si>
    <t>INF789F1AEL6</t>
  </si>
  <si>
    <t>UTI Fixed Term Income Fund Series XXX-XIII (1224 Days) - Regular Plan - Quarterly IDCW</t>
  </si>
  <si>
    <t>INF789F1AEZ6</t>
  </si>
  <si>
    <t>UTI - Fixed Term Income Fund Series XXX-XIV (1209 Days) - Direct Plan - Growth Option</t>
  </si>
  <si>
    <t>INF789F1AEU7</t>
  </si>
  <si>
    <t>UTI - Fixed Term Income Fund Series XXX-XIV (1209 Days) - Regular Plan - Growth Option</t>
  </si>
  <si>
    <t>INF789F1AFB4</t>
  </si>
  <si>
    <t>UTI Fixed Term Income Fund Series XXX-XIV (1209 Days) - Direct Plan - Annual IDCW</t>
  </si>
  <si>
    <t>INF789F1AFC2</t>
  </si>
  <si>
    <t>UTI Fixed Term Income Fund Series XXX-XIV (1209 Days) - Direct Plan - Maturity IDCW</t>
  </si>
  <si>
    <t>INF789F1AFA6</t>
  </si>
  <si>
    <t>UTI Fixed Term Income Fund Series XXX-XIV (1209 Days) - Direct Plan - Quarterly IDCW</t>
  </si>
  <si>
    <t>INF789F1AEW3</t>
  </si>
  <si>
    <t>UTI Fixed Term Income Fund Series XXX-XIV (1209 Days) - Regular Plan - Annual IDCW</t>
  </si>
  <si>
    <t>INF789F1AEY9</t>
  </si>
  <si>
    <t>UTI Fixed Term Income Fund Series XXX-XIV (1209 Days) - Regular Plan - Flexi IDCW</t>
  </si>
  <si>
    <t>INF789F1AEX1</t>
  </si>
  <si>
    <t>UTI Fixed Term Income Fund Series XXX-XIV (1209 Days) - Regular Plan - Maturity IDCW</t>
  </si>
  <si>
    <t>INF789F1AEV5</t>
  </si>
  <si>
    <t>UTI Fixed Term Income Fund Series XXX-XIV (1209 Days) - Regular Plan - Quarterly IDCW</t>
  </si>
  <si>
    <t>INF789F1AFJ7</t>
  </si>
  <si>
    <t>UTI - Fixed Term Income Fund Series XXX-XV (1223 Days) - Direct Plan - Growth Option</t>
  </si>
  <si>
    <t>INF789F1AFE8</t>
  </si>
  <si>
    <t>UTI - Fixed Term Income Fund Series XXX-XV (1223 Days) - Regular Plan - Growth Option</t>
  </si>
  <si>
    <t>INF789F1AFF5</t>
  </si>
  <si>
    <t>UTI Fixed Term Income Fund Series XXX-XV (1223 Days) - Regular Plan - Quarterly IDCW</t>
  </si>
  <si>
    <t>INF789F1AFT6</t>
  </si>
  <si>
    <t>UTI - Fixed Term Income Fund Series XXXI-I (1209 Days) - Direct Plan - Growth Option</t>
  </si>
  <si>
    <t>INF789F1AFO7</t>
  </si>
  <si>
    <t>UTI - Fixed Term Income Fund Series XXXI-I (1209 Days) - Regular Plan - Growth Option</t>
  </si>
  <si>
    <t>INF789F1AFU4</t>
  </si>
  <si>
    <t>UTI Fixed Term Income Fund Series XXXI-I (1209 Days) - Direct Plan - Quarterly IDCW</t>
  </si>
  <si>
    <t>INF789F1AFR0</t>
  </si>
  <si>
    <t>UTI Fixed Term Income Fund Series XXXI-I (1209 Days) - Regular Plan - Maturity IDCW</t>
  </si>
  <si>
    <t>INF789F1AFP4</t>
  </si>
  <si>
    <t>UTI Fixed Term Income Fund Series XXXI-I (1209 Days) - Regular Plan - Quarterly IDCW</t>
  </si>
  <si>
    <t>INF789F1AGE6</t>
  </si>
  <si>
    <t>UTI - Fixed Term Income Fund Series XXXI-II (1222 Days) - Direct Plan - Growth Option</t>
  </si>
  <si>
    <t>INF789F1AFY6</t>
  </si>
  <si>
    <t>UTI - Fixed Term Income Fund Series XXXI-II (1222 Days) - Regular Plan - Growth Option</t>
  </si>
  <si>
    <t>INF789F1AGG1</t>
  </si>
  <si>
    <t>UTI Fixed Term Income Fund Series XXXI-II (1222 Days) - Direct Plan - Annual IDCW</t>
  </si>
  <si>
    <t>INF789F1AGI7</t>
  </si>
  <si>
    <t>UTI Fixed Term Income Fund Series XXXI-II (1222 Days) - Direct Plan - Flexi IDCW</t>
  </si>
  <si>
    <t>INF789F1AGH9</t>
  </si>
  <si>
    <t>UTI Fixed Term Income Fund Series XXXI-II (1222 Days) - Direct Plan - Maturity IDCW</t>
  </si>
  <si>
    <t>INF789F1AGF3</t>
  </si>
  <si>
    <t>UTI Fixed Term Income Fund Series XXXI-II (1222 Days) - Direct Plan - Quarterly IDCW</t>
  </si>
  <si>
    <t>INF789F1AGB2</t>
  </si>
  <si>
    <t>UTI Fixed Term Income Fund Series XXXI-II (1222 Days) - Regular Plan - Annual IDCW</t>
  </si>
  <si>
    <t>INF789F1AGD8</t>
  </si>
  <si>
    <t>UTI Fixed Term Income Fund Series XXXI-II (1222 Days) - Regular Plan - Flexi IDCW</t>
  </si>
  <si>
    <t>INF789F1AGC0</t>
  </si>
  <si>
    <t>UTI Fixed Term Income Fund Series XXXI-II (1222 Days) - Regular Plan - Maturity IDCW</t>
  </si>
  <si>
    <t>INF789F1AFZ3</t>
  </si>
  <si>
    <t>UTI Fixed Term Income Fund Series XXXI-II (1222 Days) - Regular Plan - Quarterly IDCW</t>
  </si>
  <si>
    <t>INF789F1AGS6</t>
  </si>
  <si>
    <t>UTI - Fixed Term Income Fund Series XXXI-III (1174 Days) - Direct Plan - Growth Option</t>
  </si>
  <si>
    <t>INF789F1AGN7</t>
  </si>
  <si>
    <t>UTI - Fixed Term Income Fund Series XXXI-III (1174 Days) - Regular Plan - Growth Option</t>
  </si>
  <si>
    <t>INF789F1AGU2</t>
  </si>
  <si>
    <t>UTI Fixed Term Income Fund Series XXXI-III (1174 Days) - Direct Plan - Annual IDCW</t>
  </si>
  <si>
    <t>INF789F1AGV0</t>
  </si>
  <si>
    <t>UTI Fixed Term Income Fund Series XXXI-III (1174 Days) - Direct Plan - Maturity IDCW</t>
  </si>
  <si>
    <t>INF789F1AGT4</t>
  </si>
  <si>
    <t>UTI Fixed Term Income Fund Series XXXI-III (1174 Days) - Direct Plan - Quarterly IDCW</t>
  </si>
  <si>
    <t>INF789F1AGP2</t>
  </si>
  <si>
    <t>UTI Fixed Term Income Fund Series XXXI-III (1174 Days) - Regular Plan - Annual IDCW</t>
  </si>
  <si>
    <t>INF789F1AGR8</t>
  </si>
  <si>
    <t>UTI Fixed Term Income Fund Series XXXI-III (1174 Days) - Regular Plan - Flexi IDCW</t>
  </si>
  <si>
    <t>INF789F1AGQ0</t>
  </si>
  <si>
    <t>UTI Fixed Term Income Fund Series XXXI-III (1174 Days) - Regular Plan - Maturity IDCW</t>
  </si>
  <si>
    <t>INF789F1AGO5</t>
  </si>
  <si>
    <t>UTI Fixed Term Income Fund Series XXXI-III (1174 Days) - Regular Plan - Quarterly IDCW</t>
  </si>
  <si>
    <t>INF789F1AHB0</t>
  </si>
  <si>
    <t>UTI - Fixed Term Income Fund Series XXXI-IV (1204 Days) - Direct Plan - Growth Option</t>
  </si>
  <si>
    <t>INF789F1AGX6</t>
  </si>
  <si>
    <t>UTI - Fixed Term Income Fund Series XXXI-IV (1204 Days) - Regular Plan - Growth Option</t>
  </si>
  <si>
    <t>INF789F1AHD6</t>
  </si>
  <si>
    <t>UTI Fixed Term Income Fund Series XXXI-IV (1204 Days) - Direct Plan - Annual IDCW</t>
  </si>
  <si>
    <t>INF789F1AHF1</t>
  </si>
  <si>
    <t>UTI Fixed Term Income Fund Series XXXI-IV (1204 Days) - Direct Plan - Flexi IDCW</t>
  </si>
  <si>
    <t>INF789F1AHE4</t>
  </si>
  <si>
    <t>UTI Fixed Term Income Fund Series XXXI-IV (1204 Days) - Direct Plan - Maturity IDCW</t>
  </si>
  <si>
    <t>INF789F1AHC8</t>
  </si>
  <si>
    <t>UTI Fixed Term Income Fund Series XXXI-IV (1204 Days) - Direct Plan - Quarterly IDCW</t>
  </si>
  <si>
    <t>INF789F1AGY4</t>
  </si>
  <si>
    <t>UTI Fixed Term Income Fund Series XXXI-IV (1204 Days) - Regular Plan - Annual IDCW</t>
  </si>
  <si>
    <t>INF789F1AGZ1</t>
  </si>
  <si>
    <t>UTI Fixed Term Income Fund Series XXXI-IV (1204 Days) - Regular Plan - Maturity IDCW</t>
  </si>
  <si>
    <t>INF789F1AHG9</t>
  </si>
  <si>
    <t>UTI Fixed Term Income Fund Series XXXI-IV (1204 Days) - Regular Plan - Quarterly IDCW</t>
  </si>
  <si>
    <t>INF789F1AJB6</t>
  </si>
  <si>
    <t>UTI - Fixed Term Income Fund Series XXXI-IX (1168 Days) - Direct Plan - Growth Option</t>
  </si>
  <si>
    <t>INF789F1AIW4</t>
  </si>
  <si>
    <t>UTI - Fixed Term Income Fund Series XXXI-IX (1168 Days) - Regular Plan - Growth Option</t>
  </si>
  <si>
    <t>INF789F1AJD2</t>
  </si>
  <si>
    <t>UTI Fixed Term Income Fund Series XXXI-IX (1168 Days) - Direct Plan - Annual IDCW</t>
  </si>
  <si>
    <t>INF789F1AJF7</t>
  </si>
  <si>
    <t>UTI Fixed Term Income Fund Series XXXI-IX (1168 Days) - Direct Plan - Flexi IDCW</t>
  </si>
  <si>
    <t>INF789F1AJE0</t>
  </si>
  <si>
    <t>UTI Fixed Term Income Fund Series XXXI-IX (1168 Days) - Direct Plan - Maturity IDCW</t>
  </si>
  <si>
    <t>INF789F1AJC4</t>
  </si>
  <si>
    <t>UTI Fixed Term Income Fund Series XXXI-IX (1168 Days) - Direct Plan - Quarterly IDCW</t>
  </si>
  <si>
    <t>INF789F1AIY0</t>
  </si>
  <si>
    <t>UTI Fixed Term Income Fund Series XXXI-IX (1168 Days) - Regular Plan - Annual IDCW</t>
  </si>
  <si>
    <t>INF789F1AIZ7</t>
  </si>
  <si>
    <t>UTI Fixed Term Income Fund Series XXXI-IX (1168 Days) - Regular Plan - Maturity IDCW</t>
  </si>
  <si>
    <t>INF789F1AIX2</t>
  </si>
  <si>
    <t>UTI Fixed Term Income Fund Series XXXI-IX (1168 Days) - Regular Plan - Quarterly IDCW</t>
  </si>
  <si>
    <t>INF789F1AHM7</t>
  </si>
  <si>
    <t>UTI - Fixed Term Income Fund Series XXXI-V (1174 Days) - Direct Plan - Growth Option</t>
  </si>
  <si>
    <t>INF789F1AHH7</t>
  </si>
  <si>
    <t>UTI - Fixed Term Income Fund Series XXXI-V (1174 Days) - Regular Plan - Growth Option</t>
  </si>
  <si>
    <t>INF789F1AHO3</t>
  </si>
  <si>
    <t>UTI Fixed Term Income Fund Series XXXI-V (1174 Days) - Direct Plan - Annual IDCW</t>
  </si>
  <si>
    <t>INF789F1AHQ8</t>
  </si>
  <si>
    <t>UTI Fixed Term Income Fund Series XXXI-V (1174 Days) - Direct Plan - Flexi IDCW</t>
  </si>
  <si>
    <t>INF789F1AHP0</t>
  </si>
  <si>
    <t>UTI Fixed Term Income Fund Series XXXI-V (1174 Days) - Direct Plan - Maturity IDCW</t>
  </si>
  <si>
    <t>INF789F1AHN5</t>
  </si>
  <si>
    <t>UTI Fixed Term Income Fund Series XXXI-V (1174 Days) - Direct Plan - Quarterly IDCW</t>
  </si>
  <si>
    <t>INF789F1AHJ3</t>
  </si>
  <si>
    <t>UTI Fixed Term Income Fund Series XXXI-V (1174 Days) - Regular Plan - Annual IDCW</t>
  </si>
  <si>
    <t>INF789F1AHK1</t>
  </si>
  <si>
    <t>UTI Fixed Term Income Fund Series XXXI-V (1174 Days) - Regular Plan - Maturity IDCW</t>
  </si>
  <si>
    <t>INF789F1AHI5</t>
  </si>
  <si>
    <t>UTI Fixed Term Income Fund Series XXXI-V (1174 Days) - Regular Plan - Quarterly IDCW</t>
  </si>
  <si>
    <t>INF789F1AHX4</t>
  </si>
  <si>
    <t>UTI - Fixed Term Income Fund Series XXXI-VI (1167 Days) - Direct Plan - Growth Option</t>
  </si>
  <si>
    <t>INF789F1AHS4</t>
  </si>
  <si>
    <t>UTI - Fixed Term Income Fund Series XXXI-VI (1167 Days) - Regular Plan - Growth Option</t>
  </si>
  <si>
    <t>INF789F1AHZ9</t>
  </si>
  <si>
    <t>UTI Fixed Term Income Fund Series XXXI-VI (1167 Days) - Direct Plan - Annual IDCW</t>
  </si>
  <si>
    <t>INF789F1AIB8</t>
  </si>
  <si>
    <t>UTI Fixed Term Income Fund Series XXXI-VI (1167 Days) - Direct Plan - Flexi IDCW</t>
  </si>
  <si>
    <t>INF789F1AIA0</t>
  </si>
  <si>
    <t>UTI Fixed Term Income Fund Series XXXI-VI (1167 Days) - Direct Plan - Maturity IDCW</t>
  </si>
  <si>
    <t>INF789F1AHY2</t>
  </si>
  <si>
    <t>UTI Fixed Term Income Fund Series XXXI-VI (1167 Days) - Direct Plan - Quarterly IDCW</t>
  </si>
  <si>
    <t>INF789F1AHT2</t>
  </si>
  <si>
    <t>UTI Fixed Term Income Fund Series XXXI-VI (1167 Days) - Regular Plan - Quarterly IDCW</t>
  </si>
  <si>
    <t>INF789F1AIH5</t>
  </si>
  <si>
    <t>UTI - Fixed Term Income Fund Series XXXI-VII (1155 Days) - Direct Plan - Growth Option</t>
  </si>
  <si>
    <t>INF789F1AIC6</t>
  </si>
  <si>
    <t>UTI - Fixed Term Income Fund Series XXXI-VII (1155 Days) - Regular Plan - Growth Option</t>
  </si>
  <si>
    <t>INF789F1AIJ1</t>
  </si>
  <si>
    <t>UTI Fixed Term Income Fund Series XXXI-VII (1155 Days) - Direct Plan - Annual IDCW</t>
  </si>
  <si>
    <t>INF789F1AIK9</t>
  </si>
  <si>
    <t>UTI Fixed Term Income Fund Series XXXI-VII (1155 Days) - Direct Plan - Maturity IDCW</t>
  </si>
  <si>
    <t>INF789F1AII3</t>
  </si>
  <si>
    <t>UTI Fixed Term Income Fund Series XXXI-VII (1155 Days) - Direct Plan - Quarterly IDCW</t>
  </si>
  <si>
    <t>INF789F1AIE2</t>
  </si>
  <si>
    <t>UTI Fixed Term Income Fund Series XXXI-VII (1155 Days) - Regular Plan - Annual IDCW</t>
  </si>
  <si>
    <t>INF789F1AIG7</t>
  </si>
  <si>
    <t>UTI Fixed Term Income Fund Series XXXI-VII (1155 Days) - Regular Plan - Flexi IDCW</t>
  </si>
  <si>
    <t>INF789F1AIF9</t>
  </si>
  <si>
    <t>UTI Fixed Term Income Fund Series XXXI-VII (1155 Days) - Regular Plan - Maturity IDCW</t>
  </si>
  <si>
    <t>INF789F1AID4</t>
  </si>
  <si>
    <t>UTI Fixed Term Income Fund Series XXXI-VII (1155 Days) - Regular Plan - Quarterly IDCW</t>
  </si>
  <si>
    <t>INF789F1AIU8</t>
  </si>
  <si>
    <t>UTI - Fixed Term Income Fund Series XXXI-VIII (1153 Days) - Direct Plan - Growth Option</t>
  </si>
  <si>
    <t>INF789F1AIP8</t>
  </si>
  <si>
    <t>UTI - Fixed Term Income Fund Series XXXI-VIII (1153 Days) - Regular Plan - Growth Option</t>
  </si>
  <si>
    <t>INF789F1AIS2</t>
  </si>
  <si>
    <t>UTI Fixed Term Income Fund Series XXXI-VIII (1153 Days) - Direct Plan - Annual IDCW</t>
  </si>
  <si>
    <t>INF789F1AIV6</t>
  </si>
  <si>
    <t>UTI Fixed Term Income Fund Series XXXI-VIII (1153 Days) - Direct Plan - Flexi IDCW</t>
  </si>
  <si>
    <t>INF789F1AIT0</t>
  </si>
  <si>
    <t>UTI Fixed Term Income Fund Series XXXI-VIII (1153 Days) - Direct Plan - Maturity IDCW</t>
  </si>
  <si>
    <t>INF789F1AIR4</t>
  </si>
  <si>
    <t>UTI Fixed Term Income Fund Series XXXI-VIII (1153 Days) - Direct Plan - Quarterly IDCW</t>
  </si>
  <si>
    <t>INF789F1AIQ6</t>
  </si>
  <si>
    <t>UTI Fixed Term Income Fund Series XXXI-VIII (1153 Days) - Regular Plan - Flexi IDCW</t>
  </si>
  <si>
    <t>INF789F1AIM5</t>
  </si>
  <si>
    <t>UTI Fixed Term Income Fund Series XXXI-VIII (1153 Days) - Regular Plan - Quarterly IDCW</t>
  </si>
  <si>
    <t>INF789F1AJL5</t>
  </si>
  <si>
    <t>UTI - Fixed Term Income Fund Series XXXI-X (1168 Days) - Direct Plan - Growth Option</t>
  </si>
  <si>
    <t>INF789F1AJG5</t>
  </si>
  <si>
    <t>UTI - Fixed Term Income Fund Series XXXI-X (1168 Days) - Regular Plan - Growth Option</t>
  </si>
  <si>
    <t>INF789F1AJN1</t>
  </si>
  <si>
    <t>UTI Fixed Term Income Fund Series XXXI-X (1168 Days) - Direct Plan - Annual IDCW</t>
  </si>
  <si>
    <t>INF789F1AJO9</t>
  </si>
  <si>
    <t>UTI Fixed Term Income Fund Series XXXI-X (1168 Days) - Direct Plan - Maturity IDCW</t>
  </si>
  <si>
    <t>INF789F1AJM3</t>
  </si>
  <si>
    <t>UTI Fixed Term Income Fund Series XXXI-X (1168 Days) - Direct Plan - Quarterly IDCW</t>
  </si>
  <si>
    <t>INF789F1AJH3</t>
  </si>
  <si>
    <t>UTI Fixed Term Income Fund Series XXXI-X (1168 Days) - Regular Plan - Quarterly IDCW</t>
  </si>
  <si>
    <t>INF789F1AJV4</t>
  </si>
  <si>
    <t>UTI - Fixed Term Income Fund Series XXXI-XI (1169 Days) - Direct Plan - Growth Option</t>
  </si>
  <si>
    <t>INF789F1AJQ4</t>
  </si>
  <si>
    <t>UTI - Fixed Term Income Fund Series XXXI-XI (1169 Days) - Regular Plan - Growth Option</t>
  </si>
  <si>
    <t>INF789F1AJX0</t>
  </si>
  <si>
    <t>UTI Fixed Term Income Fund Series XXXI-XI (1169 Days) - Direct Plan - Annual IDCW</t>
  </si>
  <si>
    <t>INF789F1AJY8</t>
  </si>
  <si>
    <t>UTI Fixed Term Income Fund Series XXXI-XI (1169 Days) - Direct Plan - Maturity IDCW</t>
  </si>
  <si>
    <t>INF789F1AJW2</t>
  </si>
  <si>
    <t>UTI Fixed Term Income Fund Series XXXI-XI (1169 Days) - Direct Plan - Quarterly IDCW</t>
  </si>
  <si>
    <t>INF789F1AJS0</t>
  </si>
  <si>
    <t>UTI Fixed Term Income Fund Series XXXI-XI (1169 Days) - Regular Plan - Annual IDCW</t>
  </si>
  <si>
    <t>INF789F1AJT8</t>
  </si>
  <si>
    <t>UTI Fixed Term Income Fund Series XXXI-XI (1169 Days) - Regular Plan - Maturity IDCW</t>
  </si>
  <si>
    <t>INF789F1AJR2</t>
  </si>
  <si>
    <t>UTI Fixed Term Income Fund Series XXXI-XI (1169 Days) - Regular Plan - Quarterly IDCW</t>
  </si>
  <si>
    <t>INF789F1AKF5</t>
  </si>
  <si>
    <t>UTI - Fixed Term Income Fund Series XXXI-XII (1148 Days) - Direct Plan - Growth Option</t>
  </si>
  <si>
    <t>INF789F1AKA6</t>
  </si>
  <si>
    <t>UTI - Fixed Term Income Fund Series XXXI-XII (1148 Days) - Regular Plan - Growth Option</t>
  </si>
  <si>
    <t>INF789F1AKH1</t>
  </si>
  <si>
    <t>UTI Fixed Term Income Fund Series XXXI-XII (1148 Days) - Direct Plan - Annual IDCW</t>
  </si>
  <si>
    <t>INF789F1AKG3</t>
  </si>
  <si>
    <t>UTI Fixed Term Income Fund Series XXXI-XII (1148 Days) - Direct Plan - Quarterly IDCW</t>
  </si>
  <si>
    <t>INF789F1AKC2</t>
  </si>
  <si>
    <t>UTI Fixed Term Income Fund Series XXXI-XII (1148 Days) - Regular Plan - Annual IDCW</t>
  </si>
  <si>
    <t>INF789F1AKD0</t>
  </si>
  <si>
    <t>UTI Fixed Term Income Fund Series XXXI-XII (1148 Days) - Regular Plan - Maturity IDCW</t>
  </si>
  <si>
    <t>INF789F1AKB4</t>
  </si>
  <si>
    <t>UTI Fixed Term Income Fund Series XXXI-XII (1148 Days) - Regular Plan - Quarterly IDCW</t>
  </si>
  <si>
    <t>INF789F1AKP4</t>
  </si>
  <si>
    <t>UTI - Fixed Term Income Fund Series XXXI-XIII (1127 Days) - Direct Plan - Growth Option</t>
  </si>
  <si>
    <t>INF789F1AKK5</t>
  </si>
  <si>
    <t>UTI - Fixed Term Income Fund Series XXXI-XIII (1127 Days) - Regular Plan - Growth Option</t>
  </si>
  <si>
    <t>INF789F1AKR0</t>
  </si>
  <si>
    <t>UTI Fixed Term Income Fund Series XXXI-XIII (1127 Days) - Direct Plan - Annual IDCW</t>
  </si>
  <si>
    <t>INF789F1AKQ2</t>
  </si>
  <si>
    <t>UTI Fixed Term Income Fund Series XXXI-XIII (1127 Days) - Direct Plan - Quarterly IDCW</t>
  </si>
  <si>
    <t>INF789F1AKN9</t>
  </si>
  <si>
    <t>UTI Fixed Term Income Fund Series XXXI-XIII (1127 Days) - Regular Plan - Maturity IDCW</t>
  </si>
  <si>
    <t>INF789F1AKL3</t>
  </si>
  <si>
    <t>UTI Fixed Term Income Fund Series XXXI-XIII (1127 Days) - Regular Plan - Quarterly IDCW</t>
  </si>
  <si>
    <t>INF789F1AKZ3</t>
  </si>
  <si>
    <t>UTI - Fixed Term Income Fund Series XXXI-XIV (1111 Days) - Direct Plan - Growth Option</t>
  </si>
  <si>
    <t>INF789F1AKU4</t>
  </si>
  <si>
    <t>UTI - Fixed Term Income Fund Series XXXI-XIV (1111 Days) - Regular Plan - Growth Option</t>
  </si>
  <si>
    <t>INF789F1ALC0</t>
  </si>
  <si>
    <t>UTI Fixed Term Income Fund Series XXXI-XIV (1111 Days) - Direct Plan - Maturity IDCW</t>
  </si>
  <si>
    <t>INF789F1ALA4</t>
  </si>
  <si>
    <t>UTI Fixed Term Income Fund Series XXXI-XIV (1111 Days) - Direct Plan - Quarterly IDCW</t>
  </si>
  <si>
    <t>INF789F1AKW0</t>
  </si>
  <si>
    <t>UTI Fixed Term Income Fund Series XXXI-XIV (1111 Days) - Regular Plan - Annual IDCW</t>
  </si>
  <si>
    <t>INF789F1AKY6</t>
  </si>
  <si>
    <t>UTI Fixed Term Income Fund Series XXXI-XIV (1111 Days) - Regular Plan - Flexi IDCW</t>
  </si>
  <si>
    <t>INF789F1AKX8</t>
  </si>
  <si>
    <t>UTI Fixed Term Income Fund Series XXXI-XIV (1111 Days) - Regular Plan - Maturity IDCW</t>
  </si>
  <si>
    <t>INF789F1AKV2</t>
  </si>
  <si>
    <t>UTI Fixed Term Income Fund Series XXXI-XIV (1111 Days) - Regular Plan - Quarterly IDCW</t>
  </si>
  <si>
    <t>INF789F1ALJ5</t>
  </si>
  <si>
    <t>UTI - Fixed Term Income Fund Series XXXI-XV (1099 Days) - Direct Plan - Growth Option</t>
  </si>
  <si>
    <t>INF789F1ALE6</t>
  </si>
  <si>
    <t>UTI - Fixed Term Income Fund Series XXXI-XV (1099 Days) - Regular Plan - Growth Option</t>
  </si>
  <si>
    <t>INF789F1ALL1</t>
  </si>
  <si>
    <t>UTI Fixed Term Income Fund Series XXXI-XV (1099 Days) - Direct Plan - Annual IDCW</t>
  </si>
  <si>
    <t>INF789F1ALM9</t>
  </si>
  <si>
    <t>UTI Fixed Term Income Fund Series XXXI-XV (1099 Days) - Direct Plan - Maturity IDCW</t>
  </si>
  <si>
    <t>INF789F1ALK3</t>
  </si>
  <si>
    <t>UTI Fixed Term Income Fund Series XXXI-XV (1099 Days) - Direct Plan - Quarterly IDCW</t>
  </si>
  <si>
    <t>INF789F1ALG1</t>
  </si>
  <si>
    <t>UTI Fixed Term Income Fund Series XXXI-XV (1099 Days) - Regular Plan - Annual IDCW</t>
  </si>
  <si>
    <t>INF789F1ALI7</t>
  </si>
  <si>
    <t>UTI Fixed Term Income Fund Series XXXI-XV (1099 Days) - Regular Plan - Flexi IDCW</t>
  </si>
  <si>
    <t>INF789F1ALH9</t>
  </si>
  <si>
    <t>UTI Fixed Term Income Fund Series XXXI-XV (1099 Days) - Regular Plan - Maturity IDCW</t>
  </si>
  <si>
    <t>INF789F1ALF3</t>
  </si>
  <si>
    <t>UTI Fixed Term Income Fund Series XXXI-XV (1099 Days) - Regular Plan - Quarterly IDCW</t>
  </si>
  <si>
    <t>INF789F1ALT4</t>
  </si>
  <si>
    <t>UTI - Fixed Term Income Fund Series XXXII-I (1126 days) Direct Plan Growth Option</t>
  </si>
  <si>
    <t>INF789F1ALO5</t>
  </si>
  <si>
    <t>UTI - Fixed Term Income Fund Series XXXII-I (1126 days) Regular Plan Growth Option</t>
  </si>
  <si>
    <t>INF789F1ALV0</t>
  </si>
  <si>
    <t>UTI Fixed Term Income Fund Series XXXII-I(1126 Days) - Direct Plan - Annual IDCW</t>
  </si>
  <si>
    <t>INF789F1ALX6</t>
  </si>
  <si>
    <t>UTI Fixed Term Income Fund Series XXXII-I(1126 Days) - Direct Plan - Flexi IDCW</t>
  </si>
  <si>
    <t>INF789F1ALW8</t>
  </si>
  <si>
    <t>UTI Fixed Term Income Fund Series XXXII-I(1126 Days) - Direct Plan - Maturity IDCW</t>
  </si>
  <si>
    <t>INF789F1ALU2</t>
  </si>
  <si>
    <t>UTI Fixed Term Income Fund Series XXXII-I(1126 Days) - Direct Plan - Quarterly IDCW</t>
  </si>
  <si>
    <t>INF789F1ALQ0</t>
  </si>
  <si>
    <t>UTI Fixed Term Income Fund Series XXXII-I(1126 Days) - Regular Plan - Annual IDCW</t>
  </si>
  <si>
    <t>INF789F1ALR8</t>
  </si>
  <si>
    <t>UTI Fixed Term Income Fund Series XXXII-I(1126 Days) - Regular Plan - Maturity IDCW</t>
  </si>
  <si>
    <t>INF789F1ALP2</t>
  </si>
  <si>
    <t>UTI Fixed Term Income Fund Series XXXII-I(1126 Days) - Regular Plan - Quarterly IDCW</t>
  </si>
  <si>
    <t>INF789F1AMD6</t>
  </si>
  <si>
    <t>UTI - Fixed Term Income Fund Series XXXII-II (1111 Days) - Direct Plan - Growth Option</t>
  </si>
  <si>
    <t>INF789F1ALY4</t>
  </si>
  <si>
    <t>UTI - Fixed Term Income Fund Series XXXII-II (1111 Days) - Regular Plan - Growth Option</t>
  </si>
  <si>
    <t>INF789F1AMF1</t>
  </si>
  <si>
    <t>UTI Fixed Term Income Fund Series XXXII-II(1111 Days) - Direct Plan - Annual IDCW</t>
  </si>
  <si>
    <t>INF789F1AMH7</t>
  </si>
  <si>
    <t>UTI Fixed Term Income Fund Series XXXII-II(1111 Days) - Direct Plan - Flexi IDCW</t>
  </si>
  <si>
    <t>INF789F1AME4</t>
  </si>
  <si>
    <t>UTI Fixed Term Income Fund Series XXXII-II(1111 Days) - Direct Plan - Quarterly IDCW</t>
  </si>
  <si>
    <t>INF789F1AMA2</t>
  </si>
  <si>
    <t>UTI Fixed Term Income Fund Series XXXII-II(1111 Days) - Regular Plan - Annual IDCW</t>
  </si>
  <si>
    <t>INF789F1AMC8</t>
  </si>
  <si>
    <t>UTI Fixed Term Income Fund Series XXXII-II(1111 Days) - Regular Plan - Flexi IDCW</t>
  </si>
  <si>
    <t>INF789F1AMB0</t>
  </si>
  <si>
    <t>UTI Fixed Term Income Fund Series XXXII-II(1111 Days) - Regular Plan - Maturity IDCW</t>
  </si>
  <si>
    <t>INF789F1ALZ1</t>
  </si>
  <si>
    <t>UTI Fixed Term Income Fund Series XXXII-II(1111 Days) - Regular Plan - Quarterly IDCW</t>
  </si>
  <si>
    <t>INF789F1ARA1</t>
  </si>
  <si>
    <t>UTI - Fixed Term Income Fund Series XXXIII-I (1135 Days) - Direct Plan - Growth Option</t>
  </si>
  <si>
    <t>INF789F1AQV9</t>
  </si>
  <si>
    <t>UTI - Fixed Term Income Fund Series XXXIII-I (1135 Days) - Regular Plan - Growth Option</t>
  </si>
  <si>
    <t>INF789F1AQY3</t>
  </si>
  <si>
    <t>UTI Fixed Term Income Fund Series XXXIII-I (1135 Days) - Direct Plan - Annual IDCW</t>
  </si>
  <si>
    <t>INF789F1ARB9</t>
  </si>
  <si>
    <t>UTI Fixed Term Income Fund Series XXXIII-I (1135 Days) - Direct Plan - Flexi IDCW</t>
  </si>
  <si>
    <t>INF789F1AQZ0</t>
  </si>
  <si>
    <t>UTI Fixed Term Income Fund Series XXXIII-I (1135 Days) - Direct Plan - Maturity IDCW</t>
  </si>
  <si>
    <t>INF789F1AQX5</t>
  </si>
  <si>
    <t>UTI Fixed Term Income Fund Series XXXIII-I (1135 Days) - Direct Plan - Quarterly IDCW</t>
  </si>
  <si>
    <t>INF789F1AQT3</t>
  </si>
  <si>
    <t>UTI Fixed Term Income Fund Series XXXIII-I (1135 Days) - Regular Plan - Annual IDCW</t>
  </si>
  <si>
    <t>INF789F1AQU1</t>
  </si>
  <si>
    <t>UTI Fixed Term Income Fund Series XXXIII-I (1135 Days) - Regular Plan - Maturity IDCW</t>
  </si>
  <si>
    <t>INF789F1AQS5</t>
  </si>
  <si>
    <t>UTI Fixed Term Income Fund Series XXXIII-I (1135 Days) - Regular Plan - Quarterly IDCW</t>
  </si>
  <si>
    <t>INF789FC1MV5</t>
  </si>
  <si>
    <t>UTI FTIF Series XXVI-IX (1113 Days)- Direct Plan - Annual Div Option</t>
  </si>
  <si>
    <t>INF789FC1NB5</t>
  </si>
  <si>
    <t>UTI FTIF Series XXVI-IX (1113 Days)- Direct Plan - Growth Option</t>
  </si>
  <si>
    <t>INF789FC1NA7</t>
  </si>
  <si>
    <t>UTI FTIF Series XXVI-IX (1113 Days)- Direct Plan - Maturity Div Option</t>
  </si>
  <si>
    <t>INF789FC1MU7</t>
  </si>
  <si>
    <t>UTI FTIF Series XXVI-IX (1113 Days)- Direct Plan - Quarterly Div Option</t>
  </si>
  <si>
    <t>INF789FC1MZ6</t>
  </si>
  <si>
    <t>UTI FTIF Series XXVI-IX (1113 Days)- Regular Plan - Annual Div Option</t>
  </si>
  <si>
    <t>INF789FC1MX1</t>
  </si>
  <si>
    <t>UTI FTIF Series XXVI-IX (1113 Days)- Regular Plan - Flexi Div Option</t>
  </si>
  <si>
    <t>INF789FC1ND1</t>
  </si>
  <si>
    <t>UTI FTIF Series XXVI-IX (1113 Days)- Regular Plan - Growth Option</t>
  </si>
  <si>
    <t>INF789FC1NC3</t>
  </si>
  <si>
    <t>UTI FTIF Series XXVI-IX (1113 Days)- Regular Plan - Maturity Div Option</t>
  </si>
  <si>
    <t>INF789FC1MY9</t>
  </si>
  <si>
    <t>UTI FTIF Series XXVI-IX (1113 Days)- Regular Plan - Quarterly Div Option</t>
  </si>
  <si>
    <t>INF789FC1NF6</t>
  </si>
  <si>
    <t>UTI FTIF Series XXVI-X (1107 Days)- Direct Plan - Annual Div Option</t>
  </si>
  <si>
    <t>INF789FC1NG4</t>
  </si>
  <si>
    <t>UTI FTIF Series XXVI-X (1107 Days)- Direct Plan - Flexi Div Option</t>
  </si>
  <si>
    <t>INF789FC1NL4</t>
  </si>
  <si>
    <t>UTI FTIF Series XXVI-X (1107 Days)- Direct Plan - Growth Option</t>
  </si>
  <si>
    <t>INF789FC1NK6</t>
  </si>
  <si>
    <t>UTI FTIF Series XXVI-X (1107 Days)- Direct Plan - Maturity Div Option</t>
  </si>
  <si>
    <t>INF789FC1NE9</t>
  </si>
  <si>
    <t>UTI FTIF Series XXVI-X (1107 Days)- Direct Plan - Quarterly Div Option</t>
  </si>
  <si>
    <t>INF789FC1NJ8</t>
  </si>
  <si>
    <t>UTI FTIF Series XXVI-X (1107 Days)- Regular Plan - Annual Div Option</t>
  </si>
  <si>
    <t>INF789FC1NN0</t>
  </si>
  <si>
    <t>UTI FTIF Series XXVI-X (1107 Days)- Regular Plan - Growth Option</t>
  </si>
  <si>
    <t>INF789FC1NM2</t>
  </si>
  <si>
    <t>UTI FTIF Series XXVI-X (1107 Days)- Regular Plan - Maturity Div Option</t>
  </si>
  <si>
    <t>INF789FC1NI0</t>
  </si>
  <si>
    <t>UTI FTIF Series XXVI-X (1107 Days)- Regular Plan - Quarterly Div Option</t>
  </si>
  <si>
    <t>INF789FC1ST6</t>
  </si>
  <si>
    <t>UTI FTIF Series XXVI-XI (1105 Days)- Direct Plan - Annual Div Option</t>
  </si>
  <si>
    <t>INF789FC1SU4</t>
  </si>
  <si>
    <t>UTI FTIF Series XXVI-XI (1105 Days)- Direct Plan - Flexi Div Option</t>
  </si>
  <si>
    <t>INF789FC1SZ3</t>
  </si>
  <si>
    <t>UTI FTIF Series XXVI-XI (1105 Days)- Direct Plan - Growth Option</t>
  </si>
  <si>
    <t>INF789FC1SY6</t>
  </si>
  <si>
    <t>UTI FTIF Series XXVI-XI (1105 Days)- Direct Plan - Maturity Div Option</t>
  </si>
  <si>
    <t>INF789FC1SS8</t>
  </si>
  <si>
    <t>UTI FTIF Series XXVI-XI (1105 Days)- Direct Plan - Quarterly Div  Option</t>
  </si>
  <si>
    <t>INF789FC1SX8</t>
  </si>
  <si>
    <t>UTI FTIF Series XXVI-XI (1105 Days)- Regular Plan - Annual Div Option</t>
  </si>
  <si>
    <t>INF789FC1SV2</t>
  </si>
  <si>
    <t>UTI FTIF Series XXVI-XI (1105 Days)- Regular Plan - Flexi Div Option</t>
  </si>
  <si>
    <t>INF789FC1TB2</t>
  </si>
  <si>
    <t>UTI FTIF Series XXVI-XI (1105 Days)- Regular Plan - Growth Option</t>
  </si>
  <si>
    <t>INF789FC1TA4</t>
  </si>
  <si>
    <t>UTI FTIF Series XXVI-XI (1105 Days)- Regular Plan - Maturity Div Option</t>
  </si>
  <si>
    <t>INF789FC1SW0</t>
  </si>
  <si>
    <t>UTI FTIF Series XXVI-XI (1105 Days)- Regular Plan - Quarterly Div Option</t>
  </si>
  <si>
    <t>INF789FC1TM9</t>
  </si>
  <si>
    <t>UTI FTIF Series XXVI-XII (1096 Days)- Direct Plan  - Maturity Div Option</t>
  </si>
  <si>
    <t>INF789FC1TH9</t>
  </si>
  <si>
    <t>UTI FTIF Series XXVI-XII (1096 Days)- Direct Plan - Annual Div Option</t>
  </si>
  <si>
    <t>INF789FC1TI7</t>
  </si>
  <si>
    <t>UTI FTIF Series XXVI-XII (1096 Days)- Direct Plan - Flexi Div Option</t>
  </si>
  <si>
    <t>INF789FC1TN7</t>
  </si>
  <si>
    <t>UTI FTIF Series XXVI-XII (1096 Days)- Direct Plan - Growth Option</t>
  </si>
  <si>
    <t>INF789FC1TG1</t>
  </si>
  <si>
    <t>UTI FTIF Series XXVI-XII (1096 Days)- Direct Plan - Quarterly Div Option</t>
  </si>
  <si>
    <t>INF789FC1TL1</t>
  </si>
  <si>
    <t>UTI FTIF Series XXVI-XII (1096 Days)- Regular Plan - Annual Div Option</t>
  </si>
  <si>
    <t>INF789FC1TP2</t>
  </si>
  <si>
    <t>UTI FTIF Series XXVI-XII (1096 Days)- Regular Plan - Growth Option</t>
  </si>
  <si>
    <t>INF789FC1TO5</t>
  </si>
  <si>
    <t>UTI FTIF Series XXVI-XII (1096 Days)- Regular Plan - Maturity Div Option</t>
  </si>
  <si>
    <t>INF789FC1TK3</t>
  </si>
  <si>
    <t>UTI FTIF Series XXVI-XII (1096 Days)- Regular Plan - Quarterly Div Option</t>
  </si>
  <si>
    <t>INF789FC1TR8</t>
  </si>
  <si>
    <t>UTI FTIF Series XXVI-XIII (1124 Days)- Direct Plan - Annual Div Option</t>
  </si>
  <si>
    <t>INF789FC1TX6</t>
  </si>
  <si>
    <t>UTI FTIF Series XXVI-XIII (1124 Days)- Direct Plan - Growth Option</t>
  </si>
  <si>
    <t>INF789FC1TW8</t>
  </si>
  <si>
    <t>UTI FTIF Series XXVI-XIII (1124 Days)- Direct Plan - Maturity Div Option</t>
  </si>
  <si>
    <t>INF789FC1TQ0</t>
  </si>
  <si>
    <t>UTI FTIF Series XXVI-XIII (1124 Days)- Direct Plan - Quarterly Div Option</t>
  </si>
  <si>
    <t>INF789FC1TV0</t>
  </si>
  <si>
    <t>UTI FTIF Series XXVI-XIII (1124 Days)- Regular Plan - Annual Div Option</t>
  </si>
  <si>
    <t>INF789FC1TT4</t>
  </si>
  <si>
    <t>UTI FTIF Series XXVI-XIII (1124 Days)- Regular Plan - Flexi Div Option</t>
  </si>
  <si>
    <t>INF789FC1TZ1</t>
  </si>
  <si>
    <t>UTI FTIF Series XXVI-XIII (1124 Days)- Regular Plan - Growth Option</t>
  </si>
  <si>
    <t>INF789FC1TY4</t>
  </si>
  <si>
    <t>UTI FTIF Series XXVI-XIII (1124 Days)- Regular Plan - Maturity Div Option</t>
  </si>
  <si>
    <t>INF789FC1TU2</t>
  </si>
  <si>
    <t>UTI FTIF Series XXVI-XIII (1124 Days)- Regular Plan - Quarterly Div Option</t>
  </si>
  <si>
    <t>INF789FC1ZP9</t>
  </si>
  <si>
    <t>UTI FTIF Series XXVI-XIV (1105 Days) - Direct Plan - Annual Div Option</t>
  </si>
  <si>
    <t>INF789FC1ZQ7</t>
  </si>
  <si>
    <t>UTI FTIF Series XXVI-XIV (1105 Days) - Direct Plan - Flexi Div Option</t>
  </si>
  <si>
    <t>INF789FC1ZV7</t>
  </si>
  <si>
    <t>UTI FTIF Series XXVI-XIV (1105 Days) - Direct Plan - Growth Option</t>
  </si>
  <si>
    <t>INF789FC1ZU9</t>
  </si>
  <si>
    <t>UTI FTIF Series XXVI-XIV (1105 Days) - Direct Plan - Maturity Div Div Option</t>
  </si>
  <si>
    <t>INF789FC1ZO2</t>
  </si>
  <si>
    <t>UTI FTIF Series XXVI-XIV (1105 Days) - Direct Plan - Quarterly Div Option</t>
  </si>
  <si>
    <t>INF789FC1ZT1</t>
  </si>
  <si>
    <t>UTI FTIF Series XXVI-XIV (1105 Days) - Regular Plan - Annual Div Option</t>
  </si>
  <si>
    <t>INF789FC1ZR5</t>
  </si>
  <si>
    <t>UTI FTIF Series XXVI-XIV (1105 Days) - Regular Plan - Flexi Div Option</t>
  </si>
  <si>
    <t>INF789FC1ZX3</t>
  </si>
  <si>
    <t>UTI FTIF Series XXVI-XIV (1105 Days) - Regular Plan - Growth Option</t>
  </si>
  <si>
    <t>INF789FC1ZW5</t>
  </si>
  <si>
    <t>UTI FTIF Series XXVI-XIV (1105 Days) - Regular Plan - Maturity Div Option</t>
  </si>
  <si>
    <t>INF789FC1ZS3</t>
  </si>
  <si>
    <t>UTI FTIF Series XXVI-XIV (1105 Days) - Regular Plan - Quarterly Div Option</t>
  </si>
  <si>
    <t>INF789FC1A38</t>
  </si>
  <si>
    <t>UTI FTIF Series XXVI-XV (1097 Days) - Direct Plan - Annual Div Option</t>
  </si>
  <si>
    <t>INF789FC1A95</t>
  </si>
  <si>
    <t>UTI FTIF Series XXVI-XV (1097 Days) - Direct Plan - Growth Option</t>
  </si>
  <si>
    <t>INF789FC1A87</t>
  </si>
  <si>
    <t>UTI FTIF Series XXVI-XV (1097 Days) - Direct Plan - Maturity Div Option</t>
  </si>
  <si>
    <t>INF789FC1A20</t>
  </si>
  <si>
    <t>UTI FTIF Series XXVI-XV (1097 Days) - Direct Plan - Quarterly Div Option</t>
  </si>
  <si>
    <t>INF789FC1A79</t>
  </si>
  <si>
    <t>UTI FTIF Series XXVI-XV (1097 Days) - Regular Plan - Annual Div Option</t>
  </si>
  <si>
    <t>INF789FC1A53</t>
  </si>
  <si>
    <t>UTI FTIF Series XXVI-XV (1097 Days) - Regular Plan - Flexi Div Option</t>
  </si>
  <si>
    <t>INF789FC1B11</t>
  </si>
  <si>
    <t>UTI FTIF Series XXVI-XV (1097 Days) - Regular Plan - Growth Option</t>
  </si>
  <si>
    <t>INF789FC1B03</t>
  </si>
  <si>
    <t>UTI FTIF Series XXVI-XV (1097 Days) - Regular Plan - Maturity Div Option</t>
  </si>
  <si>
    <t>INF789FC1A61</t>
  </si>
  <si>
    <t>UTI FTIF Series XXVI-XV (1097 Days) - Regular Plan - Quarterly Div Option</t>
  </si>
  <si>
    <t>INF789FC1K93</t>
  </si>
  <si>
    <t>UTI FTIF Series XXVII-I (1113 Days) - Direct Plan - Annual Div Option</t>
  </si>
  <si>
    <t>INF789FC1L01</t>
  </si>
  <si>
    <t>UTI FTIF Series XXVII-I (1113 Days) - Direct Plan - Flexi Div Option</t>
  </si>
  <si>
    <t>INF789FC1L50</t>
  </si>
  <si>
    <t>UTI FTIF Series XXVII-I (1113 Days) - Direct Plan - Growth Option</t>
  </si>
  <si>
    <t>INF789FC1L43</t>
  </si>
  <si>
    <t>UTI FTIF Series XXVII-I (1113 Days) - Direct Plan - Maturity Div Option</t>
  </si>
  <si>
    <t>INF789FC1K85</t>
  </si>
  <si>
    <t>UTI FTIF Series XXVII-I (1113 Days) - Direct Plan - Quarterly Div Option</t>
  </si>
  <si>
    <t>INF789FC1L35</t>
  </si>
  <si>
    <t>UTI FTIF Series XXVII-I (1113 Days) - Regular Plan - Annual Div Option</t>
  </si>
  <si>
    <t>INF789FC1L19</t>
  </si>
  <si>
    <t>UTI FTIF Series XXVII-I (1113 Days) - Regular Plan - Flexi Div Option</t>
  </si>
  <si>
    <t>INF789FC1L76</t>
  </si>
  <si>
    <t>UTI FTIF Series XXVII-I (1113 Days) - Regular Plan - Growth Option</t>
  </si>
  <si>
    <t>INF789FC1L68</t>
  </si>
  <si>
    <t>UTI FTIF Series XXVII-I (1113 Days) - Regular Plan - Maturity Div Option</t>
  </si>
  <si>
    <t>INF789FC1L27</t>
  </si>
  <si>
    <t>UTI FTIF Series XXVII-I (1113 Days) - Regular Plan - Quarterly Div Option</t>
  </si>
  <si>
    <t>INF789FC1L92</t>
  </si>
  <si>
    <t>UTI FTIF Series XXVII-II (1161 Days) - Direct Plan - Annual Div Option</t>
  </si>
  <si>
    <t>INF789FC1M59</t>
  </si>
  <si>
    <t>UTI FTIF Series XXVII-II (1161 Days) - Direct Plan - Growth Option</t>
  </si>
  <si>
    <t>INF789FC1L84</t>
  </si>
  <si>
    <t>UTI FTIF Series XXVII-II (1161 Days) - Direct Plan - Quarterly Div Option</t>
  </si>
  <si>
    <t>INF789FC1M34</t>
  </si>
  <si>
    <t>UTI FTIF Series XXVII-II (1161 Days) - Regular Plan - Annual Div Option</t>
  </si>
  <si>
    <t>INF789FC1M18</t>
  </si>
  <si>
    <t>UTI FTIF Series XXVII-II (1161 Days) - Regular Plan - Flexi Div Option</t>
  </si>
  <si>
    <t>INF789FC1M75</t>
  </si>
  <si>
    <t>UTI FTIF Series XXVII-II (1161 Days) - Regular Plan - Growth Option</t>
  </si>
  <si>
    <t>INF789FC1M67</t>
  </si>
  <si>
    <t>UTI FTIF Series XXVII-II (1161 Days) - Regular Plan - Maturity Div Option</t>
  </si>
  <si>
    <t>INF789FC1M26</t>
  </si>
  <si>
    <t>UTI FTIF Series XXVII-II (1161 Days) - Regular Plan - Quarterly Div Option</t>
  </si>
  <si>
    <t>INF789FC1M91</t>
  </si>
  <si>
    <t>UTI FTIF Series XXVII-III (1096 Days) - Direct Plan - Annual Div Option</t>
  </si>
  <si>
    <t>INF789FC1N58</t>
  </si>
  <si>
    <t>UTI FTIF Series XXVII-III (1096 Days) - Direct Plan - Growth Option</t>
  </si>
  <si>
    <t>INF789FC1N41</t>
  </si>
  <si>
    <t>UTI FTIF Series XXVII-III (1096 Days) - Direct Plan - Maturity Div Option</t>
  </si>
  <si>
    <t>INF789FC1M83</t>
  </si>
  <si>
    <t>UTI FTIF Series XXVII-III (1096 Days) - Direct Plan - Quarterly Div Option</t>
  </si>
  <si>
    <t>INF789FC1N33</t>
  </si>
  <si>
    <t>UTI FTIF Series XXVII-III (1096 Days) - Regular Plan - Annual Div Option</t>
  </si>
  <si>
    <t>INF789FC1N74</t>
  </si>
  <si>
    <t>UTI FTIF Series XXVII-III (1096 Days) - Regular Plan - Growth Option</t>
  </si>
  <si>
    <t>INF789FC1N66</t>
  </si>
  <si>
    <t>UTI FTIF Series XXVII-III (1096 Days) - Regular Plan - Maturity Div Option</t>
  </si>
  <si>
    <t>INF789FC1N25</t>
  </si>
  <si>
    <t>UTI FTIF Series XXVII-III (1096 Days) - Regular Plan - Quarterly Div Option</t>
  </si>
  <si>
    <t>INF789FC1O08</t>
  </si>
  <si>
    <t>UTI FTIF Series XXVII-IV (1113 Days) - Direct Plan - Annual Div Option</t>
  </si>
  <si>
    <t>INF789FC1O16</t>
  </si>
  <si>
    <t>UTI FTIF Series XXVII-IV (1113 Days) - Direct Plan - Flexi Div Option</t>
  </si>
  <si>
    <t>INF789FC1O65</t>
  </si>
  <si>
    <t>UTI FTIF Series XXVII-IV (1113 Days) - Direct Plan - Growth Option</t>
  </si>
  <si>
    <t>INF789FC1O57</t>
  </si>
  <si>
    <t>UTI FTIF Series XXVII-IV (1113 Days) - Direct Plan - Maturity Div Option</t>
  </si>
  <si>
    <t>INF789FC1N90</t>
  </si>
  <si>
    <t>UTI FTIF Series XXVII-IV (1113 Days) - Direct Plan - Quarterly Div Option</t>
  </si>
  <si>
    <t>INF789FC1O81</t>
  </si>
  <si>
    <t>UTI FTIF Series XXVII-IV (1113 Days) - Regular - Growth Option</t>
  </si>
  <si>
    <t>INF789FC1O40</t>
  </si>
  <si>
    <t>UTI FTIF Series XXVII-IV (1113 Days) - Regular Plan - Annual Div Option</t>
  </si>
  <si>
    <t>INF789FC1O24</t>
  </si>
  <si>
    <t>UTI FTIF Series XXVII-IV (1113 Days) - Regular Plan - Flexi Div Option</t>
  </si>
  <si>
    <t>INF789FC1O73</t>
  </si>
  <si>
    <t>UTI FTIF Series XXVII-IV (1113 Days) - Regular Plan - Maturity Div Option</t>
  </si>
  <si>
    <t>INF789FC1O32</t>
  </si>
  <si>
    <t>UTI FTIF Series XXVII-IV (1113 Days) - Regular Plan - Quarterly Div Option</t>
  </si>
  <si>
    <t>INF789FC1O99</t>
  </si>
  <si>
    <t>UTI FTIF Series XXVII- V (1097 Days) - Direct Plan - Quarterly Div Option</t>
  </si>
  <si>
    <t>INF789FC1P23</t>
  </si>
  <si>
    <t>UTI FTIF Series XXVII- V (1097 Days) - Regular Plan - Flexi Div Option</t>
  </si>
  <si>
    <t>INF789FC1P07</t>
  </si>
  <si>
    <t>UTI FTIF Series XXVII-V (1097 Days) - Direct Plan - Annual Div Option</t>
  </si>
  <si>
    <t>INF789FC1P15</t>
  </si>
  <si>
    <t>UTI FTIF Series XXVII-V (1097 Days) - Direct Plan - Flexi Div Option</t>
  </si>
  <si>
    <t>INF789FC1P64</t>
  </si>
  <si>
    <t>UTI FTIF Series XXVII-V (1097 Days) - Direct Plan - Growth Option</t>
  </si>
  <si>
    <t>INF789FC1P56</t>
  </si>
  <si>
    <t>UTI FTIF Series XXVII-V (1097 Days) - Direct Plan - Maturity Div Option</t>
  </si>
  <si>
    <t>INF789FC1P49</t>
  </si>
  <si>
    <t>UTI FTIF Series XXVII-V (1097 Days) - Regular Plan - Annual Div Option</t>
  </si>
  <si>
    <t>INF789FC1P80</t>
  </si>
  <si>
    <t>UTI FTIF Series XXVII-V (1097 Days) - Regular Plan - Growth Option</t>
  </si>
  <si>
    <t>INF789FC1P72</t>
  </si>
  <si>
    <t>UTI FTIF Series XXVII-V (1097 Days) - Regular Plan - Maturity Div Option</t>
  </si>
  <si>
    <t>INF789FC1P31</t>
  </si>
  <si>
    <t>UTI FTIF Series XXVII-V (1097 Days) - Regular Plan - Quarterly Div Option</t>
  </si>
  <si>
    <t>INF789FC1R39</t>
  </si>
  <si>
    <t>UTI FTIF Series XXVII-VI (1113 Days) - Direct Plan - Annual Div Option</t>
  </si>
  <si>
    <t>INF789FC1R62</t>
  </si>
  <si>
    <t>UTI FTIF Series XXVII-VI (1113 Days) - Direct Plan - Flexi Div Option</t>
  </si>
  <si>
    <t>INF789FC1R54</t>
  </si>
  <si>
    <t>UTI FTIF Series XXVII-VI (1113 Days) - Direct Plan - Growth Option</t>
  </si>
  <si>
    <t>INF789FC1R47</t>
  </si>
  <si>
    <t>UTI FTIF Series XXVII-VI (1113 Days) - Direct Plan - Maturity Div Option</t>
  </si>
  <si>
    <t>INF789FC1R21</t>
  </si>
  <si>
    <t>UTI FTIF Series XXVII-VI (1113 Days) - Direct Plan - Quarterly Div Option</t>
  </si>
  <si>
    <t>INF789FC1Q89</t>
  </si>
  <si>
    <t>UTI FTIF Series XXVII-VI (1113 Days) - Regular Plan - Annual Div Option</t>
  </si>
  <si>
    <t>INF789FC1R13</t>
  </si>
  <si>
    <t>UTI FTIF Series XXVII-VI (1113 Days) - Regular Plan - Flexi Div Option</t>
  </si>
  <si>
    <t>INF789FC1R05</t>
  </si>
  <si>
    <t>UTI FTIF Series XXVII-VI (1113 Days) - Regular Plan - Growth Option</t>
  </si>
  <si>
    <t>INF789FC1Q97</t>
  </si>
  <si>
    <t>UTI FTIF Series XXVII-VI (1113 Days) - Regular Plan - Maturity Div Option</t>
  </si>
  <si>
    <t>INF789FC1Q71</t>
  </si>
  <si>
    <t>UTI FTIF Series XXVII-VI (1113 Days) - Regular Plan - Quarterly Div Option</t>
  </si>
  <si>
    <t>INF789FC1S38</t>
  </si>
  <si>
    <t>UTI FTIF Series XXVII-VII (1104 Days) - Direct Plan - Annual Div Option</t>
  </si>
  <si>
    <t>INF789FC1S53</t>
  </si>
  <si>
    <t>UTI FTIF Series XXVII-VII (1104 Days) - Direct Plan - Growth Option</t>
  </si>
  <si>
    <t>INF789FC1S46</t>
  </si>
  <si>
    <t>UTI FTIF Series XXVII-VII (1104 Days) - Direct Plan - Maturity Div Option</t>
  </si>
  <si>
    <t>INF789FC1S20</t>
  </si>
  <si>
    <t>UTI FTIF Series XXVII-VII (1104 Days) - Direct Plan - Quarterly Div Option</t>
  </si>
  <si>
    <t>INF789FC1R88</t>
  </si>
  <si>
    <t>UTI FTIF Series XXVII-VII (1104 Days) - Regular Plan - Annual Div Option</t>
  </si>
  <si>
    <t>INF789FC1S12</t>
  </si>
  <si>
    <t>UTI FTIF Series XXVII-VII (1104 Days) - Regular Plan - Flexi Div Option</t>
  </si>
  <si>
    <t>INF789FC1S04</t>
  </si>
  <si>
    <t>UTI FTIF Series XXVII-VII (1104 Days) - Regular Plan - Growth Option</t>
  </si>
  <si>
    <t>INF789FC1R96</t>
  </si>
  <si>
    <t>UTI FTIF Series XXVII-VII (1104 Days) - Regular Plan - Maturity Div Option</t>
  </si>
  <si>
    <t>INF789FC1R70</t>
  </si>
  <si>
    <t>UTI FTIF Series XXVII-VII (1104 Days) - Regular Plan - Quarterly Div Option</t>
  </si>
  <si>
    <t>INF789FC1AD8</t>
  </si>
  <si>
    <t>UTI FTIF Series XXIV - XIV (1831 Days) - Direct Plan - Maturity IDCW</t>
  </si>
  <si>
    <t>INF789FC1972</t>
  </si>
  <si>
    <t>UTI FTIF Series XXIV - XIV (1831 Days) - Direct Plan - Quarterly IDCW</t>
  </si>
  <si>
    <t>INF789FC1AC0</t>
  </si>
  <si>
    <t>UTI FTIF Series XXIV - XIV (1831 Days) - Regular Plan - Annual IDCW</t>
  </si>
  <si>
    <t>INF789FC1AA4</t>
  </si>
  <si>
    <t>UTI FTIF Series XXIV - XIV (1831 Days) - Regular Plan - Flexi IDCW</t>
  </si>
  <si>
    <t>INF789FC1AF3</t>
  </si>
  <si>
    <t>UTI FTIF Series XXIV - XIV (1831 Days) - Regular Plan - Maturity IDCW</t>
  </si>
  <si>
    <t>INF789FC1AB2</t>
  </si>
  <si>
    <t>UTI FTIF Series XXIV - XIV (1831 Days) - Regular Plan - Quarterly IDCW</t>
  </si>
  <si>
    <t>INF789FC1AE6</t>
  </si>
  <si>
    <t>UTI FTIF Series XXIV-XIV (1831 Days)- Direct Plan - Growth Option</t>
  </si>
  <si>
    <t>INF789FC1AG1</t>
  </si>
  <si>
    <t>UTI FTIF Series XXIV-XIV (1831 Days)- Regular Plan - Growth Option</t>
  </si>
  <si>
    <t>INF789FC1FQ9</t>
  </si>
  <si>
    <t>UTI FTIF Series XXV-X (1229 Days)- Direct Plan - Annual Div Option</t>
  </si>
  <si>
    <t>INF789FC1FW7</t>
  </si>
  <si>
    <t>UTI FTIF Series XXV-X (1229 Days)- Direct Plan - Growth Option</t>
  </si>
  <si>
    <t>INF789FC1FP1</t>
  </si>
  <si>
    <t>UTI FTIF Series XXV-X (1229 Days)- Direct Plan - Quarterly Div Option</t>
  </si>
  <si>
    <t>INF789FC1FU1</t>
  </si>
  <si>
    <t>UTI FTIF Series XXV-X (1229 Days)- Regular Plan - Annual Div Option</t>
  </si>
  <si>
    <t>INF789FC1FS5</t>
  </si>
  <si>
    <t>UTI FTIF Series XXV-X (1229 Days)- Regular Plan - Flexi Div Option</t>
  </si>
  <si>
    <t>INF789FC1FY3</t>
  </si>
  <si>
    <t>UTI FTIF Series XXV-X (1229 Days)- Regular Plan - Growth Option</t>
  </si>
  <si>
    <t>INF789FC1FX5</t>
  </si>
  <si>
    <t>UTI FTIF Series XXV-X (1229 Days)- Regular Plan - Maturity Div Option</t>
  </si>
  <si>
    <t>INF789FC1FT3</t>
  </si>
  <si>
    <t>UTI FTIF Series XXV-X (1229 Days)- Regular Plan - Quarterly Div Option</t>
  </si>
  <si>
    <t>INF789FC1GJ2</t>
  </si>
  <si>
    <t>UTI FTIF Series XXV-XI (1211 Days)- Direct Plan - Annual Div Option</t>
  </si>
  <si>
    <t>INF789FC1GK0</t>
  </si>
  <si>
    <t>UTI FTIF Series XXV-XI (1211 Days)- Direct Plan - Flexi Div Option</t>
  </si>
  <si>
    <t>INF789FC1GP9</t>
  </si>
  <si>
    <t>UTI FTIF Series XXV-XI (1211 Days)- Direct Plan - Growth Option</t>
  </si>
  <si>
    <t>INF789FC1GO2</t>
  </si>
  <si>
    <t>UTI FTIF Series XXV-XI (1211 Days)- Direct Plan - Maturity Div Option</t>
  </si>
  <si>
    <t>INF789FC1GI4</t>
  </si>
  <si>
    <t>UTI FTIF Series XXV-XI (1211 Days)- Direct Plan - Quarterly Div Option</t>
  </si>
  <si>
    <t>INF789FC1GN4</t>
  </si>
  <si>
    <t>UTI FTIF Series XXV-XI (1211 Days)- Regular Plan - Annual Div Option</t>
  </si>
  <si>
    <t>INF789FC1GL8</t>
  </si>
  <si>
    <t>UTI FTIF Series XXV-XI (1211 Days)- Regular Plan - Flexi Div Option</t>
  </si>
  <si>
    <t>INF789FC1GR5</t>
  </si>
  <si>
    <t>UTI FTIF Series XXV-XI (1211 Days)- Regular Plan - Growth Option</t>
  </si>
  <si>
    <t>INF789FC1GQ7</t>
  </si>
  <si>
    <t>UTI FTIF Series XXV-XI (1211 Days)- Regular Plan - Maturity Div Option</t>
  </si>
  <si>
    <t>INF789FC1GM6</t>
  </si>
  <si>
    <t>UTI FTIF Series XXV-XI (1211 Days)- Regular Plan - Quarterly Div Option</t>
  </si>
  <si>
    <t>INF789FC1GW5</t>
  </si>
  <si>
    <t>UTI FTIF Series XXV-XII (1198 Days) - Regular Plan - Quarterly Div Option</t>
  </si>
  <si>
    <t>INF789FC1GT1</t>
  </si>
  <si>
    <t>UTI FTIF Series XXV-XII (1198 Days)- Direct Plan - Annual Div Option</t>
  </si>
  <si>
    <t>INF789FC1GZ8</t>
  </si>
  <si>
    <t>UTI FTIF Series XXV-XII (1198 Days)- Direct Plan - Growth Option</t>
  </si>
  <si>
    <t>INF789FC1GY1</t>
  </si>
  <si>
    <t>UTI FTIF Series XXV-XII (1198 Days)- Direct Plan - Maturity Div Option</t>
  </si>
  <si>
    <t>INF789FC1GS3</t>
  </si>
  <si>
    <t>UTI FTIF Series XXV-XII (1198 Days)- Direct Plan - Quarterly Div Option</t>
  </si>
  <si>
    <t>INF789FC1GX3</t>
  </si>
  <si>
    <t>UTI FTIF Series XXV-XII (1198 Days)- Regular Plan - Annual Div Option</t>
  </si>
  <si>
    <t>INF789FC1GV7</t>
  </si>
  <si>
    <t>UTI FTIF Series XXV-XII (1198 Days)- Regular Plan - Flexi Div Option</t>
  </si>
  <si>
    <t>INF789FC1HB7</t>
  </si>
  <si>
    <t>UTI FTIF Series XXV-XII (1198 Days)- Regular Plan - Growth Option</t>
  </si>
  <si>
    <t>INF789FC1HA9</t>
  </si>
  <si>
    <t>UTI FTIF Series XXV-XII (1198 Days)- Regular Plan - Maturity Div Option</t>
  </si>
  <si>
    <t>INF789FC1HH4</t>
  </si>
  <si>
    <t>UTI FTIF Series XXVI-I (1182 Days)- Direct Plan - Annual Div Option</t>
  </si>
  <si>
    <t>INF789FC1HI2</t>
  </si>
  <si>
    <t>UTI FTIF Series XXVI-I (1182 Days)- Direct Plan - Flexi Div Option</t>
  </si>
  <si>
    <t>INF789FC1HN2</t>
  </si>
  <si>
    <t>UTI FTIF Series XXVI-I (1182 Days)- Direct Plan - Growth Option</t>
  </si>
  <si>
    <t>INF789FC1HM4</t>
  </si>
  <si>
    <t>UTI FTIF Series XXVI-I (1182 Days)- Direct Plan - Maturity Div Option</t>
  </si>
  <si>
    <t>INF789FC1HG6</t>
  </si>
  <si>
    <t>UTI FTIF Series XXVI-I (1182 Days)- Direct Plan - Quarterly Div Option</t>
  </si>
  <si>
    <t>INF789FC1HL6</t>
  </si>
  <si>
    <t>UTI FTIF Series XXVI-I (1182 Days)- Regular Plan - Annual Div Option</t>
  </si>
  <si>
    <t>INF789FC1HJ0</t>
  </si>
  <si>
    <t>UTI FTIF Series XXVI-I (1182 Days)- Regular Plan - Flexi Div Option</t>
  </si>
  <si>
    <t>INF789FC1HP7</t>
  </si>
  <si>
    <t>UTI FTIF Series XXVI-I (1182 Days)- Regular Plan - Growth Option</t>
  </si>
  <si>
    <t>INF789FC1HO0</t>
  </si>
  <si>
    <t>UTI FTIF Series XXVI-I (1182 Days)- Regular Plan - Maturity Div Option</t>
  </si>
  <si>
    <t>INF789FC1HK8</t>
  </si>
  <si>
    <t>UTI FTIF Series XXVI-I (1182 Days)- Regular Plan - Quarterly Div Option</t>
  </si>
  <si>
    <t>INF789FC1HZ6</t>
  </si>
  <si>
    <t>UTI FTIF Series XXVI-II (1176 Days)- Direct Plan - Annual Div Option</t>
  </si>
  <si>
    <t>INF789FC1IA7</t>
  </si>
  <si>
    <t>UTI FTIF Series XXVI-II (1176 Days)- Direct Plan - Flexi Div Option</t>
  </si>
  <si>
    <t>INF789FC1IF6</t>
  </si>
  <si>
    <t>UTI FTIF Series XXVI-II (1176 Days)- Direct Plan - Growth Option</t>
  </si>
  <si>
    <t>INF789FC1IE9</t>
  </si>
  <si>
    <t>UTI FTIF Series XXVI-II (1176 Days)- Direct Plan - Maturity Div Option</t>
  </si>
  <si>
    <t>INF789FC1HY9</t>
  </si>
  <si>
    <t>UTI FTIF Series XXVI-II (1176 Days)- Direct Plan - Quarterly Div Option</t>
  </si>
  <si>
    <t>INF789FC1ID1</t>
  </si>
  <si>
    <t>UTI FTIF Series XXVI-II (1176 Days)- Regular Plan - Annual Div Option</t>
  </si>
  <si>
    <t>INF789FC1IB5</t>
  </si>
  <si>
    <t>UTI FTIF Series XXVI-II (1176 Days)- Regular Plan - Flexi Div Option</t>
  </si>
  <si>
    <t>INF789FC1IH2</t>
  </si>
  <si>
    <t>UTI FTIF Series XXVI-II (1176 Days)- Regular Plan - Growth Option</t>
  </si>
  <si>
    <t>INF789FC1IG4</t>
  </si>
  <si>
    <t>UTI FTIF Series XXVI-II (1176 Days)- Regular Plan - Maturity Div Option</t>
  </si>
  <si>
    <t>INF789FC1IC3</t>
  </si>
  <si>
    <t>UTI FTIF Series XXVI-II (1176 Days)- Regular Plan - Quarterly Div Option</t>
  </si>
  <si>
    <t>INF789FC1IX9</t>
  </si>
  <si>
    <t>UTI FTIF Series XXVI-III (1169 Days)- Direct Plan - Growth Option</t>
  </si>
  <si>
    <t>INF789FC1IQ3</t>
  </si>
  <si>
    <t>UTI FTIF Series XXVI-III (1169 Days)- Direct Plan - Quarterly Div Option</t>
  </si>
  <si>
    <t>INF789FC1IV3</t>
  </si>
  <si>
    <t>UTI FTIF Series XXVI-III (1169 Days)- Regular Plan - Annual Div Option</t>
  </si>
  <si>
    <t>INF789FC1IT7</t>
  </si>
  <si>
    <t>UTI FTIF Series XXVI-III (1169 Days)- Regular Plan - Flexi Div Option</t>
  </si>
  <si>
    <t>INF789FC1IZ4</t>
  </si>
  <si>
    <t>UTI FTIF Series XXVI-III (1169 Days)- Regular Plan - Growth Option</t>
  </si>
  <si>
    <t>INF789FC1IY7</t>
  </si>
  <si>
    <t>UTI FTIF Series XXVI-III (1169 Days)- Regular Plan - Maturity Div Option</t>
  </si>
  <si>
    <t>INF789FC1IU5</t>
  </si>
  <si>
    <t>UTI FTIF Series XXVI-III (1169 Days)- Regular Plan - Quarterly Div Option</t>
  </si>
  <si>
    <t>INF789FC1JL2</t>
  </si>
  <si>
    <t>UTI FTIF Series XXVI-V (1160 Days)- Direct Plan - Annual Div Option</t>
  </si>
  <si>
    <t>INF789FC1JM0</t>
  </si>
  <si>
    <t>UTI FTIF Series XXVI-V (1160 Days)- Direct Plan - Flexi Div Option</t>
  </si>
  <si>
    <t>INF789FC1JR9</t>
  </si>
  <si>
    <t>UTI FTIF Series XXVI-V (1160 Days)- Direct Plan - Growth Option</t>
  </si>
  <si>
    <t>INF789FC1JQ1</t>
  </si>
  <si>
    <t>UTI FTIF Series XXVI-V (1160 Days)- Direct Plan - Maturity Div Option</t>
  </si>
  <si>
    <t>INF789FC1JK4</t>
  </si>
  <si>
    <t>UTI FTIF Series XXVI-V (1160 Days)- Direct Plan - Quarterly Div Option</t>
  </si>
  <si>
    <t>INF789FC1JP3</t>
  </si>
  <si>
    <t>UTI FTIF Series XXVI-V (1160 Days)- Regular Plan - Annual Div Option</t>
  </si>
  <si>
    <t>INF789FC1JT5</t>
  </si>
  <si>
    <t>UTI FTIF Series XXVI-V (1160 Days)- Regular Plan - Growth Option</t>
  </si>
  <si>
    <t>INF789FC1JS7</t>
  </si>
  <si>
    <t>UTI FTIF Series XXVI-V (1160 Days)- Regular Plan - Maturity Div Option</t>
  </si>
  <si>
    <t>INF789FC1JO6</t>
  </si>
  <si>
    <t>UTI FTIF Series XXVI-V (1160 Days)- Regular Plan - Quarterly Div Option</t>
  </si>
  <si>
    <t>INF789FC1JV1</t>
  </si>
  <si>
    <t>UTI FTIF Series XXVI-VI (1146 Days)- Direct Plan - Annual Div Option</t>
  </si>
  <si>
    <t>INF789FC1KB1</t>
  </si>
  <si>
    <t>UTI FTIF Series XXVI-VI (1146 Days)- Direct Plan - Growth Option</t>
  </si>
  <si>
    <t>INF789FC1KA3</t>
  </si>
  <si>
    <t>UTI FTIF Series XXVI-VI (1146 Days)- Direct Plan - Maturity Div Option</t>
  </si>
  <si>
    <t>INF789FC1JU3</t>
  </si>
  <si>
    <t>UTI FTIF Series XXVI-VI (1146 Days)- Direct Plan - Quarterly Div Option</t>
  </si>
  <si>
    <t>INF789FC1JX7</t>
  </si>
  <si>
    <t>UTI FTIF Series XXVI-VI (1146 Days)- Regular Plan - Flexi Div Option</t>
  </si>
  <si>
    <t>INF789FC1KD7</t>
  </si>
  <si>
    <t>UTI FTIF Series XXVI-VI (1146 Days)- Regular Plan - Growth Option</t>
  </si>
  <si>
    <t>INF789FC1KC9</t>
  </si>
  <si>
    <t>UTI FTIF Series XXVI-VI (1146 Days)- Regular Plan - Maturity Div Option</t>
  </si>
  <si>
    <t>INF789FC1JY5</t>
  </si>
  <si>
    <t>UTI FTIF Series XXVI-VI (1146 Days)- Regular Plan - Quarterly Div Option</t>
  </si>
  <si>
    <t>INF789FC1KF2</t>
  </si>
  <si>
    <t>UTI FTIF Series XXVI-VII (1140 Days)- Direct Plan - Annual Div Option</t>
  </si>
  <si>
    <t>INF789FC1KL0</t>
  </si>
  <si>
    <t>UTI FTIF Series XXVI-VII (1140 Days)- Direct Plan - Growth Option</t>
  </si>
  <si>
    <t>INF789FC1KK2</t>
  </si>
  <si>
    <t>UTI FTIF Series XXVI-VII (1140 Days)- Direct Plan - Maturity Div Option</t>
  </si>
  <si>
    <t>INF789FC1KE5</t>
  </si>
  <si>
    <t>UTI FTIF Series XXVI-VII (1140 Days)- Direct Plan - Quarterly Div Option</t>
  </si>
  <si>
    <t>INF789FC1KJ4</t>
  </si>
  <si>
    <t>UTI FTIF Series XXVI-VII (1140 Days)- Regular Plan - Annual Div Option</t>
  </si>
  <si>
    <t>INF789FC1KH8</t>
  </si>
  <si>
    <t>UTI FTIF Series XXVI-VII (1140 Days)- Regular Plan - Flexi Div Option</t>
  </si>
  <si>
    <t>INF789FC1KN6</t>
  </si>
  <si>
    <t>UTI FTIF Series XXVI-VII (1140 Days)- Regular Plan - Growth Option</t>
  </si>
  <si>
    <t>INF789FC1KM8</t>
  </si>
  <si>
    <t>UTI FTIF Series XXVI-VII (1140 Days)- Regular Plan - Maturity Div Option</t>
  </si>
  <si>
    <t>INF789FC1KI6</t>
  </si>
  <si>
    <t>UTI FTIF Series XXVI-VII (1140 Days)- Regular Plan - Quarterly Div Option</t>
  </si>
  <si>
    <t>INF789FC1ML6</t>
  </si>
  <si>
    <t>UTI FTIF Series XXVI-VIII (1154 Days)- Direct Plan - Annual Div Option</t>
  </si>
  <si>
    <t>INF789FC1MM4</t>
  </si>
  <si>
    <t>UTI FTIF Series XXVI-VIII (1154 Days)- Direct Plan - Flexi Div Option</t>
  </si>
  <si>
    <t>INF789FC1MR3</t>
  </si>
  <si>
    <t>UTI FTIF Series XXVI-VIII (1154 Days)- Direct Plan - Growth Option</t>
  </si>
  <si>
    <t>INF789FC1MQ5</t>
  </si>
  <si>
    <t>UTI FTIF Series XXVI-VIII (1154 Days)- Direct Plan - Maturity Div Option</t>
  </si>
  <si>
    <t>INF789FC1MK8</t>
  </si>
  <si>
    <t>UTI FTIF Series XXVI-VIII (1154 Days)- Direct Plan - Quarterly Div Option</t>
  </si>
  <si>
    <t>INF789FC1MP7</t>
  </si>
  <si>
    <t>UTI FTIF Series XXVI-VIII (1154 Days)- Regular Plan - Annual Div Option</t>
  </si>
  <si>
    <t>INF789FC1MT9</t>
  </si>
  <si>
    <t>UTI FTIF Series XXVI-VIII (1154 Days)- Regular Plan - Growth Option</t>
  </si>
  <si>
    <t>INF789FC1MS1</t>
  </si>
  <si>
    <t>UTI FTIF Series XXVI-VIII (1154 Days)- Regular Plan - Maturity Div Option</t>
  </si>
  <si>
    <t>INF789FC1MO0</t>
  </si>
  <si>
    <t>UTI FTIF Series XXVI-VIII (1154 Days)- Regular Plan - Quarterly Div Option</t>
  </si>
  <si>
    <t>INF789FC1V33</t>
  </si>
  <si>
    <t>UTI FTIF Series XXVII-IX (1160 Days) - Direct Plan - Growth Option</t>
  </si>
  <si>
    <t>INF789FC1V09</t>
  </si>
  <si>
    <t>UTI FTIF Series XXVII-IX (1160 Days) - Direct Plan - Quarterly Div Option</t>
  </si>
  <si>
    <t>INF789FC1U83</t>
  </si>
  <si>
    <t>UTI FTIF Series XXVII-IX (1160 Days) - Regular Plan - Growth Option</t>
  </si>
  <si>
    <t>INF789FC1U18</t>
  </si>
  <si>
    <t>UTI FTIF Series XXVII-VIII (1117 Days) - Direct Plan - Annual Div Option</t>
  </si>
  <si>
    <t>INF789FC1U34</t>
  </si>
  <si>
    <t>UTI FTIF Series XXVII-VIII (1117 Days) - Direct Plan - Growth Option</t>
  </si>
  <si>
    <t>INF789FC1U26</t>
  </si>
  <si>
    <t>UTI FTIF Series XXVII-VIII (1117 Days) - Direct Plan - Maturity Div Option</t>
  </si>
  <si>
    <t>INF789FC1U00</t>
  </si>
  <si>
    <t>UTI FTIF Series XXVII-VIII (1117 Days) - Direct Plan - Quarterly Div Option</t>
  </si>
  <si>
    <t>INF789FC1T60</t>
  </si>
  <si>
    <t>UTI FTIF Series XXVII-VIII (1117 Days) - Regular Plan - Annual Div Option</t>
  </si>
  <si>
    <t>INF789FC1T94</t>
  </si>
  <si>
    <t>UTI FTIF Series XXVII-VIII (1117 Days) - Regular Plan - Flexi Div Option</t>
  </si>
  <si>
    <t>INF789FC1T86</t>
  </si>
  <si>
    <t>UTI FTIF Series XXVII-VIII (1117 Days) - Regular Plan - Growth Option</t>
  </si>
  <si>
    <t>INF789FC1T78</t>
  </si>
  <si>
    <t>UTI FTIF Series XXVII-VIII (1117 Days) - Regular Plan - Maturity Div Option</t>
  </si>
  <si>
    <t>INF789FC1T52</t>
  </si>
  <si>
    <t>UTI FTIF Series XXVII-VIII (1117 Days) - Regular Plan - Quarterly Div Option</t>
  </si>
  <si>
    <t>INF789FC1W57</t>
  </si>
  <si>
    <t>UTI FTIF Series XXVII-X (1118 Days) - Direct Plan - Annual Div Option</t>
  </si>
  <si>
    <t>INF789FC1W73</t>
  </si>
  <si>
    <t>UTI FTIF Series XXVII-X (1118 Days) - Direct Plan - Growth Option</t>
  </si>
  <si>
    <t>INF789FC1W65</t>
  </si>
  <si>
    <t>UTI FTIF Series XXVII-X (1118 Days) - Direct Plan - Maturity Div Option</t>
  </si>
  <si>
    <t>INF789FC1W40</t>
  </si>
  <si>
    <t>UTI FTIF Series XXVII-X (1118 Days) - Direct Plan - Quarterly Div Option</t>
  </si>
  <si>
    <t>INF789FC1W08</t>
  </si>
  <si>
    <t>UTI FTIF Series XXVII-X (1118 Days) - Regular Plan - Annual Div Option</t>
  </si>
  <si>
    <t>INF789FC1W32</t>
  </si>
  <si>
    <t>UTI FTIF Series XXVII-X (1118 Days) - Regular Plan - Flexi Div Option</t>
  </si>
  <si>
    <t>INF789FC1W24</t>
  </si>
  <si>
    <t>UTI FTIF Series XXVII-X (1118 Days) - Regular Plan - Growth Option</t>
  </si>
  <si>
    <t>INF789FC1W16</t>
  </si>
  <si>
    <t>UTI FTIF Series XXVII-X (1118 Days) - Regular Plan - Maturity Div Option</t>
  </si>
  <si>
    <t>INF789FC1V90</t>
  </si>
  <si>
    <t>UTI FTIF Series XXVII-X (1118 Days) - Regular Plan - Quarterly Div Option</t>
  </si>
  <si>
    <t>INF789FC1X98</t>
  </si>
  <si>
    <t>UTI FTIF SERIES XXVIII - PLAN I (1230 DAYS) - Direct Plan - Annual IDCW</t>
  </si>
  <si>
    <t>INF789FC1X80</t>
  </si>
  <si>
    <t>UTI FTIF SERIES XXVIII - PLAN I (1230 DAYS) - Direct Plan - Quarterly IDCW</t>
  </si>
  <si>
    <t>INF789FC1X49</t>
  </si>
  <si>
    <t>UTI FTIF SERIES XXVIII - PLAN I (1230 DAYS) - Regular Plan - Annual IDCW</t>
  </si>
  <si>
    <t>INF789FC1X72</t>
  </si>
  <si>
    <t>UTI FTIF SERIES XXVIII - PLAN I (1230 DAYS) - Regular Plan - Flexi IDCW</t>
  </si>
  <si>
    <t>INF789FC1X56</t>
  </si>
  <si>
    <t>UTI FTIF SERIES XXVIII - PLAN I (1230 DAYS) - Regular Plan - Maturity IDCW</t>
  </si>
  <si>
    <t>INF789FC1X31</t>
  </si>
  <si>
    <t>UTI FTIF SERIES XXVIII - PLAN I (1230 DAYS) - Regular Plan - Quarterly IDCW</t>
  </si>
  <si>
    <t>INF789FC1Y14</t>
  </si>
  <si>
    <t>UTI FTIF Series XXVIII-I (1230 Days) - Direct Plan - Growth Option</t>
  </si>
  <si>
    <t>INF789FC1X64</t>
  </si>
  <si>
    <t>UTI FTIF Series XXVIII-I (1230 Days) - Regular Plan - Growth Option</t>
  </si>
  <si>
    <t>INF789FC1Y48</t>
  </si>
  <si>
    <t>UTI FTIF SERIES XXVIII - PLAN II (1210 DAYS) - Direct Plan - Annual IDCW</t>
  </si>
  <si>
    <t>INF789FC1Y71</t>
  </si>
  <si>
    <t>UTI FTIF SERIES XXVIII - PLAN II (1210 DAYS) - Direct Plan - Flexi IDCW</t>
  </si>
  <si>
    <t>INF789FC1Y55</t>
  </si>
  <si>
    <t>UTI FTIF SERIES XXVIII - PLAN II (1210 DAYS) - Direct Plan - Maturity IDCW</t>
  </si>
  <si>
    <t>INF789FC1Y30</t>
  </si>
  <si>
    <t>UTI FTIF SERIES XXVIII - PLAN II (1210 DAYS) - Direct Plan - Quarterly IDCW</t>
  </si>
  <si>
    <t>INF789FC1Y97</t>
  </si>
  <si>
    <t>UTI FTIF SERIES XXVIII - PLAN II (1210 DAYS) - Regular Plan - Annual IDCW</t>
  </si>
  <si>
    <t>INF789FC1Z21</t>
  </si>
  <si>
    <t>UTI FTIF SERIES XXVIII - PLAN II (1210 DAYS) - Regular Plan - Flexi IDCW</t>
  </si>
  <si>
    <t>INF789FC1Z05</t>
  </si>
  <si>
    <t>UTI FTIF SERIES XXVIII - PLAN II (1210 DAYS) - Regular Plan - Maturity IDCW</t>
  </si>
  <si>
    <t>INF789FC1Y89</t>
  </si>
  <si>
    <t>UTI FTIF SERIES XXVIII - PLAN II (1210 DAYS) - Regular Plan - Quarterly IDCW</t>
  </si>
  <si>
    <t>INF789FC1Y63</t>
  </si>
  <si>
    <t>UTI FTIF Series XXVIII-II (1210 Days) - Direct Plan - Growth Option</t>
  </si>
  <si>
    <t>INF789FC1Z13</t>
  </si>
  <si>
    <t>UTI FTIF Series XXVIII-II (1210 Days) - Regular Plan - Growth Option</t>
  </si>
  <si>
    <t>INF789FC19A6</t>
  </si>
  <si>
    <t>UTI FTIF SERIES XXVIII - PLAN III (1203 DAYS) - Direct Plan - Annual IDCW</t>
  </si>
  <si>
    <t>INF789FC12B9</t>
  </si>
  <si>
    <t>UTI FTIF SERIES XXVIII - PLAN III (1203 DAYS) - Direct Plan - Flexi IDCW</t>
  </si>
  <si>
    <t>INF789FC10B3</t>
  </si>
  <si>
    <t>UTI FTIF SERIES XXVIII - PLAN III (1203 DAYS) - Direct Plan - Maturity IDCW</t>
  </si>
  <si>
    <t>INF789FC18A8</t>
  </si>
  <si>
    <t>UTI FTIF SERIES XXVIII - PLAN III (1203 DAYS) - Direct Plan - Quarterly IDCW</t>
  </si>
  <si>
    <t>INF789FC14A7</t>
  </si>
  <si>
    <t>UTI FTIF SERIES XXVIII - PLAN III (1203 DAYS) - Regular Plan - Annual IDCW</t>
  </si>
  <si>
    <t>INF789FC17A0</t>
  </si>
  <si>
    <t>UTI FTIF SERIES XXVIII - PLAN III (1203 DAYS) - Regular Plan - Flexi IDCW</t>
  </si>
  <si>
    <t>INF789FC15A4</t>
  </si>
  <si>
    <t>UTI FTIF SERIES XXVIII - PLAN III (1203 DAYS) - Regular Plan - Maturity IDCW</t>
  </si>
  <si>
    <t>INF789FC13A9</t>
  </si>
  <si>
    <t>UTI FTIF SERIES XXVIII - PLAN III (1203 DAYS) - Regular Plan - Quarterly IDCW</t>
  </si>
  <si>
    <t>INF789FC11B1</t>
  </si>
  <si>
    <t>UTI FTIF Series XXVIII-III (1203 Days) - Direct Plan - Growth Option</t>
  </si>
  <si>
    <t>INF789FC16A2</t>
  </si>
  <si>
    <t>UTI FTIF Series XXVIII-III (1203 Days) - Regular Plan - Growth Option</t>
  </si>
  <si>
    <t>INF789FC13C5</t>
  </si>
  <si>
    <t>UTI FTIF Series XXVIII-IV (1204 Days) Direct Plan - Growth Option</t>
  </si>
  <si>
    <t>INF789FC18B6</t>
  </si>
  <si>
    <t>UTI FTIF Series XXVIII-IV (1204 Days) Regular Plan - Growth Option</t>
  </si>
  <si>
    <t>INF789FC17H5</t>
  </si>
  <si>
    <t>UTI FTIF SERIES XXVIII - PLAN IX (1168 DAYS) - Regular Plan - Quarterly IDCW</t>
  </si>
  <si>
    <t>INF789FC15I7</t>
  </si>
  <si>
    <t>UTI FTIF Series XXVIII-IX (1168 Days) - Direct Plan - Growth Option</t>
  </si>
  <si>
    <t>INF789FC10I8</t>
  </si>
  <si>
    <t>UTI FTIF Series XXVIII-IX (1168 Days) - Regular Plan - Growth Option</t>
  </si>
  <si>
    <t>INF789FC11D7</t>
  </si>
  <si>
    <t>UTI FTIF SERIES XXVIII - PLAN V (1190 DAYS) - Direct Plan - Annual IDCW</t>
  </si>
  <si>
    <t>INF789FC12D5</t>
  </si>
  <si>
    <t>UTI FTIF SERIES XXVIII - PLAN V (1190 DAYS) - Direct Plan - Maturity IDCW</t>
  </si>
  <si>
    <t>INF789FC10D9</t>
  </si>
  <si>
    <t>UTI FTIF SERIES XXVIII - PLAN V (1190 DAYS) - Direct Plan - Quarterly IDCW</t>
  </si>
  <si>
    <t>INF789FC16C8</t>
  </si>
  <si>
    <t>UTI FTIF SERIES XXVIII - PLAN V (1190 DAYS) - Regular Plan - Annual IDCW</t>
  </si>
  <si>
    <t>INF789FC17C6</t>
  </si>
  <si>
    <t>UTI FTIF SERIES XXVIII - PLAN V (1190 DAYS) - Regular Plan - Maturity IDCW</t>
  </si>
  <si>
    <t>INF789FC15C0</t>
  </si>
  <si>
    <t>UTI FTIF SERIES XXVIII - PLAN V (1190 DAYS) - Regular Plan - Quarterly IDCW</t>
  </si>
  <si>
    <t>INF789FC13D3</t>
  </si>
  <si>
    <t>UTI FTIF Series XXVIII-V (1190 Days) Direct Plan - Growth Option</t>
  </si>
  <si>
    <t>INF789FC18C4</t>
  </si>
  <si>
    <t>UTI FTIF Series XXVIII-V (1190 Days) Regular Plan - Growth Option</t>
  </si>
  <si>
    <t>INF789FC18E0</t>
  </si>
  <si>
    <t>UTI FTIF SERIES XXVIII - PLAN VI (1190 DAYS) - Direct Plan - Flexi IDCW</t>
  </si>
  <si>
    <t>INF789FC14E9</t>
  </si>
  <si>
    <t>UTI FTIF SERIES XXVIII - PLAN VI (1190 DAYS) - Direct Plan - Quarterly IDCW</t>
  </si>
  <si>
    <t>INF789FC19D0</t>
  </si>
  <si>
    <t>UTI FTIF SERIES XXVIII - PLAN VI (1190 DAYS) - Regular Plan - Quarterly IDCW</t>
  </si>
  <si>
    <t>INF789FC17E2</t>
  </si>
  <si>
    <t>UTI FTIF Series XXVIII-VI (1190 Days) - Direct Plan - Growth Option</t>
  </si>
  <si>
    <t>INF789FC12E3</t>
  </si>
  <si>
    <t>UTI FTIF Series XXVIII-VI (1190 Days) - Regular Plan - Growth Option</t>
  </si>
  <si>
    <t>INF789FC15F3</t>
  </si>
  <si>
    <t>UTI FTIF SERIES XXVIII - PLAN VII (1169 DAYS) - Direct Plan - Annual IDCW</t>
  </si>
  <si>
    <t>INF789FC18F7</t>
  </si>
  <si>
    <t>UTI FTIF SERIES XXVIII - PLAN VII (1169 DAYS) - Direct Plan - Flexi IDCW</t>
  </si>
  <si>
    <t>INF789FC16F1</t>
  </si>
  <si>
    <t>UTI FTIF SERIES XXVIII - PLAN VII (1169 DAYS) - Direct Plan - Maturity IDCW</t>
  </si>
  <si>
    <t>INF789FC14F6</t>
  </si>
  <si>
    <t>UTI FTIF SERIES XXVIII - PLAN VII (1169 DAYS) - Direct Plan - Quarterly IDCW</t>
  </si>
  <si>
    <t>INF789FC10F4</t>
  </si>
  <si>
    <t>UTI FTIF SERIES XXVIII - PLAN VII (1169 DAYS) - Regular Plan - Annual IDCW</t>
  </si>
  <si>
    <t>INF789FC13F8</t>
  </si>
  <si>
    <t>UTI FTIF SERIES XXVIII - PLAN VII (1169 DAYS) - Regular Plan - Flexi IDCW</t>
  </si>
  <si>
    <t>INF789FC11F2</t>
  </si>
  <si>
    <t>UTI FTIF SERIES XXVIII - PLAN VII (1169 DAYS) - Regular Plan - Maturity IDCW</t>
  </si>
  <si>
    <t>INF789FC19E8</t>
  </si>
  <si>
    <t>UTI FTIF SERIES XXVIII - PLAN VII (1169 DAYS) - Regular Plan - Quarterly IDCW</t>
  </si>
  <si>
    <t>INF789FC17F9</t>
  </si>
  <si>
    <t>UTI FTIF Series XXVIII-VII (1169 Days) - Direct Plan - Growth Option</t>
  </si>
  <si>
    <t>INF789FC12F0</t>
  </si>
  <si>
    <t>UTI FTIF Series XXVIII-VII (1169 Days) - Regular Plan - Growth Option</t>
  </si>
  <si>
    <t>INF789FC18G5</t>
  </si>
  <si>
    <t>UTI FTIF SERIES XXVIII - PLAN VIII (1171 DAYS) - Direct Plan - Quarterly IDCW</t>
  </si>
  <si>
    <t>INF789FC15G1</t>
  </si>
  <si>
    <t>UTI FTIF SERIES XXVIII - PLAN VIII (1171 DAYS) - Regular Plan - Maturity IDCW</t>
  </si>
  <si>
    <t>INF789FC13G6</t>
  </si>
  <si>
    <t>UTI FTIF SERIES XXVIII - PLAN VIII (1171 DAYS) - Regular Plan - Quarterly IDCW</t>
  </si>
  <si>
    <t>INF789FC11H8</t>
  </si>
  <si>
    <t>UTI FTIF Series XXVIII-VIII (1171 Days) - Direct Plan - Growth Option</t>
  </si>
  <si>
    <t>INF789FC16G9</t>
  </si>
  <si>
    <t>UTI FTIF Series XXVIII-VIII (1171 Days) - Regular Plan - Growth Option</t>
  </si>
  <si>
    <t>INF789FC16J3</t>
  </si>
  <si>
    <t>UTI FTIF SERIES XXVIII - PLAN X (1153 DAYS) - Direct Plan - Flexi IDCW</t>
  </si>
  <si>
    <t>INF789FC14J8</t>
  </si>
  <si>
    <t>UTI FTIF SERIES XXVIII - PLAN X (1153 DAYS) - Direct Plan - Maturity IDCW</t>
  </si>
  <si>
    <t>INF789FC12J2</t>
  </si>
  <si>
    <t>UTI FTIF SERIES XXVIII - PLAN X (1153 DAYS) - Direct Plan - Quarterly IDCW</t>
  </si>
  <si>
    <t>INF789FC18I1</t>
  </si>
  <si>
    <t>UTI FTIF SERIES XXVIII - PLAN X (1153 DAYS) - Regular Plan - Annual IDCW</t>
  </si>
  <si>
    <t>INF789FC19I9</t>
  </si>
  <si>
    <t>UTI FTIF SERIES XXVIII - PLAN X (1153 DAYS) - Regular Plan - Maturity IDCW</t>
  </si>
  <si>
    <t>INF789FC17I3</t>
  </si>
  <si>
    <t>UTI FTIF SERIES XXVIII - PLAN X (1153 DAYS) - Regular Plan - Quarterly IDCW</t>
  </si>
  <si>
    <t>INF789FC15J5</t>
  </si>
  <si>
    <t>UTI FTIF Series XXVIII-X (1153 Days) - Direct Plan - Growth Option</t>
  </si>
  <si>
    <t>INF789FC10J6</t>
  </si>
  <si>
    <t>UTI FTIF Series XXVIII-X (1153 Days) - Regular Plan - Growth Option</t>
  </si>
  <si>
    <t>INF789FC13K8</t>
  </si>
  <si>
    <t>UTI FTIF SERIES XXVIII - PLAN XI (1161 DAYS) - Direct Plan - Annual IDCW</t>
  </si>
  <si>
    <t>INF789FC18J9</t>
  </si>
  <si>
    <t>UTI FTIF SERIES XXVIII - PLAN XI (1161 DAYS) - Regular Plan - Annual IDCW</t>
  </si>
  <si>
    <t>INF789FC11K2</t>
  </si>
  <si>
    <t>UTI FTIF SERIES XXVIII - PLAN XI (1161 DAYS) - Regular Plan - Flexi IDCW</t>
  </si>
  <si>
    <t>INF789FC19J7</t>
  </si>
  <si>
    <t>UTI FTIF SERIES XXVIII - PLAN XI (1161 DAYS) - Regular Plan - Maturity IDCW</t>
  </si>
  <si>
    <t>INF789FC17J1</t>
  </si>
  <si>
    <t>UTI FTIF SERIES XXVIII - PLAN XI (1161 DAYS) - Regular Plan - Quarterly IDCW</t>
  </si>
  <si>
    <t>INF789FC15K3</t>
  </si>
  <si>
    <t>UTI FTIF Series XXVIII-XI (1161 Days) - Direct Plan - Growth Option</t>
  </si>
  <si>
    <t>INF789FC10K4</t>
  </si>
  <si>
    <t>UTI FTIF Series XXVIII-XI (1161 Days) - Regular Plan - Growth Option</t>
  </si>
  <si>
    <t>INF789FC14L4</t>
  </si>
  <si>
    <t>UTI FTIF SERIES XXVIII - PLAN XII (1154 DAYS) - Direct Plan - Maturity IDCW</t>
  </si>
  <si>
    <t>INF789FC18K7</t>
  </si>
  <si>
    <t>UTI FTIF SERIES XXVIII - PLAN XII (1154 DAYS) - Regular Plan - Annual IDCW</t>
  </si>
  <si>
    <t>INF789FC19K5</t>
  </si>
  <si>
    <t>UTI FTIF SERIES XXVIII - PLAN XII (1154 DAYS) - Regular Plan - Maturity IDCW</t>
  </si>
  <si>
    <t>INF789FC17K9</t>
  </si>
  <si>
    <t>UTI FTIF SERIES XXVIII - PLAN XII (1154 DAYS) - Regular Plan - Quarterly IDCW</t>
  </si>
  <si>
    <t>INF789FC15L1</t>
  </si>
  <si>
    <t>UTI FTIF Series XXVIII-XII (1154 Days) - Direct Plan - Growth Option</t>
  </si>
  <si>
    <t>INF789FC10L2</t>
  </si>
  <si>
    <t>UTI FTIF Series XXVIII-XII (1154 Days) - Regular Plan - Growth Option</t>
  </si>
  <si>
    <t>INF789FC13M4</t>
  </si>
  <si>
    <t>UTI FTIF SERIES XXVIII - PLAN XIII (1134 DAYS) - Direct Plan - Annual IDCW</t>
  </si>
  <si>
    <t>INF789FC16M7</t>
  </si>
  <si>
    <t>UTI FTIF SERIES XXVIII - PLAN XIII (1134 DAYS) - Direct Plan - Flexi IDCW</t>
  </si>
  <si>
    <t>INF789FC14M2</t>
  </si>
  <si>
    <t>UTI FTIF SERIES XXVIII - PLAN XIII (1134 DAYS) - Direct Plan - Maturity IDCW</t>
  </si>
  <si>
    <t>INF789FC12M6</t>
  </si>
  <si>
    <t>UTI FTIF SERIES XXVIII - PLAN XIII (1134 DAYS) - Direct Plan - Quarterly IDCW</t>
  </si>
  <si>
    <t>INF789FC18L5</t>
  </si>
  <si>
    <t>UTI FTIF SERIES XXVIII - PLAN XIII (1134 DAYS) - Regular Plan - Annual IDCW</t>
  </si>
  <si>
    <t>INF789FC11M8</t>
  </si>
  <si>
    <t>UTI FTIF SERIES XXVIII - PLAN XIII (1134 DAYS) - Regular Plan - Flexi IDCW</t>
  </si>
  <si>
    <t>INF789FC19L3</t>
  </si>
  <si>
    <t>UTI FTIF SERIES XXVIII - PLAN XIII (1134 DAYS) - Regular Plan - Maturity IDCW</t>
  </si>
  <si>
    <t>INF789FC17L7</t>
  </si>
  <si>
    <t>UTI FTIF SERIES XXVIII - PLAN XIII (1134 DAYS) - Regular Plan - Quarterly IDCW</t>
  </si>
  <si>
    <t>INF789FC15M9</t>
  </si>
  <si>
    <t>UTI FTIF Series XXVIII-XIII (1134 Days) - Direct Plan - Growth Option</t>
  </si>
  <si>
    <t>INF789FC10M0</t>
  </si>
  <si>
    <t>UTI FTIF Series XXVIII-XIII (1134 Days) - Regular Plan - Growth Option</t>
  </si>
  <si>
    <t>INF789FC17M5</t>
  </si>
  <si>
    <t>UTI FTIF SERIES XXVIII - PLAN XIV (1147 DAYS) - Regular Plan - Quarterly IDCW</t>
  </si>
  <si>
    <t>INF789FC15N7</t>
  </si>
  <si>
    <t>UTI FTIF Series XXVIII-XIV (1147 Days) - Direct Plan - Growth OptionI</t>
  </si>
  <si>
    <t>INF789FC10N8</t>
  </si>
  <si>
    <t>UTI FTIF Series XXVIII-XIV (1147 Days) - Regular Plan - Growth Option</t>
  </si>
  <si>
    <t>INF789F01FJ8</t>
  </si>
  <si>
    <t>UTI Annual Interval Fund - I - ( Instn Growth Option )</t>
  </si>
  <si>
    <t>INF789F01VU2</t>
  </si>
  <si>
    <t>INF789F01VV0</t>
  </si>
  <si>
    <t>UTI Annual Interval Fund - I - Direct Plan - Dividend Option</t>
  </si>
  <si>
    <t>INF789F01VW8</t>
  </si>
  <si>
    <t>UTI Annual Interval Fund - I - Direct Plan - Growth Option</t>
  </si>
  <si>
    <t>INF789F01FG4</t>
  </si>
  <si>
    <t>UTI Annual Interval Fund - I - Regular Plan - Growth Option</t>
  </si>
  <si>
    <t>INF789F01FE9</t>
  </si>
  <si>
    <t>INF789F01FF6</t>
  </si>
  <si>
    <t>UTI Annual Interval Fund - I - Regular Plan - IDCW</t>
  </si>
  <si>
    <t>INF789F01WC8</t>
  </si>
  <si>
    <t>UTI Annual Interval Fund - II - Direct Plan - Growth Option</t>
  </si>
  <si>
    <t>INF789F01WA2</t>
  </si>
  <si>
    <t>INF789F01WB0</t>
  </si>
  <si>
    <t>UTI Annual Interval Fund - II - Direct Plan - IDCW</t>
  </si>
  <si>
    <t>INF789F01FS9</t>
  </si>
  <si>
    <t>UTI Annual Interval Fund - II - Regular Plan - Growth Option</t>
  </si>
  <si>
    <t>INF789F01FQ3</t>
  </si>
  <si>
    <t>INF789F01FR1</t>
  </si>
  <si>
    <t>UTI Annual Interval Fund - II - Regular Plan - IDCW</t>
  </si>
  <si>
    <t>INF789F01FV3</t>
  </si>
  <si>
    <t>UTI Fixed Interval Income Fund (Annual Interval Fund)  Series III - Instn Growth Option</t>
  </si>
  <si>
    <t>INF789F1AWI4</t>
  </si>
  <si>
    <t>UTI Fixed Term Income Fund - Series XXXV-I (1260 Days) - Direct Plan - Annual IDCW Option</t>
  </si>
  <si>
    <t>INF789F1AWK0</t>
  </si>
  <si>
    <t>UTI Fixed Term Income Fund - Series XXXV-I (1260 Days) - Direct Plan - Growth Option</t>
  </si>
  <si>
    <t>INF789F1AWJ2</t>
  </si>
  <si>
    <t>UTI Fixed Term Income Fund - Series XXXV-I (1260 Days) - Direct Plan - Maturity IDCW Option</t>
  </si>
  <si>
    <t>INF789F1AWH6</t>
  </si>
  <si>
    <t>UTI Fixed Term Income Fund - Series XXXV-I (1260 Days) - Direct Plan - Quarterly IDCW Option</t>
  </si>
  <si>
    <t>INF789F1AWD5</t>
  </si>
  <si>
    <t>UTI Fixed Term Income Fund - Series XXXV-I (1260 days) - Regular Plan - Annual IDCW Option</t>
  </si>
  <si>
    <t>INF789F1AWG8</t>
  </si>
  <si>
    <t>UTI Fixed Term Income Fund - Series XXXV-I (1260 Days) - Regular Plan - Flexi IDCW Option</t>
  </si>
  <si>
    <t>INF789F1AWF0</t>
  </si>
  <si>
    <t>UTI Fixed Term Income Fund - Series XXXV-I (1260 Days) - Regular Plan - Growth Option</t>
  </si>
  <si>
    <t>INF789F1AWE3</t>
  </si>
  <si>
    <t>UTI Fixed Term Income Fund - Series XXXV-I (1260 Days) - Regular Plan - Maturity IDCW Option</t>
  </si>
  <si>
    <t>INF789F1AWC7</t>
  </si>
  <si>
    <t>UTI Fixed Term Income Fund - Series XXXV-I (1260 Days) - Regular Plan - Quarterly IDCW Option</t>
  </si>
  <si>
    <t>INF789F1AWS3</t>
  </si>
  <si>
    <t>UTI Fixed Term Income Fund - Series XXXV-II (1223 Days) - Direct Plan - Annual IDCW Option</t>
  </si>
  <si>
    <t>INF789F1AWV7</t>
  </si>
  <si>
    <t>UTI Fixed Term Income Fund - Series XXXV-II (1223 Days) - Direct Plan - Flexi IDCW Option</t>
  </si>
  <si>
    <t>INF789F1AWU9</t>
  </si>
  <si>
    <t>UTI Fixed Term Income Fund - Series XXXV-II (1223 Days) - Direct Plan - Growth Option</t>
  </si>
  <si>
    <t>INF789F1AWT1</t>
  </si>
  <si>
    <t>UTI Fixed Term Income Fund - Series XXXV-II (1223 Days) - Direct Plan - Maturity IDCW Option</t>
  </si>
  <si>
    <t>INF789F1AWR5</t>
  </si>
  <si>
    <t>UTI Fixed Term Income Fund - Series XXXV-II (1223 Days) - Direct Plan - Quarterly IDCW Option</t>
  </si>
  <si>
    <t>INF789F1AWN4</t>
  </si>
  <si>
    <t>UTI Fixed Term Income Fund - Series XXXV-II (1223 Days) - Regular Plan - Annual IDCW Option</t>
  </si>
  <si>
    <t>INF789F1AWQ7</t>
  </si>
  <si>
    <t>UTI Fixed Term Income Fund - Series XXXV-II (1223 Days) - Regular Plan - Flexi IDCW Option</t>
  </si>
  <si>
    <t>INF789F1AWP9</t>
  </si>
  <si>
    <t>UTI Fixed Term Income Fund - Series XXXV-II (1223 Days) - Regular Plan - Growth Option</t>
  </si>
  <si>
    <t>INF789F1AWO2</t>
  </si>
  <si>
    <t>UTI Fixed Term Income Fund - Series XXXV-II (1223 Days) - Regular Plan - Maturity IDCW Option</t>
  </si>
  <si>
    <t>INF789F1AWM6</t>
  </si>
  <si>
    <t>UTI Fixed Term Income Fund - Series XXXV-II (1223 Days) - Regular Plan - Quarterly IDCW Option</t>
  </si>
  <si>
    <t>INF789F1AXF8</t>
  </si>
  <si>
    <t>UTI Fixed Term Income Fund - Series XXXV-III (1176 Days) - Direct Plan - Annual IDCW Option</t>
  </si>
  <si>
    <t>INF789F1AXH4</t>
  </si>
  <si>
    <t>UTI Fixed Term Income Fund - Series XXXV-III (1176 Days) - Direct Plan - Growth Option</t>
  </si>
  <si>
    <t>INF789F1AXG6</t>
  </si>
  <si>
    <t>UTI Fixed Term Income Fund - Series XXXV-III (1176 Days) - Direct Plan - Maturity IDCW Option</t>
  </si>
  <si>
    <t>INF789F1AXE1</t>
  </si>
  <si>
    <t>UTI Fixed Term Income Fund - Series XXXV-III (1176 Days) - Direct Plan - Quarterly IDCW Option</t>
  </si>
  <si>
    <t>INF789F1AXJ0</t>
  </si>
  <si>
    <t>UTI Fixed Term Income Fund - Series XXXV-III (1176 Days) - Regular Plan - Annual IDCW Option</t>
  </si>
  <si>
    <t>INF789F1AXD3</t>
  </si>
  <si>
    <t>UTI Fixed Term Income Fund - Series XXXV-III (1176 Days) - Regular Plan - Flexi IDCW Option</t>
  </si>
  <si>
    <t>INF789F1AXC5</t>
  </si>
  <si>
    <t>UTI Fixed Term Income Fund - Series XXXV-III (1176 Days) - Regular Plan - Growth Option</t>
  </si>
  <si>
    <t>INF789F1AXA9</t>
  </si>
  <si>
    <t>UTI Fixed Term Income Fund - Series XXXV-III (1176 Days) - Regular Plan - Quarterly IDCW Option</t>
  </si>
  <si>
    <t>INF789F1AXP7</t>
  </si>
  <si>
    <t>UTI Fixed Term Income Fund Series XXXVI - I (1574 Days) - Direct Plan - Growth Option</t>
  </si>
  <si>
    <t>INF789F1AXO0</t>
  </si>
  <si>
    <t>UTI Fixed Term Income Fund Series XXXVI - I (1574 Days) - Direct Plan - Payout of IDCW Option</t>
  </si>
  <si>
    <t>INF789F1AXN2</t>
  </si>
  <si>
    <t>UTI Fixed Term Income Fund Series XXXVI - I (1574 Days) - Regular Plan - Growth Option</t>
  </si>
  <si>
    <t>INF789F1AXM4</t>
  </si>
  <si>
    <t>UTI Fixed Term Income Fund Series XXXVI - I (1574 Days) - Regular Plan - Payout of IDCW Option</t>
  </si>
  <si>
    <t>INF789F01WG9</t>
  </si>
  <si>
    <t>INF789F01WH7</t>
  </si>
  <si>
    <t>UTI Quarterly Interval Fund - I - Direct Plan - IDCW</t>
  </si>
  <si>
    <t>INF789F01GE7</t>
  </si>
  <si>
    <t>UTI Quarterly Interval Fund - I - Regular Plan - Growth Option</t>
  </si>
  <si>
    <t>INF789F01GC1</t>
  </si>
  <si>
    <t>INF789F01GD9</t>
  </si>
  <si>
    <t>UTI Quarterly Interval Fund - I - Regular Plan - IDCW</t>
  </si>
  <si>
    <t>INF789F01WI5</t>
  </si>
  <si>
    <t>UTI Quarterly Interval Fund - I -Direct Plan - Growth Option</t>
  </si>
  <si>
    <t>INF789F01WR6</t>
  </si>
  <si>
    <t>UTI Quarterly Interval Fund - II - Direct Plan - Growth Option</t>
  </si>
  <si>
    <t>INF789F01WP0</t>
  </si>
  <si>
    <t>INF789F01WQ8</t>
  </si>
  <si>
    <t>UTI Quarterly Interval Fund - II - Direct Plan - IDCW</t>
  </si>
  <si>
    <t>INF789F01GW9</t>
  </si>
  <si>
    <t>UTI Quarterly Interval Fund - II - Regular Plan - Growth Option</t>
  </si>
  <si>
    <t>INF789F01GU3</t>
  </si>
  <si>
    <t>INF789F01GV1</t>
  </si>
  <si>
    <t>UTI Quarterly Interval Fund - II - Regular Plan - IDCW</t>
  </si>
  <si>
    <t>INF789F01WU0</t>
  </si>
  <si>
    <t>UTI Quarterly Interval Fund - III -Direct Plan - Growth Option</t>
  </si>
  <si>
    <t>INF789F01WS4</t>
  </si>
  <si>
    <t>INF789F01WT2</t>
  </si>
  <si>
    <t>UTI Quarterly Interval Fund - III -Direct Plan - IDCW</t>
  </si>
  <si>
    <t>INF789F01HC9</t>
  </si>
  <si>
    <t>UTI Quarterly Interval Fund - III -Regular Plan - Growth Option</t>
  </si>
  <si>
    <t>INF789F01HA3</t>
  </si>
  <si>
    <t>INF789F01HB1</t>
  </si>
  <si>
    <t>UTI Quarterly Interval Fund - III -Regular Plan - IDCW</t>
  </si>
  <si>
    <t>110021</t>
  </si>
  <si>
    <t>110024</t>
  </si>
  <si>
    <t>121721</t>
  </si>
  <si>
    <t>121722</t>
  </si>
  <si>
    <t>109618</t>
  </si>
  <si>
    <t>109617</t>
  </si>
  <si>
    <t>121181</t>
  </si>
  <si>
    <t>121182</t>
  </si>
  <si>
    <t>122165</t>
  </si>
  <si>
    <t>106057</t>
  </si>
  <si>
    <t>106060</t>
  </si>
  <si>
    <t>122152</t>
  </si>
  <si>
    <t>151486</t>
  </si>
  <si>
    <t>151483</t>
  </si>
  <si>
    <t>151484</t>
  </si>
  <si>
    <t>151485</t>
  </si>
  <si>
    <t>151331</t>
  </si>
  <si>
    <t>151338</t>
  </si>
  <si>
    <t>151332</t>
  </si>
  <si>
    <t>151339</t>
  </si>
  <si>
    <t>151333</t>
  </si>
  <si>
    <t>151335</t>
  </si>
  <si>
    <t>151341</t>
  </si>
  <si>
    <t>151334</t>
  </si>
  <si>
    <t>150972</t>
  </si>
  <si>
    <t>150969</t>
  </si>
  <si>
    <t>150971</t>
  </si>
  <si>
    <t>150968</t>
  </si>
  <si>
    <t>150967</t>
  </si>
  <si>
    <t>150964</t>
  </si>
  <si>
    <t>150966</t>
  </si>
  <si>
    <t>150963</t>
  </si>
  <si>
    <t>150970</t>
  </si>
  <si>
    <t>150965</t>
  </si>
  <si>
    <t>150830</t>
  </si>
  <si>
    <t>150829</t>
  </si>
  <si>
    <t>150828</t>
  </si>
  <si>
    <t>150832</t>
  </si>
  <si>
    <t>150831</t>
  </si>
  <si>
    <t>150834</t>
  </si>
  <si>
    <t>150837</t>
  </si>
  <si>
    <t>150833</t>
  </si>
  <si>
    <t>150835</t>
  </si>
  <si>
    <t>106709</t>
  </si>
  <si>
    <t>106706</t>
  </si>
  <si>
    <t>106707</t>
  </si>
  <si>
    <t>125078</t>
  </si>
  <si>
    <t>125077</t>
  </si>
  <si>
    <t>106186</t>
  </si>
  <si>
    <t>106183</t>
  </si>
  <si>
    <t>123646</t>
  </si>
  <si>
    <t>123663</t>
  </si>
  <si>
    <t>106185</t>
  </si>
  <si>
    <t>143044</t>
  </si>
  <si>
    <t>143039</t>
  </si>
  <si>
    <t>143047</t>
  </si>
  <si>
    <t>142848</t>
  </si>
  <si>
    <t>142815</t>
  </si>
  <si>
    <t>142851</t>
  </si>
  <si>
    <t>142852</t>
  </si>
  <si>
    <t>142850</t>
  </si>
  <si>
    <t>142849</t>
  </si>
  <si>
    <t>142845</t>
  </si>
  <si>
    <t>142846</t>
  </si>
  <si>
    <t>142847</t>
  </si>
  <si>
    <t>142844</t>
  </si>
  <si>
    <t>142807</t>
  </si>
  <si>
    <t>142813</t>
  </si>
  <si>
    <t>142808</t>
  </si>
  <si>
    <t>142812</t>
  </si>
  <si>
    <t>142814</t>
  </si>
  <si>
    <t>142811</t>
  </si>
  <si>
    <t>142794</t>
  </si>
  <si>
    <t>142789</t>
  </si>
  <si>
    <t>142796</t>
  </si>
  <si>
    <t>142792</t>
  </si>
  <si>
    <t>142798</t>
  </si>
  <si>
    <t>142795</t>
  </si>
  <si>
    <t>142790</t>
  </si>
  <si>
    <t>142579</t>
  </si>
  <si>
    <t>142578</t>
  </si>
  <si>
    <t>142577</t>
  </si>
  <si>
    <t>142574</t>
  </si>
  <si>
    <t>142580</t>
  </si>
  <si>
    <t>142572</t>
  </si>
  <si>
    <t>142573</t>
  </si>
  <si>
    <t>142576</t>
  </si>
  <si>
    <t>142365</t>
  </si>
  <si>
    <t>142361</t>
  </si>
  <si>
    <t>142366</t>
  </si>
  <si>
    <t>142367</t>
  </si>
  <si>
    <t>142362</t>
  </si>
  <si>
    <t>142327</t>
  </si>
  <si>
    <t>142326</t>
  </si>
  <si>
    <t>142324</t>
  </si>
  <si>
    <t>142325</t>
  </si>
  <si>
    <t>142323</t>
  </si>
  <si>
    <t>142328</t>
  </si>
  <si>
    <t>142329</t>
  </si>
  <si>
    <t>142321</t>
  </si>
  <si>
    <t>142322</t>
  </si>
  <si>
    <t>142320</t>
  </si>
  <si>
    <t>142269</t>
  </si>
  <si>
    <t>142268</t>
  </si>
  <si>
    <t>142277</t>
  </si>
  <si>
    <t>142272</t>
  </si>
  <si>
    <t>142275</t>
  </si>
  <si>
    <t>142222</t>
  </si>
  <si>
    <t>142225</t>
  </si>
  <si>
    <t>142224</t>
  </si>
  <si>
    <t>142223</t>
  </si>
  <si>
    <t>142226</t>
  </si>
  <si>
    <t>142220</t>
  </si>
  <si>
    <t>142219</t>
  </si>
  <si>
    <t>142227</t>
  </si>
  <si>
    <t>142519</t>
  </si>
  <si>
    <t>142525</t>
  </si>
  <si>
    <t>142526</t>
  </si>
  <si>
    <t>142208</t>
  </si>
  <si>
    <t>142201</t>
  </si>
  <si>
    <t>142097</t>
  </si>
  <si>
    <t>142093</t>
  </si>
  <si>
    <t>142100</t>
  </si>
  <si>
    <t>142101</t>
  </si>
  <si>
    <t>142102</t>
  </si>
  <si>
    <t>142098</t>
  </si>
  <si>
    <t>142095</t>
  </si>
  <si>
    <t>142099</t>
  </si>
  <si>
    <t>142096</t>
  </si>
  <si>
    <t>142094</t>
  </si>
  <si>
    <t>142030</t>
  </si>
  <si>
    <t>142025</t>
  </si>
  <si>
    <t>142031</t>
  </si>
  <si>
    <t>142034</t>
  </si>
  <si>
    <t>142032</t>
  </si>
  <si>
    <t>142033</t>
  </si>
  <si>
    <t>142027</t>
  </si>
  <si>
    <t>142028</t>
  </si>
  <si>
    <t>142029</t>
  </si>
  <si>
    <t>142026</t>
  </si>
  <si>
    <t>141947</t>
  </si>
  <si>
    <t>141939</t>
  </si>
  <si>
    <t>141942</t>
  </si>
  <si>
    <t>141948</t>
  </si>
  <si>
    <t>141944</t>
  </si>
  <si>
    <t>141943</t>
  </si>
  <si>
    <t>141940</t>
  </si>
  <si>
    <t>141945</t>
  </si>
  <si>
    <t>141905</t>
  </si>
  <si>
    <t>141902</t>
  </si>
  <si>
    <t>141907</t>
  </si>
  <si>
    <t>141903</t>
  </si>
  <si>
    <t>141901</t>
  </si>
  <si>
    <t>141904</t>
  </si>
  <si>
    <t>141900</t>
  </si>
  <si>
    <t>141899</t>
  </si>
  <si>
    <t>141906</t>
  </si>
  <si>
    <t>141819</t>
  </si>
  <si>
    <t>141823</t>
  </si>
  <si>
    <t>141818</t>
  </si>
  <si>
    <t>141820</t>
  </si>
  <si>
    <t>141824</t>
  </si>
  <si>
    <t>141815</t>
  </si>
  <si>
    <t>141816</t>
  </si>
  <si>
    <t>141821</t>
  </si>
  <si>
    <t>141822</t>
  </si>
  <si>
    <t>141850</t>
  </si>
  <si>
    <t>141845</t>
  </si>
  <si>
    <t>141843</t>
  </si>
  <si>
    <t>141120</t>
  </si>
  <si>
    <t>141117</t>
  </si>
  <si>
    <t>141115</t>
  </si>
  <si>
    <t>141116</t>
  </si>
  <si>
    <t>141112</t>
  </si>
  <si>
    <t>141113</t>
  </si>
  <si>
    <t>141111</t>
  </si>
  <si>
    <t>141114</t>
  </si>
  <si>
    <t>141119</t>
  </si>
  <si>
    <t>141010</t>
  </si>
  <si>
    <t>141011</t>
  </si>
  <si>
    <t>141015</t>
  </si>
  <si>
    <t>141016</t>
  </si>
  <si>
    <t>141017</t>
  </si>
  <si>
    <t>141008</t>
  </si>
  <si>
    <t>141014</t>
  </si>
  <si>
    <t>141013</t>
  </si>
  <si>
    <t>141012</t>
  </si>
  <si>
    <t>140973</t>
  </si>
  <si>
    <t>140966</t>
  </si>
  <si>
    <t>140968</t>
  </si>
  <si>
    <t>140967</t>
  </si>
  <si>
    <t>140970</t>
  </si>
  <si>
    <t>140971</t>
  </si>
  <si>
    <t>140964</t>
  </si>
  <si>
    <t>140969</t>
  </si>
  <si>
    <t>140859</t>
  </si>
  <si>
    <t>140861</t>
  </si>
  <si>
    <t>140855</t>
  </si>
  <si>
    <t>140860</t>
  </si>
  <si>
    <t>140854</t>
  </si>
  <si>
    <t>140856</t>
  </si>
  <si>
    <t>140857</t>
  </si>
  <si>
    <t>140858</t>
  </si>
  <si>
    <t>140853</t>
  </si>
  <si>
    <t>140642</t>
  </si>
  <si>
    <t>140644</t>
  </si>
  <si>
    <t>140640</t>
  </si>
  <si>
    <t>140643</t>
  </si>
  <si>
    <t>140641</t>
  </si>
  <si>
    <t>140636</t>
  </si>
  <si>
    <t>140635</t>
  </si>
  <si>
    <t>140527</t>
  </si>
  <si>
    <t>140523</t>
  </si>
  <si>
    <t>140520</t>
  </si>
  <si>
    <t>140522</t>
  </si>
  <si>
    <t>140526</t>
  </si>
  <si>
    <t>140518</t>
  </si>
  <si>
    <t>140521</t>
  </si>
  <si>
    <t>140524</t>
  </si>
  <si>
    <t>140519</t>
  </si>
  <si>
    <t>140525</t>
  </si>
  <si>
    <t>140472</t>
  </si>
  <si>
    <t>140467</t>
  </si>
  <si>
    <t>140475</t>
  </si>
  <si>
    <t>140473</t>
  </si>
  <si>
    <t>140469</t>
  </si>
  <si>
    <t>140470</t>
  </si>
  <si>
    <t>140474</t>
  </si>
  <si>
    <t>140466</t>
  </si>
  <si>
    <t>140468</t>
  </si>
  <si>
    <t>140471</t>
  </si>
  <si>
    <t>140417</t>
  </si>
  <si>
    <t>140420</t>
  </si>
  <si>
    <t>140418</t>
  </si>
  <si>
    <t>140424</t>
  </si>
  <si>
    <t>140421</t>
  </si>
  <si>
    <t>140423</t>
  </si>
  <si>
    <t>140419</t>
  </si>
  <si>
    <t>140415</t>
  </si>
  <si>
    <t>140416</t>
  </si>
  <si>
    <t>140370</t>
  </si>
  <si>
    <t>140371</t>
  </si>
  <si>
    <t>140368</t>
  </si>
  <si>
    <t>140372</t>
  </si>
  <si>
    <t>140369</t>
  </si>
  <si>
    <t>140376</t>
  </si>
  <si>
    <t>140374</t>
  </si>
  <si>
    <t>140373</t>
  </si>
  <si>
    <t>140367</t>
  </si>
  <si>
    <t>140375</t>
  </si>
  <si>
    <t>140124</t>
  </si>
  <si>
    <t>140129</t>
  </si>
  <si>
    <t>140123</t>
  </si>
  <si>
    <t>140125</t>
  </si>
  <si>
    <t>140128</t>
  </si>
  <si>
    <t>140121</t>
  </si>
  <si>
    <t>140130</t>
  </si>
  <si>
    <t>140126</t>
  </si>
  <si>
    <t>139395</t>
  </si>
  <si>
    <t>139399</t>
  </si>
  <si>
    <t>139398</t>
  </si>
  <si>
    <t>139401</t>
  </si>
  <si>
    <t>139402</t>
  </si>
  <si>
    <t>139400</t>
  </si>
  <si>
    <t>139397</t>
  </si>
  <si>
    <t>139393</t>
  </si>
  <si>
    <t>141774</t>
  </si>
  <si>
    <t>141773</t>
  </si>
  <si>
    <t>141775</t>
  </si>
  <si>
    <t>141777</t>
  </si>
  <si>
    <t>141776</t>
  </si>
  <si>
    <t>141770</t>
  </si>
  <si>
    <t>141771</t>
  </si>
  <si>
    <t>141778</t>
  </si>
  <si>
    <t>141769</t>
  </si>
  <si>
    <t>141755</t>
  </si>
  <si>
    <t>141753</t>
  </si>
  <si>
    <t>141751</t>
  </si>
  <si>
    <t>141754</t>
  </si>
  <si>
    <t>141752</t>
  </si>
  <si>
    <t>141749</t>
  </si>
  <si>
    <t>141756</t>
  </si>
  <si>
    <t>141757</t>
  </si>
  <si>
    <t>141750</t>
  </si>
  <si>
    <t>141748</t>
  </si>
  <si>
    <t>141713</t>
  </si>
  <si>
    <t>141714</t>
  </si>
  <si>
    <t>141719</t>
  </si>
  <si>
    <t>141712</t>
  </si>
  <si>
    <t>141711</t>
  </si>
  <si>
    <t>141716</t>
  </si>
  <si>
    <t>141717</t>
  </si>
  <si>
    <t>141710</t>
  </si>
  <si>
    <t>141715</t>
  </si>
  <si>
    <t>141718</t>
  </si>
  <si>
    <t>141628</t>
  </si>
  <si>
    <t>141624</t>
  </si>
  <si>
    <t>141625</t>
  </si>
  <si>
    <t>141623</t>
  </si>
  <si>
    <t>141629</t>
  </si>
  <si>
    <t>141627</t>
  </si>
  <si>
    <t>141626</t>
  </si>
  <si>
    <t>141620</t>
  </si>
  <si>
    <t>141622</t>
  </si>
  <si>
    <t>141621</t>
  </si>
  <si>
    <t>141577</t>
  </si>
  <si>
    <t>141574</t>
  </si>
  <si>
    <t>141573</t>
  </si>
  <si>
    <t>141576</t>
  </si>
  <si>
    <t>141569</t>
  </si>
  <si>
    <t>141571</t>
  </si>
  <si>
    <t>141572</t>
  </si>
  <si>
    <t>141570</t>
  </si>
  <si>
    <t>141538</t>
  </si>
  <si>
    <t>141540</t>
  </si>
  <si>
    <t>141536</t>
  </si>
  <si>
    <t>141539</t>
  </si>
  <si>
    <t>141537</t>
  </si>
  <si>
    <t>141532</t>
  </si>
  <si>
    <t>141534</t>
  </si>
  <si>
    <t>141531</t>
  </si>
  <si>
    <t>141483</t>
  </si>
  <si>
    <t>141487</t>
  </si>
  <si>
    <t>141481</t>
  </si>
  <si>
    <t>141484</t>
  </si>
  <si>
    <t>141482</t>
  </si>
  <si>
    <t>141486</t>
  </si>
  <si>
    <t>141479</t>
  </si>
  <si>
    <t>141485</t>
  </si>
  <si>
    <t>141480</t>
  </si>
  <si>
    <t>141478</t>
  </si>
  <si>
    <t>141457</t>
  </si>
  <si>
    <t>141450</t>
  </si>
  <si>
    <t>141449</t>
  </si>
  <si>
    <t>141451</t>
  </si>
  <si>
    <t>141456</t>
  </si>
  <si>
    <t>141454</t>
  </si>
  <si>
    <t>141455</t>
  </si>
  <si>
    <t>141452</t>
  </si>
  <si>
    <t>141453</t>
  </si>
  <si>
    <t>141401</t>
  </si>
  <si>
    <t>141403</t>
  </si>
  <si>
    <t>141400</t>
  </si>
  <si>
    <t>141399</t>
  </si>
  <si>
    <t>141398</t>
  </si>
  <si>
    <t>141397</t>
  </si>
  <si>
    <t>141396</t>
  </si>
  <si>
    <t>141402</t>
  </si>
  <si>
    <t>141395</t>
  </si>
  <si>
    <t>141394</t>
  </si>
  <si>
    <t>141316</t>
  </si>
  <si>
    <t>141314</t>
  </si>
  <si>
    <t>141311</t>
  </si>
  <si>
    <t>141312</t>
  </si>
  <si>
    <t>141313</t>
  </si>
  <si>
    <t>141315</t>
  </si>
  <si>
    <t>141309</t>
  </si>
  <si>
    <t>141307</t>
  </si>
  <si>
    <t>141308</t>
  </si>
  <si>
    <t>141295</t>
  </si>
  <si>
    <t>141291</t>
  </si>
  <si>
    <t>141289</t>
  </si>
  <si>
    <t>141290</t>
  </si>
  <si>
    <t>141288</t>
  </si>
  <si>
    <t>141296</t>
  </si>
  <si>
    <t>141293</t>
  </si>
  <si>
    <t>141287</t>
  </si>
  <si>
    <t>141292</t>
  </si>
  <si>
    <t>141241</t>
  </si>
  <si>
    <t>141239</t>
  </si>
  <si>
    <t>141240</t>
  </si>
  <si>
    <t>141235</t>
  </si>
  <si>
    <t>141234</t>
  </si>
  <si>
    <t>141237</t>
  </si>
  <si>
    <t>141238</t>
  </si>
  <si>
    <t>141236</t>
  </si>
  <si>
    <t>141233</t>
  </si>
  <si>
    <t>141242</t>
  </si>
  <si>
    <t>141198</t>
  </si>
  <si>
    <t>141197</t>
  </si>
  <si>
    <t>141195</t>
  </si>
  <si>
    <t>141196</t>
  </si>
  <si>
    <t>141199</t>
  </si>
  <si>
    <t>141194</t>
  </si>
  <si>
    <t>141193</t>
  </si>
  <si>
    <t>141200</t>
  </si>
  <si>
    <t>141201</t>
  </si>
  <si>
    <t>141171</t>
  </si>
  <si>
    <t>141174</t>
  </si>
  <si>
    <t>141173</t>
  </si>
  <si>
    <t>141170</t>
  </si>
  <si>
    <t>141169</t>
  </si>
  <si>
    <t>141167</t>
  </si>
  <si>
    <t>141168</t>
  </si>
  <si>
    <t>141176</t>
  </si>
  <si>
    <t>141175</t>
  </si>
  <si>
    <t>148202</t>
  </si>
  <si>
    <t>148203</t>
  </si>
  <si>
    <t>148204</t>
  </si>
  <si>
    <t>148196</t>
  </si>
  <si>
    <t>148199</t>
  </si>
  <si>
    <t>148200</t>
  </si>
  <si>
    <t>148198</t>
  </si>
  <si>
    <t>148205</t>
  </si>
  <si>
    <t>148197</t>
  </si>
  <si>
    <t>147417</t>
  </si>
  <si>
    <t>147418</t>
  </si>
  <si>
    <t>147419</t>
  </si>
  <si>
    <t>147416</t>
  </si>
  <si>
    <t>147412</t>
  </si>
  <si>
    <t>147415</t>
  </si>
  <si>
    <t>147414</t>
  </si>
  <si>
    <t>147420</t>
  </si>
  <si>
    <t>147411</t>
  </si>
  <si>
    <t>147368</t>
  </si>
  <si>
    <t>147366</t>
  </si>
  <si>
    <t>147361</t>
  </si>
  <si>
    <t>147367</t>
  </si>
  <si>
    <t>147365</t>
  </si>
  <si>
    <t>147369</t>
  </si>
  <si>
    <t>147362</t>
  </si>
  <si>
    <t>147364</t>
  </si>
  <si>
    <t>147363</t>
  </si>
  <si>
    <t>147330</t>
  </si>
  <si>
    <t>147326</t>
  </si>
  <si>
    <t>147327</t>
  </si>
  <si>
    <t>147329</t>
  </si>
  <si>
    <t>147323</t>
  </si>
  <si>
    <t>147324</t>
  </si>
  <si>
    <t>147321</t>
  </si>
  <si>
    <t>147328</t>
  </si>
  <si>
    <t>147322</t>
  </si>
  <si>
    <t>147262</t>
  </si>
  <si>
    <t>147264</t>
  </si>
  <si>
    <t>147263</t>
  </si>
  <si>
    <t>147261</t>
  </si>
  <si>
    <t>147256</t>
  </si>
  <si>
    <t>147259</t>
  </si>
  <si>
    <t>147257</t>
  </si>
  <si>
    <t>147255</t>
  </si>
  <si>
    <t>147169</t>
  </si>
  <si>
    <t>147174</t>
  </si>
  <si>
    <t>147172</t>
  </si>
  <si>
    <t>147166</t>
  </si>
  <si>
    <t>147168</t>
  </si>
  <si>
    <t>147165</t>
  </si>
  <si>
    <t>147078</t>
  </si>
  <si>
    <t>147079</t>
  </si>
  <si>
    <t>147077</t>
  </si>
  <si>
    <t>147073</t>
  </si>
  <si>
    <t>147072</t>
  </si>
  <si>
    <t>147076</t>
  </si>
  <si>
    <t>147071</t>
  </si>
  <si>
    <t>146991</t>
  </si>
  <si>
    <t>146994</t>
  </si>
  <si>
    <t>146996</t>
  </si>
  <si>
    <t>146988</t>
  </si>
  <si>
    <t>146989</t>
  </si>
  <si>
    <t>146995</t>
  </si>
  <si>
    <t>146990</t>
  </si>
  <si>
    <t>146987</t>
  </si>
  <si>
    <t>146871</t>
  </si>
  <si>
    <t>146867</t>
  </si>
  <si>
    <t>146873</t>
  </si>
  <si>
    <t>146874</t>
  </si>
  <si>
    <t>146876</t>
  </si>
  <si>
    <t>146872</t>
  </si>
  <si>
    <t>146711</t>
  </si>
  <si>
    <t>146714</t>
  </si>
  <si>
    <t>146707</t>
  </si>
  <si>
    <t>146713</t>
  </si>
  <si>
    <t>146708</t>
  </si>
  <si>
    <t>146715</t>
  </si>
  <si>
    <t>146709</t>
  </si>
  <si>
    <t>146706</t>
  </si>
  <si>
    <t>146616</t>
  </si>
  <si>
    <t>146617</t>
  </si>
  <si>
    <t>146615</t>
  </si>
  <si>
    <t>146614</t>
  </si>
  <si>
    <t>146610</t>
  </si>
  <si>
    <t>146611</t>
  </si>
  <si>
    <t>146609</t>
  </si>
  <si>
    <t>146613</t>
  </si>
  <si>
    <t>146608</t>
  </si>
  <si>
    <t>146544</t>
  </si>
  <si>
    <t>146536</t>
  </si>
  <si>
    <t>146537</t>
  </si>
  <si>
    <t>146540</t>
  </si>
  <si>
    <t>146541</t>
  </si>
  <si>
    <t>146539</t>
  </si>
  <si>
    <t>146538</t>
  </si>
  <si>
    <t>146477</t>
  </si>
  <si>
    <t>146480</t>
  </si>
  <si>
    <t>146479</t>
  </si>
  <si>
    <t>146481</t>
  </si>
  <si>
    <t>146484</t>
  </si>
  <si>
    <t>146476</t>
  </si>
  <si>
    <t>146482</t>
  </si>
  <si>
    <t>146478</t>
  </si>
  <si>
    <t>146475</t>
  </si>
  <si>
    <t>146861</t>
  </si>
  <si>
    <t>146865</t>
  </si>
  <si>
    <t>146860</t>
  </si>
  <si>
    <t>146857</t>
  </si>
  <si>
    <t>146858</t>
  </si>
  <si>
    <t>146859</t>
  </si>
  <si>
    <t>146864</t>
  </si>
  <si>
    <t>146862</t>
  </si>
  <si>
    <t>146863</t>
  </si>
  <si>
    <t>146265</t>
  </si>
  <si>
    <t>146266</t>
  </si>
  <si>
    <t>146269</t>
  </si>
  <si>
    <t>146270</t>
  </si>
  <si>
    <t>146268</t>
  </si>
  <si>
    <t>146263</t>
  </si>
  <si>
    <t>146262</t>
  </si>
  <si>
    <t>146264</t>
  </si>
  <si>
    <t>146261</t>
  </si>
  <si>
    <t>146241</t>
  </si>
  <si>
    <t>146242</t>
  </si>
  <si>
    <t>146244</t>
  </si>
  <si>
    <t>146248</t>
  </si>
  <si>
    <t>146239</t>
  </si>
  <si>
    <t>146243</t>
  </si>
  <si>
    <t>146246</t>
  </si>
  <si>
    <t>146247</t>
  </si>
  <si>
    <t>146245</t>
  </si>
  <si>
    <t>146038</t>
  </si>
  <si>
    <t>146034</t>
  </si>
  <si>
    <t>146032</t>
  </si>
  <si>
    <t>146035</t>
  </si>
  <si>
    <t>146033</t>
  </si>
  <si>
    <t>146040</t>
  </si>
  <si>
    <t>146036</t>
  </si>
  <si>
    <t>146039</t>
  </si>
  <si>
    <t>146031</t>
  </si>
  <si>
    <t>146037</t>
  </si>
  <si>
    <t>145935</t>
  </si>
  <si>
    <t>145936</t>
  </si>
  <si>
    <t>145941</t>
  </si>
  <si>
    <t>145940</t>
  </si>
  <si>
    <t>145939</t>
  </si>
  <si>
    <t>145851</t>
  </si>
  <si>
    <t>145848</t>
  </si>
  <si>
    <t>145845</t>
  </si>
  <si>
    <t>145843</t>
  </si>
  <si>
    <t>145844</t>
  </si>
  <si>
    <t>145837</t>
  </si>
  <si>
    <t>145836</t>
  </si>
  <si>
    <t>145839</t>
  </si>
  <si>
    <t>145840</t>
  </si>
  <si>
    <t>145835</t>
  </si>
  <si>
    <t>145842</t>
  </si>
  <si>
    <t>145838</t>
  </si>
  <si>
    <t>145652</t>
  </si>
  <si>
    <t>145657</t>
  </si>
  <si>
    <t>145658</t>
  </si>
  <si>
    <t>145651</t>
  </si>
  <si>
    <t>145653</t>
  </si>
  <si>
    <t>145655</t>
  </si>
  <si>
    <t>145650</t>
  </si>
  <si>
    <t>145654</t>
  </si>
  <si>
    <t>145561</t>
  </si>
  <si>
    <t>145557</t>
  </si>
  <si>
    <t>145558</t>
  </si>
  <si>
    <t>145556</t>
  </si>
  <si>
    <t>145555</t>
  </si>
  <si>
    <t>145553</t>
  </si>
  <si>
    <t>145510</t>
  </si>
  <si>
    <t>145514</t>
  </si>
  <si>
    <t>145508</t>
  </si>
  <si>
    <t>145513</t>
  </si>
  <si>
    <t>145507</t>
  </si>
  <si>
    <t>145511</t>
  </si>
  <si>
    <t>145506</t>
  </si>
  <si>
    <t>145512</t>
  </si>
  <si>
    <t>145505</t>
  </si>
  <si>
    <t>145424</t>
  </si>
  <si>
    <t>145423</t>
  </si>
  <si>
    <t>145422</t>
  </si>
  <si>
    <t>145419</t>
  </si>
  <si>
    <t>145415</t>
  </si>
  <si>
    <t>145325</t>
  </si>
  <si>
    <t>145329</t>
  </si>
  <si>
    <t>145149</t>
  </si>
  <si>
    <t>145150</t>
  </si>
  <si>
    <t>145148</t>
  </si>
  <si>
    <t>145152</t>
  </si>
  <si>
    <t>145154</t>
  </si>
  <si>
    <t>145146</t>
  </si>
  <si>
    <t>145153</t>
  </si>
  <si>
    <t>145145</t>
  </si>
  <si>
    <t>145014</t>
  </si>
  <si>
    <t>145010</t>
  </si>
  <si>
    <t>145016</t>
  </si>
  <si>
    <t>145009</t>
  </si>
  <si>
    <t>145338</t>
  </si>
  <si>
    <t>145335</t>
  </si>
  <si>
    <t>145336</t>
  </si>
  <si>
    <t>145337</t>
  </si>
  <si>
    <t>145340</t>
  </si>
  <si>
    <t>145341</t>
  </si>
  <si>
    <t>145334</t>
  </si>
  <si>
    <t>145339</t>
  </si>
  <si>
    <t>144952</t>
  </si>
  <si>
    <t>144953</t>
  </si>
  <si>
    <t>144957</t>
  </si>
  <si>
    <t>144951</t>
  </si>
  <si>
    <t>144948</t>
  </si>
  <si>
    <t>144949</t>
  </si>
  <si>
    <t>144950</t>
  </si>
  <si>
    <t>144955</t>
  </si>
  <si>
    <t>144956</t>
  </si>
  <si>
    <t>144954</t>
  </si>
  <si>
    <t>144735</t>
  </si>
  <si>
    <t>144737</t>
  </si>
  <si>
    <t>144733</t>
  </si>
  <si>
    <t>144740</t>
  </si>
  <si>
    <t>144734</t>
  </si>
  <si>
    <t>144738</t>
  </si>
  <si>
    <t>144739</t>
  </si>
  <si>
    <t>144736</t>
  </si>
  <si>
    <t>144732</t>
  </si>
  <si>
    <t>144731</t>
  </si>
  <si>
    <t>144663</t>
  </si>
  <si>
    <t>144666</t>
  </si>
  <si>
    <t>144661</t>
  </si>
  <si>
    <t>144659</t>
  </si>
  <si>
    <t>144574</t>
  </si>
  <si>
    <t>144571</t>
  </si>
  <si>
    <t>144579</t>
  </si>
  <si>
    <t>144576</t>
  </si>
  <si>
    <t>144577</t>
  </si>
  <si>
    <t>144575</t>
  </si>
  <si>
    <t>144572</t>
  </si>
  <si>
    <t>144573</t>
  </si>
  <si>
    <t>144231</t>
  </si>
  <si>
    <t>144227</t>
  </si>
  <si>
    <t>144206</t>
  </si>
  <si>
    <t>144201</t>
  </si>
  <si>
    <t>144209</t>
  </si>
  <si>
    <t>144202</t>
  </si>
  <si>
    <t>144098</t>
  </si>
  <si>
    <t>144096</t>
  </si>
  <si>
    <t>144104</t>
  </si>
  <si>
    <t>144099</t>
  </si>
  <si>
    <t>144100</t>
  </si>
  <si>
    <t>144102</t>
  </si>
  <si>
    <t>144095</t>
  </si>
  <si>
    <t>144097</t>
  </si>
  <si>
    <t>144103</t>
  </si>
  <si>
    <t>144006</t>
  </si>
  <si>
    <t>143997</t>
  </si>
  <si>
    <t>143999</t>
  </si>
  <si>
    <t>144003</t>
  </si>
  <si>
    <t>143803</t>
  </si>
  <si>
    <t>143799</t>
  </si>
  <si>
    <t>143805</t>
  </si>
  <si>
    <t>143806</t>
  </si>
  <si>
    <t>143804</t>
  </si>
  <si>
    <t>143801</t>
  </si>
  <si>
    <t>143802</t>
  </si>
  <si>
    <t>143808</t>
  </si>
  <si>
    <t>143800</t>
  </si>
  <si>
    <t>143744</t>
  </si>
  <si>
    <t>143741</t>
  </si>
  <si>
    <t>143745</t>
  </si>
  <si>
    <t>143740</t>
  </si>
  <si>
    <t>143737</t>
  </si>
  <si>
    <t>143567</t>
  </si>
  <si>
    <t>143562</t>
  </si>
  <si>
    <t>143568</t>
  </si>
  <si>
    <t>143563</t>
  </si>
  <si>
    <t>143435</t>
  </si>
  <si>
    <t>143437</t>
  </si>
  <si>
    <t>143436</t>
  </si>
  <si>
    <t>143433</t>
  </si>
  <si>
    <t>143434</t>
  </si>
  <si>
    <t>143432</t>
  </si>
  <si>
    <t>143429</t>
  </si>
  <si>
    <t>143430</t>
  </si>
  <si>
    <t>143431</t>
  </si>
  <si>
    <t>143428</t>
  </si>
  <si>
    <t>143868</t>
  </si>
  <si>
    <t>143870</t>
  </si>
  <si>
    <t>143871</t>
  </si>
  <si>
    <t>143872</t>
  </si>
  <si>
    <t>143865</t>
  </si>
  <si>
    <t>143867</t>
  </si>
  <si>
    <t>143866</t>
  </si>
  <si>
    <t>143863</t>
  </si>
  <si>
    <t>143361</t>
  </si>
  <si>
    <t>143360</t>
  </si>
  <si>
    <t>143425</t>
  </si>
  <si>
    <t>143422</t>
  </si>
  <si>
    <t>143278</t>
  </si>
  <si>
    <t>143274</t>
  </si>
  <si>
    <t>143279</t>
  </si>
  <si>
    <t>143280</t>
  </si>
  <si>
    <t>143283</t>
  </si>
  <si>
    <t>143275</t>
  </si>
  <si>
    <t>143277</t>
  </si>
  <si>
    <t>143282</t>
  </si>
  <si>
    <t>143276</t>
  </si>
  <si>
    <t>143221</t>
  </si>
  <si>
    <t>143210</t>
  </si>
  <si>
    <t>143219</t>
  </si>
  <si>
    <t>143217</t>
  </si>
  <si>
    <t>143218</t>
  </si>
  <si>
    <t>143216</t>
  </si>
  <si>
    <t>143209</t>
  </si>
  <si>
    <t>143220</t>
  </si>
  <si>
    <t>143215</t>
  </si>
  <si>
    <t>143104</t>
  </si>
  <si>
    <t>143100</t>
  </si>
  <si>
    <t>143107</t>
  </si>
  <si>
    <t>143101</t>
  </si>
  <si>
    <t>143102</t>
  </si>
  <si>
    <t>143105</t>
  </si>
  <si>
    <t>143106</t>
  </si>
  <si>
    <t>143108</t>
  </si>
  <si>
    <t>143099</t>
  </si>
  <si>
    <t>110469</t>
  </si>
  <si>
    <t>120876</t>
  </si>
  <si>
    <t>110468</t>
  </si>
  <si>
    <t>120877</t>
  </si>
  <si>
    <t>109464</t>
  </si>
  <si>
    <t>121033</t>
  </si>
  <si>
    <t>109465</t>
  </si>
  <si>
    <t>109466</t>
  </si>
  <si>
    <t>121034</t>
  </si>
  <si>
    <t>106367</t>
  </si>
  <si>
    <t>106366</t>
  </si>
  <si>
    <t>121413</t>
  </si>
  <si>
    <t>106365</t>
  </si>
  <si>
    <t>121412</t>
  </si>
  <si>
    <t>107193</t>
  </si>
  <si>
    <t>120903</t>
  </si>
  <si>
    <t>107195</t>
  </si>
  <si>
    <t>120902</t>
  </si>
  <si>
    <t>106146</t>
  </si>
  <si>
    <t>120975</t>
  </si>
  <si>
    <t>106549</t>
  </si>
  <si>
    <t>106145</t>
  </si>
  <si>
    <t>120970</t>
  </si>
  <si>
    <t>107228</t>
  </si>
  <si>
    <t>125953</t>
  </si>
  <si>
    <t>107226</t>
  </si>
  <si>
    <t>125952</t>
  </si>
  <si>
    <t>107088</t>
  </si>
  <si>
    <t>122642</t>
  </si>
  <si>
    <t>107089</t>
  </si>
  <si>
    <t>122641</t>
  </si>
  <si>
    <t>107071</t>
  </si>
  <si>
    <t>126031</t>
  </si>
  <si>
    <t>107070</t>
  </si>
  <si>
    <t>126030</t>
  </si>
  <si>
    <t>106337</t>
  </si>
  <si>
    <t>124595</t>
  </si>
  <si>
    <t>106338</t>
  </si>
  <si>
    <t>124596</t>
  </si>
  <si>
    <t>141779</t>
  </si>
  <si>
    <t>141782</t>
  </si>
  <si>
    <t>141780</t>
  </si>
  <si>
    <t>141781</t>
  </si>
  <si>
    <t>140657</t>
  </si>
  <si>
    <t>140654</t>
  </si>
  <si>
    <t>140656</t>
  </si>
  <si>
    <t>140655</t>
  </si>
  <si>
    <t>140541</t>
  </si>
  <si>
    <t>140544</t>
  </si>
  <si>
    <t>140543</t>
  </si>
  <si>
    <t>140542</t>
  </si>
  <si>
    <t>140505</t>
  </si>
  <si>
    <t>140508</t>
  </si>
  <si>
    <t>140507</t>
  </si>
  <si>
    <t>140506</t>
  </si>
  <si>
    <t>140168</t>
  </si>
  <si>
    <t>140171</t>
  </si>
  <si>
    <t>140170</t>
  </si>
  <si>
    <t>140169</t>
  </si>
  <si>
    <t>136417</t>
  </si>
  <si>
    <t>136418</t>
  </si>
  <si>
    <t>136420</t>
  </si>
  <si>
    <t>136419</t>
  </si>
  <si>
    <t>136121</t>
  </si>
  <si>
    <t>136123</t>
  </si>
  <si>
    <t>136122</t>
  </si>
  <si>
    <t>136124</t>
  </si>
  <si>
    <t>135862</t>
  </si>
  <si>
    <t>135861</t>
  </si>
  <si>
    <t>135860</t>
  </si>
  <si>
    <t>135863</t>
  </si>
  <si>
    <t>135510</t>
  </si>
  <si>
    <t>135511</t>
  </si>
  <si>
    <t>135512</t>
  </si>
  <si>
    <t>135513</t>
  </si>
  <si>
    <t>135360</t>
  </si>
  <si>
    <t>135357</t>
  </si>
  <si>
    <t>135359</t>
  </si>
  <si>
    <t>135358</t>
  </si>
  <si>
    <t>135301</t>
  </si>
  <si>
    <t>135303</t>
  </si>
  <si>
    <t>135302</t>
  </si>
  <si>
    <t>135304</t>
  </si>
  <si>
    <t>143086</t>
  </si>
  <si>
    <t>143085</t>
  </si>
  <si>
    <t>143087</t>
  </si>
  <si>
    <t>143088</t>
  </si>
  <si>
    <t>140066</t>
  </si>
  <si>
    <t>140068</t>
  </si>
  <si>
    <t>140067</t>
  </si>
  <si>
    <t>140065</t>
  </si>
  <si>
    <t>139986</t>
  </si>
  <si>
    <t>139985</t>
  </si>
  <si>
    <t>139988</t>
  </si>
  <si>
    <t>139987</t>
  </si>
  <si>
    <t>139859</t>
  </si>
  <si>
    <t>139861</t>
  </si>
  <si>
    <t>139862</t>
  </si>
  <si>
    <t>139860</t>
  </si>
  <si>
    <t>141698</t>
  </si>
  <si>
    <t>141700</t>
  </si>
  <si>
    <t>141699</t>
  </si>
  <si>
    <t>141701</t>
  </si>
  <si>
    <t>141464</t>
  </si>
  <si>
    <t>141466</t>
  </si>
  <si>
    <t>141465</t>
  </si>
  <si>
    <t>141463</t>
  </si>
  <si>
    <t>141246</t>
  </si>
  <si>
    <t>141244</t>
  </si>
  <si>
    <t>141243</t>
  </si>
  <si>
    <t>141245</t>
  </si>
  <si>
    <t xml:space="preserve"> </t>
  </si>
  <si>
    <t>UTI Mutual Fund</t>
  </si>
  <si>
    <t>151623</t>
  </si>
  <si>
    <t>151624</t>
  </si>
  <si>
    <t>151622</t>
  </si>
  <si>
    <t>Union Mutual Fund</t>
  </si>
  <si>
    <t>151618</t>
  </si>
  <si>
    <t>151617</t>
  </si>
  <si>
    <t>151620</t>
  </si>
  <si>
    <t>Trust Mutual Fund</t>
  </si>
  <si>
    <t>153165</t>
  </si>
  <si>
    <t>153166</t>
  </si>
  <si>
    <t>153164</t>
  </si>
  <si>
    <t>153163</t>
  </si>
  <si>
    <t>152497</t>
  </si>
  <si>
    <t>152494</t>
  </si>
  <si>
    <t>152493</t>
  </si>
  <si>
    <t>152498</t>
  </si>
  <si>
    <t>152496</t>
  </si>
  <si>
    <t>152495</t>
  </si>
  <si>
    <t>Tata Mutual Fund</t>
  </si>
  <si>
    <t>151642</t>
  </si>
  <si>
    <t>151641</t>
  </si>
  <si>
    <t>151640</t>
  </si>
  <si>
    <t>151639</t>
  </si>
  <si>
    <t>151453</t>
  </si>
  <si>
    <t>151454</t>
  </si>
  <si>
    <t>151452</t>
  </si>
  <si>
    <t>151451</t>
  </si>
  <si>
    <t>151348</t>
  </si>
  <si>
    <t>151349</t>
  </si>
  <si>
    <t>151350</t>
  </si>
  <si>
    <t>151351</t>
  </si>
  <si>
    <t>151255</t>
  </si>
  <si>
    <t>151254</t>
  </si>
  <si>
    <t>151253</t>
  </si>
  <si>
    <t>151252</t>
  </si>
  <si>
    <t>150983</t>
  </si>
  <si>
    <t>150986</t>
  </si>
  <si>
    <t>150985</t>
  </si>
  <si>
    <t>150984</t>
  </si>
  <si>
    <t>150918</t>
  </si>
  <si>
    <t>150917</t>
  </si>
  <si>
    <t>150916</t>
  </si>
  <si>
    <t>150919</t>
  </si>
  <si>
    <t>148997</t>
  </si>
  <si>
    <t>148996</t>
  </si>
  <si>
    <t>148998</t>
  </si>
  <si>
    <t>148999</t>
  </si>
  <si>
    <t>148969</t>
  </si>
  <si>
    <t>148966</t>
  </si>
  <si>
    <t>148968</t>
  </si>
  <si>
    <t>148967</t>
  </si>
  <si>
    <t>148847</t>
  </si>
  <si>
    <t>148846</t>
  </si>
  <si>
    <t>148845</t>
  </si>
  <si>
    <t>148848</t>
  </si>
  <si>
    <t>151557</t>
  </si>
  <si>
    <t>151556</t>
  </si>
  <si>
    <t>151558</t>
  </si>
  <si>
    <t>151559</t>
  </si>
  <si>
    <t>150648</t>
  </si>
  <si>
    <t>150647</t>
  </si>
  <si>
    <t>150650</t>
  </si>
  <si>
    <t>150649</t>
  </si>
  <si>
    <t>150459</t>
  </si>
  <si>
    <t>150461</t>
  </si>
  <si>
    <t>150458</t>
  </si>
  <si>
    <t>150460</t>
  </si>
  <si>
    <t>150380</t>
  </si>
  <si>
    <t>150377</t>
  </si>
  <si>
    <t>150378</t>
  </si>
  <si>
    <t>150379</t>
  </si>
  <si>
    <t>149992</t>
  </si>
  <si>
    <t>149994</t>
  </si>
  <si>
    <t>149995</t>
  </si>
  <si>
    <t>149993</t>
  </si>
  <si>
    <t>149877</t>
  </si>
  <si>
    <t>149876</t>
  </si>
  <si>
    <t>149879</t>
  </si>
  <si>
    <t>149878</t>
  </si>
  <si>
    <t>147250</t>
  </si>
  <si>
    <t>147247</t>
  </si>
  <si>
    <t>147249</t>
  </si>
  <si>
    <t>147248</t>
  </si>
  <si>
    <t>149824</t>
  </si>
  <si>
    <t>149825</t>
  </si>
  <si>
    <t>149823</t>
  </si>
  <si>
    <t>149822</t>
  </si>
  <si>
    <t>149462</t>
  </si>
  <si>
    <t>149459</t>
  </si>
  <si>
    <t>149461</t>
  </si>
  <si>
    <t>149460</t>
  </si>
  <si>
    <t>149433</t>
  </si>
  <si>
    <t>149432</t>
  </si>
  <si>
    <t>149430</t>
  </si>
  <si>
    <t>149431</t>
  </si>
  <si>
    <t>149346</t>
  </si>
  <si>
    <t>149347</t>
  </si>
  <si>
    <t>149348</t>
  </si>
  <si>
    <t>149345</t>
  </si>
  <si>
    <t>149306</t>
  </si>
  <si>
    <t>149308</t>
  </si>
  <si>
    <t>149309</t>
  </si>
  <si>
    <t>149307</t>
  </si>
  <si>
    <t>149280</t>
  </si>
  <si>
    <t>149278</t>
  </si>
  <si>
    <t>149277</t>
  </si>
  <si>
    <t>149279</t>
  </si>
  <si>
    <t>149233</t>
  </si>
  <si>
    <t>149235</t>
  </si>
  <si>
    <t>149234</t>
  </si>
  <si>
    <t>149232</t>
  </si>
  <si>
    <t>149196</t>
  </si>
  <si>
    <t>149197</t>
  </si>
  <si>
    <t>149194</t>
  </si>
  <si>
    <t>149195</t>
  </si>
  <si>
    <t>149173</t>
  </si>
  <si>
    <t>149172</t>
  </si>
  <si>
    <t>149175</t>
  </si>
  <si>
    <t>149174</t>
  </si>
  <si>
    <t>149146</t>
  </si>
  <si>
    <t>149145</t>
  </si>
  <si>
    <t>149144</t>
  </si>
  <si>
    <t>149147</t>
  </si>
  <si>
    <t>149042</t>
  </si>
  <si>
    <t>149045</t>
  </si>
  <si>
    <t>149044</t>
  </si>
  <si>
    <t>149043</t>
  </si>
  <si>
    <t>148390</t>
  </si>
  <si>
    <t>148389</t>
  </si>
  <si>
    <t>148388</t>
  </si>
  <si>
    <t>148387</t>
  </si>
  <si>
    <t>146973</t>
  </si>
  <si>
    <t>146976</t>
  </si>
  <si>
    <t>146975</t>
  </si>
  <si>
    <t>146974</t>
  </si>
  <si>
    <t>SBI Mutual Fund</t>
  </si>
  <si>
    <t>121288</t>
  </si>
  <si>
    <t>121287</t>
  </si>
  <si>
    <t>121286</t>
  </si>
  <si>
    <t>121285</t>
  </si>
  <si>
    <t>122226</t>
  </si>
  <si>
    <t>122228</t>
  </si>
  <si>
    <t>122227</t>
  </si>
  <si>
    <t>122225</t>
  </si>
  <si>
    <t>122080</t>
  </si>
  <si>
    <t>122078</t>
  </si>
  <si>
    <t>122081</t>
  </si>
  <si>
    <t>122079</t>
  </si>
  <si>
    <t>121180</t>
  </si>
  <si>
    <t>121178</t>
  </si>
  <si>
    <t>121177</t>
  </si>
  <si>
    <t>131381</t>
  </si>
  <si>
    <t>131379</t>
  </si>
  <si>
    <t>130009</t>
  </si>
  <si>
    <t>130012</t>
  </si>
  <si>
    <t>130010</t>
  </si>
  <si>
    <t>128843</t>
  </si>
  <si>
    <t>128840</t>
  </si>
  <si>
    <t>128841</t>
  </si>
  <si>
    <t>128836</t>
  </si>
  <si>
    <t>128837</t>
  </si>
  <si>
    <t>128838</t>
  </si>
  <si>
    <t>128839</t>
  </si>
  <si>
    <t>128687</t>
  </si>
  <si>
    <t>128685</t>
  </si>
  <si>
    <t>128688</t>
  </si>
  <si>
    <t>128686</t>
  </si>
  <si>
    <t>128637</t>
  </si>
  <si>
    <t>128638</t>
  </si>
  <si>
    <t>128635</t>
  </si>
  <si>
    <t>128590</t>
  </si>
  <si>
    <t>128591</t>
  </si>
  <si>
    <t>128592</t>
  </si>
  <si>
    <t>129729</t>
  </si>
  <si>
    <t>129732</t>
  </si>
  <si>
    <t>129730</t>
  </si>
  <si>
    <t>129731</t>
  </si>
  <si>
    <t>129680</t>
  </si>
  <si>
    <t>129679</t>
  </si>
  <si>
    <t>129681</t>
  </si>
  <si>
    <t>129682</t>
  </si>
  <si>
    <t>129519</t>
  </si>
  <si>
    <t>129520</t>
  </si>
  <si>
    <t>129521</t>
  </si>
  <si>
    <t>129420</t>
  </si>
  <si>
    <t>129417</t>
  </si>
  <si>
    <t>129418</t>
  </si>
  <si>
    <t>129183</t>
  </si>
  <si>
    <t>129185</t>
  </si>
  <si>
    <t>129186</t>
  </si>
  <si>
    <t>129184</t>
  </si>
  <si>
    <t>129018</t>
  </si>
  <si>
    <t>129019</t>
  </si>
  <si>
    <t>129020</t>
  </si>
  <si>
    <t>129021</t>
  </si>
  <si>
    <t>128964</t>
  </si>
  <si>
    <t>128965</t>
  </si>
  <si>
    <t>128966</t>
  </si>
  <si>
    <t>128967</t>
  </si>
  <si>
    <t>144254</t>
  </si>
  <si>
    <t>144251</t>
  </si>
  <si>
    <t>144252</t>
  </si>
  <si>
    <t>144253</t>
  </si>
  <si>
    <t>144019</t>
  </si>
  <si>
    <t>144017</t>
  </si>
  <si>
    <t>144018</t>
  </si>
  <si>
    <t>144688</t>
  </si>
  <si>
    <t>144689</t>
  </si>
  <si>
    <t>144690</t>
  </si>
  <si>
    <t>144691</t>
  </si>
  <si>
    <t>144595</t>
  </si>
  <si>
    <t>144592</t>
  </si>
  <si>
    <t>144594</t>
  </si>
  <si>
    <t>144593</t>
  </si>
  <si>
    <t>143349</t>
  </si>
  <si>
    <t>143346</t>
  </si>
  <si>
    <t>143348</t>
  </si>
  <si>
    <t>143347</t>
  </si>
  <si>
    <t>143293</t>
  </si>
  <si>
    <t>143290</t>
  </si>
  <si>
    <t>143291</t>
  </si>
  <si>
    <t>143292</t>
  </si>
  <si>
    <t>143645</t>
  </si>
  <si>
    <t>143646</t>
  </si>
  <si>
    <t>143648</t>
  </si>
  <si>
    <t>143647</t>
  </si>
  <si>
    <t>143528</t>
  </si>
  <si>
    <t>143531</t>
  </si>
  <si>
    <t>143529</t>
  </si>
  <si>
    <t>143530</t>
  </si>
  <si>
    <t>142513</t>
  </si>
  <si>
    <t>142515</t>
  </si>
  <si>
    <t>142514</t>
  </si>
  <si>
    <t>142516</t>
  </si>
  <si>
    <t>144937</t>
  </si>
  <si>
    <t>144938</t>
  </si>
  <si>
    <t>144939</t>
  </si>
  <si>
    <t>144773</t>
  </si>
  <si>
    <t>144774</t>
  </si>
  <si>
    <t>144775</t>
  </si>
  <si>
    <t>144776</t>
  </si>
  <si>
    <t>145157</t>
  </si>
  <si>
    <t>145155</t>
  </si>
  <si>
    <t>145158</t>
  </si>
  <si>
    <t>145156</t>
  </si>
  <si>
    <t>139594</t>
  </si>
  <si>
    <t>139595</t>
  </si>
  <si>
    <t>139596</t>
  </si>
  <si>
    <t>139597</t>
  </si>
  <si>
    <t>139573</t>
  </si>
  <si>
    <t>139574</t>
  </si>
  <si>
    <t>139575</t>
  </si>
  <si>
    <t>139576</t>
  </si>
  <si>
    <t>139544</t>
  </si>
  <si>
    <t>139545</t>
  </si>
  <si>
    <t>139542</t>
  </si>
  <si>
    <t>139462</t>
  </si>
  <si>
    <t>139463</t>
  </si>
  <si>
    <t>139464</t>
  </si>
  <si>
    <t>139465</t>
  </si>
  <si>
    <t>139798</t>
  </si>
  <si>
    <t>139799</t>
  </si>
  <si>
    <t>139796</t>
  </si>
  <si>
    <t>139797</t>
  </si>
  <si>
    <t>139376</t>
  </si>
  <si>
    <t>139379</t>
  </si>
  <si>
    <t>139378</t>
  </si>
  <si>
    <t>139412</t>
  </si>
  <si>
    <t>139410</t>
  </si>
  <si>
    <t>139413</t>
  </si>
  <si>
    <t>139411</t>
  </si>
  <si>
    <t>136327</t>
  </si>
  <si>
    <t>136328</t>
  </si>
  <si>
    <t>136329</t>
  </si>
  <si>
    <t>136330</t>
  </si>
  <si>
    <t>136314</t>
  </si>
  <si>
    <t>136316</t>
  </si>
  <si>
    <t>136315</t>
  </si>
  <si>
    <t>136313</t>
  </si>
  <si>
    <t>136309</t>
  </si>
  <si>
    <t>136311</t>
  </si>
  <si>
    <t>136235</t>
  </si>
  <si>
    <t>136233</t>
  </si>
  <si>
    <t>136234</t>
  </si>
  <si>
    <t>136170</t>
  </si>
  <si>
    <t>136171</t>
  </si>
  <si>
    <t>136173</t>
  </si>
  <si>
    <t>136172</t>
  </si>
  <si>
    <t>136056</t>
  </si>
  <si>
    <t>136059</t>
  </si>
  <si>
    <t>136058</t>
  </si>
  <si>
    <t>136057</t>
  </si>
  <si>
    <t>139345</t>
  </si>
  <si>
    <t>139346</t>
  </si>
  <si>
    <t>139347</t>
  </si>
  <si>
    <t>139348</t>
  </si>
  <si>
    <t>139265</t>
  </si>
  <si>
    <t>139266</t>
  </si>
  <si>
    <t>139267</t>
  </si>
  <si>
    <t>139268</t>
  </si>
  <si>
    <t>139248</t>
  </si>
  <si>
    <t>139246</t>
  </si>
  <si>
    <t>139247</t>
  </si>
  <si>
    <t>139245</t>
  </si>
  <si>
    <t>139143</t>
  </si>
  <si>
    <t>139144</t>
  </si>
  <si>
    <t>139145</t>
  </si>
  <si>
    <t>139146</t>
  </si>
  <si>
    <t>136455</t>
  </si>
  <si>
    <t>136456</t>
  </si>
  <si>
    <t>136453</t>
  </si>
  <si>
    <t>136454</t>
  </si>
  <si>
    <t>136449</t>
  </si>
  <si>
    <t>136451</t>
  </si>
  <si>
    <t>136452</t>
  </si>
  <si>
    <t>136450</t>
  </si>
  <si>
    <t>136436</t>
  </si>
  <si>
    <t>136438</t>
  </si>
  <si>
    <t>136435</t>
  </si>
  <si>
    <t>136128</t>
  </si>
  <si>
    <t>136126</t>
  </si>
  <si>
    <t>136127</t>
  </si>
  <si>
    <t>136125</t>
  </si>
  <si>
    <t>136031</t>
  </si>
  <si>
    <t>136028</t>
  </si>
  <si>
    <t>136029</t>
  </si>
  <si>
    <t>136030</t>
  </si>
  <si>
    <t>138225</t>
  </si>
  <si>
    <t>138224</t>
  </si>
  <si>
    <t>138226</t>
  </si>
  <si>
    <t>138227</t>
  </si>
  <si>
    <t>136511</t>
  </si>
  <si>
    <t>136509</t>
  </si>
  <si>
    <t>136510</t>
  </si>
  <si>
    <t>136512</t>
  </si>
  <si>
    <t>136001</t>
  </si>
  <si>
    <t>136000</t>
  </si>
  <si>
    <t>136002</t>
  </si>
  <si>
    <t>136003</t>
  </si>
  <si>
    <t>133840</t>
  </si>
  <si>
    <t>133841</t>
  </si>
  <si>
    <t>133842</t>
  </si>
  <si>
    <t>133472</t>
  </si>
  <si>
    <t>133470</t>
  </si>
  <si>
    <t>133473</t>
  </si>
  <si>
    <t>133471</t>
  </si>
  <si>
    <t>133326</t>
  </si>
  <si>
    <t>133329</t>
  </si>
  <si>
    <t>133327</t>
  </si>
  <si>
    <t>133328</t>
  </si>
  <si>
    <t>134635</t>
  </si>
  <si>
    <t>134636</t>
  </si>
  <si>
    <t>134637</t>
  </si>
  <si>
    <t>134592</t>
  </si>
  <si>
    <t>134591</t>
  </si>
  <si>
    <t>134589</t>
  </si>
  <si>
    <t>134590</t>
  </si>
  <si>
    <t>134183</t>
  </si>
  <si>
    <t>134182</t>
  </si>
  <si>
    <t>134181</t>
  </si>
  <si>
    <t>134180</t>
  </si>
  <si>
    <t>134024</t>
  </si>
  <si>
    <t>134025</t>
  </si>
  <si>
    <t>134022</t>
  </si>
  <si>
    <t>131590</t>
  </si>
  <si>
    <t>131591</t>
  </si>
  <si>
    <t>131593</t>
  </si>
  <si>
    <t>131592</t>
  </si>
  <si>
    <t>131539</t>
  </si>
  <si>
    <t>131537</t>
  </si>
  <si>
    <t>131538</t>
  </si>
  <si>
    <t>131346</t>
  </si>
  <si>
    <t>131347</t>
  </si>
  <si>
    <t>131348</t>
  </si>
  <si>
    <t>131218</t>
  </si>
  <si>
    <t>131216</t>
  </si>
  <si>
    <t>131076</t>
  </si>
  <si>
    <t>131077</t>
  </si>
  <si>
    <t>131078</t>
  </si>
  <si>
    <t>130874</t>
  </si>
  <si>
    <t>130876</t>
  </si>
  <si>
    <t>130875</t>
  </si>
  <si>
    <t>130877</t>
  </si>
  <si>
    <t>133199</t>
  </si>
  <si>
    <t>133201</t>
  </si>
  <si>
    <t>133200</t>
  </si>
  <si>
    <t>133202</t>
  </si>
  <si>
    <t>132859</t>
  </si>
  <si>
    <t>132860</t>
  </si>
  <si>
    <t>132861</t>
  </si>
  <si>
    <t>130635</t>
  </si>
  <si>
    <t>130636</t>
  </si>
  <si>
    <t>130634</t>
  </si>
  <si>
    <t>130633</t>
  </si>
  <si>
    <t>130413</t>
  </si>
  <si>
    <t>130415</t>
  </si>
  <si>
    <t>130416</t>
  </si>
  <si>
    <t>130414</t>
  </si>
  <si>
    <t>130264</t>
  </si>
  <si>
    <t>130265</t>
  </si>
  <si>
    <t>130266</t>
  </si>
  <si>
    <t>129839</t>
  </si>
  <si>
    <t>129840</t>
  </si>
  <si>
    <t>129837</t>
  </si>
  <si>
    <t>129838</t>
  </si>
  <si>
    <t>129683</t>
  </si>
  <si>
    <t>129685</t>
  </si>
  <si>
    <t>129686</t>
  </si>
  <si>
    <t>129684</t>
  </si>
  <si>
    <t>129560</t>
  </si>
  <si>
    <t>129561</t>
  </si>
  <si>
    <t>129563</t>
  </si>
  <si>
    <t>129562</t>
  </si>
  <si>
    <t>129508</t>
  </si>
  <si>
    <t>129509</t>
  </si>
  <si>
    <t>129510</t>
  </si>
  <si>
    <t>129147</t>
  </si>
  <si>
    <t>129148</t>
  </si>
  <si>
    <t>129149</t>
  </si>
  <si>
    <t>129150</t>
  </si>
  <si>
    <t>135442</t>
  </si>
  <si>
    <t>135440</t>
  </si>
  <si>
    <t>135441</t>
  </si>
  <si>
    <t>135417</t>
  </si>
  <si>
    <t>135414</t>
  </si>
  <si>
    <t>135415</t>
  </si>
  <si>
    <t>135392</t>
  </si>
  <si>
    <t>135395</t>
  </si>
  <si>
    <t>135393</t>
  </si>
  <si>
    <t>135332</t>
  </si>
  <si>
    <t>135333</t>
  </si>
  <si>
    <t>135334</t>
  </si>
  <si>
    <t>135212</t>
  </si>
  <si>
    <t>135213</t>
  </si>
  <si>
    <t>135215</t>
  </si>
  <si>
    <t>135214</t>
  </si>
  <si>
    <t>135938</t>
  </si>
  <si>
    <t>135939</t>
  </si>
  <si>
    <t>135941</t>
  </si>
  <si>
    <t>135884</t>
  </si>
  <si>
    <t>135887</t>
  </si>
  <si>
    <t>135885</t>
  </si>
  <si>
    <t>135886</t>
  </si>
  <si>
    <t>135864</t>
  </si>
  <si>
    <t>135865</t>
  </si>
  <si>
    <t>135866</t>
  </si>
  <si>
    <t>135867</t>
  </si>
  <si>
    <t>135770</t>
  </si>
  <si>
    <t>135767</t>
  </si>
  <si>
    <t>135768</t>
  </si>
  <si>
    <t>135634</t>
  </si>
  <si>
    <t>135637</t>
  </si>
  <si>
    <t>135635</t>
  </si>
  <si>
    <t>135636</t>
  </si>
  <si>
    <t>135560</t>
  </si>
  <si>
    <t>135562</t>
  </si>
  <si>
    <t>135559</t>
  </si>
  <si>
    <t>135561</t>
  </si>
  <si>
    <t>135481</t>
  </si>
  <si>
    <t>135483</t>
  </si>
  <si>
    <t>135482</t>
  </si>
  <si>
    <t>135092</t>
  </si>
  <si>
    <t>135093</t>
  </si>
  <si>
    <t>135094</t>
  </si>
  <si>
    <t>135095</t>
  </si>
  <si>
    <t>135157</t>
  </si>
  <si>
    <t>135159</t>
  </si>
  <si>
    <t>135158</t>
  </si>
  <si>
    <t>135160</t>
  </si>
  <si>
    <t>122327</t>
  </si>
  <si>
    <t>122326</t>
  </si>
  <si>
    <t>122324</t>
  </si>
  <si>
    <t>118024</t>
  </si>
  <si>
    <t>118025</t>
  </si>
  <si>
    <t>131167</t>
  </si>
  <si>
    <t>131169</t>
  </si>
  <si>
    <t>131168</t>
  </si>
  <si>
    <t>128458</t>
  </si>
  <si>
    <t>128459</t>
  </si>
  <si>
    <t>128460</t>
  </si>
  <si>
    <t>128461</t>
  </si>
  <si>
    <t>130227</t>
  </si>
  <si>
    <t>130230</t>
  </si>
  <si>
    <t>130228</t>
  </si>
  <si>
    <t>130229</t>
  </si>
  <si>
    <t>130193</t>
  </si>
  <si>
    <t>130195</t>
  </si>
  <si>
    <t>130194</t>
  </si>
  <si>
    <t>130196</t>
  </si>
  <si>
    <t>130189</t>
  </si>
  <si>
    <t>130191</t>
  </si>
  <si>
    <t>130190</t>
  </si>
  <si>
    <t>130192</t>
  </si>
  <si>
    <t>128081</t>
  </si>
  <si>
    <t>128084</t>
  </si>
  <si>
    <t>128082</t>
  </si>
  <si>
    <t>129294</t>
  </si>
  <si>
    <t>129295</t>
  </si>
  <si>
    <t>129296</t>
  </si>
  <si>
    <t>129293</t>
  </si>
  <si>
    <t>129289</t>
  </si>
  <si>
    <t>129290</t>
  </si>
  <si>
    <t>129291</t>
  </si>
  <si>
    <t>129113</t>
  </si>
  <si>
    <t>129116</t>
  </si>
  <si>
    <t>129114</t>
  </si>
  <si>
    <t>129115</t>
  </si>
  <si>
    <t>127910</t>
  </si>
  <si>
    <t>127912</t>
  </si>
  <si>
    <t>127911</t>
  </si>
  <si>
    <t>127913</t>
  </si>
  <si>
    <t>125527</t>
  </si>
  <si>
    <t>125529</t>
  </si>
  <si>
    <t>125528</t>
  </si>
  <si>
    <t>125530</t>
  </si>
  <si>
    <t>125393</t>
  </si>
  <si>
    <t>125390</t>
  </si>
  <si>
    <t>125392</t>
  </si>
  <si>
    <t>128319</t>
  </si>
  <si>
    <t>128317</t>
  </si>
  <si>
    <t>128318</t>
  </si>
  <si>
    <t>128320</t>
  </si>
  <si>
    <t>128198</t>
  </si>
  <si>
    <t>128199</t>
  </si>
  <si>
    <t>128183</t>
  </si>
  <si>
    <t>128184</t>
  </si>
  <si>
    <t>128185</t>
  </si>
  <si>
    <t>128180</t>
  </si>
  <si>
    <t>128181</t>
  </si>
  <si>
    <t>127843</t>
  </si>
  <si>
    <t>127841</t>
  </si>
  <si>
    <t>127844</t>
  </si>
  <si>
    <t>127732</t>
  </si>
  <si>
    <t>127733</t>
  </si>
  <si>
    <t>127735</t>
  </si>
  <si>
    <t>127734</t>
  </si>
  <si>
    <t>125356</t>
  </si>
  <si>
    <t>125357</t>
  </si>
  <si>
    <t>125358</t>
  </si>
  <si>
    <t>125359</t>
  </si>
  <si>
    <t>127546</t>
  </si>
  <si>
    <t>127544</t>
  </si>
  <si>
    <t>127547</t>
  </si>
  <si>
    <t>127545</t>
  </si>
  <si>
    <t>127540</t>
  </si>
  <si>
    <t>127543</t>
  </si>
  <si>
    <t>127541</t>
  </si>
  <si>
    <t>127542</t>
  </si>
  <si>
    <t>127537</t>
  </si>
  <si>
    <t>127538</t>
  </si>
  <si>
    <t>127359</t>
  </si>
  <si>
    <t>127361</t>
  </si>
  <si>
    <t>127362</t>
  </si>
  <si>
    <t>127360</t>
  </si>
  <si>
    <t>127266</t>
  </si>
  <si>
    <t>127264</t>
  </si>
  <si>
    <t>127239</t>
  </si>
  <si>
    <t>127241</t>
  </si>
  <si>
    <t>127240</t>
  </si>
  <si>
    <t>127242</t>
  </si>
  <si>
    <t>127080</t>
  </si>
  <si>
    <t>127082</t>
  </si>
  <si>
    <t>127083</t>
  </si>
  <si>
    <t>127081</t>
  </si>
  <si>
    <t>127066</t>
  </si>
  <si>
    <t>127068</t>
  </si>
  <si>
    <t>127067</t>
  </si>
  <si>
    <t>127069</t>
  </si>
  <si>
    <t>126976</t>
  </si>
  <si>
    <t>126978</t>
  </si>
  <si>
    <t>126977</t>
  </si>
  <si>
    <t>126975</t>
  </si>
  <si>
    <t>125311</t>
  </si>
  <si>
    <t>125312</t>
  </si>
  <si>
    <t>125309</t>
  </si>
  <si>
    <t>125310</t>
  </si>
  <si>
    <t>126931</t>
  </si>
  <si>
    <t>126934</t>
  </si>
  <si>
    <t>126932</t>
  </si>
  <si>
    <t>126889</t>
  </si>
  <si>
    <t>126891</t>
  </si>
  <si>
    <t>126701</t>
  </si>
  <si>
    <t>126702</t>
  </si>
  <si>
    <t>126703</t>
  </si>
  <si>
    <t>126484</t>
  </si>
  <si>
    <t>126483</t>
  </si>
  <si>
    <t>126485</t>
  </si>
  <si>
    <t>126486</t>
  </si>
  <si>
    <t>126371</t>
  </si>
  <si>
    <t>126372</t>
  </si>
  <si>
    <t>126254</t>
  </si>
  <si>
    <t>126255</t>
  </si>
  <si>
    <t>126256</t>
  </si>
  <si>
    <t>125954</t>
  </si>
  <si>
    <t>125956</t>
  </si>
  <si>
    <t>125957</t>
  </si>
  <si>
    <t>125933</t>
  </si>
  <si>
    <t>125934</t>
  </si>
  <si>
    <t>125255</t>
  </si>
  <si>
    <t>125256</t>
  </si>
  <si>
    <t>125257</t>
  </si>
  <si>
    <t>125258</t>
  </si>
  <si>
    <t>123372</t>
  </si>
  <si>
    <t>123373</t>
  </si>
  <si>
    <t>123374</t>
  </si>
  <si>
    <t>123341</t>
  </si>
  <si>
    <t>123342</t>
  </si>
  <si>
    <t>123344</t>
  </si>
  <si>
    <t>123213</t>
  </si>
  <si>
    <t>123214</t>
  </si>
  <si>
    <t>123211</t>
  </si>
  <si>
    <t>123212</t>
  </si>
  <si>
    <t>123208</t>
  </si>
  <si>
    <t>123206</t>
  </si>
  <si>
    <t>123205</t>
  </si>
  <si>
    <t>123207</t>
  </si>
  <si>
    <t>123150</t>
  </si>
  <si>
    <t>123152</t>
  </si>
  <si>
    <t>123151</t>
  </si>
  <si>
    <t>123153</t>
  </si>
  <si>
    <t>123070</t>
  </si>
  <si>
    <t>123071</t>
  </si>
  <si>
    <t>123072</t>
  </si>
  <si>
    <t>123073</t>
  </si>
  <si>
    <t>123052</t>
  </si>
  <si>
    <t>123053</t>
  </si>
  <si>
    <t>123051</t>
  </si>
  <si>
    <t>123054</t>
  </si>
  <si>
    <t>125192</t>
  </si>
  <si>
    <t>125193</t>
  </si>
  <si>
    <t>125194</t>
  </si>
  <si>
    <t>125195</t>
  </si>
  <si>
    <t>125150</t>
  </si>
  <si>
    <t>125151</t>
  </si>
  <si>
    <t>125152</t>
  </si>
  <si>
    <t>125153</t>
  </si>
  <si>
    <t>124706</t>
  </si>
  <si>
    <t>124709</t>
  </si>
  <si>
    <t>124707</t>
  </si>
  <si>
    <t>124708</t>
  </si>
  <si>
    <t>124251</t>
  </si>
  <si>
    <t>124252</t>
  </si>
  <si>
    <t>124249</t>
  </si>
  <si>
    <t>124250</t>
  </si>
  <si>
    <t>122900</t>
  </si>
  <si>
    <t>122901</t>
  </si>
  <si>
    <t>122902</t>
  </si>
  <si>
    <t>122903</t>
  </si>
  <si>
    <t>124210</t>
  </si>
  <si>
    <t>124211</t>
  </si>
  <si>
    <t>124213</t>
  </si>
  <si>
    <t>124096</t>
  </si>
  <si>
    <t>124098</t>
  </si>
  <si>
    <t>124099</t>
  </si>
  <si>
    <t>124097</t>
  </si>
  <si>
    <t>123985</t>
  </si>
  <si>
    <t>123982</t>
  </si>
  <si>
    <t>123740</t>
  </si>
  <si>
    <t>123741</t>
  </si>
  <si>
    <t>123742</t>
  </si>
  <si>
    <t>123567</t>
  </si>
  <si>
    <t>123568</t>
  </si>
  <si>
    <t>123569</t>
  </si>
  <si>
    <t>123458</t>
  </si>
  <si>
    <t>123459</t>
  </si>
  <si>
    <t>123454</t>
  </si>
  <si>
    <t>123455</t>
  </si>
  <si>
    <t>123457</t>
  </si>
  <si>
    <t>123456</t>
  </si>
  <si>
    <t>121758</t>
  </si>
  <si>
    <t>121756</t>
  </si>
  <si>
    <t>121755</t>
  </si>
  <si>
    <t>121757</t>
  </si>
  <si>
    <t>122614</t>
  </si>
  <si>
    <t>122617</t>
  </si>
  <si>
    <t>122615</t>
  </si>
  <si>
    <t>122457</t>
  </si>
  <si>
    <t>122455</t>
  </si>
  <si>
    <t>122458</t>
  </si>
  <si>
    <t>118222</t>
  </si>
  <si>
    <t>118223</t>
  </si>
  <si>
    <t>117975</t>
  </si>
  <si>
    <t>117976</t>
  </si>
  <si>
    <t>117966</t>
  </si>
  <si>
    <t>117967</t>
  </si>
  <si>
    <t>117848</t>
  </si>
  <si>
    <t>117849</t>
  </si>
  <si>
    <t>117814</t>
  </si>
  <si>
    <t>117813</t>
  </si>
  <si>
    <t>117796</t>
  </si>
  <si>
    <t>117797</t>
  </si>
  <si>
    <t>117794</t>
  </si>
  <si>
    <t>117795</t>
  </si>
  <si>
    <t>117778</t>
  </si>
  <si>
    <t>117779</t>
  </si>
  <si>
    <t>146737</t>
  </si>
  <si>
    <t>146736</t>
  </si>
  <si>
    <t>146738</t>
  </si>
  <si>
    <t>146735</t>
  </si>
  <si>
    <t>135432</t>
  </si>
  <si>
    <t>135433</t>
  </si>
  <si>
    <t>135434</t>
  </si>
  <si>
    <t>135435</t>
  </si>
  <si>
    <t>135228</t>
  </si>
  <si>
    <t>135229</t>
  </si>
  <si>
    <t>135230</t>
  </si>
  <si>
    <t>135231</t>
  </si>
  <si>
    <t>135087</t>
  </si>
  <si>
    <t>135085</t>
  </si>
  <si>
    <t>135084</t>
  </si>
  <si>
    <t>135086</t>
  </si>
  <si>
    <t>134409</t>
  </si>
  <si>
    <t>134411</t>
  </si>
  <si>
    <t>134410</t>
  </si>
  <si>
    <t>134412</t>
  </si>
  <si>
    <t>133984</t>
  </si>
  <si>
    <t>133985</t>
  </si>
  <si>
    <t>133987</t>
  </si>
  <si>
    <t>133986</t>
  </si>
  <si>
    <t>133531</t>
  </si>
  <si>
    <t>133530</t>
  </si>
  <si>
    <t>133532</t>
  </si>
  <si>
    <t>133533</t>
  </si>
  <si>
    <t>133045</t>
  </si>
  <si>
    <t>133048</t>
  </si>
  <si>
    <t>133046</t>
  </si>
  <si>
    <t>133047</t>
  </si>
  <si>
    <t>133303</t>
  </si>
  <si>
    <t>133306</t>
  </si>
  <si>
    <t>133305</t>
  </si>
  <si>
    <t>133304</t>
  </si>
  <si>
    <t>132762</t>
  </si>
  <si>
    <t>132765</t>
  </si>
  <si>
    <t>132763</t>
  </si>
  <si>
    <t>132764</t>
  </si>
  <si>
    <t>131463</t>
  </si>
  <si>
    <t>131464</t>
  </si>
  <si>
    <t>131462</t>
  </si>
  <si>
    <t>131344</t>
  </si>
  <si>
    <t>131343</t>
  </si>
  <si>
    <t>131345</t>
  </si>
  <si>
    <t>131342</t>
  </si>
  <si>
    <t>131305</t>
  </si>
  <si>
    <t>131306</t>
  </si>
  <si>
    <t>131308</t>
  </si>
  <si>
    <t>131307</t>
  </si>
  <si>
    <t>130882</t>
  </si>
  <si>
    <t>130883</t>
  </si>
  <si>
    <t>130884</t>
  </si>
  <si>
    <t>130885</t>
  </si>
  <si>
    <t>130632</t>
  </si>
  <si>
    <t>130630</t>
  </si>
  <si>
    <t>130631</t>
  </si>
  <si>
    <t>130629</t>
  </si>
  <si>
    <t>129735</t>
  </si>
  <si>
    <t>129736</t>
  </si>
  <si>
    <t>129733</t>
  </si>
  <si>
    <t>129734</t>
  </si>
  <si>
    <t>128984</t>
  </si>
  <si>
    <t>128985</t>
  </si>
  <si>
    <t>128986</t>
  </si>
  <si>
    <t>128987</t>
  </si>
  <si>
    <t>128689</t>
  </si>
  <si>
    <t>128692</t>
  </si>
  <si>
    <t>128690</t>
  </si>
  <si>
    <t>128691</t>
  </si>
  <si>
    <t>128175</t>
  </si>
  <si>
    <t>128177</t>
  </si>
  <si>
    <t>128176</t>
  </si>
  <si>
    <t>128178</t>
  </si>
  <si>
    <t>127525</t>
  </si>
  <si>
    <t>127522</t>
  </si>
  <si>
    <t>127523</t>
  </si>
  <si>
    <t>127268</t>
  </si>
  <si>
    <t>127271</t>
  </si>
  <si>
    <t>127269</t>
  </si>
  <si>
    <t>127270</t>
  </si>
  <si>
    <t>126898</t>
  </si>
  <si>
    <t>126900</t>
  </si>
  <si>
    <t>126899</t>
  </si>
  <si>
    <t>126901</t>
  </si>
  <si>
    <t>139250</t>
  </si>
  <si>
    <t>139252</t>
  </si>
  <si>
    <t>139249</t>
  </si>
  <si>
    <t>139251</t>
  </si>
  <si>
    <t>136519</t>
  </si>
  <si>
    <t>136520</t>
  </si>
  <si>
    <t>136521</t>
  </si>
  <si>
    <t>136522</t>
  </si>
  <si>
    <t>136248</t>
  </si>
  <si>
    <t>136246</t>
  </si>
  <si>
    <t>136249</t>
  </si>
  <si>
    <t>136247</t>
  </si>
  <si>
    <t>125715</t>
  </si>
  <si>
    <t>125717</t>
  </si>
  <si>
    <t>125716</t>
  </si>
  <si>
    <t>125718</t>
  </si>
  <si>
    <t>124828</t>
  </si>
  <si>
    <t>124830</t>
  </si>
  <si>
    <t>124829</t>
  </si>
  <si>
    <t>124831</t>
  </si>
  <si>
    <t>124337</t>
  </si>
  <si>
    <t>124340</t>
  </si>
  <si>
    <t>124339</t>
  </si>
  <si>
    <t>124338</t>
  </si>
  <si>
    <t>123452</t>
  </si>
  <si>
    <t>123453</t>
  </si>
  <si>
    <t>123451</t>
  </si>
  <si>
    <t>122910</t>
  </si>
  <si>
    <t>122912</t>
  </si>
  <si>
    <t>122911</t>
  </si>
  <si>
    <t>122913</t>
  </si>
  <si>
    <t>122701</t>
  </si>
  <si>
    <t>122699</t>
  </si>
  <si>
    <t>122702</t>
  </si>
  <si>
    <t>122700</t>
  </si>
  <si>
    <t>122509</t>
  </si>
  <si>
    <t>122511</t>
  </si>
  <si>
    <t>122512</t>
  </si>
  <si>
    <t>122510</t>
  </si>
  <si>
    <t>122237</t>
  </si>
  <si>
    <t>122239</t>
  </si>
  <si>
    <t>122238</t>
  </si>
  <si>
    <t>122240</t>
  </si>
  <si>
    <t>121097</t>
  </si>
  <si>
    <t>121098</t>
  </si>
  <si>
    <t>121095</t>
  </si>
  <si>
    <t>121096</t>
  </si>
  <si>
    <t>117600</t>
  </si>
  <si>
    <t>117601</t>
  </si>
  <si>
    <t>117339</t>
  </si>
  <si>
    <t>117340</t>
  </si>
  <si>
    <t>117705</t>
  </si>
  <si>
    <t>117704</t>
  </si>
  <si>
    <t>117561</t>
  </si>
  <si>
    <t>117562</t>
  </si>
  <si>
    <t>117223</t>
  </si>
  <si>
    <t>117222</t>
  </si>
  <si>
    <t>116932</t>
  </si>
  <si>
    <t>116933</t>
  </si>
  <si>
    <t>116670</t>
  </si>
  <si>
    <t>116671</t>
  </si>
  <si>
    <t>151711</t>
  </si>
  <si>
    <t>151710</t>
  </si>
  <si>
    <t>151708</t>
  </si>
  <si>
    <t>150630</t>
  </si>
  <si>
    <t>150629</t>
  </si>
  <si>
    <t>150628</t>
  </si>
  <si>
    <t>150627</t>
  </si>
  <si>
    <t>149916</t>
  </si>
  <si>
    <t>149915</t>
  </si>
  <si>
    <t>149914</t>
  </si>
  <si>
    <t>149917</t>
  </si>
  <si>
    <t>149129</t>
  </si>
  <si>
    <t>149128</t>
  </si>
  <si>
    <t>149131</t>
  </si>
  <si>
    <t>149130</t>
  </si>
  <si>
    <t>147097</t>
  </si>
  <si>
    <t>147098</t>
  </si>
  <si>
    <t>147096</t>
  </si>
  <si>
    <t>147095</t>
  </si>
  <si>
    <t>144250</t>
  </si>
  <si>
    <t>144248</t>
  </si>
  <si>
    <t>144247</t>
  </si>
  <si>
    <t>144249</t>
  </si>
  <si>
    <t>144160</t>
  </si>
  <si>
    <t>144159</t>
  </si>
  <si>
    <t>144162</t>
  </si>
  <si>
    <t>144161</t>
  </si>
  <si>
    <t>144081</t>
  </si>
  <si>
    <t>144084</t>
  </si>
  <si>
    <t>144082</t>
  </si>
  <si>
    <t>144083</t>
  </si>
  <si>
    <t>143951</t>
  </si>
  <si>
    <t>143949</t>
  </si>
  <si>
    <t>143952</t>
  </si>
  <si>
    <t>143950</t>
  </si>
  <si>
    <t>143948</t>
  </si>
  <si>
    <t>143946</t>
  </si>
  <si>
    <t>143945</t>
  </si>
  <si>
    <t>143947</t>
  </si>
  <si>
    <t>144624</t>
  </si>
  <si>
    <t>144626</t>
  </si>
  <si>
    <t>144625</t>
  </si>
  <si>
    <t>144627</t>
  </si>
  <si>
    <t>144527</t>
  </si>
  <si>
    <t>144528</t>
  </si>
  <si>
    <t>144530</t>
  </si>
  <si>
    <t>144529</t>
  </si>
  <si>
    <t>144480</t>
  </si>
  <si>
    <t>144482</t>
  </si>
  <si>
    <t>144481</t>
  </si>
  <si>
    <t>144483</t>
  </si>
  <si>
    <t>144353</t>
  </si>
  <si>
    <t>144352</t>
  </si>
  <si>
    <t>144351</t>
  </si>
  <si>
    <t>144354</t>
  </si>
  <si>
    <t>143899</t>
  </si>
  <si>
    <t>143901</t>
  </si>
  <si>
    <t>143902</t>
  </si>
  <si>
    <t>143452</t>
  </si>
  <si>
    <t>143453</t>
  </si>
  <si>
    <t>143450</t>
  </si>
  <si>
    <t>143451</t>
  </si>
  <si>
    <t>143271</t>
  </si>
  <si>
    <t>143272</t>
  </si>
  <si>
    <t>143270</t>
  </si>
  <si>
    <t>143273</t>
  </si>
  <si>
    <t>143257</t>
  </si>
  <si>
    <t>143256</t>
  </si>
  <si>
    <t>143254</t>
  </si>
  <si>
    <t>143255</t>
  </si>
  <si>
    <t>143172</t>
  </si>
  <si>
    <t>143174</t>
  </si>
  <si>
    <t>143173</t>
  </si>
  <si>
    <t>143168</t>
  </si>
  <si>
    <t>143171</t>
  </si>
  <si>
    <t>143169</t>
  </si>
  <si>
    <t>143170</t>
  </si>
  <si>
    <t>143757</t>
  </si>
  <si>
    <t>143755</t>
  </si>
  <si>
    <t>143758</t>
  </si>
  <si>
    <t>143641</t>
  </si>
  <si>
    <t>143643</t>
  </si>
  <si>
    <t>143642</t>
  </si>
  <si>
    <t>143454</t>
  </si>
  <si>
    <t>143457</t>
  </si>
  <si>
    <t>143456</t>
  </si>
  <si>
    <t>143081</t>
  </si>
  <si>
    <t>143082</t>
  </si>
  <si>
    <t>143083</t>
  </si>
  <si>
    <t>143084</t>
  </si>
  <si>
    <t>142913</t>
  </si>
  <si>
    <t>142915</t>
  </si>
  <si>
    <t>142916</t>
  </si>
  <si>
    <t>142816</t>
  </si>
  <si>
    <t>142819</t>
  </si>
  <si>
    <t>142817</t>
  </si>
  <si>
    <t>142818</t>
  </si>
  <si>
    <t>142646</t>
  </si>
  <si>
    <t>142644</t>
  </si>
  <si>
    <t>142647</t>
  </si>
  <si>
    <t>142645</t>
  </si>
  <si>
    <t>142567</t>
  </si>
  <si>
    <t>142570</t>
  </si>
  <si>
    <t>142568</t>
  </si>
  <si>
    <t>142569</t>
  </si>
  <si>
    <t>142563</t>
  </si>
  <si>
    <t>142565</t>
  </si>
  <si>
    <t>142566</t>
  </si>
  <si>
    <t>142564</t>
  </si>
  <si>
    <t>142459</t>
  </si>
  <si>
    <t>142461</t>
  </si>
  <si>
    <t>142460</t>
  </si>
  <si>
    <t>142462</t>
  </si>
  <si>
    <t>142458</t>
  </si>
  <si>
    <t>142457</t>
  </si>
  <si>
    <t>142456</t>
  </si>
  <si>
    <t>142455</t>
  </si>
  <si>
    <t>141993</t>
  </si>
  <si>
    <t>141991</t>
  </si>
  <si>
    <t>141994</t>
  </si>
  <si>
    <t>141992</t>
  </si>
  <si>
    <t>141955</t>
  </si>
  <si>
    <t>141956</t>
  </si>
  <si>
    <t>141909</t>
  </si>
  <si>
    <t>141910</t>
  </si>
  <si>
    <t>141912</t>
  </si>
  <si>
    <t>141911</t>
  </si>
  <si>
    <t>141791</t>
  </si>
  <si>
    <t>141792</t>
  </si>
  <si>
    <t>141793</t>
  </si>
  <si>
    <t>141794</t>
  </si>
  <si>
    <t>142195</t>
  </si>
  <si>
    <t>142198</t>
  </si>
  <si>
    <t>142196</t>
  </si>
  <si>
    <t>142197</t>
  </si>
  <si>
    <t>142193</t>
  </si>
  <si>
    <t>142192</t>
  </si>
  <si>
    <t>142191</t>
  </si>
  <si>
    <t>142194</t>
  </si>
  <si>
    <t>142181</t>
  </si>
  <si>
    <t>142183</t>
  </si>
  <si>
    <t>142182</t>
  </si>
  <si>
    <t>142184</t>
  </si>
  <si>
    <t>142122</t>
  </si>
  <si>
    <t>142123</t>
  </si>
  <si>
    <t>142121</t>
  </si>
  <si>
    <t>142124</t>
  </si>
  <si>
    <t>142120</t>
  </si>
  <si>
    <t>142117</t>
  </si>
  <si>
    <t>142118</t>
  </si>
  <si>
    <t>142021</t>
  </si>
  <si>
    <t>142022</t>
  </si>
  <si>
    <t>142024</t>
  </si>
  <si>
    <t>142023</t>
  </si>
  <si>
    <t>145143</t>
  </si>
  <si>
    <t>145141</t>
  </si>
  <si>
    <t>145144</t>
  </si>
  <si>
    <t>145142</t>
  </si>
  <si>
    <t>145032</t>
  </si>
  <si>
    <t>145031</t>
  </si>
  <si>
    <t>145030</t>
  </si>
  <si>
    <t>145033</t>
  </si>
  <si>
    <t>144933</t>
  </si>
  <si>
    <t>144934</t>
  </si>
  <si>
    <t>144908</t>
  </si>
  <si>
    <t>144910</t>
  </si>
  <si>
    <t>144909</t>
  </si>
  <si>
    <t>144911</t>
  </si>
  <si>
    <t>144900</t>
  </si>
  <si>
    <t>144899</t>
  </si>
  <si>
    <t>144901</t>
  </si>
  <si>
    <t>144898</t>
  </si>
  <si>
    <t>144769</t>
  </si>
  <si>
    <t>144770</t>
  </si>
  <si>
    <t>144772</t>
  </si>
  <si>
    <t>144771</t>
  </si>
  <si>
    <t>145179</t>
  </si>
  <si>
    <t>145177</t>
  </si>
  <si>
    <t>145180</t>
  </si>
  <si>
    <t>145178</t>
  </si>
  <si>
    <t>144694</t>
  </si>
  <si>
    <t>144692</t>
  </si>
  <si>
    <t>144695</t>
  </si>
  <si>
    <t>144693</t>
  </si>
  <si>
    <t>145407</t>
  </si>
  <si>
    <t>145408</t>
  </si>
  <si>
    <t>145405</t>
  </si>
  <si>
    <t>145406</t>
  </si>
  <si>
    <t>141618</t>
  </si>
  <si>
    <t>141617</t>
  </si>
  <si>
    <t>141616</t>
  </si>
  <si>
    <t>141619</t>
  </si>
  <si>
    <t>141612</t>
  </si>
  <si>
    <t>141611</t>
  </si>
  <si>
    <t>141614</t>
  </si>
  <si>
    <t>141613</t>
  </si>
  <si>
    <t>141551</t>
  </si>
  <si>
    <t>141550</t>
  </si>
  <si>
    <t>141553</t>
  </si>
  <si>
    <t>141552</t>
  </si>
  <si>
    <t>141520</t>
  </si>
  <si>
    <t>141519</t>
  </si>
  <si>
    <t>141521</t>
  </si>
  <si>
    <t>141518</t>
  </si>
  <si>
    <t>141461</t>
  </si>
  <si>
    <t>141459</t>
  </si>
  <si>
    <t>141458</t>
  </si>
  <si>
    <t>141460</t>
  </si>
  <si>
    <t>141432</t>
  </si>
  <si>
    <t>141435</t>
  </si>
  <si>
    <t>141434</t>
  </si>
  <si>
    <t>141433</t>
  </si>
  <si>
    <t>141390</t>
  </si>
  <si>
    <t>141391</t>
  </si>
  <si>
    <t>141392</t>
  </si>
  <si>
    <t>141393</t>
  </si>
  <si>
    <t>141660</t>
  </si>
  <si>
    <t>141657</t>
  </si>
  <si>
    <t>141658</t>
  </si>
  <si>
    <t>141659</t>
  </si>
  <si>
    <t>141386</t>
  </si>
  <si>
    <t>141387</t>
  </si>
  <si>
    <t>141388</t>
  </si>
  <si>
    <t>141389</t>
  </si>
  <si>
    <t>141177</t>
  </si>
  <si>
    <t>141178</t>
  </si>
  <si>
    <t>141179</t>
  </si>
  <si>
    <t>141180</t>
  </si>
  <si>
    <t>141154</t>
  </si>
  <si>
    <t>141151</t>
  </si>
  <si>
    <t>141152</t>
  </si>
  <si>
    <t>141153</t>
  </si>
  <si>
    <t>141037</t>
  </si>
  <si>
    <t>141036</t>
  </si>
  <si>
    <t>141038</t>
  </si>
  <si>
    <t>140976</t>
  </si>
  <si>
    <t>140975</t>
  </si>
  <si>
    <t>140974</t>
  </si>
  <si>
    <t>140977</t>
  </si>
  <si>
    <t>140925</t>
  </si>
  <si>
    <t>140926</t>
  </si>
  <si>
    <t>140927</t>
  </si>
  <si>
    <t>140924</t>
  </si>
  <si>
    <t>140914</t>
  </si>
  <si>
    <t>140917</t>
  </si>
  <si>
    <t>140865</t>
  </si>
  <si>
    <t>140863</t>
  </si>
  <si>
    <t>140864</t>
  </si>
  <si>
    <t>140742</t>
  </si>
  <si>
    <t>140743</t>
  </si>
  <si>
    <t>140744</t>
  </si>
  <si>
    <t>140741</t>
  </si>
  <si>
    <t>141185</t>
  </si>
  <si>
    <t>141186</t>
  </si>
  <si>
    <t>141187</t>
  </si>
  <si>
    <t>141188</t>
  </si>
  <si>
    <t>140737</t>
  </si>
  <si>
    <t>140738</t>
  </si>
  <si>
    <t>140739</t>
  </si>
  <si>
    <t>140559</t>
  </si>
  <si>
    <t>140562</t>
  </si>
  <si>
    <t>140560</t>
  </si>
  <si>
    <t>140561</t>
  </si>
  <si>
    <t>140534</t>
  </si>
  <si>
    <t>140536</t>
  </si>
  <si>
    <t>140535</t>
  </si>
  <si>
    <t>140510</t>
  </si>
  <si>
    <t>140511</t>
  </si>
  <si>
    <t>140512</t>
  </si>
  <si>
    <t>140509</t>
  </si>
  <si>
    <t>140427</t>
  </si>
  <si>
    <t>140425</t>
  </si>
  <si>
    <t>140426</t>
  </si>
  <si>
    <t>140428</t>
  </si>
  <si>
    <t>140164</t>
  </si>
  <si>
    <t>140165</t>
  </si>
  <si>
    <t>140167</t>
  </si>
  <si>
    <t>140166</t>
  </si>
  <si>
    <t>140159</t>
  </si>
  <si>
    <t>140157</t>
  </si>
  <si>
    <t>140158</t>
  </si>
  <si>
    <t>140156</t>
  </si>
  <si>
    <t>140602</t>
  </si>
  <si>
    <t>140599</t>
  </si>
  <si>
    <t>140600</t>
  </si>
  <si>
    <t>140601</t>
  </si>
  <si>
    <t>140152</t>
  </si>
  <si>
    <t>140153</t>
  </si>
  <si>
    <t>140154</t>
  </si>
  <si>
    <t>140155</t>
  </si>
  <si>
    <t>139651</t>
  </si>
  <si>
    <t>139653</t>
  </si>
  <si>
    <t>139654</t>
  </si>
  <si>
    <t>139652</t>
  </si>
  <si>
    <t>139963</t>
  </si>
  <si>
    <t>139966</t>
  </si>
  <si>
    <t>139964</t>
  </si>
  <si>
    <t>139965</t>
  </si>
  <si>
    <t>139852</t>
  </si>
  <si>
    <t>139849</t>
  </si>
  <si>
    <t>139851</t>
  </si>
  <si>
    <t>139850</t>
  </si>
  <si>
    <t>139733</t>
  </si>
  <si>
    <t>139736</t>
  </si>
  <si>
    <t>139735</t>
  </si>
  <si>
    <t>139734</t>
  </si>
  <si>
    <t>145916</t>
  </si>
  <si>
    <t>145917</t>
  </si>
  <si>
    <t>145915</t>
  </si>
  <si>
    <t>145914</t>
  </si>
  <si>
    <t>145879</t>
  </si>
  <si>
    <t>145880</t>
  </si>
  <si>
    <t>145789</t>
  </si>
  <si>
    <t>145790</t>
  </si>
  <si>
    <t>145788</t>
  </si>
  <si>
    <t>145787</t>
  </si>
  <si>
    <t>145758</t>
  </si>
  <si>
    <t>145760</t>
  </si>
  <si>
    <t>145757</t>
  </si>
  <si>
    <t>145759</t>
  </si>
  <si>
    <t>145666</t>
  </si>
  <si>
    <t>145665</t>
  </si>
  <si>
    <t>145664</t>
  </si>
  <si>
    <t>145663</t>
  </si>
  <si>
    <t>145618</t>
  </si>
  <si>
    <t>145619</t>
  </si>
  <si>
    <t>145620</t>
  </si>
  <si>
    <t>145617</t>
  </si>
  <si>
    <t>145614</t>
  </si>
  <si>
    <t>145616</t>
  </si>
  <si>
    <t>145615</t>
  </si>
  <si>
    <t>145613</t>
  </si>
  <si>
    <t>146595</t>
  </si>
  <si>
    <t>146596</t>
  </si>
  <si>
    <t>146597</t>
  </si>
  <si>
    <t>146594</t>
  </si>
  <si>
    <t>146472</t>
  </si>
  <si>
    <t>146473</t>
  </si>
  <si>
    <t>146471</t>
  </si>
  <si>
    <t>146330</t>
  </si>
  <si>
    <t>146331</t>
  </si>
  <si>
    <t>146329</t>
  </si>
  <si>
    <t>146328</t>
  </si>
  <si>
    <t>146301</t>
  </si>
  <si>
    <t>146299</t>
  </si>
  <si>
    <t>146300</t>
  </si>
  <si>
    <t>146169</t>
  </si>
  <si>
    <t>146172</t>
  </si>
  <si>
    <t>146171</t>
  </si>
  <si>
    <t>146170</t>
  </si>
  <si>
    <t>146044</t>
  </si>
  <si>
    <t>146043</t>
  </si>
  <si>
    <t>146042</t>
  </si>
  <si>
    <t>146041</t>
  </si>
  <si>
    <t>146029</t>
  </si>
  <si>
    <t>146030</t>
  </si>
  <si>
    <t>146027</t>
  </si>
  <si>
    <t>145611</t>
  </si>
  <si>
    <t>145612</t>
  </si>
  <si>
    <t>145610</t>
  </si>
  <si>
    <t>145609</t>
  </si>
  <si>
    <t>145528</t>
  </si>
  <si>
    <t>145527</t>
  </si>
  <si>
    <t>145525</t>
  </si>
  <si>
    <t>126480</t>
  </si>
  <si>
    <t>126478</t>
  </si>
  <si>
    <t>126477</t>
  </si>
  <si>
    <t>126479</t>
  </si>
  <si>
    <t>146846</t>
  </si>
  <si>
    <t>146847</t>
  </si>
  <si>
    <t>146848</t>
  </si>
  <si>
    <t>146845</t>
  </si>
  <si>
    <t>147462</t>
  </si>
  <si>
    <t>147463</t>
  </si>
  <si>
    <t>147460</t>
  </si>
  <si>
    <t>147461</t>
  </si>
  <si>
    <t>147357</t>
  </si>
  <si>
    <t>147355</t>
  </si>
  <si>
    <t>147356</t>
  </si>
  <si>
    <t>147358</t>
  </si>
  <si>
    <t>147351</t>
  </si>
  <si>
    <t>147353</t>
  </si>
  <si>
    <t>147354</t>
  </si>
  <si>
    <t>147352</t>
  </si>
  <si>
    <t>146673</t>
  </si>
  <si>
    <t>146672</t>
  </si>
  <si>
    <t>146671</t>
  </si>
  <si>
    <t>142103</t>
  </si>
  <si>
    <t>142106</t>
  </si>
  <si>
    <t>142104</t>
  </si>
  <si>
    <t>142105</t>
  </si>
  <si>
    <t>141799</t>
  </si>
  <si>
    <t>141801</t>
  </si>
  <si>
    <t>141802</t>
  </si>
  <si>
    <t>141800</t>
  </si>
  <si>
    <t>141692</t>
  </si>
  <si>
    <t>141690</t>
  </si>
  <si>
    <t>141691</t>
  </si>
  <si>
    <t>141693</t>
  </si>
  <si>
    <t>141584</t>
  </si>
  <si>
    <t>141583</t>
  </si>
  <si>
    <t>141582</t>
  </si>
  <si>
    <t>141585</t>
  </si>
  <si>
    <t>141416</t>
  </si>
  <si>
    <t>141417</t>
  </si>
  <si>
    <t>141418</t>
  </si>
  <si>
    <t>141419</t>
  </si>
  <si>
    <t>141155</t>
  </si>
  <si>
    <t>141157</t>
  </si>
  <si>
    <t>141156</t>
  </si>
  <si>
    <t>141158</t>
  </si>
  <si>
    <t>140516</t>
  </si>
  <si>
    <t>140513</t>
  </si>
  <si>
    <t>140514</t>
  </si>
  <si>
    <t>140515</t>
  </si>
  <si>
    <t>140440</t>
  </si>
  <si>
    <t>140441</t>
  </si>
  <si>
    <t>140439</t>
  </si>
  <si>
    <t>140438</t>
  </si>
  <si>
    <t>140429</t>
  </si>
  <si>
    <t>140430</t>
  </si>
  <si>
    <t>140431</t>
  </si>
  <si>
    <t>140432</t>
  </si>
  <si>
    <t>140407</t>
  </si>
  <si>
    <t>140409</t>
  </si>
  <si>
    <t>140408</t>
  </si>
  <si>
    <t>140410</t>
  </si>
  <si>
    <t>140148</t>
  </si>
  <si>
    <t>140149</t>
  </si>
  <si>
    <t>140151</t>
  </si>
  <si>
    <t>140150</t>
  </si>
  <si>
    <t>140056</t>
  </si>
  <si>
    <t>140053</t>
  </si>
  <si>
    <t>140055</t>
  </si>
  <si>
    <t>140054</t>
  </si>
  <si>
    <t>139598</t>
  </si>
  <si>
    <t>139600</t>
  </si>
  <si>
    <t>139599</t>
  </si>
  <si>
    <t>139601</t>
  </si>
  <si>
    <t>139569</t>
  </si>
  <si>
    <t>139572</t>
  </si>
  <si>
    <t>139570</t>
  </si>
  <si>
    <t>139571</t>
  </si>
  <si>
    <t>139335</t>
  </si>
  <si>
    <t>139336</t>
  </si>
  <si>
    <t>139337</t>
  </si>
  <si>
    <t>139338</t>
  </si>
  <si>
    <t>126495</t>
  </si>
  <si>
    <t>126498</t>
  </si>
  <si>
    <t>126497</t>
  </si>
  <si>
    <t>126496</t>
  </si>
  <si>
    <t>152341</t>
  </si>
  <si>
    <t>152343</t>
  </si>
  <si>
    <t>152340</t>
  </si>
  <si>
    <t>152342</t>
  </si>
  <si>
    <t>152272</t>
  </si>
  <si>
    <t>152271</t>
  </si>
  <si>
    <t>152278</t>
  </si>
  <si>
    <t>152279</t>
  </si>
  <si>
    <t>152247</t>
  </si>
  <si>
    <t>152246</t>
  </si>
  <si>
    <t>152248</t>
  </si>
  <si>
    <t>152249</t>
  </si>
  <si>
    <t>152223</t>
  </si>
  <si>
    <t>152221</t>
  </si>
  <si>
    <t>152222</t>
  </si>
  <si>
    <t>152224</t>
  </si>
  <si>
    <t>152174</t>
  </si>
  <si>
    <t>152173</t>
  </si>
  <si>
    <t>152176</t>
  </si>
  <si>
    <t>152175</t>
  </si>
  <si>
    <t>151742</t>
  </si>
  <si>
    <t>151741</t>
  </si>
  <si>
    <t>151744</t>
  </si>
  <si>
    <t>151743</t>
  </si>
  <si>
    <t>151685</t>
  </si>
  <si>
    <t>151683</t>
  </si>
  <si>
    <t>151686</t>
  </si>
  <si>
    <t>151676</t>
  </si>
  <si>
    <t>151675</t>
  </si>
  <si>
    <t>151677</t>
  </si>
  <si>
    <t>151680</t>
  </si>
  <si>
    <t>151679</t>
  </si>
  <si>
    <t>151682</t>
  </si>
  <si>
    <t>151681</t>
  </si>
  <si>
    <t>151509</t>
  </si>
  <si>
    <t>151507</t>
  </si>
  <si>
    <t>151508</t>
  </si>
  <si>
    <t>151510</t>
  </si>
  <si>
    <t>151362</t>
  </si>
  <si>
    <t>151359</t>
  </si>
  <si>
    <t>151361</t>
  </si>
  <si>
    <t>151360</t>
  </si>
  <si>
    <t>151318</t>
  </si>
  <si>
    <t>151315</t>
  </si>
  <si>
    <t>151317</t>
  </si>
  <si>
    <t>151316</t>
  </si>
  <si>
    <t>151288</t>
  </si>
  <si>
    <t>151285</t>
  </si>
  <si>
    <t>151287</t>
  </si>
  <si>
    <t>151286</t>
  </si>
  <si>
    <t>151265</t>
  </si>
  <si>
    <t>151264</t>
  </si>
  <si>
    <t>151263</t>
  </si>
  <si>
    <t>151266</t>
  </si>
  <si>
    <t>151246</t>
  </si>
  <si>
    <t>151244</t>
  </si>
  <si>
    <t>151245</t>
  </si>
  <si>
    <t>151247</t>
  </si>
  <si>
    <t>151173</t>
  </si>
  <si>
    <t>151172</t>
  </si>
  <si>
    <t>151175</t>
  </si>
  <si>
    <t>151174</t>
  </si>
  <si>
    <t>150945</t>
  </si>
  <si>
    <t>150944</t>
  </si>
  <si>
    <t>150947</t>
  </si>
  <si>
    <t>150782</t>
  </si>
  <si>
    <t>150781</t>
  </si>
  <si>
    <t>150783</t>
  </si>
  <si>
    <t>150784</t>
  </si>
  <si>
    <t>150598</t>
  </si>
  <si>
    <t>150600</t>
  </si>
  <si>
    <t>150599</t>
  </si>
  <si>
    <t>150601</t>
  </si>
  <si>
    <t>150320</t>
  </si>
  <si>
    <t>150321</t>
  </si>
  <si>
    <t>150318</t>
  </si>
  <si>
    <t>150319</t>
  </si>
  <si>
    <t>149137</t>
  </si>
  <si>
    <t>149136</t>
  </si>
  <si>
    <t>149138</t>
  </si>
  <si>
    <t>149139</t>
  </si>
  <si>
    <t>147019</t>
  </si>
  <si>
    <t>147022</t>
  </si>
  <si>
    <t>147021</t>
  </si>
  <si>
    <t>146833</t>
  </si>
  <si>
    <t>146834</t>
  </si>
  <si>
    <t>146604</t>
  </si>
  <si>
    <t>146607</t>
  </si>
  <si>
    <t>146605</t>
  </si>
  <si>
    <t>146325</t>
  </si>
  <si>
    <t>146326</t>
  </si>
  <si>
    <t>146324</t>
  </si>
  <si>
    <t>146327</t>
  </si>
  <si>
    <t>146282</t>
  </si>
  <si>
    <t>146283</t>
  </si>
  <si>
    <t>146284</t>
  </si>
  <si>
    <t>146046</t>
  </si>
  <si>
    <t>146048</t>
  </si>
  <si>
    <t>146047</t>
  </si>
  <si>
    <t>146045</t>
  </si>
  <si>
    <t>145960</t>
  </si>
  <si>
    <t>145959</t>
  </si>
  <si>
    <t>145962</t>
  </si>
  <si>
    <t>145961</t>
  </si>
  <si>
    <t>145903</t>
  </si>
  <si>
    <t>145900</t>
  </si>
  <si>
    <t>145902</t>
  </si>
  <si>
    <t>145786</t>
  </si>
  <si>
    <t>145783</t>
  </si>
  <si>
    <t>145713</t>
  </si>
  <si>
    <t>145716</t>
  </si>
  <si>
    <t>145715</t>
  </si>
  <si>
    <t>145714</t>
  </si>
  <si>
    <t>145634</t>
  </si>
  <si>
    <t>145635</t>
  </si>
  <si>
    <t>145637</t>
  </si>
  <si>
    <t>145587</t>
  </si>
  <si>
    <t>145586</t>
  </si>
  <si>
    <t>145588</t>
  </si>
  <si>
    <t>145380</t>
  </si>
  <si>
    <t>145379</t>
  </si>
  <si>
    <t>145381</t>
  </si>
  <si>
    <t>145241</t>
  </si>
  <si>
    <t>145242</t>
  </si>
  <si>
    <t>145239</t>
  </si>
  <si>
    <t>145240</t>
  </si>
  <si>
    <t>145188</t>
  </si>
  <si>
    <t>145187</t>
  </si>
  <si>
    <t>145189</t>
  </si>
  <si>
    <t>145084</t>
  </si>
  <si>
    <t>145083</t>
  </si>
  <si>
    <t>145085</t>
  </si>
  <si>
    <t>145086</t>
  </si>
  <si>
    <t>145004</t>
  </si>
  <si>
    <t>145007</t>
  </si>
  <si>
    <t>145006</t>
  </si>
  <si>
    <t>145005</t>
  </si>
  <si>
    <t>144848</t>
  </si>
  <si>
    <t>144850</t>
  </si>
  <si>
    <t>144851</t>
  </si>
  <si>
    <t>144849</t>
  </si>
  <si>
    <t>144670</t>
  </si>
  <si>
    <t>144669</t>
  </si>
  <si>
    <t>144672</t>
  </si>
  <si>
    <t>144671</t>
  </si>
  <si>
    <t>144612</t>
  </si>
  <si>
    <t>144615</t>
  </si>
  <si>
    <t>144614</t>
  </si>
  <si>
    <t>144591</t>
  </si>
  <si>
    <t>144588</t>
  </si>
  <si>
    <t>144590</t>
  </si>
  <si>
    <t>144589</t>
  </si>
  <si>
    <t>144460</t>
  </si>
  <si>
    <t>144457</t>
  </si>
  <si>
    <t>144459</t>
  </si>
  <si>
    <t>144286</t>
  </si>
  <si>
    <t>144284</t>
  </si>
  <si>
    <t>144283</t>
  </si>
  <si>
    <t>144282</t>
  </si>
  <si>
    <t>144281</t>
  </si>
  <si>
    <t>144279</t>
  </si>
  <si>
    <t>144061</t>
  </si>
  <si>
    <t>144064</t>
  </si>
  <si>
    <t>144063</t>
  </si>
  <si>
    <t>143995</t>
  </si>
  <si>
    <t>143994</t>
  </si>
  <si>
    <t>143993</t>
  </si>
  <si>
    <t>143850</t>
  </si>
  <si>
    <t>143849</t>
  </si>
  <si>
    <t>143848</t>
  </si>
  <si>
    <t>143627</t>
  </si>
  <si>
    <t>143626</t>
  </si>
  <si>
    <t>143625</t>
  </si>
  <si>
    <t>143628</t>
  </si>
  <si>
    <t>143623</t>
  </si>
  <si>
    <t>143624</t>
  </si>
  <si>
    <t>143622</t>
  </si>
  <si>
    <t>143480</t>
  </si>
  <si>
    <t>143478</t>
  </si>
  <si>
    <t>143477</t>
  </si>
  <si>
    <t>143479</t>
  </si>
  <si>
    <t>143342</t>
  </si>
  <si>
    <t>143344</t>
  </si>
  <si>
    <t>143345</t>
  </si>
  <si>
    <t>143343</t>
  </si>
  <si>
    <t>143182</t>
  </si>
  <si>
    <t>143181</t>
  </si>
  <si>
    <t>143180</t>
  </si>
  <si>
    <t>143183</t>
  </si>
  <si>
    <t>143059</t>
  </si>
  <si>
    <t>143061</t>
  </si>
  <si>
    <t>143060</t>
  </si>
  <si>
    <t>143030</t>
  </si>
  <si>
    <t>143031</t>
  </si>
  <si>
    <t>143032</t>
  </si>
  <si>
    <t>143029</t>
  </si>
  <si>
    <t>143022</t>
  </si>
  <si>
    <t>143023</t>
  </si>
  <si>
    <t>143024</t>
  </si>
  <si>
    <t>142860</t>
  </si>
  <si>
    <t>142858</t>
  </si>
  <si>
    <t>142859</t>
  </si>
  <si>
    <t>142857</t>
  </si>
  <si>
    <t>142766</t>
  </si>
  <si>
    <t>142765</t>
  </si>
  <si>
    <t>142767</t>
  </si>
  <si>
    <t>142768</t>
  </si>
  <si>
    <t>142651</t>
  </si>
  <si>
    <t>142648</t>
  </si>
  <si>
    <t>142649</t>
  </si>
  <si>
    <t>142650</t>
  </si>
  <si>
    <t>142528</t>
  </si>
  <si>
    <t>142529</t>
  </si>
  <si>
    <t>142527</t>
  </si>
  <si>
    <t>142530</t>
  </si>
  <si>
    <t>142406</t>
  </si>
  <si>
    <t>142405</t>
  </si>
  <si>
    <t>142404</t>
  </si>
  <si>
    <t>142403</t>
  </si>
  <si>
    <t>142314</t>
  </si>
  <si>
    <t>142315</t>
  </si>
  <si>
    <t>142312</t>
  </si>
  <si>
    <t>142313</t>
  </si>
  <si>
    <t>142241</t>
  </si>
  <si>
    <t>142242</t>
  </si>
  <si>
    <t>142244</t>
  </si>
  <si>
    <t>142243</t>
  </si>
  <si>
    <t>142075</t>
  </si>
  <si>
    <t>142076</t>
  </si>
  <si>
    <t>142078</t>
  </si>
  <si>
    <t>142077</t>
  </si>
  <si>
    <t>141938</t>
  </si>
  <si>
    <t>141935</t>
  </si>
  <si>
    <t>141936</t>
  </si>
  <si>
    <t>141937</t>
  </si>
  <si>
    <t>141884</t>
  </si>
  <si>
    <t>141883</t>
  </si>
  <si>
    <t>141885</t>
  </si>
  <si>
    <t>141886</t>
  </si>
  <si>
    <t>141838</t>
  </si>
  <si>
    <t>141835</t>
  </si>
  <si>
    <t>141837</t>
  </si>
  <si>
    <t>141836</t>
  </si>
  <si>
    <t>141366</t>
  </si>
  <si>
    <t>141365</t>
  </si>
  <si>
    <t>141367</t>
  </si>
  <si>
    <t>141368</t>
  </si>
  <si>
    <t>141284</t>
  </si>
  <si>
    <t>141281</t>
  </si>
  <si>
    <t>141282</t>
  </si>
  <si>
    <t>141283</t>
  </si>
  <si>
    <t>141049</t>
  </si>
  <si>
    <t>141048</t>
  </si>
  <si>
    <t>141046</t>
  </si>
  <si>
    <t>141047</t>
  </si>
  <si>
    <t>140910</t>
  </si>
  <si>
    <t>140909</t>
  </si>
  <si>
    <t>140912</t>
  </si>
  <si>
    <t>140911</t>
  </si>
  <si>
    <t>140634</t>
  </si>
  <si>
    <t>140631</t>
  </si>
  <si>
    <t>140632</t>
  </si>
  <si>
    <t>139580</t>
  </si>
  <si>
    <t>139579</t>
  </si>
  <si>
    <t>139578</t>
  </si>
  <si>
    <t>139333</t>
  </si>
  <si>
    <t>139331</t>
  </si>
  <si>
    <t>139332</t>
  </si>
  <si>
    <t>139269</t>
  </si>
  <si>
    <t>139272</t>
  </si>
  <si>
    <t>139271</t>
  </si>
  <si>
    <t>139084</t>
  </si>
  <si>
    <t>139081</t>
  </si>
  <si>
    <t>139083</t>
  </si>
  <si>
    <t>139080</t>
  </si>
  <si>
    <t>139079</t>
  </si>
  <si>
    <t>139078</t>
  </si>
  <si>
    <t>136363</t>
  </si>
  <si>
    <t>136364</t>
  </si>
  <si>
    <t>136362</t>
  </si>
  <si>
    <t>136365</t>
  </si>
  <si>
    <t>136134</t>
  </si>
  <si>
    <t>136133</t>
  </si>
  <si>
    <t>136135</t>
  </si>
  <si>
    <t>136084</t>
  </si>
  <si>
    <t>136082</t>
  </si>
  <si>
    <t>136083</t>
  </si>
  <si>
    <t>135755</t>
  </si>
  <si>
    <t>135756</t>
  </si>
  <si>
    <t>135757</t>
  </si>
  <si>
    <t>135758</t>
  </si>
  <si>
    <t>135610</t>
  </si>
  <si>
    <t>135611</t>
  </si>
  <si>
    <t>135609</t>
  </si>
  <si>
    <t>135608</t>
  </si>
  <si>
    <t>135488</t>
  </si>
  <si>
    <t>135484</t>
  </si>
  <si>
    <t>135485</t>
  </si>
  <si>
    <t>135372</t>
  </si>
  <si>
    <t>135373</t>
  </si>
  <si>
    <t>135375</t>
  </si>
  <si>
    <t>135374</t>
  </si>
  <si>
    <t>135239</t>
  </si>
  <si>
    <t>135236</t>
  </si>
  <si>
    <t>135237</t>
  </si>
  <si>
    <t>135047</t>
  </si>
  <si>
    <t>135050</t>
  </si>
  <si>
    <t>135048</t>
  </si>
  <si>
    <t>134838</t>
  </si>
  <si>
    <t>134839</t>
  </si>
  <si>
    <t>134841</t>
  </si>
  <si>
    <t>134177</t>
  </si>
  <si>
    <t>134178</t>
  </si>
  <si>
    <t>134176</t>
  </si>
  <si>
    <t>134179</t>
  </si>
  <si>
    <t>133662</t>
  </si>
  <si>
    <t>133663</t>
  </si>
  <si>
    <t>131096</t>
  </si>
  <si>
    <t>131098</t>
  </si>
  <si>
    <t>131097</t>
  </si>
  <si>
    <t>129766</t>
  </si>
  <si>
    <t>129765</t>
  </si>
  <si>
    <t>129768</t>
  </si>
  <si>
    <t>129767</t>
  </si>
  <si>
    <t>129638</t>
  </si>
  <si>
    <t>129640</t>
  </si>
  <si>
    <t>129639</t>
  </si>
  <si>
    <t>129641</t>
  </si>
  <si>
    <t>129540</t>
  </si>
  <si>
    <t>129542</t>
  </si>
  <si>
    <t>129541</t>
  </si>
  <si>
    <t>129543</t>
  </si>
  <si>
    <t>129405</t>
  </si>
  <si>
    <t>129406</t>
  </si>
  <si>
    <t>129408</t>
  </si>
  <si>
    <t>129351</t>
  </si>
  <si>
    <t>129353</t>
  </si>
  <si>
    <t>129352</t>
  </si>
  <si>
    <t>129354</t>
  </si>
  <si>
    <t>129339</t>
  </si>
  <si>
    <t>129341</t>
  </si>
  <si>
    <t>129340</t>
  </si>
  <si>
    <t>129036</t>
  </si>
  <si>
    <t>129035</t>
  </si>
  <si>
    <t>129034</t>
  </si>
  <si>
    <t>129037</t>
  </si>
  <si>
    <t>128906</t>
  </si>
  <si>
    <t>128907</t>
  </si>
  <si>
    <t>128909</t>
  </si>
  <si>
    <t>128908</t>
  </si>
  <si>
    <t>128904</t>
  </si>
  <si>
    <t>128902</t>
  </si>
  <si>
    <t>128905</t>
  </si>
  <si>
    <t>128868</t>
  </si>
  <si>
    <t>128869</t>
  </si>
  <si>
    <t>128871</t>
  </si>
  <si>
    <t>128754</t>
  </si>
  <si>
    <t>128752</t>
  </si>
  <si>
    <t>128755</t>
  </si>
  <si>
    <t>128753</t>
  </si>
  <si>
    <t>128756</t>
  </si>
  <si>
    <t>128759</t>
  </si>
  <si>
    <t>128758</t>
  </si>
  <si>
    <t>128578</t>
  </si>
  <si>
    <t>128580</t>
  </si>
  <si>
    <t>128579</t>
  </si>
  <si>
    <t>128574</t>
  </si>
  <si>
    <t>128576</t>
  </si>
  <si>
    <t>128575</t>
  </si>
  <si>
    <t>128364</t>
  </si>
  <si>
    <t>128362</t>
  </si>
  <si>
    <t>128365</t>
  </si>
  <si>
    <t>128265</t>
  </si>
  <si>
    <t>128267</t>
  </si>
  <si>
    <t>128266</t>
  </si>
  <si>
    <t>128268</t>
  </si>
  <si>
    <t>127806</t>
  </si>
  <si>
    <t>127808</t>
  </si>
  <si>
    <t>127807</t>
  </si>
  <si>
    <t>127650</t>
  </si>
  <si>
    <t>127652</t>
  </si>
  <si>
    <t>127651</t>
  </si>
  <si>
    <t>127400</t>
  </si>
  <si>
    <t>127402</t>
  </si>
  <si>
    <t>127401</t>
  </si>
  <si>
    <t>127403</t>
  </si>
  <si>
    <t>127387</t>
  </si>
  <si>
    <t>127389</t>
  </si>
  <si>
    <t>127388</t>
  </si>
  <si>
    <t>127390</t>
  </si>
  <si>
    <t>127255</t>
  </si>
  <si>
    <t>127258</t>
  </si>
  <si>
    <t>127257</t>
  </si>
  <si>
    <t>127256</t>
  </si>
  <si>
    <t>127126</t>
  </si>
  <si>
    <t>127128</t>
  </si>
  <si>
    <t>127127</t>
  </si>
  <si>
    <t>126873</t>
  </si>
  <si>
    <t>126874</t>
  </si>
  <si>
    <t>126665</t>
  </si>
  <si>
    <t>126666</t>
  </si>
  <si>
    <t>126280</t>
  </si>
  <si>
    <t>126282</t>
  </si>
  <si>
    <t>126281</t>
  </si>
  <si>
    <t>126283</t>
  </si>
  <si>
    <t>126053</t>
  </si>
  <si>
    <t>126054</t>
  </si>
  <si>
    <t>126052</t>
  </si>
  <si>
    <t>124037</t>
  </si>
  <si>
    <t>124035</t>
  </si>
  <si>
    <t>124036</t>
  </si>
  <si>
    <t>124034</t>
  </si>
  <si>
    <t>123970</t>
  </si>
  <si>
    <t>123972</t>
  </si>
  <si>
    <t>123973</t>
  </si>
  <si>
    <t>123971</t>
  </si>
  <si>
    <t>123790</t>
  </si>
  <si>
    <t>123791</t>
  </si>
  <si>
    <t>123792</t>
  </si>
  <si>
    <t>123793</t>
  </si>
  <si>
    <t>123328</t>
  </si>
  <si>
    <t>123327</t>
  </si>
  <si>
    <t>123326</t>
  </si>
  <si>
    <t>123194</t>
  </si>
  <si>
    <t>123192</t>
  </si>
  <si>
    <t>123193</t>
  </si>
  <si>
    <t>123195</t>
  </si>
  <si>
    <t>123190</t>
  </si>
  <si>
    <t>123191</t>
  </si>
  <si>
    <t>123189</t>
  </si>
  <si>
    <t>123188</t>
  </si>
  <si>
    <t>123107</t>
  </si>
  <si>
    <t>123109</t>
  </si>
  <si>
    <t>123108</t>
  </si>
  <si>
    <t>123106</t>
  </si>
  <si>
    <t>152544</t>
  </si>
  <si>
    <t>152543</t>
  </si>
  <si>
    <t>152542</t>
  </si>
  <si>
    <t>152545</t>
  </si>
  <si>
    <t>152454</t>
  </si>
  <si>
    <t>152453</t>
  </si>
  <si>
    <t>152452</t>
  </si>
  <si>
    <t>152451</t>
  </si>
  <si>
    <t>139360</t>
  </si>
  <si>
    <t>139359</t>
  </si>
  <si>
    <t>139362</t>
  </si>
  <si>
    <t>139361</t>
  </si>
  <si>
    <t>136286</t>
  </si>
  <si>
    <t>136287</t>
  </si>
  <si>
    <t>136284</t>
  </si>
  <si>
    <t>135747</t>
  </si>
  <si>
    <t>135745</t>
  </si>
  <si>
    <t>135746</t>
  </si>
  <si>
    <t>135748</t>
  </si>
  <si>
    <t>135330</t>
  </si>
  <si>
    <t>135329</t>
  </si>
  <si>
    <t>135328</t>
  </si>
  <si>
    <t>135331</t>
  </si>
  <si>
    <t>129286</t>
  </si>
  <si>
    <t>130566</t>
  </si>
  <si>
    <t>142702</t>
  </si>
  <si>
    <t>142701</t>
  </si>
  <si>
    <t>142700</t>
  </si>
  <si>
    <t>148399</t>
  </si>
  <si>
    <t>148398</t>
  </si>
  <si>
    <t>148397</t>
  </si>
  <si>
    <t>130567</t>
  </si>
  <si>
    <t>129288</t>
  </si>
  <si>
    <t>129287</t>
  </si>
  <si>
    <t>130565</t>
  </si>
  <si>
    <t>IL&amp;FS Mutual Fund (IDF)</t>
  </si>
  <si>
    <t>130147</t>
  </si>
  <si>
    <t>130145</t>
  </si>
  <si>
    <t>130146</t>
  </si>
  <si>
    <t>130148</t>
  </si>
  <si>
    <t>129743</t>
  </si>
  <si>
    <t>129744</t>
  </si>
  <si>
    <t>129741</t>
  </si>
  <si>
    <t>129742</t>
  </si>
  <si>
    <t>134261</t>
  </si>
  <si>
    <t>134260</t>
  </si>
  <si>
    <t>134259</t>
  </si>
  <si>
    <t>134262</t>
  </si>
  <si>
    <t>131575</t>
  </si>
  <si>
    <t>131576</t>
  </si>
  <si>
    <t>131577</t>
  </si>
  <si>
    <t>131574</t>
  </si>
  <si>
    <t>133113</t>
  </si>
  <si>
    <t>133111</t>
  </si>
  <si>
    <t>133110</t>
  </si>
  <si>
    <t>133112</t>
  </si>
  <si>
    <t>133579</t>
  </si>
  <si>
    <t>133580</t>
  </si>
  <si>
    <t>133577</t>
  </si>
  <si>
    <t>133578</t>
  </si>
  <si>
    <t>132952</t>
  </si>
  <si>
    <t>132953</t>
  </si>
  <si>
    <t>132951</t>
  </si>
  <si>
    <t>132954</t>
  </si>
  <si>
    <t>133173</t>
  </si>
  <si>
    <t>133174</t>
  </si>
  <si>
    <t>133172</t>
  </si>
  <si>
    <t>131315</t>
  </si>
  <si>
    <t>131313</t>
  </si>
  <si>
    <t>131316</t>
  </si>
  <si>
    <t>131314</t>
  </si>
  <si>
    <t>130992</t>
  </si>
  <si>
    <t>130989</t>
  </si>
  <si>
    <t>130991</t>
  </si>
  <si>
    <t>130990</t>
  </si>
  <si>
    <t>130441</t>
  </si>
  <si>
    <t>130439</t>
  </si>
  <si>
    <t>130438</t>
  </si>
  <si>
    <t>130440</t>
  </si>
  <si>
    <t>131261</t>
  </si>
  <si>
    <t>131263</t>
  </si>
  <si>
    <t>131264</t>
  </si>
  <si>
    <t>131262</t>
  </si>
  <si>
    <t>131351</t>
  </si>
  <si>
    <t>131350</t>
  </si>
  <si>
    <t>131353</t>
  </si>
  <si>
    <t>131352</t>
  </si>
  <si>
    <t>129233</t>
  </si>
  <si>
    <t>129230</t>
  </si>
  <si>
    <t>129231</t>
  </si>
  <si>
    <t>129232</t>
  </si>
  <si>
    <t>128493</t>
  </si>
  <si>
    <t>128495</t>
  </si>
  <si>
    <t>128494</t>
  </si>
  <si>
    <t>128492</t>
  </si>
  <si>
    <t>128208</t>
  </si>
  <si>
    <t>128206</t>
  </si>
  <si>
    <t>128205</t>
  </si>
  <si>
    <t>128207</t>
  </si>
  <si>
    <t>129069</t>
  </si>
  <si>
    <t>129066</t>
  </si>
  <si>
    <t>129067</t>
  </si>
  <si>
    <t>129068</t>
  </si>
  <si>
    <t>127132</t>
  </si>
  <si>
    <t>127131</t>
  </si>
  <si>
    <t>127129</t>
  </si>
  <si>
    <t>126087</t>
  </si>
  <si>
    <t>126088</t>
  </si>
  <si>
    <t>126086</t>
  </si>
  <si>
    <t>126113</t>
  </si>
  <si>
    <t>126116</t>
  </si>
  <si>
    <t>126115</t>
  </si>
  <si>
    <t>126114</t>
  </si>
  <si>
    <t>125261</t>
  </si>
  <si>
    <t>125262</t>
  </si>
  <si>
    <t>125260</t>
  </si>
  <si>
    <t>125263</t>
  </si>
  <si>
    <t>124139</t>
  </si>
  <si>
    <t>124141</t>
  </si>
  <si>
    <t>124140</t>
  </si>
  <si>
    <t>124138</t>
  </si>
  <si>
    <t>122756</t>
  </si>
  <si>
    <t>122753</t>
  </si>
  <si>
    <t>122754</t>
  </si>
  <si>
    <t>122755</t>
  </si>
  <si>
    <t>122660</t>
  </si>
  <si>
    <t>122657</t>
  </si>
  <si>
    <t>122659</t>
  </si>
  <si>
    <t>122658</t>
  </si>
  <si>
    <t>122535</t>
  </si>
  <si>
    <t>122534</t>
  </si>
  <si>
    <t>122533</t>
  </si>
  <si>
    <t>122532</t>
  </si>
  <si>
    <t>122851</t>
  </si>
  <si>
    <t>122852</t>
  </si>
  <si>
    <t>122850</t>
  </si>
  <si>
    <t>122853</t>
  </si>
  <si>
    <t>122663</t>
  </si>
  <si>
    <t>122664</t>
  </si>
  <si>
    <t>122661</t>
  </si>
  <si>
    <t>122662</t>
  </si>
  <si>
    <t>122442</t>
  </si>
  <si>
    <t>122440</t>
  </si>
  <si>
    <t>122439</t>
  </si>
  <si>
    <t>122441</t>
  </si>
  <si>
    <t>122404</t>
  </si>
  <si>
    <t>122401</t>
  </si>
  <si>
    <t>122403</t>
  </si>
  <si>
    <t>122402</t>
  </si>
  <si>
    <t>122252</t>
  </si>
  <si>
    <t>122250</t>
  </si>
  <si>
    <t>122249</t>
  </si>
  <si>
    <t>122251</t>
  </si>
  <si>
    <t>121511</t>
  </si>
  <si>
    <t>121512</t>
  </si>
  <si>
    <t>121510</t>
  </si>
  <si>
    <t>121513</t>
  </si>
  <si>
    <t>142380</t>
  </si>
  <si>
    <t>142379</t>
  </si>
  <si>
    <t>142382</t>
  </si>
  <si>
    <t>142381</t>
  </si>
  <si>
    <t>140057</t>
  </si>
  <si>
    <t>140059</t>
  </si>
  <si>
    <t>140058</t>
  </si>
  <si>
    <t>140060</t>
  </si>
  <si>
    <t>139994</t>
  </si>
  <si>
    <t>139995</t>
  </si>
  <si>
    <t>139993</t>
  </si>
  <si>
    <t>139996</t>
  </si>
  <si>
    <t>139766</t>
  </si>
  <si>
    <t>139765</t>
  </si>
  <si>
    <t>139764</t>
  </si>
  <si>
    <t>139763</t>
  </si>
  <si>
    <t>139591</t>
  </si>
  <si>
    <t>139593</t>
  </si>
  <si>
    <t>139592</t>
  </si>
  <si>
    <t>139590</t>
  </si>
  <si>
    <t>135925</t>
  </si>
  <si>
    <t>135926</t>
  </si>
  <si>
    <t>135924</t>
  </si>
  <si>
    <t>135927</t>
  </si>
  <si>
    <t>135720</t>
  </si>
  <si>
    <t>135719</t>
  </si>
  <si>
    <t>135718</t>
  </si>
  <si>
    <t>135717</t>
  </si>
  <si>
    <t>130006</t>
  </si>
  <si>
    <t>130007</t>
  </si>
  <si>
    <t>130008</t>
  </si>
  <si>
    <t>130005</t>
  </si>
  <si>
    <t>129025</t>
  </si>
  <si>
    <t>129023</t>
  </si>
  <si>
    <t>129022</t>
  </si>
  <si>
    <t>129024</t>
  </si>
  <si>
    <t>129914</t>
  </si>
  <si>
    <t>129915</t>
  </si>
  <si>
    <t>129913</t>
  </si>
  <si>
    <t>129916</t>
  </si>
  <si>
    <t>129718</t>
  </si>
  <si>
    <t>129715</t>
  </si>
  <si>
    <t>129717</t>
  </si>
  <si>
    <t>129716</t>
  </si>
  <si>
    <t>129470</t>
  </si>
  <si>
    <t>129473</t>
  </si>
  <si>
    <t>129471</t>
  </si>
  <si>
    <t>129472</t>
  </si>
  <si>
    <t>129249</t>
  </si>
  <si>
    <t>129248</t>
  </si>
  <si>
    <t>129027</t>
  </si>
  <si>
    <t>129029</t>
  </si>
  <si>
    <t>129028</t>
  </si>
  <si>
    <t>129026</t>
  </si>
  <si>
    <t>129645</t>
  </si>
  <si>
    <t>129643</t>
  </si>
  <si>
    <t>129642</t>
  </si>
  <si>
    <t>129644</t>
  </si>
  <si>
    <t>129409</t>
  </si>
  <si>
    <t>129410</t>
  </si>
  <si>
    <t>129412</t>
  </si>
  <si>
    <t>129245</t>
  </si>
  <si>
    <t>129246</t>
  </si>
  <si>
    <t>129244</t>
  </si>
  <si>
    <t>129241</t>
  </si>
  <si>
    <t>129240</t>
  </si>
  <si>
    <t>129243</t>
  </si>
  <si>
    <t>129798</t>
  </si>
  <si>
    <t>129799</t>
  </si>
  <si>
    <t>129800</t>
  </si>
  <si>
    <t>129797</t>
  </si>
  <si>
    <t>129255</t>
  </si>
  <si>
    <t>129253</t>
  </si>
  <si>
    <t>129252</t>
  </si>
  <si>
    <t>129254</t>
  </si>
  <si>
    <t>129969</t>
  </si>
  <si>
    <t>129970</t>
  </si>
  <si>
    <t>129968</t>
  </si>
  <si>
    <t>129967</t>
  </si>
  <si>
    <t>130001</t>
  </si>
  <si>
    <t>129999</t>
  </si>
  <si>
    <t>130000</t>
  </si>
  <si>
    <t>130002</t>
  </si>
  <si>
    <t>128114</t>
  </si>
  <si>
    <t>128111</t>
  </si>
  <si>
    <t>128112</t>
  </si>
  <si>
    <t>128113</t>
  </si>
  <si>
    <t>127721</t>
  </si>
  <si>
    <t>127722</t>
  </si>
  <si>
    <t>127720</t>
  </si>
  <si>
    <t>128042</t>
  </si>
  <si>
    <t>128044</t>
  </si>
  <si>
    <t>128039</t>
  </si>
  <si>
    <t>128040</t>
  </si>
  <si>
    <t>128038</t>
  </si>
  <si>
    <t>128077</t>
  </si>
  <si>
    <t>128076</t>
  </si>
  <si>
    <t>128075</t>
  </si>
  <si>
    <t>128204</t>
  </si>
  <si>
    <t>128201</t>
  </si>
  <si>
    <t>128203</t>
  </si>
  <si>
    <t>128499</t>
  </si>
  <si>
    <t>128497</t>
  </si>
  <si>
    <t>128496</t>
  </si>
  <si>
    <t>128498</t>
  </si>
  <si>
    <t>128350</t>
  </si>
  <si>
    <t>128352</t>
  </si>
  <si>
    <t>128649</t>
  </si>
  <si>
    <t>128646</t>
  </si>
  <si>
    <t>128648</t>
  </si>
  <si>
    <t>128819</t>
  </si>
  <si>
    <t>128816</t>
  </si>
  <si>
    <t>128818</t>
  </si>
  <si>
    <t>128810</t>
  </si>
  <si>
    <t>128808</t>
  </si>
  <si>
    <t>128811</t>
  </si>
  <si>
    <t>128653</t>
  </si>
  <si>
    <t>128650</t>
  </si>
  <si>
    <t>128652</t>
  </si>
  <si>
    <t>128060</t>
  </si>
  <si>
    <t>128058</t>
  </si>
  <si>
    <t>128812</t>
  </si>
  <si>
    <t>128814</t>
  </si>
  <si>
    <t>128356</t>
  </si>
  <si>
    <t>128354</t>
  </si>
  <si>
    <t>128357</t>
  </si>
  <si>
    <t>127718</t>
  </si>
  <si>
    <t>127716</t>
  </si>
  <si>
    <t>127717</t>
  </si>
  <si>
    <t>127712</t>
  </si>
  <si>
    <t>127714</t>
  </si>
  <si>
    <t>127619</t>
  </si>
  <si>
    <t>127618</t>
  </si>
  <si>
    <t>127617</t>
  </si>
  <si>
    <t>128360</t>
  </si>
  <si>
    <t>128358</t>
  </si>
  <si>
    <t>128361</t>
  </si>
  <si>
    <t>128359</t>
  </si>
  <si>
    <t>126501</t>
  </si>
  <si>
    <t>126500</t>
  </si>
  <si>
    <t>126502</t>
  </si>
  <si>
    <t>126499</t>
  </si>
  <si>
    <t>126830</t>
  </si>
  <si>
    <t>126832</t>
  </si>
  <si>
    <t>126831</t>
  </si>
  <si>
    <t>126829</t>
  </si>
  <si>
    <t>126170</t>
  </si>
  <si>
    <t>126167</t>
  </si>
  <si>
    <t>126169</t>
  </si>
  <si>
    <t>126395</t>
  </si>
  <si>
    <t>126396</t>
  </si>
  <si>
    <t>126397</t>
  </si>
  <si>
    <t>126643</t>
  </si>
  <si>
    <t>126644</t>
  </si>
  <si>
    <t>126641</t>
  </si>
  <si>
    <t>126642</t>
  </si>
  <si>
    <t>126801</t>
  </si>
  <si>
    <t>126803</t>
  </si>
  <si>
    <t>126802</t>
  </si>
  <si>
    <t>126804</t>
  </si>
  <si>
    <t>127033</t>
  </si>
  <si>
    <t>127031</t>
  </si>
  <si>
    <t>127032</t>
  </si>
  <si>
    <t>127262</t>
  </si>
  <si>
    <t>127260</t>
  </si>
  <si>
    <t>127259</t>
  </si>
  <si>
    <t>127261</t>
  </si>
  <si>
    <t>126563</t>
  </si>
  <si>
    <t>126561</t>
  </si>
  <si>
    <t>126560</t>
  </si>
  <si>
    <t>126562</t>
  </si>
  <si>
    <t>127049</t>
  </si>
  <si>
    <t>127051</t>
  </si>
  <si>
    <t>127050</t>
  </si>
  <si>
    <t>127052</t>
  </si>
  <si>
    <t>126335</t>
  </si>
  <si>
    <t>126332</t>
  </si>
  <si>
    <t>126334</t>
  </si>
  <si>
    <t>126128</t>
  </si>
  <si>
    <t>126126</t>
  </si>
  <si>
    <t>126125</t>
  </si>
  <si>
    <t>126127</t>
  </si>
  <si>
    <t>127231</t>
  </si>
  <si>
    <t>127233</t>
  </si>
  <si>
    <t>127354</t>
  </si>
  <si>
    <t>127351</t>
  </si>
  <si>
    <t>127352</t>
  </si>
  <si>
    <t>126928</t>
  </si>
  <si>
    <t>126927</t>
  </si>
  <si>
    <t>126929</t>
  </si>
  <si>
    <t>126327</t>
  </si>
  <si>
    <t>126324</t>
  </si>
  <si>
    <t>126325</t>
  </si>
  <si>
    <t>126474</t>
  </si>
  <si>
    <t>126473</t>
  </si>
  <si>
    <t>126475</t>
  </si>
  <si>
    <t>126476</t>
  </si>
  <si>
    <t>127228</t>
  </si>
  <si>
    <t>127229</t>
  </si>
  <si>
    <t>127227</t>
  </si>
  <si>
    <t>127230</t>
  </si>
  <si>
    <t>125435</t>
  </si>
  <si>
    <t>125432</t>
  </si>
  <si>
    <t>125434</t>
  </si>
  <si>
    <t>125686</t>
  </si>
  <si>
    <t>125683</t>
  </si>
  <si>
    <t>125684</t>
  </si>
  <si>
    <t>125972</t>
  </si>
  <si>
    <t>125969</t>
  </si>
  <si>
    <t>125971</t>
  </si>
  <si>
    <t>125439</t>
  </si>
  <si>
    <t>125437</t>
  </si>
  <si>
    <t>125436</t>
  </si>
  <si>
    <t>125438</t>
  </si>
  <si>
    <t>125868</t>
  </si>
  <si>
    <t>125866</t>
  </si>
  <si>
    <t>125865</t>
  </si>
  <si>
    <t>125867</t>
  </si>
  <si>
    <t>124650</t>
  </si>
  <si>
    <t>124647</t>
  </si>
  <si>
    <t>124649</t>
  </si>
  <si>
    <t>124320</t>
  </si>
  <si>
    <t>124318</t>
  </si>
  <si>
    <t>124317</t>
  </si>
  <si>
    <t>124319</t>
  </si>
  <si>
    <t>123990</t>
  </si>
  <si>
    <t>123988</t>
  </si>
  <si>
    <t>123991</t>
  </si>
  <si>
    <t>124222</t>
  </si>
  <si>
    <t>124220</t>
  </si>
  <si>
    <t>124219</t>
  </si>
  <si>
    <t>124221</t>
  </si>
  <si>
    <t>124920</t>
  </si>
  <si>
    <t>124922</t>
  </si>
  <si>
    <t>124594</t>
  </si>
  <si>
    <t>124591</t>
  </si>
  <si>
    <t>124593</t>
  </si>
  <si>
    <t>124081</t>
  </si>
  <si>
    <t>124079</t>
  </si>
  <si>
    <t>124082</t>
  </si>
  <si>
    <t>124652</t>
  </si>
  <si>
    <t>124653</t>
  </si>
  <si>
    <t>124651</t>
  </si>
  <si>
    <t>124582</t>
  </si>
  <si>
    <t>124584</t>
  </si>
  <si>
    <t>124361</t>
  </si>
  <si>
    <t>124362</t>
  </si>
  <si>
    <t>124718</t>
  </si>
  <si>
    <t>124720</t>
  </si>
  <si>
    <t>124218</t>
  </si>
  <si>
    <t>124216</t>
  </si>
  <si>
    <t>124215</t>
  </si>
  <si>
    <t>124217</t>
  </si>
  <si>
    <t>124496</t>
  </si>
  <si>
    <t>124495</t>
  </si>
  <si>
    <t>124497</t>
  </si>
  <si>
    <t>124145</t>
  </si>
  <si>
    <t>124143</t>
  </si>
  <si>
    <t>124142</t>
  </si>
  <si>
    <t>125026</t>
  </si>
  <si>
    <t>125024</t>
  </si>
  <si>
    <t>125023</t>
  </si>
  <si>
    <t>125025</t>
  </si>
  <si>
    <t>124400</t>
  </si>
  <si>
    <t>124398</t>
  </si>
  <si>
    <t>124397</t>
  </si>
  <si>
    <t>124399</t>
  </si>
  <si>
    <t>123262</t>
  </si>
  <si>
    <t>123259</t>
  </si>
  <si>
    <t>123261</t>
  </si>
  <si>
    <t>123279</t>
  </si>
  <si>
    <t>123281</t>
  </si>
  <si>
    <t>123280</t>
  </si>
  <si>
    <t>123282</t>
  </si>
  <si>
    <t>123366</t>
  </si>
  <si>
    <t>123363</t>
  </si>
  <si>
    <t>123364</t>
  </si>
  <si>
    <t>123947</t>
  </si>
  <si>
    <t>123944</t>
  </si>
  <si>
    <t>123946</t>
  </si>
  <si>
    <t>123626</t>
  </si>
  <si>
    <t>123627</t>
  </si>
  <si>
    <t>123628</t>
  </si>
  <si>
    <t>123481</t>
  </si>
  <si>
    <t>123478</t>
  </si>
  <si>
    <t>123480</t>
  </si>
  <si>
    <t>123184</t>
  </si>
  <si>
    <t>123186</t>
  </si>
  <si>
    <t>123485</t>
  </si>
  <si>
    <t>123482</t>
  </si>
  <si>
    <t>123484</t>
  </si>
  <si>
    <t>123368</t>
  </si>
  <si>
    <t>123370</t>
  </si>
  <si>
    <t>123367</t>
  </si>
  <si>
    <t>123993</t>
  </si>
  <si>
    <t>123995</t>
  </si>
  <si>
    <t>123994</t>
  </si>
  <si>
    <t>123992</t>
  </si>
  <si>
    <t>122999</t>
  </si>
  <si>
    <t>122996</t>
  </si>
  <si>
    <t>122998</t>
  </si>
  <si>
    <t>122896</t>
  </si>
  <si>
    <t>122898</t>
  </si>
  <si>
    <t>122779</t>
  </si>
  <si>
    <t>122777</t>
  </si>
  <si>
    <t>122776</t>
  </si>
  <si>
    <t>122778</t>
  </si>
  <si>
    <t>122610</t>
  </si>
  <si>
    <t>122609</t>
  </si>
  <si>
    <t>122608</t>
  </si>
  <si>
    <t>122611</t>
  </si>
  <si>
    <t>123111</t>
  </si>
  <si>
    <t>123112</t>
  </si>
  <si>
    <t>123110</t>
  </si>
  <si>
    <t>123113</t>
  </si>
  <si>
    <t>123074</t>
  </si>
  <si>
    <t>123076</t>
  </si>
  <si>
    <t>123003</t>
  </si>
  <si>
    <t>123000</t>
  </si>
  <si>
    <t>123002</t>
  </si>
  <si>
    <t>122892</t>
  </si>
  <si>
    <t>122893</t>
  </si>
  <si>
    <t>122274</t>
  </si>
  <si>
    <t>122275</t>
  </si>
  <si>
    <t>122273</t>
  </si>
  <si>
    <t>122276</t>
  </si>
  <si>
    <t>121954</t>
  </si>
  <si>
    <t>121953</t>
  </si>
  <si>
    <t>121955</t>
  </si>
  <si>
    <t>121956</t>
  </si>
  <si>
    <t>121877</t>
  </si>
  <si>
    <t>121878</t>
  </si>
  <si>
    <t>121875</t>
  </si>
  <si>
    <t>121876</t>
  </si>
  <si>
    <t>117972</t>
  </si>
  <si>
    <t>117971</t>
  </si>
  <si>
    <t>117856</t>
  </si>
  <si>
    <t>117855</t>
  </si>
  <si>
    <t>117805</t>
  </si>
  <si>
    <t>117804</t>
  </si>
  <si>
    <t>117769</t>
  </si>
  <si>
    <t>117770</t>
  </si>
  <si>
    <t>117701</t>
  </si>
  <si>
    <t>117700</t>
  </si>
  <si>
    <t>117622</t>
  </si>
  <si>
    <t>117621</t>
  </si>
  <si>
    <t>117366</t>
  </si>
  <si>
    <t>117367</t>
  </si>
  <si>
    <t>135013</t>
  </si>
  <si>
    <t>135012</t>
  </si>
  <si>
    <t>135011</t>
  </si>
  <si>
    <t>129853</t>
  </si>
  <si>
    <t>129856</t>
  </si>
  <si>
    <t>129854</t>
  </si>
  <si>
    <t>129855</t>
  </si>
  <si>
    <t>142548</t>
  </si>
  <si>
    <t>142542</t>
  </si>
  <si>
    <t>142543</t>
  </si>
  <si>
    <t>142544</t>
  </si>
  <si>
    <t>142541</t>
  </si>
  <si>
    <t>140540</t>
  </si>
  <si>
    <t>140539</t>
  </si>
  <si>
    <t>140538</t>
  </si>
  <si>
    <t>140537</t>
  </si>
  <si>
    <t>140546</t>
  </si>
  <si>
    <t>140547</t>
  </si>
  <si>
    <t>140548</t>
  </si>
  <si>
    <t>140545</t>
  </si>
  <si>
    <t>129237</t>
  </si>
  <si>
    <t>129239</t>
  </si>
  <si>
    <t>129238</t>
  </si>
  <si>
    <t>129236</t>
  </si>
  <si>
    <t>133502</t>
  </si>
  <si>
    <t>133501</t>
  </si>
  <si>
    <t>133504</t>
  </si>
  <si>
    <t>133503</t>
  </si>
  <si>
    <t>130180</t>
  </si>
  <si>
    <t>130177</t>
  </si>
  <si>
    <t>130179</t>
  </si>
  <si>
    <t>130178</t>
  </si>
  <si>
    <t>130086</t>
  </si>
  <si>
    <t>130087</t>
  </si>
  <si>
    <t>130088</t>
  </si>
  <si>
    <t>130085</t>
  </si>
  <si>
    <t>151636</t>
  </si>
  <si>
    <t>151637</t>
  </si>
  <si>
    <t>151635</t>
  </si>
  <si>
    <t>151638</t>
  </si>
  <si>
    <t>150958</t>
  </si>
  <si>
    <t>150957</t>
  </si>
  <si>
    <t>150956</t>
  </si>
  <si>
    <t>150955</t>
  </si>
  <si>
    <t>150447</t>
  </si>
  <si>
    <t>150450</t>
  </si>
  <si>
    <t>150448</t>
  </si>
  <si>
    <t>150525</t>
  </si>
  <si>
    <t>150449</t>
  </si>
  <si>
    <t>151494</t>
  </si>
  <si>
    <t>151491</t>
  </si>
  <si>
    <t>151492</t>
  </si>
  <si>
    <t>151493</t>
  </si>
  <si>
    <t>150951</t>
  </si>
  <si>
    <t>150954</t>
  </si>
  <si>
    <t>150949</t>
  </si>
  <si>
    <t>150952</t>
  </si>
  <si>
    <t>150953</t>
  </si>
  <si>
    <t>150950</t>
  </si>
  <si>
    <t>147863</t>
  </si>
  <si>
    <t>147861</t>
  </si>
  <si>
    <t>147860</t>
  </si>
  <si>
    <t>147862</t>
  </si>
  <si>
    <t>147859</t>
  </si>
  <si>
    <t>147858</t>
  </si>
  <si>
    <t>147903</t>
  </si>
  <si>
    <t>147901</t>
  </si>
  <si>
    <t>147904</t>
  </si>
  <si>
    <t>147902</t>
  </si>
  <si>
    <t>147900</t>
  </si>
  <si>
    <t>147899</t>
  </si>
  <si>
    <t>148182</t>
  </si>
  <si>
    <t>148187</t>
  </si>
  <si>
    <t>148186</t>
  </si>
  <si>
    <t>148185</t>
  </si>
  <si>
    <t>147139</t>
  </si>
  <si>
    <t>147142</t>
  </si>
  <si>
    <t>147141</t>
  </si>
  <si>
    <t>147138</t>
  </si>
  <si>
    <t>147137</t>
  </si>
  <si>
    <t>146119</t>
  </si>
  <si>
    <t>146118</t>
  </si>
  <si>
    <t>146116</t>
  </si>
  <si>
    <t>146117</t>
  </si>
  <si>
    <t>146115</t>
  </si>
  <si>
    <t>146345</t>
  </si>
  <si>
    <t>146342</t>
  </si>
  <si>
    <t>146343</t>
  </si>
  <si>
    <t>146344</t>
  </si>
  <si>
    <t>146340</t>
  </si>
  <si>
    <t>146257</t>
  </si>
  <si>
    <t>146260</t>
  </si>
  <si>
    <t>146259</t>
  </si>
  <si>
    <t>146258</t>
  </si>
  <si>
    <t>146256</t>
  </si>
  <si>
    <t>146255</t>
  </si>
  <si>
    <t>146307</t>
  </si>
  <si>
    <t>146310</t>
  </si>
  <si>
    <t>146308</t>
  </si>
  <si>
    <t>146309</t>
  </si>
  <si>
    <t>146306</t>
  </si>
  <si>
    <t>146445</t>
  </si>
  <si>
    <t>146446</t>
  </si>
  <si>
    <t>146450</t>
  </si>
  <si>
    <t>146448</t>
  </si>
  <si>
    <t>146659</t>
  </si>
  <si>
    <t>146664</t>
  </si>
  <si>
    <t>146663</t>
  </si>
  <si>
    <t>146662</t>
  </si>
  <si>
    <t>146533</t>
  </si>
  <si>
    <t>146535</t>
  </si>
  <si>
    <t>146530</t>
  </si>
  <si>
    <t>146532</t>
  </si>
  <si>
    <t>146531</t>
  </si>
  <si>
    <t>146807</t>
  </si>
  <si>
    <t>146809</t>
  </si>
  <si>
    <t>146811</t>
  </si>
  <si>
    <t>146810</t>
  </si>
  <si>
    <t>146983</t>
  </si>
  <si>
    <t>146982</t>
  </si>
  <si>
    <t>146981</t>
  </si>
  <si>
    <t>146925</t>
  </si>
  <si>
    <t>146924</t>
  </si>
  <si>
    <t>146926</t>
  </si>
  <si>
    <t>146933</t>
  </si>
  <si>
    <t>146932</t>
  </si>
  <si>
    <t>146931</t>
  </si>
  <si>
    <t>146935</t>
  </si>
  <si>
    <t>146915</t>
  </si>
  <si>
    <t>146912</t>
  </si>
  <si>
    <t>146911</t>
  </si>
  <si>
    <t>146800</t>
  </si>
  <si>
    <t>146795</t>
  </si>
  <si>
    <t>146797</t>
  </si>
  <si>
    <t>145131</t>
  </si>
  <si>
    <t>145129</t>
  </si>
  <si>
    <t>145132</t>
  </si>
  <si>
    <t>145019</t>
  </si>
  <si>
    <t>145021</t>
  </si>
  <si>
    <t>145018</t>
  </si>
  <si>
    <t>145023</t>
  </si>
  <si>
    <t>145626</t>
  </si>
  <si>
    <t>145625</t>
  </si>
  <si>
    <t>145623</t>
  </si>
  <si>
    <t>145025</t>
  </si>
  <si>
    <t>145026</t>
  </si>
  <si>
    <t>145028</t>
  </si>
  <si>
    <t>145024</t>
  </si>
  <si>
    <t>145186</t>
  </si>
  <si>
    <t>145183</t>
  </si>
  <si>
    <t>145185</t>
  </si>
  <si>
    <t>145184</t>
  </si>
  <si>
    <t>145123</t>
  </si>
  <si>
    <t>145124</t>
  </si>
  <si>
    <t>145122</t>
  </si>
  <si>
    <t>145119</t>
  </si>
  <si>
    <t>145632</t>
  </si>
  <si>
    <t>145630</t>
  </si>
  <si>
    <t>145628</t>
  </si>
  <si>
    <t>145627</t>
  </si>
  <si>
    <t>145308</t>
  </si>
  <si>
    <t>145309</t>
  </si>
  <si>
    <t>145310</t>
  </si>
  <si>
    <t>145307</t>
  </si>
  <si>
    <t>145312</t>
  </si>
  <si>
    <t>145702</t>
  </si>
  <si>
    <t>145706</t>
  </si>
  <si>
    <t>145701</t>
  </si>
  <si>
    <t>145705</t>
  </si>
  <si>
    <t>145906</t>
  </si>
  <si>
    <t>145907</t>
  </si>
  <si>
    <t>145909</t>
  </si>
  <si>
    <t>145905</t>
  </si>
  <si>
    <t>145904</t>
  </si>
  <si>
    <t>145995</t>
  </si>
  <si>
    <t>146000</t>
  </si>
  <si>
    <t>145998</t>
  </si>
  <si>
    <t>145999</t>
  </si>
  <si>
    <t>145997</t>
  </si>
  <si>
    <t>145996</t>
  </si>
  <si>
    <t>145432</t>
  </si>
  <si>
    <t>145434</t>
  </si>
  <si>
    <t>145431</t>
  </si>
  <si>
    <t>145436</t>
  </si>
  <si>
    <t>145516</t>
  </si>
  <si>
    <t>145517</t>
  </si>
  <si>
    <t>145515</t>
  </si>
  <si>
    <t>145520</t>
  </si>
  <si>
    <t>145710</t>
  </si>
  <si>
    <t>145708</t>
  </si>
  <si>
    <t>145711</t>
  </si>
  <si>
    <t>145712</t>
  </si>
  <si>
    <t>145709</t>
  </si>
  <si>
    <t>145707</t>
  </si>
  <si>
    <t>145752</t>
  </si>
  <si>
    <t>145754</t>
  </si>
  <si>
    <t>145751</t>
  </si>
  <si>
    <t>145756</t>
  </si>
  <si>
    <t>146019</t>
  </si>
  <si>
    <t>146022</t>
  </si>
  <si>
    <t>146018</t>
  </si>
  <si>
    <t>146017</t>
  </si>
  <si>
    <t>146111</t>
  </si>
  <si>
    <t>146110</t>
  </si>
  <si>
    <t>146113</t>
  </si>
  <si>
    <t>146112</t>
  </si>
  <si>
    <t>144942</t>
  </si>
  <si>
    <t>144946</t>
  </si>
  <si>
    <t>144945</t>
  </si>
  <si>
    <t>144944</t>
  </si>
  <si>
    <t>144941</t>
  </si>
  <si>
    <t>144814</t>
  </si>
  <si>
    <t>144815</t>
  </si>
  <si>
    <t>144816</t>
  </si>
  <si>
    <t>144819</t>
  </si>
  <si>
    <t>144817</t>
  </si>
  <si>
    <t>143438</t>
  </si>
  <si>
    <t>143441</t>
  </si>
  <si>
    <t>143440</t>
  </si>
  <si>
    <t>143439</t>
  </si>
  <si>
    <t>143725</t>
  </si>
  <si>
    <t>143726</t>
  </si>
  <si>
    <t>143727</t>
  </si>
  <si>
    <t>144079</t>
  </si>
  <si>
    <t>144075</t>
  </si>
  <si>
    <t>144080</t>
  </si>
  <si>
    <t>144078</t>
  </si>
  <si>
    <t>144077</t>
  </si>
  <si>
    <t>143389</t>
  </si>
  <si>
    <t>143394</t>
  </si>
  <si>
    <t>143395</t>
  </si>
  <si>
    <t>143392</t>
  </si>
  <si>
    <t>143393</t>
  </si>
  <si>
    <t>143445</t>
  </si>
  <si>
    <t>143447</t>
  </si>
  <si>
    <t>143443</t>
  </si>
  <si>
    <t>143442</t>
  </si>
  <si>
    <t>143730</t>
  </si>
  <si>
    <t>143732</t>
  </si>
  <si>
    <t>143731</t>
  </si>
  <si>
    <t>143733</t>
  </si>
  <si>
    <t>143735</t>
  </si>
  <si>
    <t>143734</t>
  </si>
  <si>
    <t>143519</t>
  </si>
  <si>
    <t>143514</t>
  </si>
  <si>
    <t>143513</t>
  </si>
  <si>
    <t>143515</t>
  </si>
  <si>
    <t>143512</t>
  </si>
  <si>
    <t>143516</t>
  </si>
  <si>
    <t>144601</t>
  </si>
  <si>
    <t>144598</t>
  </si>
  <si>
    <t>144599</t>
  </si>
  <si>
    <t>144596</t>
  </si>
  <si>
    <t>144389</t>
  </si>
  <si>
    <t>144388</t>
  </si>
  <si>
    <t>144387</t>
  </si>
  <si>
    <t>143715</t>
  </si>
  <si>
    <t>143714</t>
  </si>
  <si>
    <t>143716</t>
  </si>
  <si>
    <t>143717</t>
  </si>
  <si>
    <t>143718</t>
  </si>
  <si>
    <t>144164</t>
  </si>
  <si>
    <t>144163</t>
  </si>
  <si>
    <t>143960</t>
  </si>
  <si>
    <t>143956</t>
  </si>
  <si>
    <t>143954</t>
  </si>
  <si>
    <t>143953</t>
  </si>
  <si>
    <t>143523</t>
  </si>
  <si>
    <t>143527</t>
  </si>
  <si>
    <t>143521</t>
  </si>
  <si>
    <t>143520</t>
  </si>
  <si>
    <t>143524</t>
  </si>
  <si>
    <t>143382</t>
  </si>
  <si>
    <t>143377</t>
  </si>
  <si>
    <t>143381</t>
  </si>
  <si>
    <t>143379</t>
  </si>
  <si>
    <t>143380</t>
  </si>
  <si>
    <t>143376</t>
  </si>
  <si>
    <t>143878</t>
  </si>
  <si>
    <t>143877</t>
  </si>
  <si>
    <t>144698</t>
  </si>
  <si>
    <t>144699</t>
  </si>
  <si>
    <t>144701</t>
  </si>
  <si>
    <t>144700</t>
  </si>
  <si>
    <t>144697</t>
  </si>
  <si>
    <t>144696</t>
  </si>
  <si>
    <t>144604</t>
  </si>
  <si>
    <t>144607</t>
  </si>
  <si>
    <t>144606</t>
  </si>
  <si>
    <t>144605</t>
  </si>
  <si>
    <t>144603</t>
  </si>
  <si>
    <t>144602</t>
  </si>
  <si>
    <t>144377</t>
  </si>
  <si>
    <t>144379</t>
  </si>
  <si>
    <t>144378</t>
  </si>
  <si>
    <t>144376</t>
  </si>
  <si>
    <t>144380</t>
  </si>
  <si>
    <t>144308</t>
  </si>
  <si>
    <t>144302</t>
  </si>
  <si>
    <t>144301</t>
  </si>
  <si>
    <t>144065</t>
  </si>
  <si>
    <t>144072</t>
  </si>
  <si>
    <t>143385</t>
  </si>
  <si>
    <t>143384</t>
  </si>
  <si>
    <t>143387</t>
  </si>
  <si>
    <t>143386</t>
  </si>
  <si>
    <t>142067</t>
  </si>
  <si>
    <t>142069</t>
  </si>
  <si>
    <t>142068</t>
  </si>
  <si>
    <t>142070</t>
  </si>
  <si>
    <t>142020</t>
  </si>
  <si>
    <t>142017</t>
  </si>
  <si>
    <t>142130</t>
  </si>
  <si>
    <t>142131</t>
  </si>
  <si>
    <t>142129</t>
  </si>
  <si>
    <t>142132</t>
  </si>
  <si>
    <t>142126</t>
  </si>
  <si>
    <t>142125</t>
  </si>
  <si>
    <t>142355</t>
  </si>
  <si>
    <t>142358</t>
  </si>
  <si>
    <t>142359</t>
  </si>
  <si>
    <t>142357</t>
  </si>
  <si>
    <t>142352</t>
  </si>
  <si>
    <t>142264</t>
  </si>
  <si>
    <t>142261</t>
  </si>
  <si>
    <t>142265</t>
  </si>
  <si>
    <t>142262</t>
  </si>
  <si>
    <t>142266</t>
  </si>
  <si>
    <t>142267</t>
  </si>
  <si>
    <t>142238</t>
  </si>
  <si>
    <t>142236</t>
  </si>
  <si>
    <t>142237</t>
  </si>
  <si>
    <t>142234</t>
  </si>
  <si>
    <t>142233</t>
  </si>
  <si>
    <t>142161</t>
  </si>
  <si>
    <t>142158</t>
  </si>
  <si>
    <t>142159</t>
  </si>
  <si>
    <t>142162</t>
  </si>
  <si>
    <t>142156</t>
  </si>
  <si>
    <t>142155</t>
  </si>
  <si>
    <t>142340</t>
  </si>
  <si>
    <t>142337</t>
  </si>
  <si>
    <t>142336</t>
  </si>
  <si>
    <t>142341</t>
  </si>
  <si>
    <t>142339</t>
  </si>
  <si>
    <t>142334</t>
  </si>
  <si>
    <t>142467</t>
  </si>
  <si>
    <t>142469</t>
  </si>
  <si>
    <t>142468</t>
  </si>
  <si>
    <t>142465</t>
  </si>
  <si>
    <t>142463</t>
  </si>
  <si>
    <t>142481</t>
  </si>
  <si>
    <t>142483</t>
  </si>
  <si>
    <t>142478</t>
  </si>
  <si>
    <t>142477</t>
  </si>
  <si>
    <t>142297</t>
  </si>
  <si>
    <t>142295</t>
  </si>
  <si>
    <t>142294</t>
  </si>
  <si>
    <t>142299</t>
  </si>
  <si>
    <t>142298</t>
  </si>
  <si>
    <t>142585</t>
  </si>
  <si>
    <t>142587</t>
  </si>
  <si>
    <t>142586</t>
  </si>
  <si>
    <t>142588</t>
  </si>
  <si>
    <t>142582</t>
  </si>
  <si>
    <t>142581</t>
  </si>
  <si>
    <t>142412</t>
  </si>
  <si>
    <t>142413</t>
  </si>
  <si>
    <t>142695</t>
  </si>
  <si>
    <t>142699</t>
  </si>
  <si>
    <t>142696</t>
  </si>
  <si>
    <t>142697</t>
  </si>
  <si>
    <t>142698</t>
  </si>
  <si>
    <t>142692</t>
  </si>
  <si>
    <t>142887</t>
  </si>
  <si>
    <t>142882</t>
  </si>
  <si>
    <t>142888</t>
  </si>
  <si>
    <t>142885</t>
  </si>
  <si>
    <t>142883</t>
  </si>
  <si>
    <t>142445</t>
  </si>
  <si>
    <t>142447</t>
  </si>
  <si>
    <t>142446</t>
  </si>
  <si>
    <t>142448</t>
  </si>
  <si>
    <t>142450</t>
  </si>
  <si>
    <t>142443</t>
  </si>
  <si>
    <t>143150</t>
  </si>
  <si>
    <t>143151</t>
  </si>
  <si>
    <t>143149</t>
  </si>
  <si>
    <t>143145</t>
  </si>
  <si>
    <t>143144</t>
  </si>
  <si>
    <t>142763</t>
  </si>
  <si>
    <t>142759</t>
  </si>
  <si>
    <t>142761</t>
  </si>
  <si>
    <t>142764</t>
  </si>
  <si>
    <t>142762</t>
  </si>
  <si>
    <t>142760</t>
  </si>
  <si>
    <t>142979</t>
  </si>
  <si>
    <t>142976</t>
  </si>
  <si>
    <t>142975</t>
  </si>
  <si>
    <t>142977</t>
  </si>
  <si>
    <t>142982</t>
  </si>
  <si>
    <t>142963</t>
  </si>
  <si>
    <t>142964</t>
  </si>
  <si>
    <t>142961</t>
  </si>
  <si>
    <t>142965</t>
  </si>
  <si>
    <t>142900</t>
  </si>
  <si>
    <t>142902</t>
  </si>
  <si>
    <t>142901</t>
  </si>
  <si>
    <t>142903</t>
  </si>
  <si>
    <t>142904</t>
  </si>
  <si>
    <t>142899</t>
  </si>
  <si>
    <t>143127</t>
  </si>
  <si>
    <t>143129</t>
  </si>
  <si>
    <t>143128</t>
  </si>
  <si>
    <t>143132</t>
  </si>
  <si>
    <t>143133</t>
  </si>
  <si>
    <t>142635</t>
  </si>
  <si>
    <t>142634</t>
  </si>
  <si>
    <t>142638</t>
  </si>
  <si>
    <t>142637</t>
  </si>
  <si>
    <t>141190</t>
  </si>
  <si>
    <t>141191</t>
  </si>
  <si>
    <t>141192</t>
  </si>
  <si>
    <t>141189</t>
  </si>
  <si>
    <t>141181</t>
  </si>
  <si>
    <t>141184</t>
  </si>
  <si>
    <t>141182</t>
  </si>
  <si>
    <t>141183</t>
  </si>
  <si>
    <t>141271</t>
  </si>
  <si>
    <t>141272</t>
  </si>
  <si>
    <t>141269</t>
  </si>
  <si>
    <t>141345</t>
  </si>
  <si>
    <t>141346</t>
  </si>
  <si>
    <t>141343</t>
  </si>
  <si>
    <t>141351</t>
  </si>
  <si>
    <t>141352</t>
  </si>
  <si>
    <t>141354</t>
  </si>
  <si>
    <t>141356</t>
  </si>
  <si>
    <t>141358</t>
  </si>
  <si>
    <t>141357</t>
  </si>
  <si>
    <t>141355</t>
  </si>
  <si>
    <t>141689</t>
  </si>
  <si>
    <t>141688</t>
  </si>
  <si>
    <t>141686</t>
  </si>
  <si>
    <t>141687</t>
  </si>
  <si>
    <t>141671</t>
  </si>
  <si>
    <t>141669</t>
  </si>
  <si>
    <t>141670</t>
  </si>
  <si>
    <t>141668</t>
  </si>
  <si>
    <t>141474</t>
  </si>
  <si>
    <t>141471</t>
  </si>
  <si>
    <t>141473</t>
  </si>
  <si>
    <t>141472</t>
  </si>
  <si>
    <t>141515</t>
  </si>
  <si>
    <t>141517</t>
  </si>
  <si>
    <t>141514</t>
  </si>
  <si>
    <t>141516</t>
  </si>
  <si>
    <t>141374</t>
  </si>
  <si>
    <t>141373</t>
  </si>
  <si>
    <t>141371</t>
  </si>
  <si>
    <t>141330</t>
  </si>
  <si>
    <t>141331</t>
  </si>
  <si>
    <t>141329</t>
  </si>
  <si>
    <t>141332</t>
  </si>
  <si>
    <t>141261</t>
  </si>
  <si>
    <t>141263</t>
  </si>
  <si>
    <t>141262</t>
  </si>
  <si>
    <t>141264</t>
  </si>
  <si>
    <t>141853</t>
  </si>
  <si>
    <t>141855</t>
  </si>
  <si>
    <t>141854</t>
  </si>
  <si>
    <t>141856</t>
  </si>
  <si>
    <t>141695</t>
  </si>
  <si>
    <t>141696</t>
  </si>
  <si>
    <t>141697</t>
  </si>
  <si>
    <t>141694</t>
  </si>
  <si>
    <t>141598</t>
  </si>
  <si>
    <t>141600</t>
  </si>
  <si>
    <t>141597</t>
  </si>
  <si>
    <t>141599</t>
  </si>
  <si>
    <t>140662</t>
  </si>
  <si>
    <t>140663</t>
  </si>
  <si>
    <t>140661</t>
  </si>
  <si>
    <t>140108</t>
  </si>
  <si>
    <t>140109</t>
  </si>
  <si>
    <t>140111</t>
  </si>
  <si>
    <t>140780</t>
  </si>
  <si>
    <t>140779</t>
  </si>
  <si>
    <t>140778</t>
  </si>
  <si>
    <t>140777</t>
  </si>
  <si>
    <t>140929</t>
  </si>
  <si>
    <t>140928</t>
  </si>
  <si>
    <t>140931</t>
  </si>
  <si>
    <t>140935</t>
  </si>
  <si>
    <t>140934</t>
  </si>
  <si>
    <t>140932</t>
  </si>
  <si>
    <t>140945</t>
  </si>
  <si>
    <t>140944</t>
  </si>
  <si>
    <t>140942</t>
  </si>
  <si>
    <t>141165</t>
  </si>
  <si>
    <t>141164</t>
  </si>
  <si>
    <t>141166</t>
  </si>
  <si>
    <t>141163</t>
  </si>
  <si>
    <t>141099</t>
  </si>
  <si>
    <t>141100</t>
  </si>
  <si>
    <t>141098</t>
  </si>
  <si>
    <t>141097</t>
  </si>
  <si>
    <t>140622</t>
  </si>
  <si>
    <t>140624</t>
  </si>
  <si>
    <t>140623</t>
  </si>
  <si>
    <t>140621</t>
  </si>
  <si>
    <t>140773</t>
  </si>
  <si>
    <t>140775</t>
  </si>
  <si>
    <t>140774</t>
  </si>
  <si>
    <t>140776</t>
  </si>
  <si>
    <t>140954</t>
  </si>
  <si>
    <t>140956</t>
  </si>
  <si>
    <t>140957</t>
  </si>
  <si>
    <t>140955</t>
  </si>
  <si>
    <t>141092</t>
  </si>
  <si>
    <t>141091</t>
  </si>
  <si>
    <t>141090</t>
  </si>
  <si>
    <t>141089</t>
  </si>
  <si>
    <t>140021</t>
  </si>
  <si>
    <t>140020</t>
  </si>
  <si>
    <t>140022</t>
  </si>
  <si>
    <t>140019</t>
  </si>
  <si>
    <t>139944</t>
  </si>
  <si>
    <t>139941</t>
  </si>
  <si>
    <t>139943</t>
  </si>
  <si>
    <t>139296</t>
  </si>
  <si>
    <t>139298</t>
  </si>
  <si>
    <t>139297</t>
  </si>
  <si>
    <t>139295</t>
  </si>
  <si>
    <t>139454</t>
  </si>
  <si>
    <t>139452</t>
  </si>
  <si>
    <t>139453</t>
  </si>
  <si>
    <t>139451</t>
  </si>
  <si>
    <t>139474</t>
  </si>
  <si>
    <t>139476</t>
  </si>
  <si>
    <t>139477</t>
  </si>
  <si>
    <t>139475</t>
  </si>
  <si>
    <t>139645</t>
  </si>
  <si>
    <t>139643</t>
  </si>
  <si>
    <t>139642</t>
  </si>
  <si>
    <t>139701</t>
  </si>
  <si>
    <t>139703</t>
  </si>
  <si>
    <t>139702</t>
  </si>
  <si>
    <t>139704</t>
  </si>
  <si>
    <t>139750</t>
  </si>
  <si>
    <t>139748</t>
  </si>
  <si>
    <t>139749</t>
  </si>
  <si>
    <t>139747</t>
  </si>
  <si>
    <t>139340</t>
  </si>
  <si>
    <t>139343</t>
  </si>
  <si>
    <t>139341</t>
  </si>
  <si>
    <t>139342</t>
  </si>
  <si>
    <t>139844</t>
  </si>
  <si>
    <t>139843</t>
  </si>
  <si>
    <t>139842</t>
  </si>
  <si>
    <t>139841</t>
  </si>
  <si>
    <t>139759</t>
  </si>
  <si>
    <t>139760</t>
  </si>
  <si>
    <t>139761</t>
  </si>
  <si>
    <t>139762</t>
  </si>
  <si>
    <t>136300</t>
  </si>
  <si>
    <t>136299</t>
  </si>
  <si>
    <t>136301</t>
  </si>
  <si>
    <t>136298</t>
  </si>
  <si>
    <t>136222</t>
  </si>
  <si>
    <t>136223</t>
  </si>
  <si>
    <t>136221</t>
  </si>
  <si>
    <t>136220</t>
  </si>
  <si>
    <t>136236</t>
  </si>
  <si>
    <t>136237</t>
  </si>
  <si>
    <t>136238</t>
  </si>
  <si>
    <t>136239</t>
  </si>
  <si>
    <t>139112</t>
  </si>
  <si>
    <t>139111</t>
  </si>
  <si>
    <t>139113</t>
  </si>
  <si>
    <t>139114</t>
  </si>
  <si>
    <t>135848</t>
  </si>
  <si>
    <t>135845</t>
  </si>
  <si>
    <t>135847</t>
  </si>
  <si>
    <t>135846</t>
  </si>
  <si>
    <t>135994</t>
  </si>
  <si>
    <t>135993</t>
  </si>
  <si>
    <t>135992</t>
  </si>
  <si>
    <t>135995</t>
  </si>
  <si>
    <t>135931</t>
  </si>
  <si>
    <t>135929</t>
  </si>
  <si>
    <t>135928</t>
  </si>
  <si>
    <t>135930</t>
  </si>
  <si>
    <t>136048</t>
  </si>
  <si>
    <t>136049</t>
  </si>
  <si>
    <t>136046</t>
  </si>
  <si>
    <t>136047</t>
  </si>
  <si>
    <t>136225</t>
  </si>
  <si>
    <t>136227</t>
  </si>
  <si>
    <t>136226</t>
  </si>
  <si>
    <t>136224</t>
  </si>
  <si>
    <t>136229</t>
  </si>
  <si>
    <t>136231</t>
  </si>
  <si>
    <t>136230</t>
  </si>
  <si>
    <t>136228</t>
  </si>
  <si>
    <t>139102</t>
  </si>
  <si>
    <t>139099</t>
  </si>
  <si>
    <t>139101</t>
  </si>
  <si>
    <t>136296</t>
  </si>
  <si>
    <t>136297</t>
  </si>
  <si>
    <t>136295</t>
  </si>
  <si>
    <t>136294</t>
  </si>
  <si>
    <t>139104</t>
  </si>
  <si>
    <t>139103</t>
  </si>
  <si>
    <t>139110</t>
  </si>
  <si>
    <t>139109</t>
  </si>
  <si>
    <t>139107</t>
  </si>
  <si>
    <t>136459</t>
  </si>
  <si>
    <t>136460</t>
  </si>
  <si>
    <t>136461</t>
  </si>
  <si>
    <t>136462</t>
  </si>
  <si>
    <t>139179</t>
  </si>
  <si>
    <t>139180</t>
  </si>
  <si>
    <t>139178</t>
  </si>
  <si>
    <t>139254</t>
  </si>
  <si>
    <t>139256</t>
  </si>
  <si>
    <t>139255</t>
  </si>
  <si>
    <t>139253</t>
  </si>
  <si>
    <t>134574</t>
  </si>
  <si>
    <t>134576</t>
  </si>
  <si>
    <t>134575</t>
  </si>
  <si>
    <t>134573</t>
  </si>
  <si>
    <t>135287</t>
  </si>
  <si>
    <t>135288</t>
  </si>
  <si>
    <t>135286</t>
  </si>
  <si>
    <t>135289</t>
  </si>
  <si>
    <t>135319</t>
  </si>
  <si>
    <t>135316</t>
  </si>
  <si>
    <t>135318</t>
  </si>
  <si>
    <t>134733</t>
  </si>
  <si>
    <t>134730</t>
  </si>
  <si>
    <t>134731</t>
  </si>
  <si>
    <t>134538</t>
  </si>
  <si>
    <t>134537</t>
  </si>
  <si>
    <t>134539</t>
  </si>
  <si>
    <t>134540</t>
  </si>
  <si>
    <t>134629</t>
  </si>
  <si>
    <t>134630</t>
  </si>
  <si>
    <t>134628</t>
  </si>
  <si>
    <t>135400</t>
  </si>
  <si>
    <t>135401</t>
  </si>
  <si>
    <t>135403</t>
  </si>
  <si>
    <t>134932</t>
  </si>
  <si>
    <t>134933</t>
  </si>
  <si>
    <t>134930</t>
  </si>
  <si>
    <t>134931</t>
  </si>
  <si>
    <t>134927</t>
  </si>
  <si>
    <t>134926</t>
  </si>
  <si>
    <t>134929</t>
  </si>
  <si>
    <t>134928</t>
  </si>
  <si>
    <t>133672</t>
  </si>
  <si>
    <t>133670</t>
  </si>
  <si>
    <t>133673</t>
  </si>
  <si>
    <t>133877</t>
  </si>
  <si>
    <t>133876</t>
  </si>
  <si>
    <t>133875</t>
  </si>
  <si>
    <t>133874</t>
  </si>
  <si>
    <t>134459</t>
  </si>
  <si>
    <t>134460</t>
  </si>
  <si>
    <t>134461</t>
  </si>
  <si>
    <t>134458</t>
  </si>
  <si>
    <t>134400</t>
  </si>
  <si>
    <t>134397</t>
  </si>
  <si>
    <t>134399</t>
  </si>
  <si>
    <t>134007</t>
  </si>
  <si>
    <t>134005</t>
  </si>
  <si>
    <t>134311</t>
  </si>
  <si>
    <t>134310</t>
  </si>
  <si>
    <t>134309</t>
  </si>
  <si>
    <t>134312</t>
  </si>
  <si>
    <t>134187</t>
  </si>
  <si>
    <t>134188</t>
  </si>
  <si>
    <t>134186</t>
  </si>
  <si>
    <t>134307</t>
  </si>
  <si>
    <t>134305</t>
  </si>
  <si>
    <t>134308</t>
  </si>
  <si>
    <t>133433</t>
  </si>
  <si>
    <t>133432</t>
  </si>
  <si>
    <t>133431</t>
  </si>
  <si>
    <t>133434</t>
  </si>
  <si>
    <t>134162</t>
  </si>
  <si>
    <t>134160</t>
  </si>
  <si>
    <t>134163</t>
  </si>
  <si>
    <t>133456</t>
  </si>
  <si>
    <t>133458</t>
  </si>
  <si>
    <t>133457</t>
  </si>
  <si>
    <t>133247</t>
  </si>
  <si>
    <t>133245</t>
  </si>
  <si>
    <t>133244</t>
  </si>
  <si>
    <t>133246</t>
  </si>
  <si>
    <t>130780</t>
  </si>
  <si>
    <t>130778</t>
  </si>
  <si>
    <t>130777</t>
  </si>
  <si>
    <t>130779</t>
  </si>
  <si>
    <t>133043</t>
  </si>
  <si>
    <t>133042</t>
  </si>
  <si>
    <t>133041</t>
  </si>
  <si>
    <t>133044</t>
  </si>
  <si>
    <t>132832</t>
  </si>
  <si>
    <t>132833</t>
  </si>
  <si>
    <t>132830</t>
  </si>
  <si>
    <t>132831</t>
  </si>
  <si>
    <t>131459</t>
  </si>
  <si>
    <t>131458</t>
  </si>
  <si>
    <t>131460</t>
  </si>
  <si>
    <t>131461</t>
  </si>
  <si>
    <t>133003</t>
  </si>
  <si>
    <t>133005</t>
  </si>
  <si>
    <t>133006</t>
  </si>
  <si>
    <t>132902</t>
  </si>
  <si>
    <t>132900</t>
  </si>
  <si>
    <t>132901</t>
  </si>
  <si>
    <t>132836</t>
  </si>
  <si>
    <t>132835</t>
  </si>
  <si>
    <t>132834</t>
  </si>
  <si>
    <t>132837</t>
  </si>
  <si>
    <t>131604</t>
  </si>
  <si>
    <t>131602</t>
  </si>
  <si>
    <t>131603</t>
  </si>
  <si>
    <t>131600</t>
  </si>
  <si>
    <t>131599</t>
  </si>
  <si>
    <t>131601</t>
  </si>
  <si>
    <t>131312</t>
  </si>
  <si>
    <t>131309</t>
  </si>
  <si>
    <t>131310</t>
  </si>
  <si>
    <t>131311</t>
  </si>
  <si>
    <t>131196</t>
  </si>
  <si>
    <t>131198</t>
  </si>
  <si>
    <t>131197</t>
  </si>
  <si>
    <t>131195</t>
  </si>
  <si>
    <t>131110</t>
  </si>
  <si>
    <t>131109</t>
  </si>
  <si>
    <t>131111</t>
  </si>
  <si>
    <t>131112</t>
  </si>
  <si>
    <t>131009</t>
  </si>
  <si>
    <t>131006</t>
  </si>
  <si>
    <t>131007</t>
  </si>
  <si>
    <t>131008</t>
  </si>
  <si>
    <t>131017</t>
  </si>
  <si>
    <t>131014</t>
  </si>
  <si>
    <t>131016</t>
  </si>
  <si>
    <t>130061</t>
  </si>
  <si>
    <t>130063</t>
  </si>
  <si>
    <t>130064</t>
  </si>
  <si>
    <t>130062</t>
  </si>
  <si>
    <t>130318</t>
  </si>
  <si>
    <t>130317</t>
  </si>
  <si>
    <t>130315</t>
  </si>
  <si>
    <t>130316</t>
  </si>
  <si>
    <t>130329</t>
  </si>
  <si>
    <t>130331</t>
  </si>
  <si>
    <t>130330</t>
  </si>
  <si>
    <t>127727</t>
  </si>
  <si>
    <t>127725</t>
  </si>
  <si>
    <t>127724</t>
  </si>
  <si>
    <t>127726</t>
  </si>
  <si>
    <t>126816</t>
  </si>
  <si>
    <t>126815</t>
  </si>
  <si>
    <t>126817</t>
  </si>
  <si>
    <t>125313</t>
  </si>
  <si>
    <t>125315</t>
  </si>
  <si>
    <t>125314</t>
  </si>
  <si>
    <t>125316</t>
  </si>
  <si>
    <t>125319</t>
  </si>
  <si>
    <t>125320</t>
  </si>
  <si>
    <t>125318</t>
  </si>
  <si>
    <t>123546</t>
  </si>
  <si>
    <t>123544</t>
  </si>
  <si>
    <t>123543</t>
  </si>
  <si>
    <t>123545</t>
  </si>
  <si>
    <t>130402</t>
  </si>
  <si>
    <t>130405</t>
  </si>
  <si>
    <t>130403</t>
  </si>
  <si>
    <t>130404</t>
  </si>
  <si>
    <t>130805</t>
  </si>
  <si>
    <t>130804</t>
  </si>
  <si>
    <t>130803</t>
  </si>
  <si>
    <t>130806</t>
  </si>
  <si>
    <t>128991</t>
  </si>
  <si>
    <t>128989</t>
  </si>
  <si>
    <t>135221</t>
  </si>
  <si>
    <t>135218</t>
  </si>
  <si>
    <t>135220</t>
  </si>
  <si>
    <t>135219</t>
  </si>
  <si>
    <t>135193</t>
  </si>
  <si>
    <t>135194</t>
  </si>
  <si>
    <t>135192</t>
  </si>
  <si>
    <t>135195</t>
  </si>
  <si>
    <t>135180</t>
  </si>
  <si>
    <t>135182</t>
  </si>
  <si>
    <t>135181</t>
  </si>
  <si>
    <t>135179</t>
  </si>
  <si>
    <t>134020</t>
  </si>
  <si>
    <t>134018</t>
  </si>
  <si>
    <t>134021</t>
  </si>
  <si>
    <t>133862</t>
  </si>
  <si>
    <t>133863</t>
  </si>
  <si>
    <t>133864</t>
  </si>
  <si>
    <t>133861</t>
  </si>
  <si>
    <t>133637</t>
  </si>
  <si>
    <t>133639</t>
  </si>
  <si>
    <t>133636</t>
  </si>
  <si>
    <t>133296</t>
  </si>
  <si>
    <t>133294</t>
  </si>
  <si>
    <t>133295</t>
  </si>
  <si>
    <t>133293</t>
  </si>
  <si>
    <t>130222</t>
  </si>
  <si>
    <t>130221</t>
  </si>
  <si>
    <t>130219</t>
  </si>
  <si>
    <t>130220</t>
  </si>
  <si>
    <t>129858</t>
  </si>
  <si>
    <t>129860</t>
  </si>
  <si>
    <t>129859</t>
  </si>
  <si>
    <t>129857</t>
  </si>
  <si>
    <t>129739</t>
  </si>
  <si>
    <t>129740</t>
  </si>
  <si>
    <t>129737</t>
  </si>
  <si>
    <t>129738</t>
  </si>
  <si>
    <t>129072</t>
  </si>
  <si>
    <t>129070</t>
  </si>
  <si>
    <t>129071</t>
  </si>
  <si>
    <t>128211</t>
  </si>
  <si>
    <t>128209</t>
  </si>
  <si>
    <t>128212</t>
  </si>
  <si>
    <t>128210</t>
  </si>
  <si>
    <t>126903</t>
  </si>
  <si>
    <t>126902</t>
  </si>
  <si>
    <t>126904</t>
  </si>
  <si>
    <t>126905</t>
  </si>
  <si>
    <t>126567</t>
  </si>
  <si>
    <t>126565</t>
  </si>
  <si>
    <t>126564</t>
  </si>
  <si>
    <t>126566</t>
  </si>
  <si>
    <t>126233</t>
  </si>
  <si>
    <t>126234</t>
  </si>
  <si>
    <t>126231</t>
  </si>
  <si>
    <t>126232</t>
  </si>
  <si>
    <t>139116</t>
  </si>
  <si>
    <t>139117</t>
  </si>
  <si>
    <t>139119</t>
  </si>
  <si>
    <t>136371</t>
  </si>
  <si>
    <t>136373</t>
  </si>
  <si>
    <t>136370</t>
  </si>
  <si>
    <t>136372</t>
  </si>
  <si>
    <t>135975</t>
  </si>
  <si>
    <t>135973</t>
  </si>
  <si>
    <t>135972</t>
  </si>
  <si>
    <t>135974</t>
  </si>
  <si>
    <t>135852</t>
  </si>
  <si>
    <t>135850</t>
  </si>
  <si>
    <t>135849</t>
  </si>
  <si>
    <t>135851</t>
  </si>
  <si>
    <t>135544</t>
  </si>
  <si>
    <t>135543</t>
  </si>
  <si>
    <t>135546</t>
  </si>
  <si>
    <t>135545</t>
  </si>
  <si>
    <t>135496</t>
  </si>
  <si>
    <t>135493</t>
  </si>
  <si>
    <t>135495</t>
  </si>
  <si>
    <t>135494</t>
  </si>
  <si>
    <t>125819</t>
  </si>
  <si>
    <t>125817</t>
  </si>
  <si>
    <t>125820</t>
  </si>
  <si>
    <t>125818</t>
  </si>
  <si>
    <t>125575</t>
  </si>
  <si>
    <t>125578</t>
  </si>
  <si>
    <t>125577</t>
  </si>
  <si>
    <t>125576</t>
  </si>
  <si>
    <t>125187</t>
  </si>
  <si>
    <t>125185</t>
  </si>
  <si>
    <t>125184</t>
  </si>
  <si>
    <t>125186</t>
  </si>
  <si>
    <t>124796</t>
  </si>
  <si>
    <t>124794</t>
  </si>
  <si>
    <t>124797</t>
  </si>
  <si>
    <t>124795</t>
  </si>
  <si>
    <t>124470</t>
  </si>
  <si>
    <t>124469</t>
  </si>
  <si>
    <t>124467</t>
  </si>
  <si>
    <t>124468</t>
  </si>
  <si>
    <t>123562</t>
  </si>
  <si>
    <t>123560</t>
  </si>
  <si>
    <t>123559</t>
  </si>
  <si>
    <t>123561</t>
  </si>
  <si>
    <t>122957</t>
  </si>
  <si>
    <t>122954</t>
  </si>
  <si>
    <t>122956</t>
  </si>
  <si>
    <t>121796</t>
  </si>
  <si>
    <t>121793</t>
  </si>
  <si>
    <t>121794</t>
  </si>
  <si>
    <t>121795</t>
  </si>
  <si>
    <t>121143</t>
  </si>
  <si>
    <t>121144</t>
  </si>
  <si>
    <t>121145</t>
  </si>
  <si>
    <t>121090</t>
  </si>
  <si>
    <t>121088</t>
  </si>
  <si>
    <t>121087</t>
  </si>
  <si>
    <t>121089</t>
  </si>
  <si>
    <t>120812</t>
  </si>
  <si>
    <t>120815</t>
  </si>
  <si>
    <t>120814</t>
  </si>
  <si>
    <t>120813</t>
  </si>
  <si>
    <t>118899</t>
  </si>
  <si>
    <t>118897</t>
  </si>
  <si>
    <t>118900</t>
  </si>
  <si>
    <t>118898</t>
  </si>
  <si>
    <t>118227</t>
  </si>
  <si>
    <t>118226</t>
  </si>
  <si>
    <t>118008</t>
  </si>
  <si>
    <t>118007</t>
  </si>
  <si>
    <t>118004</t>
  </si>
  <si>
    <t>118003</t>
  </si>
  <si>
    <t>117472</t>
  </si>
  <si>
    <t>117471</t>
  </si>
  <si>
    <t>117351</t>
  </si>
  <si>
    <t>117350</t>
  </si>
  <si>
    <t>145524</t>
  </si>
  <si>
    <t>145523</t>
  </si>
  <si>
    <t>145522</t>
  </si>
  <si>
    <t>145521</t>
  </si>
  <si>
    <t>141857</t>
  </si>
  <si>
    <t>141860</t>
  </si>
  <si>
    <t>141859</t>
  </si>
  <si>
    <t>141858</t>
  </si>
  <si>
    <t>141376</t>
  </si>
  <si>
    <t>141377</t>
  </si>
  <si>
    <t>141378</t>
  </si>
  <si>
    <t>141379</t>
  </si>
  <si>
    <t>140980</t>
  </si>
  <si>
    <t>140979</t>
  </si>
  <si>
    <t>140981</t>
  </si>
  <si>
    <t>140978</t>
  </si>
  <si>
    <t>140651</t>
  </si>
  <si>
    <t>140652</t>
  </si>
  <si>
    <t>140650</t>
  </si>
  <si>
    <t>140649</t>
  </si>
  <si>
    <t>140647</t>
  </si>
  <si>
    <t>140648</t>
  </si>
  <si>
    <t>140646</t>
  </si>
  <si>
    <t>140645</t>
  </si>
  <si>
    <t>140364</t>
  </si>
  <si>
    <t>140365</t>
  </si>
  <si>
    <t>140366</t>
  </si>
  <si>
    <t>140363</t>
  </si>
  <si>
    <t>140140</t>
  </si>
  <si>
    <t>140141</t>
  </si>
  <si>
    <t>140142</t>
  </si>
  <si>
    <t>140143</t>
  </si>
  <si>
    <t>139472</t>
  </si>
  <si>
    <t>139473</t>
  </si>
  <si>
    <t>139471</t>
  </si>
  <si>
    <t>139470</t>
  </si>
  <si>
    <t>139369</t>
  </si>
  <si>
    <t>139370</t>
  </si>
  <si>
    <t>139371</t>
  </si>
  <si>
    <t>139368</t>
  </si>
  <si>
    <t>134944</t>
  </si>
  <si>
    <t>134943</t>
  </si>
  <si>
    <t>134945</t>
  </si>
  <si>
    <t>134942</t>
  </si>
  <si>
    <t>134843</t>
  </si>
  <si>
    <t>134842</t>
  </si>
  <si>
    <t>134844</t>
  </si>
  <si>
    <t>134845</t>
  </si>
  <si>
    <t>134542</t>
  </si>
  <si>
    <t>134543</t>
  </si>
  <si>
    <t>134541</t>
  </si>
  <si>
    <t>134544</t>
  </si>
  <si>
    <t>134349</t>
  </si>
  <si>
    <t>134350</t>
  </si>
  <si>
    <t>134348</t>
  </si>
  <si>
    <t>134347</t>
  </si>
  <si>
    <t>135110</t>
  </si>
  <si>
    <t>135109</t>
  </si>
  <si>
    <t>135108</t>
  </si>
  <si>
    <t>134719</t>
  </si>
  <si>
    <t>134718</t>
  </si>
  <si>
    <t>134716</t>
  </si>
  <si>
    <t>134717</t>
  </si>
  <si>
    <t>132878</t>
  </si>
  <si>
    <t>132876</t>
  </si>
  <si>
    <t>132875</t>
  </si>
  <si>
    <t>132877</t>
  </si>
  <si>
    <t>131456</t>
  </si>
  <si>
    <t>131457</t>
  </si>
  <si>
    <t>131454</t>
  </si>
  <si>
    <t>131455</t>
  </si>
  <si>
    <t>133381</t>
  </si>
  <si>
    <t>133380</t>
  </si>
  <si>
    <t>133379</t>
  </si>
  <si>
    <t>133382</t>
  </si>
  <si>
    <t>133219</t>
  </si>
  <si>
    <t>133217</t>
  </si>
  <si>
    <t>133216</t>
  </si>
  <si>
    <t>133218</t>
  </si>
  <si>
    <t>131178</t>
  </si>
  <si>
    <t>131177</t>
  </si>
  <si>
    <t>131175</t>
  </si>
  <si>
    <t>131176</t>
  </si>
  <si>
    <t>130873</t>
  </si>
  <si>
    <t>130871</t>
  </si>
  <si>
    <t>130870</t>
  </si>
  <si>
    <t>130872</t>
  </si>
  <si>
    <t>130836</t>
  </si>
  <si>
    <t>130835</t>
  </si>
  <si>
    <t>130834</t>
  </si>
  <si>
    <t>130837</t>
  </si>
  <si>
    <t>130643</t>
  </si>
  <si>
    <t>130641</t>
  </si>
  <si>
    <t>130642</t>
  </si>
  <si>
    <t>130336</t>
  </si>
  <si>
    <t>130334</t>
  </si>
  <si>
    <t>130335</t>
  </si>
  <si>
    <t>130333</t>
  </si>
  <si>
    <t>130184</t>
  </si>
  <si>
    <t>130182</t>
  </si>
  <si>
    <t>130183</t>
  </si>
  <si>
    <t>130181</t>
  </si>
  <si>
    <t>115767</t>
  </si>
  <si>
    <t>115768</t>
  </si>
  <si>
    <t>ICICI Prudential Mutual Fund</t>
  </si>
  <si>
    <t>147150</t>
  </si>
  <si>
    <t>147151</t>
  </si>
  <si>
    <t>147152</t>
  </si>
  <si>
    <t>147149</t>
  </si>
  <si>
    <t>146486</t>
  </si>
  <si>
    <t>146485</t>
  </si>
  <si>
    <t>146488</t>
  </si>
  <si>
    <t>146487</t>
  </si>
  <si>
    <t>146101</t>
  </si>
  <si>
    <t>146103</t>
  </si>
  <si>
    <t>146102</t>
  </si>
  <si>
    <t>146104</t>
  </si>
  <si>
    <t>144558</t>
  </si>
  <si>
    <t>144557</t>
  </si>
  <si>
    <t>144555</t>
  </si>
  <si>
    <t>144556</t>
  </si>
  <si>
    <t>144118</t>
  </si>
  <si>
    <t>144116</t>
  </si>
  <si>
    <t>144115</t>
  </si>
  <si>
    <t>144117</t>
  </si>
  <si>
    <t>143667</t>
  </si>
  <si>
    <t>143669</t>
  </si>
  <si>
    <t>143670</t>
  </si>
  <si>
    <t>143668</t>
  </si>
  <si>
    <t>143049</t>
  </si>
  <si>
    <t>143051</t>
  </si>
  <si>
    <t>143052</t>
  </si>
  <si>
    <t>143050</t>
  </si>
  <si>
    <t>142742</t>
  </si>
  <si>
    <t>142741</t>
  </si>
  <si>
    <t>142739</t>
  </si>
  <si>
    <t>142740</t>
  </si>
  <si>
    <t>142991</t>
  </si>
  <si>
    <t>142990</t>
  </si>
  <si>
    <t>142989</t>
  </si>
  <si>
    <t>142087</t>
  </si>
  <si>
    <t>142085</t>
  </si>
  <si>
    <t>142086</t>
  </si>
  <si>
    <t>141468</t>
  </si>
  <si>
    <t>141467</t>
  </si>
  <si>
    <t>141469</t>
  </si>
  <si>
    <t>141205</t>
  </si>
  <si>
    <t>141206</t>
  </si>
  <si>
    <t>141204</t>
  </si>
  <si>
    <t>139363</t>
  </si>
  <si>
    <t>139366</t>
  </si>
  <si>
    <t>139365</t>
  </si>
  <si>
    <t>139093</t>
  </si>
  <si>
    <t>139092</t>
  </si>
  <si>
    <t>139091</t>
  </si>
  <si>
    <t>HSBC Mutual Fund</t>
  </si>
  <si>
    <t>128545</t>
  </si>
  <si>
    <t>128543</t>
  </si>
  <si>
    <t>128538</t>
  </si>
  <si>
    <t>128540</t>
  </si>
  <si>
    <t>128544</t>
  </si>
  <si>
    <t>128542</t>
  </si>
  <si>
    <t>128539</t>
  </si>
  <si>
    <t>128541</t>
  </si>
  <si>
    <t>151469</t>
  </si>
  <si>
    <t>151467</t>
  </si>
  <si>
    <t>151468</t>
  </si>
  <si>
    <t>151470</t>
  </si>
  <si>
    <t>151465</t>
  </si>
  <si>
    <t>150006</t>
  </si>
  <si>
    <t>150005</t>
  </si>
  <si>
    <t>150003</t>
  </si>
  <si>
    <t>150004</t>
  </si>
  <si>
    <t>150002</t>
  </si>
  <si>
    <t>150001</t>
  </si>
  <si>
    <t>149923</t>
  </si>
  <si>
    <t>149927</t>
  </si>
  <si>
    <t>149926</t>
  </si>
  <si>
    <t>149925</t>
  </si>
  <si>
    <t>149924</t>
  </si>
  <si>
    <t>149922</t>
  </si>
  <si>
    <t>123403</t>
  </si>
  <si>
    <t>123406</t>
  </si>
  <si>
    <t>123402</t>
  </si>
  <si>
    <t>123401</t>
  </si>
  <si>
    <t>144801</t>
  </si>
  <si>
    <t>144796</t>
  </si>
  <si>
    <t>144797</t>
  </si>
  <si>
    <t>144800</t>
  </si>
  <si>
    <t>144798</t>
  </si>
  <si>
    <t>143249</t>
  </si>
  <si>
    <t>143250</t>
  </si>
  <si>
    <t>143248</t>
  </si>
  <si>
    <t>143251</t>
  </si>
  <si>
    <t>143253</t>
  </si>
  <si>
    <t>143252</t>
  </si>
  <si>
    <t>150549</t>
  </si>
  <si>
    <t>150551</t>
  </si>
  <si>
    <t>150548</t>
  </si>
  <si>
    <t>150550</t>
  </si>
  <si>
    <t>150547</t>
  </si>
  <si>
    <t>150546</t>
  </si>
  <si>
    <t>144977</t>
  </si>
  <si>
    <t>144980</t>
  </si>
  <si>
    <t>144976</t>
  </si>
  <si>
    <t>144978</t>
  </si>
  <si>
    <t>144981</t>
  </si>
  <si>
    <t>144979</t>
  </si>
  <si>
    <t>145105</t>
  </si>
  <si>
    <t>145103</t>
  </si>
  <si>
    <t>145106</t>
  </si>
  <si>
    <t>145104</t>
  </si>
  <si>
    <t>145107</t>
  </si>
  <si>
    <t>150654</t>
  </si>
  <si>
    <t>150656</t>
  </si>
  <si>
    <t>150653</t>
  </si>
  <si>
    <t>150652</t>
  </si>
  <si>
    <t>150655</t>
  </si>
  <si>
    <t>150651</t>
  </si>
  <si>
    <t>145282</t>
  </si>
  <si>
    <t>145284</t>
  </si>
  <si>
    <t>145281</t>
  </si>
  <si>
    <t>145283</t>
  </si>
  <si>
    <t>145285</t>
  </si>
  <si>
    <t>145286</t>
  </si>
  <si>
    <t>145275</t>
  </si>
  <si>
    <t>145272</t>
  </si>
  <si>
    <t>145274</t>
  </si>
  <si>
    <t>145299</t>
  </si>
  <si>
    <t>145302</t>
  </si>
  <si>
    <t>145297</t>
  </si>
  <si>
    <t>145300</t>
  </si>
  <si>
    <t>145298</t>
  </si>
  <si>
    <t>145301</t>
  </si>
  <si>
    <t>151569</t>
  </si>
  <si>
    <t>151568</t>
  </si>
  <si>
    <t>151567</t>
  </si>
  <si>
    <t>151566</t>
  </si>
  <si>
    <t>151565</t>
  </si>
  <si>
    <t>151564</t>
  </si>
  <si>
    <t>145427</t>
  </si>
  <si>
    <t>145430</t>
  </si>
  <si>
    <t>145425</t>
  </si>
  <si>
    <t>145428</t>
  </si>
  <si>
    <t>145426</t>
  </si>
  <si>
    <t>145429</t>
  </si>
  <si>
    <t>145391</t>
  </si>
  <si>
    <t>145388</t>
  </si>
  <si>
    <t>145394</t>
  </si>
  <si>
    <t>145395</t>
  </si>
  <si>
    <t>145458</t>
  </si>
  <si>
    <t>145461</t>
  </si>
  <si>
    <t>145462</t>
  </si>
  <si>
    <t>145493</t>
  </si>
  <si>
    <t>145496</t>
  </si>
  <si>
    <t>145491</t>
  </si>
  <si>
    <t>145494</t>
  </si>
  <si>
    <t>145492</t>
  </si>
  <si>
    <t>145495</t>
  </si>
  <si>
    <t>145640</t>
  </si>
  <si>
    <t>145642</t>
  </si>
  <si>
    <t>145643</t>
  </si>
  <si>
    <t>145639</t>
  </si>
  <si>
    <t>145722</t>
  </si>
  <si>
    <t>145717</t>
  </si>
  <si>
    <t>145721</t>
  </si>
  <si>
    <t>145720</t>
  </si>
  <si>
    <t>145719</t>
  </si>
  <si>
    <t>145797</t>
  </si>
  <si>
    <t>145800</t>
  </si>
  <si>
    <t>145795</t>
  </si>
  <si>
    <t>145798</t>
  </si>
  <si>
    <t>145796</t>
  </si>
  <si>
    <t>145799</t>
  </si>
  <si>
    <t>145860</t>
  </si>
  <si>
    <t>145862</t>
  </si>
  <si>
    <t>151223</t>
  </si>
  <si>
    <t>151222</t>
  </si>
  <si>
    <t>151221</t>
  </si>
  <si>
    <t>151220</t>
  </si>
  <si>
    <t>151225</t>
  </si>
  <si>
    <t>151224</t>
  </si>
  <si>
    <t>145870</t>
  </si>
  <si>
    <t>145868</t>
  </si>
  <si>
    <t>145866</t>
  </si>
  <si>
    <t>145869</t>
  </si>
  <si>
    <t>145983</t>
  </si>
  <si>
    <t>145986</t>
  </si>
  <si>
    <t>145981</t>
  </si>
  <si>
    <t>145984</t>
  </si>
  <si>
    <t>145982</t>
  </si>
  <si>
    <t>145985</t>
  </si>
  <si>
    <t>146057</t>
  </si>
  <si>
    <t>146059</t>
  </si>
  <si>
    <t>146055</t>
  </si>
  <si>
    <t>146056</t>
  </si>
  <si>
    <t>146058</t>
  </si>
  <si>
    <t>146148</t>
  </si>
  <si>
    <t>146144</t>
  </si>
  <si>
    <t>146146</t>
  </si>
  <si>
    <t>146145</t>
  </si>
  <si>
    <t>146147</t>
  </si>
  <si>
    <t>146154</t>
  </si>
  <si>
    <t>146156</t>
  </si>
  <si>
    <t>146149</t>
  </si>
  <si>
    <t>146152</t>
  </si>
  <si>
    <t>146155</t>
  </si>
  <si>
    <t>146153</t>
  </si>
  <si>
    <t>140696</t>
  </si>
  <si>
    <t>140695</t>
  </si>
  <si>
    <t>140698</t>
  </si>
  <si>
    <t>140697</t>
  </si>
  <si>
    <t>140694</t>
  </si>
  <si>
    <t>140693</t>
  </si>
  <si>
    <t>146278</t>
  </si>
  <si>
    <t>146281</t>
  </si>
  <si>
    <t>146276</t>
  </si>
  <si>
    <t>146279</t>
  </si>
  <si>
    <t>146277</t>
  </si>
  <si>
    <t>146280</t>
  </si>
  <si>
    <t>149933</t>
  </si>
  <si>
    <t>149932</t>
  </si>
  <si>
    <t>149931</t>
  </si>
  <si>
    <t>149930</t>
  </si>
  <si>
    <t>149934</t>
  </si>
  <si>
    <t>149929</t>
  </si>
  <si>
    <t>150397</t>
  </si>
  <si>
    <t>150399</t>
  </si>
  <si>
    <t>150400</t>
  </si>
  <si>
    <t>150398</t>
  </si>
  <si>
    <t>150395</t>
  </si>
  <si>
    <t>150396</t>
  </si>
  <si>
    <t>146470</t>
  </si>
  <si>
    <t>146466</t>
  </si>
  <si>
    <t>146465</t>
  </si>
  <si>
    <t>146467</t>
  </si>
  <si>
    <t>146468</t>
  </si>
  <si>
    <t>146469</t>
  </si>
  <si>
    <t>146499</t>
  </si>
  <si>
    <t>146500</t>
  </si>
  <si>
    <t>146497</t>
  </si>
  <si>
    <t>146501</t>
  </si>
  <si>
    <t>146498</t>
  </si>
  <si>
    <t>146502</t>
  </si>
  <si>
    <t>146632</t>
  </si>
  <si>
    <t>146635</t>
  </si>
  <si>
    <t>146636</t>
  </si>
  <si>
    <t>146633</t>
  </si>
  <si>
    <t>146631</t>
  </si>
  <si>
    <t>146634</t>
  </si>
  <si>
    <t>146774</t>
  </si>
  <si>
    <t>146776</t>
  </si>
  <si>
    <t>146773</t>
  </si>
  <si>
    <t>146775</t>
  </si>
  <si>
    <t>146777</t>
  </si>
  <si>
    <t>146778</t>
  </si>
  <si>
    <t>146646</t>
  </si>
  <si>
    <t>146648</t>
  </si>
  <si>
    <t>146645</t>
  </si>
  <si>
    <t>146647</t>
  </si>
  <si>
    <t>146650</t>
  </si>
  <si>
    <t>146649</t>
  </si>
  <si>
    <t>146890</t>
  </si>
  <si>
    <t>146894</t>
  </si>
  <si>
    <t>146889</t>
  </si>
  <si>
    <t>146891</t>
  </si>
  <si>
    <t>146893</t>
  </si>
  <si>
    <t>146892</t>
  </si>
  <si>
    <t>146897</t>
  </si>
  <si>
    <t>146895</t>
  </si>
  <si>
    <t>146900</t>
  </si>
  <si>
    <t>146898</t>
  </si>
  <si>
    <t>146896</t>
  </si>
  <si>
    <t>147238</t>
  </si>
  <si>
    <t>147234</t>
  </si>
  <si>
    <t>147233</t>
  </si>
  <si>
    <t>147235</t>
  </si>
  <si>
    <t>147237</t>
  </si>
  <si>
    <t>147236</t>
  </si>
  <si>
    <t>151864</t>
  </si>
  <si>
    <t>151862</t>
  </si>
  <si>
    <t>151863</t>
  </si>
  <si>
    <t>151865</t>
  </si>
  <si>
    <t>HDFC Mutual Fund</t>
  </si>
  <si>
    <t>Franklin Templeton Mutual Fund</t>
  </si>
  <si>
    <t>151448</t>
  </si>
  <si>
    <t>151447</t>
  </si>
  <si>
    <t>151450</t>
  </si>
  <si>
    <t>151449</t>
  </si>
  <si>
    <t>150887</t>
  </si>
  <si>
    <t>150884</t>
  </si>
  <si>
    <t>150886</t>
  </si>
  <si>
    <t>150885</t>
  </si>
  <si>
    <t>150841</t>
  </si>
  <si>
    <t>150843</t>
  </si>
  <si>
    <t>150840</t>
  </si>
  <si>
    <t>150842</t>
  </si>
  <si>
    <t>149188</t>
  </si>
  <si>
    <t>149189</t>
  </si>
  <si>
    <t>149191</t>
  </si>
  <si>
    <t>149190</t>
  </si>
  <si>
    <t>DSP Mutual Fund</t>
  </si>
  <si>
    <t>146087</t>
  </si>
  <si>
    <t>146081</t>
  </si>
  <si>
    <t>146082</t>
  </si>
  <si>
    <t>146695</t>
  </si>
  <si>
    <t>146702</t>
  </si>
  <si>
    <t>146701</t>
  </si>
  <si>
    <t>146699</t>
  </si>
  <si>
    <t>153318</t>
  </si>
  <si>
    <t>153317</t>
  </si>
  <si>
    <t>153319</t>
  </si>
  <si>
    <t>153316</t>
  </si>
  <si>
    <t>Bandhan Mutual Fund</t>
  </si>
  <si>
    <t>151589</t>
  </si>
  <si>
    <t>151629</t>
  </si>
  <si>
    <t>151588</t>
  </si>
  <si>
    <t>151587</t>
  </si>
  <si>
    <t>151586</t>
  </si>
  <si>
    <t>154291</t>
  </si>
  <si>
    <t>154290</t>
  </si>
  <si>
    <t>154293</t>
  </si>
  <si>
    <t>154292</t>
  </si>
  <si>
    <t>154242</t>
  </si>
  <si>
    <t>154241</t>
  </si>
  <si>
    <t>154243</t>
  </si>
  <si>
    <t>154240</t>
  </si>
  <si>
    <t>Axis Mutual Fund</t>
  </si>
  <si>
    <t>151701</t>
  </si>
  <si>
    <t>151703</t>
  </si>
  <si>
    <t>151702</t>
  </si>
  <si>
    <t>151700</t>
  </si>
  <si>
    <t>151520</t>
  </si>
  <si>
    <t>151521</t>
  </si>
  <si>
    <t>151522</t>
  </si>
  <si>
    <t>151519</t>
  </si>
  <si>
    <t>151188</t>
  </si>
  <si>
    <t>151189</t>
  </si>
  <si>
    <t>151186</t>
  </si>
  <si>
    <t>150315</t>
  </si>
  <si>
    <t>150314</t>
  </si>
  <si>
    <t>150316</t>
  </si>
  <si>
    <t>149065</t>
  </si>
  <si>
    <t>149064</t>
  </si>
  <si>
    <t>149063</t>
  </si>
  <si>
    <t>149062</t>
  </si>
  <si>
    <t>149016</t>
  </si>
  <si>
    <t>149015</t>
  </si>
  <si>
    <t>149018</t>
  </si>
  <si>
    <t>149017</t>
  </si>
  <si>
    <t>152335</t>
  </si>
  <si>
    <t>152334</t>
  </si>
  <si>
    <t>152333</t>
  </si>
  <si>
    <t>152332</t>
  </si>
  <si>
    <t>152261</t>
  </si>
  <si>
    <t>152260</t>
  </si>
  <si>
    <t>152262</t>
  </si>
  <si>
    <t>152259</t>
  </si>
  <si>
    <t>152252</t>
  </si>
  <si>
    <t>152253</t>
  </si>
  <si>
    <t>152251</t>
  </si>
  <si>
    <t>152250</t>
  </si>
  <si>
    <t>Aditya Birla Sun Life Mutual Fund</t>
  </si>
  <si>
    <t>Close Ended Schemes(Income)</t>
  </si>
  <si>
    <t>142171</t>
  </si>
  <si>
    <t>142169</t>
  </si>
  <si>
    <t>142170</t>
  </si>
  <si>
    <t>142172</t>
  </si>
  <si>
    <t>142286</t>
  </si>
  <si>
    <t>142285</t>
  </si>
  <si>
    <t>142287</t>
  </si>
  <si>
    <t>142284</t>
  </si>
  <si>
    <t>141990</t>
  </si>
  <si>
    <t>141989</t>
  </si>
  <si>
    <t>141987</t>
  </si>
  <si>
    <t>141988</t>
  </si>
  <si>
    <t>141825</t>
  </si>
  <si>
    <t>141828</t>
  </si>
  <si>
    <t>141827</t>
  </si>
  <si>
    <t>141826</t>
  </si>
  <si>
    <t>131018</t>
  </si>
  <si>
    <t>131020</t>
  </si>
  <si>
    <t>131019</t>
  </si>
  <si>
    <t>131021</t>
  </si>
  <si>
    <t>129574</t>
  </si>
  <si>
    <t>129573</t>
  </si>
  <si>
    <t>129571</t>
  </si>
  <si>
    <t>129572</t>
  </si>
  <si>
    <t>125887</t>
  </si>
  <si>
    <t>125890</t>
  </si>
  <si>
    <t>125888</t>
  </si>
  <si>
    <t>125889</t>
  </si>
  <si>
    <t>125270</t>
  </si>
  <si>
    <t>125272</t>
  </si>
  <si>
    <t>125271</t>
  </si>
  <si>
    <t>125273</t>
  </si>
  <si>
    <t>131270</t>
  </si>
  <si>
    <t>131269</t>
  </si>
  <si>
    <t>131271</t>
  </si>
  <si>
    <t>131272</t>
  </si>
  <si>
    <t>130878</t>
  </si>
  <si>
    <t>130881</t>
  </si>
  <si>
    <t>130879</t>
  </si>
  <si>
    <t>130880</t>
  </si>
  <si>
    <t>130653</t>
  </si>
  <si>
    <t>130650</t>
  </si>
  <si>
    <t>130651</t>
  </si>
  <si>
    <t>130652</t>
  </si>
  <si>
    <t>134774</t>
  </si>
  <si>
    <t>134775</t>
  </si>
  <si>
    <t>134773</t>
  </si>
  <si>
    <t>134772</t>
  </si>
  <si>
    <t>133134</t>
  </si>
  <si>
    <t>133133</t>
  </si>
  <si>
    <t>133132</t>
  </si>
  <si>
    <t>133131</t>
  </si>
  <si>
    <t>133884</t>
  </si>
  <si>
    <t>133885</t>
  </si>
  <si>
    <t>133882</t>
  </si>
  <si>
    <t>133883</t>
  </si>
  <si>
    <t>133308</t>
  </si>
  <si>
    <t>133309</t>
  </si>
  <si>
    <t>133310</t>
  </si>
  <si>
    <t>133311</t>
  </si>
  <si>
    <t>144888</t>
  </si>
  <si>
    <t>144889</t>
  </si>
  <si>
    <t>144890</t>
  </si>
  <si>
    <t>144891</t>
  </si>
  <si>
    <t>142454</t>
  </si>
  <si>
    <t>142451</t>
  </si>
  <si>
    <t>142453</t>
  </si>
  <si>
    <t>142452</t>
  </si>
  <si>
    <t>142147</t>
  </si>
  <si>
    <t>142148</t>
  </si>
  <si>
    <t>142150</t>
  </si>
  <si>
    <t>142149</t>
  </si>
  <si>
    <t>142007</t>
  </si>
  <si>
    <t>142008</t>
  </si>
  <si>
    <t>142005</t>
  </si>
  <si>
    <t>142006</t>
  </si>
  <si>
    <t>141867</t>
  </si>
  <si>
    <t>141870</t>
  </si>
  <si>
    <t>141868</t>
  </si>
  <si>
    <t>141869</t>
  </si>
  <si>
    <t>144675</t>
  </si>
  <si>
    <t>144676</t>
  </si>
  <si>
    <t>144674</t>
  </si>
  <si>
    <t>144673</t>
  </si>
  <si>
    <t>143243</t>
  </si>
  <si>
    <t>143246</t>
  </si>
  <si>
    <t>143244</t>
  </si>
  <si>
    <t>143245</t>
  </si>
  <si>
    <t>142416</t>
  </si>
  <si>
    <t>142415</t>
  </si>
  <si>
    <t>142418</t>
  </si>
  <si>
    <t>142417</t>
  </si>
  <si>
    <t>134565</t>
  </si>
  <si>
    <t>134566</t>
  </si>
  <si>
    <t>134567</t>
  </si>
  <si>
    <t>134568</t>
  </si>
  <si>
    <t>140030</t>
  </si>
  <si>
    <t>140032</t>
  </si>
  <si>
    <t>140031</t>
  </si>
  <si>
    <t>140029</t>
  </si>
  <si>
    <t>135036</t>
  </si>
  <si>
    <t>135035</t>
  </si>
  <si>
    <t>134656</t>
  </si>
  <si>
    <t>134657</t>
  </si>
  <si>
    <t>134190</t>
  </si>
  <si>
    <t>134189</t>
  </si>
  <si>
    <t>134191</t>
  </si>
  <si>
    <t>134192</t>
  </si>
  <si>
    <t>130985</t>
  </si>
  <si>
    <t>130986</t>
  </si>
  <si>
    <t>130988</t>
  </si>
  <si>
    <t>130987</t>
  </si>
  <si>
    <t>129228</t>
  </si>
  <si>
    <t>129234</t>
  </si>
  <si>
    <t>129235</t>
  </si>
  <si>
    <t>129229</t>
  </si>
  <si>
    <t>127629</t>
  </si>
  <si>
    <t>127628</t>
  </si>
  <si>
    <t>142290</t>
  </si>
  <si>
    <t>142291</t>
  </si>
  <si>
    <t>142289</t>
  </si>
  <si>
    <t>142288</t>
  </si>
  <si>
    <t>125411</t>
  </si>
  <si>
    <t>125410</t>
  </si>
  <si>
    <t>142074</t>
  </si>
  <si>
    <t>142073</t>
  </si>
  <si>
    <t>142072</t>
  </si>
  <si>
    <t>142071</t>
  </si>
  <si>
    <t>141881</t>
  </si>
  <si>
    <t>141880</t>
  </si>
  <si>
    <t>141882</t>
  </si>
  <si>
    <t>141879</t>
  </si>
  <si>
    <t>141789</t>
  </si>
  <si>
    <t>141787</t>
  </si>
  <si>
    <t>141788</t>
  </si>
  <si>
    <t>141790</t>
  </si>
  <si>
    <t>141676</t>
  </si>
  <si>
    <t>141679</t>
  </si>
  <si>
    <t>141678</t>
  </si>
  <si>
    <t>141677</t>
  </si>
  <si>
    <t>141603</t>
  </si>
  <si>
    <t>141602</t>
  </si>
  <si>
    <t>141604</t>
  </si>
  <si>
    <t>141601</t>
  </si>
  <si>
    <t>141426</t>
  </si>
  <si>
    <t>141427</t>
  </si>
  <si>
    <t>141559</t>
  </si>
  <si>
    <t>141558</t>
  </si>
  <si>
    <t>141285</t>
  </si>
  <si>
    <t>141286</t>
  </si>
  <si>
    <t>141110</t>
  </si>
  <si>
    <t>141108</t>
  </si>
  <si>
    <t>140501</t>
  </si>
  <si>
    <t>140503</t>
  </si>
  <si>
    <t>140502</t>
  </si>
  <si>
    <t>140500</t>
  </si>
  <si>
    <t>140434</t>
  </si>
  <si>
    <t>140436</t>
  </si>
  <si>
    <t>140433</t>
  </si>
  <si>
    <t>140435</t>
  </si>
  <si>
    <t>124843</t>
  </si>
  <si>
    <t>124842</t>
  </si>
  <si>
    <t>139409</t>
  </si>
  <si>
    <t>139408</t>
  </si>
  <si>
    <t>139262</t>
  </si>
  <si>
    <t>139261</t>
  </si>
  <si>
    <t>139264</t>
  </si>
  <si>
    <t>139263</t>
  </si>
  <si>
    <t>136183</t>
  </si>
  <si>
    <t>136182</t>
  </si>
  <si>
    <t>136181</t>
  </si>
  <si>
    <t>136180</t>
  </si>
  <si>
    <t>135217</t>
  </si>
  <si>
    <t>135216</t>
  </si>
  <si>
    <t>135322</t>
  </si>
  <si>
    <t>135323</t>
  </si>
  <si>
    <t>134042</t>
  </si>
  <si>
    <t>134043</t>
  </si>
  <si>
    <t>133966</t>
  </si>
  <si>
    <t>133965</t>
  </si>
  <si>
    <t>133467</t>
  </si>
  <si>
    <t>133468</t>
  </si>
  <si>
    <t>133426</t>
  </si>
  <si>
    <t>133425</t>
  </si>
  <si>
    <t>133275</t>
  </si>
  <si>
    <t>133274</t>
  </si>
  <si>
    <t>133129</t>
  </si>
  <si>
    <t>133128</t>
  </si>
  <si>
    <t>131546</t>
  </si>
  <si>
    <t>131545</t>
  </si>
  <si>
    <t>131318</t>
  </si>
  <si>
    <t>131317</t>
  </si>
  <si>
    <t>130594</t>
  </si>
  <si>
    <t>130593</t>
  </si>
  <si>
    <t>130004</t>
  </si>
  <si>
    <t>130003</t>
  </si>
  <si>
    <t>126678</t>
  </si>
  <si>
    <t>126676</t>
  </si>
  <si>
    <t>126675</t>
  </si>
  <si>
    <t>126677</t>
  </si>
  <si>
    <t>135997</t>
  </si>
  <si>
    <t>135999</t>
  </si>
  <si>
    <t>135998</t>
  </si>
  <si>
    <t>135996</t>
  </si>
  <si>
    <t>135548</t>
  </si>
  <si>
    <t>135547</t>
  </si>
  <si>
    <t>135549</t>
  </si>
  <si>
    <t>135550</t>
  </si>
  <si>
    <t>135407</t>
  </si>
  <si>
    <t>135405</t>
  </si>
  <si>
    <t>135404</t>
  </si>
  <si>
    <t>135406</t>
  </si>
  <si>
    <t>145445</t>
  </si>
  <si>
    <t>145444</t>
  </si>
  <si>
    <t>145443</t>
  </si>
  <si>
    <t>145446</t>
  </si>
  <si>
    <t>144446</t>
  </si>
  <si>
    <t>144447</t>
  </si>
  <si>
    <t>144448</t>
  </si>
  <si>
    <t>144445</t>
  </si>
  <si>
    <t>143963</t>
  </si>
  <si>
    <t>143962</t>
  </si>
  <si>
    <t>143961</t>
  </si>
  <si>
    <t>143964</t>
  </si>
  <si>
    <t>143155</t>
  </si>
  <si>
    <t>143154</t>
  </si>
  <si>
    <t>143153</t>
  </si>
  <si>
    <t>143152</t>
  </si>
  <si>
    <t>142949</t>
  </si>
  <si>
    <t>142950</t>
  </si>
  <si>
    <t>142951</t>
  </si>
  <si>
    <t>142952</t>
  </si>
  <si>
    <t>141428</t>
  </si>
  <si>
    <t>141431</t>
  </si>
  <si>
    <t>141430</t>
  </si>
  <si>
    <t>141429</t>
  </si>
  <si>
    <t>141578</t>
  </si>
  <si>
    <t>141579</t>
  </si>
  <si>
    <t>141580</t>
  </si>
  <si>
    <t>141581</t>
  </si>
  <si>
    <t>Close Ended Schemes(Growth)</t>
  </si>
  <si>
    <t>101834</t>
  </si>
  <si>
    <t>141891</t>
  </si>
  <si>
    <t>141893</t>
  </si>
  <si>
    <t>141894</t>
  </si>
  <si>
    <t>141892</t>
  </si>
  <si>
    <t>140456</t>
  </si>
  <si>
    <t>140455</t>
  </si>
  <si>
    <t>140457</t>
  </si>
  <si>
    <t>140454</t>
  </si>
  <si>
    <t>140043</t>
  </si>
  <si>
    <t>140045</t>
  </si>
  <si>
    <t>140044</t>
  </si>
  <si>
    <t>140046</t>
  </si>
  <si>
    <t>135963</t>
  </si>
  <si>
    <t>135964</t>
  </si>
  <si>
    <t>135965</t>
  </si>
  <si>
    <t>135962</t>
  </si>
  <si>
    <t>135683</t>
  </si>
  <si>
    <t>135684</t>
  </si>
  <si>
    <t>135681</t>
  </si>
  <si>
    <t>135682</t>
  </si>
  <si>
    <t>143078</t>
  </si>
  <si>
    <t>143077</t>
  </si>
  <si>
    <t>143080</t>
  </si>
  <si>
    <t>143079</t>
  </si>
  <si>
    <t>142152</t>
  </si>
  <si>
    <t>142151</t>
  </si>
  <si>
    <t>142154</t>
  </si>
  <si>
    <t>142153</t>
  </si>
  <si>
    <t>133323</t>
  </si>
  <si>
    <t>133322</t>
  </si>
  <si>
    <t>133325</t>
  </si>
  <si>
    <t>133324</t>
  </si>
  <si>
    <t>141140</t>
  </si>
  <si>
    <t>141139</t>
  </si>
  <si>
    <t>141142</t>
  </si>
  <si>
    <t>141141</t>
  </si>
  <si>
    <t>141566</t>
  </si>
  <si>
    <t>141565</t>
  </si>
  <si>
    <t>141567</t>
  </si>
  <si>
    <t>141564</t>
  </si>
  <si>
    <t>139991</t>
  </si>
  <si>
    <t>139992</t>
  </si>
  <si>
    <t>139989</t>
  </si>
  <si>
    <t>139990</t>
  </si>
  <si>
    <t>139712</t>
  </si>
  <si>
    <t>139709</t>
  </si>
  <si>
    <t>139710</t>
  </si>
  <si>
    <t>139711</t>
  </si>
  <si>
    <t>Sundaram Mutual Fund</t>
  </si>
  <si>
    <t>143177</t>
  </si>
  <si>
    <t>143176</t>
  </si>
  <si>
    <t>143179</t>
  </si>
  <si>
    <t>143178</t>
  </si>
  <si>
    <t>142139</t>
  </si>
  <si>
    <t>142137</t>
  </si>
  <si>
    <t>142140</t>
  </si>
  <si>
    <t>142138</t>
  </si>
  <si>
    <t>140489</t>
  </si>
  <si>
    <t>140488</t>
  </si>
  <si>
    <t>140486</t>
  </si>
  <si>
    <t>140487</t>
  </si>
  <si>
    <t>136005</t>
  </si>
  <si>
    <t>136004</t>
  </si>
  <si>
    <t>136006</t>
  </si>
  <si>
    <t>136007</t>
  </si>
  <si>
    <t>107901</t>
  </si>
  <si>
    <t>107900</t>
  </si>
  <si>
    <t>112100</t>
  </si>
  <si>
    <t>112101</t>
  </si>
  <si>
    <t>142135</t>
  </si>
  <si>
    <t>142133</t>
  </si>
  <si>
    <t>142134</t>
  </si>
  <si>
    <t>142136</t>
  </si>
  <si>
    <t>144316</t>
  </si>
  <si>
    <t>144314</t>
  </si>
  <si>
    <t>144309</t>
  </si>
  <si>
    <t>144315</t>
  </si>
  <si>
    <t>141951</t>
  </si>
  <si>
    <t>141952</t>
  </si>
  <si>
    <t>141949</t>
  </si>
  <si>
    <t>141950</t>
  </si>
  <si>
    <t>Bank of India Mutual Fund</t>
  </si>
  <si>
    <t>Close Ended Schemes(ELSS)</t>
  </si>
  <si>
    <t>135002</t>
  </si>
  <si>
    <t>135000</t>
  </si>
  <si>
    <t>134999</t>
  </si>
  <si>
    <t>135001</t>
  </si>
  <si>
    <t>134891</t>
  </si>
  <si>
    <t>134889</t>
  </si>
  <si>
    <t>134890</t>
  </si>
  <si>
    <t>134888</t>
  </si>
  <si>
    <t>120798</t>
  </si>
  <si>
    <t>120802</t>
  </si>
  <si>
    <t>120799</t>
  </si>
  <si>
    <t>120800</t>
  </si>
  <si>
    <t>105692</t>
  </si>
  <si>
    <t>118691</t>
  </si>
  <si>
    <t>118689</t>
  </si>
  <si>
    <t>105689</t>
  </si>
  <si>
    <t>105691</t>
  </si>
  <si>
    <t>145347</t>
  </si>
  <si>
    <t>145349</t>
  </si>
  <si>
    <t>145350</t>
  </si>
  <si>
    <t>145348</t>
  </si>
  <si>
    <t>145669</t>
  </si>
  <si>
    <t>145668</t>
  </si>
  <si>
    <t>145670</t>
  </si>
  <si>
    <t>145667</t>
  </si>
  <si>
    <t>105661</t>
  </si>
  <si>
    <t>105663</t>
  </si>
  <si>
    <t>105662</t>
  </si>
  <si>
    <t>105660</t>
  </si>
  <si>
    <t>118804</t>
  </si>
  <si>
    <t>146601</t>
  </si>
  <si>
    <t>146598</t>
  </si>
  <si>
    <t>146599</t>
  </si>
  <si>
    <t>146602</t>
  </si>
  <si>
    <t>145437</t>
  </si>
  <si>
    <t>145441</t>
  </si>
  <si>
    <t>145440</t>
  </si>
  <si>
    <t>146835</t>
  </si>
  <si>
    <t>146840</t>
  </si>
  <si>
    <t>146837</t>
  </si>
  <si>
    <t>146839</t>
  </si>
  <si>
    <t>Interval Fund Schemes(Income)</t>
  </si>
  <si>
    <t>120766</t>
  </si>
  <si>
    <t>100682</t>
  </si>
  <si>
    <t>150553</t>
  </si>
  <si>
    <t>150552</t>
  </si>
  <si>
    <t>150555</t>
  </si>
  <si>
    <t>150554</t>
  </si>
  <si>
    <t>119251</t>
  </si>
  <si>
    <t>115942</t>
  </si>
  <si>
    <t>115943</t>
  </si>
  <si>
    <t>119255</t>
  </si>
  <si>
    <t>115944</t>
  </si>
  <si>
    <t>119256</t>
  </si>
  <si>
    <t>148687</t>
  </si>
  <si>
    <t>148696</t>
  </si>
  <si>
    <t>148689</t>
  </si>
  <si>
    <t>148688</t>
  </si>
  <si>
    <t>148697</t>
  </si>
  <si>
    <t>148692</t>
  </si>
  <si>
    <t>148693</t>
  </si>
  <si>
    <t>148690</t>
  </si>
  <si>
    <t>148691</t>
  </si>
  <si>
    <t>148698</t>
  </si>
  <si>
    <t>148694</t>
  </si>
  <si>
    <t>148683</t>
  </si>
  <si>
    <t>148684</t>
  </si>
  <si>
    <t>148695</t>
  </si>
  <si>
    <t>148686</t>
  </si>
  <si>
    <t>148685</t>
  </si>
  <si>
    <t>152540</t>
  </si>
  <si>
    <t>152538</t>
  </si>
  <si>
    <t>152539</t>
  </si>
  <si>
    <t>152537</t>
  </si>
  <si>
    <t>PGIM India Mutual Fund</t>
  </si>
  <si>
    <t>133631</t>
  </si>
  <si>
    <t>133565</t>
  </si>
  <si>
    <t>133630</t>
  </si>
  <si>
    <t>133568</t>
  </si>
  <si>
    <t>133567</t>
  </si>
  <si>
    <t>133566</t>
  </si>
  <si>
    <t>133572</t>
  </si>
  <si>
    <t>133628</t>
  </si>
  <si>
    <t>133629</t>
  </si>
  <si>
    <t>133569</t>
  </si>
  <si>
    <t>133571</t>
  </si>
  <si>
    <t>133570</t>
  </si>
  <si>
    <t>146347</t>
  </si>
  <si>
    <t>146346</t>
  </si>
  <si>
    <t>146348</t>
  </si>
  <si>
    <t>146349</t>
  </si>
  <si>
    <t>146724</t>
  </si>
  <si>
    <t>146726</t>
  </si>
  <si>
    <t>146725</t>
  </si>
  <si>
    <t>146727</t>
  </si>
  <si>
    <t>146719</t>
  </si>
  <si>
    <t>146717</t>
  </si>
  <si>
    <t>146718</t>
  </si>
  <si>
    <t>146716</t>
  </si>
  <si>
    <t>146723</t>
  </si>
  <si>
    <t>146722</t>
  </si>
  <si>
    <t>146720</t>
  </si>
  <si>
    <t>146721</t>
  </si>
  <si>
    <t>136464</t>
  </si>
  <si>
    <t>136463</t>
  </si>
  <si>
    <t>136465</t>
  </si>
  <si>
    <t>136466</t>
  </si>
  <si>
    <t>136094</t>
  </si>
  <si>
    <t>136090</t>
  </si>
  <si>
    <t>100535</t>
  </si>
  <si>
    <t>100536</t>
  </si>
  <si>
    <t>118549</t>
  </si>
  <si>
    <t>118548</t>
  </si>
  <si>
    <t>152627</t>
  </si>
  <si>
    <t>152625</t>
  </si>
  <si>
    <t>152626</t>
  </si>
  <si>
    <t>152628</t>
  </si>
  <si>
    <t>Baroda BNP Paribas Mutual Fund</t>
  </si>
  <si>
    <t>152105</t>
  </si>
  <si>
    <t>152103</t>
  </si>
  <si>
    <t>152104</t>
  </si>
  <si>
    <t>152102</t>
  </si>
  <si>
    <t>147829</t>
  </si>
  <si>
    <t>147828</t>
  </si>
  <si>
    <t>147827</t>
  </si>
  <si>
    <t>147826</t>
  </si>
  <si>
    <t>147833</t>
  </si>
  <si>
    <t>147832</t>
  </si>
  <si>
    <t>147831</t>
  </si>
  <si>
    <t>147830</t>
  </si>
  <si>
    <t>147824</t>
  </si>
  <si>
    <t>147823</t>
  </si>
  <si>
    <t>147822</t>
  </si>
  <si>
    <t>147825</t>
  </si>
  <si>
    <t>146941</t>
  </si>
  <si>
    <t>146943</t>
  </si>
  <si>
    <t>146942</t>
  </si>
  <si>
    <t>146944</t>
  </si>
  <si>
    <t>146938</t>
  </si>
  <si>
    <t>146940</t>
  </si>
  <si>
    <t>146939</t>
  </si>
  <si>
    <t>146937</t>
  </si>
  <si>
    <t>146929</t>
  </si>
  <si>
    <t>146928</t>
  </si>
  <si>
    <t>146930</t>
  </si>
  <si>
    <t>146927</t>
  </si>
  <si>
    <t>146577</t>
  </si>
  <si>
    <t>146574</t>
  </si>
  <si>
    <t>146575</t>
  </si>
  <si>
    <t>146576</t>
  </si>
  <si>
    <t>Open Ended Schemes(Solution Oriented Scheme - Retirement Fund)</t>
  </si>
  <si>
    <t>100678</t>
  </si>
  <si>
    <t>120771</t>
  </si>
  <si>
    <t>102266</t>
  </si>
  <si>
    <t>102267</t>
  </si>
  <si>
    <t>120725</t>
  </si>
  <si>
    <t>120724</t>
  </si>
  <si>
    <t>152218</t>
  </si>
  <si>
    <t>152217</t>
  </si>
  <si>
    <t>152220</t>
  </si>
  <si>
    <t>152219</t>
  </si>
  <si>
    <t>119312</t>
  </si>
  <si>
    <t>101491</t>
  </si>
  <si>
    <t>101169</t>
  </si>
  <si>
    <t>119719</t>
  </si>
  <si>
    <t>148489</t>
  </si>
  <si>
    <t>148490</t>
  </si>
  <si>
    <t>101271</t>
  </si>
  <si>
    <t>120285</t>
  </si>
  <si>
    <t>LIC Mutual Fund</t>
  </si>
  <si>
    <t>101127</t>
  </si>
  <si>
    <t>120579</t>
  </si>
  <si>
    <t>100899</t>
  </si>
  <si>
    <t>119067</t>
  </si>
  <si>
    <t>100900</t>
  </si>
  <si>
    <t>119066</t>
  </si>
  <si>
    <t>153169</t>
  </si>
  <si>
    <t>153170</t>
  </si>
  <si>
    <t>153171</t>
  </si>
  <si>
    <t>135761</t>
  </si>
  <si>
    <t>135766</t>
  </si>
  <si>
    <t>135763</t>
  </si>
  <si>
    <t>135764</t>
  </si>
  <si>
    <t>135760</t>
  </si>
  <si>
    <t>135759</t>
  </si>
  <si>
    <t>135765</t>
  </si>
  <si>
    <t>135762</t>
  </si>
  <si>
    <t>146405</t>
  </si>
  <si>
    <t>146408</t>
  </si>
  <si>
    <t>146409</t>
  </si>
  <si>
    <t>146407</t>
  </si>
  <si>
    <t>Open Ended Schemes(Solution Oriented Scheme - Childrenâ€™s Fund)</t>
  </si>
  <si>
    <t>153413</t>
  </si>
  <si>
    <t>153837</t>
  </si>
  <si>
    <t>152668</t>
  </si>
  <si>
    <t>153811</t>
  </si>
  <si>
    <t>153905</t>
  </si>
  <si>
    <t>152327</t>
  </si>
  <si>
    <t>152667</t>
  </si>
  <si>
    <t>Zerodha Mutual Fund</t>
  </si>
  <si>
    <t>151730</t>
  </si>
  <si>
    <t>152050</t>
  </si>
  <si>
    <t>152355</t>
  </si>
  <si>
    <t>148173</t>
  </si>
  <si>
    <t>135320</t>
  </si>
  <si>
    <t>152368</t>
  </si>
  <si>
    <t>152369</t>
  </si>
  <si>
    <t>135321</t>
  </si>
  <si>
    <t>141665</t>
  </si>
  <si>
    <t>146388</t>
  </si>
  <si>
    <t>152285</t>
  </si>
  <si>
    <t>147614</t>
  </si>
  <si>
    <t>149959</t>
  </si>
  <si>
    <t>145801</t>
  </si>
  <si>
    <t>152741</t>
  </si>
  <si>
    <t>Shriram Mutual Fund</t>
  </si>
  <si>
    <t>152725</t>
  </si>
  <si>
    <t>152749</t>
  </si>
  <si>
    <t>148541</t>
  </si>
  <si>
    <t>134013</t>
  </si>
  <si>
    <t>154237</t>
  </si>
  <si>
    <t>154305</t>
  </si>
  <si>
    <t>148542</t>
  </si>
  <si>
    <t>149041</t>
  </si>
  <si>
    <t>134008</t>
  </si>
  <si>
    <t>135106</t>
  </si>
  <si>
    <t>145648</t>
  </si>
  <si>
    <t>152168</t>
  </si>
  <si>
    <t>153796</t>
  </si>
  <si>
    <t>139430</t>
  </si>
  <si>
    <t>144916</t>
  </si>
  <si>
    <t>121109</t>
  </si>
  <si>
    <t>153435</t>
  </si>
  <si>
    <t>134014</t>
  </si>
  <si>
    <t>108479</t>
  </si>
  <si>
    <t>Quantum Mutual Fund</t>
  </si>
  <si>
    <t>149758</t>
  </si>
  <si>
    <t>149008</t>
  </si>
  <si>
    <t>153810</t>
  </si>
  <si>
    <t>149465</t>
  </si>
  <si>
    <t>153725</t>
  </si>
  <si>
    <t>148798</t>
  </si>
  <si>
    <t>140089</t>
  </si>
  <si>
    <t>140085</t>
  </si>
  <si>
    <t>146271</t>
  </si>
  <si>
    <t>148408</t>
  </si>
  <si>
    <t>140102</t>
  </si>
  <si>
    <t>128331</t>
  </si>
  <si>
    <t>128639</t>
  </si>
  <si>
    <t>140087</t>
  </si>
  <si>
    <t>139496</t>
  </si>
  <si>
    <t>134782</t>
  </si>
  <si>
    <t>140094</t>
  </si>
  <si>
    <t>140084</t>
  </si>
  <si>
    <t>148800</t>
  </si>
  <si>
    <t>140086</t>
  </si>
  <si>
    <t>121146</t>
  </si>
  <si>
    <t>140095</t>
  </si>
  <si>
    <t>147579</t>
  </si>
  <si>
    <t>131331</t>
  </si>
  <si>
    <t>153569</t>
  </si>
  <si>
    <t>140107</t>
  </si>
  <si>
    <t>153820</t>
  </si>
  <si>
    <t>152546</t>
  </si>
  <si>
    <t>154033</t>
  </si>
  <si>
    <t>152541</t>
  </si>
  <si>
    <t>153608</t>
  </si>
  <si>
    <t>153535</t>
  </si>
  <si>
    <t>154062</t>
  </si>
  <si>
    <t>153694</t>
  </si>
  <si>
    <t>114456</t>
  </si>
  <si>
    <t>153618</t>
  </si>
  <si>
    <t>153572</t>
  </si>
  <si>
    <t>152846</t>
  </si>
  <si>
    <t>153931</t>
  </si>
  <si>
    <t>153406</t>
  </si>
  <si>
    <t>153724</t>
  </si>
  <si>
    <t>152874</t>
  </si>
  <si>
    <t>152106</t>
  </si>
  <si>
    <t>113069</t>
  </si>
  <si>
    <t>153532</t>
  </si>
  <si>
    <t>148620</t>
  </si>
  <si>
    <t>149801</t>
  </si>
  <si>
    <t>153928</t>
  </si>
  <si>
    <t>149438</t>
  </si>
  <si>
    <t>114984</t>
  </si>
  <si>
    <t>154322</t>
  </si>
  <si>
    <t>154003</t>
  </si>
  <si>
    <t>150520</t>
  </si>
  <si>
    <t>149921</t>
  </si>
  <si>
    <t>153564</t>
  </si>
  <si>
    <t>150445</t>
  </si>
  <si>
    <t>150517</t>
  </si>
  <si>
    <t>Motilal Oswal Mutual Fund</t>
  </si>
  <si>
    <t>151779</t>
  </si>
  <si>
    <t>149169</t>
  </si>
  <si>
    <t>148927</t>
  </si>
  <si>
    <t>152811</t>
  </si>
  <si>
    <t>153519</t>
  </si>
  <si>
    <t>154060</t>
  </si>
  <si>
    <t>152455</t>
  </si>
  <si>
    <t>153946</t>
  </si>
  <si>
    <t>152929</t>
  </si>
  <si>
    <t>147906</t>
  </si>
  <si>
    <t>152634</t>
  </si>
  <si>
    <t>149918</t>
  </si>
  <si>
    <t>152924</t>
  </si>
  <si>
    <t>152155</t>
  </si>
  <si>
    <t>153191</t>
  </si>
  <si>
    <t>149786</t>
  </si>
  <si>
    <t>153642</t>
  </si>
  <si>
    <t>154181</t>
  </si>
  <si>
    <t>149105</t>
  </si>
  <si>
    <t>152715</t>
  </si>
  <si>
    <t>153945</t>
  </si>
  <si>
    <t>151857</t>
  </si>
  <si>
    <t>151695</t>
  </si>
  <si>
    <t>154299</t>
  </si>
  <si>
    <t>154169</t>
  </si>
  <si>
    <t>145633</t>
  </si>
  <si>
    <t>152134</t>
  </si>
  <si>
    <t>151908</t>
  </si>
  <si>
    <t>153045</t>
  </si>
  <si>
    <t>151604</t>
  </si>
  <si>
    <t>148572</t>
  </si>
  <si>
    <t>149379</t>
  </si>
  <si>
    <t>152097</t>
  </si>
  <si>
    <t>153384</t>
  </si>
  <si>
    <t>154182</t>
  </si>
  <si>
    <t>154061</t>
  </si>
  <si>
    <t>153379</t>
  </si>
  <si>
    <t>Mirae Asset Mutual Fund</t>
  </si>
  <si>
    <t>152404</t>
  </si>
  <si>
    <t>133307</t>
  </si>
  <si>
    <t>135607</t>
  </si>
  <si>
    <t>136473</t>
  </si>
  <si>
    <t>135672</t>
  </si>
  <si>
    <t>150948</t>
  </si>
  <si>
    <t>153657</t>
  </si>
  <si>
    <t>106929</t>
  </si>
  <si>
    <t>154101</t>
  </si>
  <si>
    <t>150531</t>
  </si>
  <si>
    <t>149757</t>
  </si>
  <si>
    <t>153398</t>
  </si>
  <si>
    <t>148763</t>
  </si>
  <si>
    <t>150492</t>
  </si>
  <si>
    <t>153934</t>
  </si>
  <si>
    <t>133122</t>
  </si>
  <si>
    <t>149397</t>
  </si>
  <si>
    <t>135744</t>
  </si>
  <si>
    <t>112351</t>
  </si>
  <si>
    <t>153904</t>
  </si>
  <si>
    <t>151358</t>
  </si>
  <si>
    <t>150000</t>
  </si>
  <si>
    <t>153315</t>
  </si>
  <si>
    <t>153314</t>
  </si>
  <si>
    <t>109010</t>
  </si>
  <si>
    <t>115284</t>
  </si>
  <si>
    <t>Invesco Mutual Fund</t>
  </si>
  <si>
    <t>149464</t>
  </si>
  <si>
    <t>139455</t>
  </si>
  <si>
    <t>152932</t>
  </si>
  <si>
    <t>153617</t>
  </si>
  <si>
    <t>151572</t>
  </si>
  <si>
    <t>147530</t>
  </si>
  <si>
    <t>152748</t>
  </si>
  <si>
    <t>144587</t>
  </si>
  <si>
    <t>147921</t>
  </si>
  <si>
    <t>152769</t>
  </si>
  <si>
    <t>148466</t>
  </si>
  <si>
    <t>150526</t>
  </si>
  <si>
    <t>149285</t>
  </si>
  <si>
    <t>148957</t>
  </si>
  <si>
    <t>149072</t>
  </si>
  <si>
    <t>150879</t>
  </si>
  <si>
    <t>153397</t>
  </si>
  <si>
    <t>151207</t>
  </si>
  <si>
    <t>147483</t>
  </si>
  <si>
    <t>149463</t>
  </si>
  <si>
    <t>148456</t>
  </si>
  <si>
    <t>121366</t>
  </si>
  <si>
    <t>149928</t>
  </si>
  <si>
    <t>151907</t>
  </si>
  <si>
    <t>150455</t>
  </si>
  <si>
    <t>141596</t>
  </si>
  <si>
    <t>123004</t>
  </si>
  <si>
    <t>151196</t>
  </si>
  <si>
    <t>101705</t>
  </si>
  <si>
    <t>139519</t>
  </si>
  <si>
    <t>144947</t>
  </si>
  <si>
    <t>153378</t>
  </si>
  <si>
    <t>143247</t>
  </si>
  <si>
    <t>141957</t>
  </si>
  <si>
    <t>150556</t>
  </si>
  <si>
    <t>150619</t>
  </si>
  <si>
    <t>150657</t>
  </si>
  <si>
    <t>150620</t>
  </si>
  <si>
    <t>150658</t>
  </si>
  <si>
    <t>151375</t>
  </si>
  <si>
    <t>152350</t>
  </si>
  <si>
    <t>150802</t>
  </si>
  <si>
    <t>150477</t>
  </si>
  <si>
    <t>151374</t>
  </si>
  <si>
    <t>150801</t>
  </si>
  <si>
    <t>150621</t>
  </si>
  <si>
    <t>148461</t>
  </si>
  <si>
    <t>135853</t>
  </si>
  <si>
    <t>153403</t>
  </si>
  <si>
    <t>150476</t>
  </si>
  <si>
    <t>135854</t>
  </si>
  <si>
    <t>151376</t>
  </si>
  <si>
    <t>153524</t>
  </si>
  <si>
    <t>153923</t>
  </si>
  <si>
    <t>153899</t>
  </si>
  <si>
    <t>154277</t>
  </si>
  <si>
    <t>154163</t>
  </si>
  <si>
    <t>153785</t>
  </si>
  <si>
    <t>153940</t>
  </si>
  <si>
    <t>154034</t>
  </si>
  <si>
    <t>153229</t>
  </si>
  <si>
    <t>153625</t>
  </si>
  <si>
    <t>152845</t>
  </si>
  <si>
    <t>152764</t>
  </si>
  <si>
    <t>154111</t>
  </si>
  <si>
    <t>153907</t>
  </si>
  <si>
    <t>153452</t>
  </si>
  <si>
    <t>153583</t>
  </si>
  <si>
    <t>153699</t>
  </si>
  <si>
    <t>153329</t>
  </si>
  <si>
    <t>152891</t>
  </si>
  <si>
    <t>153744</t>
  </si>
  <si>
    <t>154199</t>
  </si>
  <si>
    <t>Groww Mutual Fund</t>
  </si>
  <si>
    <t>152212</t>
  </si>
  <si>
    <t>152981</t>
  </si>
  <si>
    <t>153841</t>
  </si>
  <si>
    <t>152857</t>
  </si>
  <si>
    <t>153966</t>
  </si>
  <si>
    <t>153920</t>
  </si>
  <si>
    <t>153947</t>
  </si>
  <si>
    <t>153180</t>
  </si>
  <si>
    <t>148445</t>
  </si>
  <si>
    <t>148444</t>
  </si>
  <si>
    <t>150987</t>
  </si>
  <si>
    <t>149398</t>
  </si>
  <si>
    <t>147849</t>
  </si>
  <si>
    <t>Edelweiss Mutual Fund</t>
  </si>
  <si>
    <t>150523</t>
  </si>
  <si>
    <t>153874</t>
  </si>
  <si>
    <t>152812</t>
  </si>
  <si>
    <t>154024</t>
  </si>
  <si>
    <t>151888</t>
  </si>
  <si>
    <t>151887</t>
  </si>
  <si>
    <t>154087</t>
  </si>
  <si>
    <t>149403</t>
  </si>
  <si>
    <t>154025</t>
  </si>
  <si>
    <t>151820</t>
  </si>
  <si>
    <t>152306</t>
  </si>
  <si>
    <t>151262</t>
  </si>
  <si>
    <t>149392</t>
  </si>
  <si>
    <t>149286</t>
  </si>
  <si>
    <t>142589</t>
  </si>
  <si>
    <t>153975</t>
  </si>
  <si>
    <t>154256</t>
  </si>
  <si>
    <t>153228</t>
  </si>
  <si>
    <t>151886</t>
  </si>
  <si>
    <t>152555</t>
  </si>
  <si>
    <t>152683</t>
  </si>
  <si>
    <t>153929</t>
  </si>
  <si>
    <t>139839</t>
  </si>
  <si>
    <t>139840</t>
  </si>
  <si>
    <t>152357</t>
  </si>
  <si>
    <t>152356</t>
  </si>
  <si>
    <t>152638</t>
  </si>
  <si>
    <t>Bajaj Finserv Mutual Fund</t>
  </si>
  <si>
    <t>150610</t>
  </si>
  <si>
    <t>153414</t>
  </si>
  <si>
    <t>148799</t>
  </si>
  <si>
    <t>149156</t>
  </si>
  <si>
    <t>148934</t>
  </si>
  <si>
    <t>148559</t>
  </si>
  <si>
    <t>141545</t>
  </si>
  <si>
    <t>151585</t>
  </si>
  <si>
    <t>154205</t>
  </si>
  <si>
    <t>153957</t>
  </si>
  <si>
    <t>153332</t>
  </si>
  <si>
    <t>153531</t>
  </si>
  <si>
    <t>153451</t>
  </si>
  <si>
    <t>Angel One Mutual Fund</t>
  </si>
  <si>
    <t>149779</t>
  </si>
  <si>
    <t>152620</t>
  </si>
  <si>
    <t>145881</t>
  </si>
  <si>
    <t>149293</t>
  </si>
  <si>
    <t>149262</t>
  </si>
  <si>
    <t>147735</t>
  </si>
  <si>
    <t>115512</t>
  </si>
  <si>
    <t>150497</t>
  </si>
  <si>
    <t>150498</t>
  </si>
  <si>
    <t>154220</t>
  </si>
  <si>
    <t>151533</t>
  </si>
  <si>
    <t>152732</t>
  </si>
  <si>
    <t>152802</t>
  </si>
  <si>
    <t>154224</t>
  </si>
  <si>
    <t>139581</t>
  </si>
  <si>
    <t>153415</t>
  </si>
  <si>
    <t>360 ONE Mutual Fund</t>
  </si>
  <si>
    <t>Open Ended Schemes(Other Scheme - Other  ETFs)</t>
  </si>
  <si>
    <t>154109</t>
  </si>
  <si>
    <t>154306</t>
  </si>
  <si>
    <t>154321</t>
  </si>
  <si>
    <t>152156</t>
  </si>
  <si>
    <t>153906</t>
  </si>
  <si>
    <t>152157</t>
  </si>
  <si>
    <t>153932</t>
  </si>
  <si>
    <t>154198</t>
  </si>
  <si>
    <t>154197</t>
  </si>
  <si>
    <t>151761</t>
  </si>
  <si>
    <t>151762</t>
  </si>
  <si>
    <t>151488</t>
  </si>
  <si>
    <t>151487</t>
  </si>
  <si>
    <t>151363</t>
  </si>
  <si>
    <t>151364</t>
  </si>
  <si>
    <t>152865</t>
  </si>
  <si>
    <t>152864</t>
  </si>
  <si>
    <t>153273</t>
  </si>
  <si>
    <t>153272</t>
  </si>
  <si>
    <t>150312</t>
  </si>
  <si>
    <t>150313</t>
  </si>
  <si>
    <t>153088</t>
  </si>
  <si>
    <t>153089</t>
  </si>
  <si>
    <t>153271</t>
  </si>
  <si>
    <t>153270</t>
  </si>
  <si>
    <t>153087</t>
  </si>
  <si>
    <t>153086</t>
  </si>
  <si>
    <t>151738</t>
  </si>
  <si>
    <t>151739</t>
  </si>
  <si>
    <t>100823</t>
  </si>
  <si>
    <t>100822</t>
  </si>
  <si>
    <t>120716</t>
  </si>
  <si>
    <t>120717</t>
  </si>
  <si>
    <t>152858</t>
  </si>
  <si>
    <t>152859</t>
  </si>
  <si>
    <t>148704</t>
  </si>
  <si>
    <t>148703</t>
  </si>
  <si>
    <t>151238</t>
  </si>
  <si>
    <t>151239</t>
  </si>
  <si>
    <t>151184</t>
  </si>
  <si>
    <t>151185</t>
  </si>
  <si>
    <t>149802</t>
  </si>
  <si>
    <t>149803</t>
  </si>
  <si>
    <t>149880</t>
  </si>
  <si>
    <t>149881</t>
  </si>
  <si>
    <t>151763</t>
  </si>
  <si>
    <t>151764</t>
  </si>
  <si>
    <t>143340</t>
  </si>
  <si>
    <t>143341</t>
  </si>
  <si>
    <t>112949</t>
  </si>
  <si>
    <t>112948</t>
  </si>
  <si>
    <t>118882</t>
  </si>
  <si>
    <t>118881</t>
  </si>
  <si>
    <t>Taurus Mutual Fund</t>
  </si>
  <si>
    <t>152599</t>
  </si>
  <si>
    <t>152597</t>
  </si>
  <si>
    <t>152596</t>
  </si>
  <si>
    <t>152594</t>
  </si>
  <si>
    <t>152598</t>
  </si>
  <si>
    <t>152595</t>
  </si>
  <si>
    <t>152591</t>
  </si>
  <si>
    <t>152590</t>
  </si>
  <si>
    <t>152592</t>
  </si>
  <si>
    <t>152593</t>
  </si>
  <si>
    <t>152589</t>
  </si>
  <si>
    <t>152588</t>
  </si>
  <si>
    <t>152834</t>
  </si>
  <si>
    <t>152838</t>
  </si>
  <si>
    <t>152835</t>
  </si>
  <si>
    <t>152836</t>
  </si>
  <si>
    <t>152833</t>
  </si>
  <si>
    <t>152837</t>
  </si>
  <si>
    <t>150329</t>
  </si>
  <si>
    <t>150330</t>
  </si>
  <si>
    <t>150327</t>
  </si>
  <si>
    <t>150328</t>
  </si>
  <si>
    <t>150326</t>
  </si>
  <si>
    <t>150331</t>
  </si>
  <si>
    <t>152569</t>
  </si>
  <si>
    <t>152568</t>
  </si>
  <si>
    <t>152573</t>
  </si>
  <si>
    <t>152572</t>
  </si>
  <si>
    <t>152571</t>
  </si>
  <si>
    <t>152570</t>
  </si>
  <si>
    <t>153856</t>
  </si>
  <si>
    <t>153857</t>
  </si>
  <si>
    <t>153855</t>
  </si>
  <si>
    <t>153853</t>
  </si>
  <si>
    <t>153854</t>
  </si>
  <si>
    <t>153858</t>
  </si>
  <si>
    <t>152563</t>
  </si>
  <si>
    <t>152562</t>
  </si>
  <si>
    <t>152567</t>
  </si>
  <si>
    <t>152566</t>
  </si>
  <si>
    <t>152565</t>
  </si>
  <si>
    <t>152564</t>
  </si>
  <si>
    <t>150743</t>
  </si>
  <si>
    <t>150739</t>
  </si>
  <si>
    <t>150742</t>
  </si>
  <si>
    <t>150740</t>
  </si>
  <si>
    <t>150741</t>
  </si>
  <si>
    <t>150738</t>
  </si>
  <si>
    <t>153578</t>
  </si>
  <si>
    <t>153582</t>
  </si>
  <si>
    <t>153580</t>
  </si>
  <si>
    <t>153577</t>
  </si>
  <si>
    <t>153579</t>
  </si>
  <si>
    <t>153581</t>
  </si>
  <si>
    <t>152747</t>
  </si>
  <si>
    <t>152745</t>
  </si>
  <si>
    <t>152746</t>
  </si>
  <si>
    <t>152743</t>
  </si>
  <si>
    <t>152744</t>
  </si>
  <si>
    <t>152742</t>
  </si>
  <si>
    <t>151276</t>
  </si>
  <si>
    <t>151277</t>
  </si>
  <si>
    <t>151275</t>
  </si>
  <si>
    <t>151278</t>
  </si>
  <si>
    <t>151274</t>
  </si>
  <si>
    <t>151273</t>
  </si>
  <si>
    <t>151303</t>
  </si>
  <si>
    <t>151304</t>
  </si>
  <si>
    <t>151306</t>
  </si>
  <si>
    <t>151305</t>
  </si>
  <si>
    <t>151302</t>
  </si>
  <si>
    <t>151301</t>
  </si>
  <si>
    <t>152576</t>
  </si>
  <si>
    <t>152575</t>
  </si>
  <si>
    <t>152574</t>
  </si>
  <si>
    <t>152578</t>
  </si>
  <si>
    <t>152579</t>
  </si>
  <si>
    <t>152577</t>
  </si>
  <si>
    <t>152955</t>
  </si>
  <si>
    <t>152956</t>
  </si>
  <si>
    <t>152954</t>
  </si>
  <si>
    <t>152952</t>
  </si>
  <si>
    <t>152953</t>
  </si>
  <si>
    <t>152951</t>
  </si>
  <si>
    <t>152556</t>
  </si>
  <si>
    <t>152561</t>
  </si>
  <si>
    <t>152560</t>
  </si>
  <si>
    <t>152558</t>
  </si>
  <si>
    <t>152559</t>
  </si>
  <si>
    <t>152557</t>
  </si>
  <si>
    <t>101659</t>
  </si>
  <si>
    <t>119288</t>
  </si>
  <si>
    <t>150696</t>
  </si>
  <si>
    <t>150695</t>
  </si>
  <si>
    <t>150694</t>
  </si>
  <si>
    <t>150697</t>
  </si>
  <si>
    <t>150693</t>
  </si>
  <si>
    <t>150692</t>
  </si>
  <si>
    <t>101746</t>
  </si>
  <si>
    <t>119287</t>
  </si>
  <si>
    <t>153136</t>
  </si>
  <si>
    <t>153133</t>
  </si>
  <si>
    <t>153134</t>
  </si>
  <si>
    <t>153135</t>
  </si>
  <si>
    <t>153131</t>
  </si>
  <si>
    <t>153132</t>
  </si>
  <si>
    <t>153423</t>
  </si>
  <si>
    <t>153424</t>
  </si>
  <si>
    <t>153425</t>
  </si>
  <si>
    <t>153422</t>
  </si>
  <si>
    <t>153421</t>
  </si>
  <si>
    <t>153420</t>
  </si>
  <si>
    <t>154067</t>
  </si>
  <si>
    <t>154065</t>
  </si>
  <si>
    <t>154064</t>
  </si>
  <si>
    <t>154068</t>
  </si>
  <si>
    <t>154069</t>
  </si>
  <si>
    <t>154066</t>
  </si>
  <si>
    <t>149480</t>
  </si>
  <si>
    <t>149481</t>
  </si>
  <si>
    <t>149482</t>
  </si>
  <si>
    <t>149483</t>
  </si>
  <si>
    <t>152373</t>
  </si>
  <si>
    <t>152372</t>
  </si>
  <si>
    <t>152371</t>
  </si>
  <si>
    <t>152370</t>
  </si>
  <si>
    <t>153554</t>
  </si>
  <si>
    <t>153555</t>
  </si>
  <si>
    <t>153556</t>
  </si>
  <si>
    <t>153557</t>
  </si>
  <si>
    <t>153664</t>
  </si>
  <si>
    <t>153663</t>
  </si>
  <si>
    <t>153665</t>
  </si>
  <si>
    <t>153662</t>
  </si>
  <si>
    <t>153719</t>
  </si>
  <si>
    <t>153717</t>
  </si>
  <si>
    <t>153716</t>
  </si>
  <si>
    <t>153718</t>
  </si>
  <si>
    <t>150679</t>
  </si>
  <si>
    <t>150676</t>
  </si>
  <si>
    <t>150678</t>
  </si>
  <si>
    <t>150677</t>
  </si>
  <si>
    <t>148944</t>
  </si>
  <si>
    <t>148943</t>
  </si>
  <si>
    <t>148946</t>
  </si>
  <si>
    <t>148945</t>
  </si>
  <si>
    <t>150674</t>
  </si>
  <si>
    <t>150672</t>
  </si>
  <si>
    <t>150675</t>
  </si>
  <si>
    <t>150673</t>
  </si>
  <si>
    <t>153322</t>
  </si>
  <si>
    <t>153323</t>
  </si>
  <si>
    <t>153321</t>
  </si>
  <si>
    <t>153320</t>
  </si>
  <si>
    <t>153013</t>
  </si>
  <si>
    <t>153012</t>
  </si>
  <si>
    <t>153014</t>
  </si>
  <si>
    <t>153015</t>
  </si>
  <si>
    <t>102273</t>
  </si>
  <si>
    <t>102272</t>
  </si>
  <si>
    <t>119826</t>
  </si>
  <si>
    <t>119827</t>
  </si>
  <si>
    <t>153253</t>
  </si>
  <si>
    <t>153252</t>
  </si>
  <si>
    <t>153250</t>
  </si>
  <si>
    <t>153251</t>
  </si>
  <si>
    <t>152907</t>
  </si>
  <si>
    <t>152906</t>
  </si>
  <si>
    <t>152909</t>
  </si>
  <si>
    <t>152908</t>
  </si>
  <si>
    <t>150710</t>
  </si>
  <si>
    <t>150712</t>
  </si>
  <si>
    <t>150713</t>
  </si>
  <si>
    <t>150711</t>
  </si>
  <si>
    <t>150680</t>
  </si>
  <si>
    <t>150683</t>
  </si>
  <si>
    <t>150682</t>
  </si>
  <si>
    <t>150681</t>
  </si>
  <si>
    <t>150709</t>
  </si>
  <si>
    <t>150707</t>
  </si>
  <si>
    <t>150708</t>
  </si>
  <si>
    <t>150706</t>
  </si>
  <si>
    <t>149473</t>
  </si>
  <si>
    <t>149472</t>
  </si>
  <si>
    <t>149475</t>
  </si>
  <si>
    <t>149474</t>
  </si>
  <si>
    <t>151766</t>
  </si>
  <si>
    <t>151765</t>
  </si>
  <si>
    <t>151770</t>
  </si>
  <si>
    <t>151769</t>
  </si>
  <si>
    <t>153431</t>
  </si>
  <si>
    <t>153434</t>
  </si>
  <si>
    <t>153433</t>
  </si>
  <si>
    <t>153432</t>
  </si>
  <si>
    <t>151405</t>
  </si>
  <si>
    <t>151404</t>
  </si>
  <si>
    <t>151406</t>
  </si>
  <si>
    <t>151407</t>
  </si>
  <si>
    <t>148518</t>
  </si>
  <si>
    <t>148520</t>
  </si>
  <si>
    <t>148521</t>
  </si>
  <si>
    <t>148519</t>
  </si>
  <si>
    <t>151392</t>
  </si>
  <si>
    <t>151391</t>
  </si>
  <si>
    <t>151390</t>
  </si>
  <si>
    <t>151389</t>
  </si>
  <si>
    <t>150825</t>
  </si>
  <si>
    <t>150827</t>
  </si>
  <si>
    <t>150826</t>
  </si>
  <si>
    <t>150824</t>
  </si>
  <si>
    <t>153062</t>
  </si>
  <si>
    <t>153061</t>
  </si>
  <si>
    <t>153063</t>
  </si>
  <si>
    <t>153060</t>
  </si>
  <si>
    <t>148723</t>
  </si>
  <si>
    <t>148724</t>
  </si>
  <si>
    <t>148725</t>
  </si>
  <si>
    <t>148726</t>
  </si>
  <si>
    <t>152393</t>
  </si>
  <si>
    <t>152391</t>
  </si>
  <si>
    <t>152390</t>
  </si>
  <si>
    <t>152392</t>
  </si>
  <si>
    <t>153809</t>
  </si>
  <si>
    <t>153808</t>
  </si>
  <si>
    <t>153806</t>
  </si>
  <si>
    <t>153807</t>
  </si>
  <si>
    <t>150905</t>
  </si>
  <si>
    <t>150904</t>
  </si>
  <si>
    <t>150907</t>
  </si>
  <si>
    <t>150906</t>
  </si>
  <si>
    <t>151441</t>
  </si>
  <si>
    <t>151439</t>
  </si>
  <si>
    <t>151442</t>
  </si>
  <si>
    <t>151440</t>
  </si>
  <si>
    <t>150922</t>
  </si>
  <si>
    <t>150923</t>
  </si>
  <si>
    <t>150921</t>
  </si>
  <si>
    <t>150920</t>
  </si>
  <si>
    <t>152388</t>
  </si>
  <si>
    <t>152387</t>
  </si>
  <si>
    <t>152386</t>
  </si>
  <si>
    <t>152389</t>
  </si>
  <si>
    <t>153065</t>
  </si>
  <si>
    <t>153066</t>
  </si>
  <si>
    <t>153067</t>
  </si>
  <si>
    <t>153064</t>
  </si>
  <si>
    <t>150491</t>
  </si>
  <si>
    <t>150490</t>
  </si>
  <si>
    <t>150488</t>
  </si>
  <si>
    <t>150487</t>
  </si>
  <si>
    <t>150755</t>
  </si>
  <si>
    <t>150752</t>
  </si>
  <si>
    <t>150753</t>
  </si>
  <si>
    <t>150754</t>
  </si>
  <si>
    <t>150009</t>
  </si>
  <si>
    <t>150011</t>
  </si>
  <si>
    <t>150008</t>
  </si>
  <si>
    <t>150012</t>
  </si>
  <si>
    <t>153469</t>
  </si>
  <si>
    <t>153472</t>
  </si>
  <si>
    <t>153471</t>
  </si>
  <si>
    <t>153470</t>
  </si>
  <si>
    <t>152882</t>
  </si>
  <si>
    <t>152883</t>
  </si>
  <si>
    <t>152884</t>
  </si>
  <si>
    <t>152881</t>
  </si>
  <si>
    <t>153475</t>
  </si>
  <si>
    <t>153476</t>
  </si>
  <si>
    <t>153473</t>
  </si>
  <si>
    <t>153474</t>
  </si>
  <si>
    <t>152841</t>
  </si>
  <si>
    <t>152840</t>
  </si>
  <si>
    <t>152839</t>
  </si>
  <si>
    <t>152842</t>
  </si>
  <si>
    <t>148719</t>
  </si>
  <si>
    <t>148720</t>
  </si>
  <si>
    <t>148722</t>
  </si>
  <si>
    <t>148721</t>
  </si>
  <si>
    <t>113298</t>
  </si>
  <si>
    <t>113299</t>
  </si>
  <si>
    <t>113296</t>
  </si>
  <si>
    <t>113297</t>
  </si>
  <si>
    <t>118741</t>
  </si>
  <si>
    <t>118742</t>
  </si>
  <si>
    <t>118740</t>
  </si>
  <si>
    <t>118745</t>
  </si>
  <si>
    <t>118743</t>
  </si>
  <si>
    <t>113300</t>
  </si>
  <si>
    <t>113271</t>
  </si>
  <si>
    <t>113294</t>
  </si>
  <si>
    <t>113269</t>
  </si>
  <si>
    <t>113270</t>
  </si>
  <si>
    <t>118791</t>
  </si>
  <si>
    <t>118785</t>
  </si>
  <si>
    <t>118790</t>
  </si>
  <si>
    <t>118788</t>
  </si>
  <si>
    <t>118786</t>
  </si>
  <si>
    <t>113295</t>
  </si>
  <si>
    <t>154254</t>
  </si>
  <si>
    <t>154255</t>
  </si>
  <si>
    <t>154253</t>
  </si>
  <si>
    <t>154252</t>
  </si>
  <si>
    <t>154273</t>
  </si>
  <si>
    <t>154274</t>
  </si>
  <si>
    <t>154272</t>
  </si>
  <si>
    <t>154271</t>
  </si>
  <si>
    <t>152999</t>
  </si>
  <si>
    <t>152998</t>
  </si>
  <si>
    <t>152997</t>
  </si>
  <si>
    <t>152996</t>
  </si>
  <si>
    <t>152995</t>
  </si>
  <si>
    <t>152994</t>
  </si>
  <si>
    <t>152993</t>
  </si>
  <si>
    <t>152992</t>
  </si>
  <si>
    <t>153567</t>
  </si>
  <si>
    <t>153568</t>
  </si>
  <si>
    <t>153566</t>
  </si>
  <si>
    <t>153565</t>
  </si>
  <si>
    <t>152536</t>
  </si>
  <si>
    <t>152535</t>
  </si>
  <si>
    <t>153363</t>
  </si>
  <si>
    <t>153362</t>
  </si>
  <si>
    <t>149448</t>
  </si>
  <si>
    <t>149447</t>
  </si>
  <si>
    <t>154027</t>
  </si>
  <si>
    <t>154026</t>
  </si>
  <si>
    <t>149893</t>
  </si>
  <si>
    <t>149892</t>
  </si>
  <si>
    <t>150516</t>
  </si>
  <si>
    <t>150515</t>
  </si>
  <si>
    <t>149805</t>
  </si>
  <si>
    <t>149804</t>
  </si>
  <si>
    <t>152750</t>
  </si>
  <si>
    <t>152751</t>
  </si>
  <si>
    <t>149040</t>
  </si>
  <si>
    <t>149039</t>
  </si>
  <si>
    <t>152061</t>
  </si>
  <si>
    <t>152062</t>
  </si>
  <si>
    <t>Navi Mutual Fund</t>
  </si>
  <si>
    <t>148382</t>
  </si>
  <si>
    <t>148381</t>
  </si>
  <si>
    <t>147623</t>
  </si>
  <si>
    <t>147624</t>
  </si>
  <si>
    <t>147797</t>
  </si>
  <si>
    <t>147796</t>
  </si>
  <si>
    <t>153028</t>
  </si>
  <si>
    <t>153029</t>
  </si>
  <si>
    <t>153024</t>
  </si>
  <si>
    <t>153025</t>
  </si>
  <si>
    <t>153022</t>
  </si>
  <si>
    <t>153023</t>
  </si>
  <si>
    <t>153026</t>
  </si>
  <si>
    <t>153027</t>
  </si>
  <si>
    <t>147621</t>
  </si>
  <si>
    <t>147622</t>
  </si>
  <si>
    <t>151815</t>
  </si>
  <si>
    <t>151814</t>
  </si>
  <si>
    <t>152711</t>
  </si>
  <si>
    <t>152712</t>
  </si>
  <si>
    <t>153137</t>
  </si>
  <si>
    <t>153138</t>
  </si>
  <si>
    <t>147620</t>
  </si>
  <si>
    <t>147619</t>
  </si>
  <si>
    <t>152876</t>
  </si>
  <si>
    <t>152875</t>
  </si>
  <si>
    <t>147626</t>
  </si>
  <si>
    <t>147625</t>
  </si>
  <si>
    <t>147795</t>
  </si>
  <si>
    <t>147794</t>
  </si>
  <si>
    <t>149799</t>
  </si>
  <si>
    <t>149800</t>
  </si>
  <si>
    <t>150522</t>
  </si>
  <si>
    <t>150521</t>
  </si>
  <si>
    <t>149920</t>
  </si>
  <si>
    <t>149919</t>
  </si>
  <si>
    <t>150444</t>
  </si>
  <si>
    <t>150443</t>
  </si>
  <si>
    <t>150519</t>
  </si>
  <si>
    <t>150518</t>
  </si>
  <si>
    <t>153597</t>
  </si>
  <si>
    <t>153596</t>
  </si>
  <si>
    <t>152971</t>
  </si>
  <si>
    <t>152970</t>
  </si>
  <si>
    <t>152969</t>
  </si>
  <si>
    <t>152968</t>
  </si>
  <si>
    <t>151694</t>
  </si>
  <si>
    <t>151693</t>
  </si>
  <si>
    <t>151692</t>
  </si>
  <si>
    <t>151691</t>
  </si>
  <si>
    <t>150358</t>
  </si>
  <si>
    <t>150361</t>
  </si>
  <si>
    <t>150360</t>
  </si>
  <si>
    <t>150359</t>
  </si>
  <si>
    <t>152979</t>
  </si>
  <si>
    <t>152978</t>
  </si>
  <si>
    <t>152977</t>
  </si>
  <si>
    <t>152976</t>
  </si>
  <si>
    <t>152975</t>
  </si>
  <si>
    <t>152974</t>
  </si>
  <si>
    <t>152973</t>
  </si>
  <si>
    <t>152972</t>
  </si>
  <si>
    <t>153637</t>
  </si>
  <si>
    <t>153636</t>
  </si>
  <si>
    <t>153635</t>
  </si>
  <si>
    <t>153634</t>
  </si>
  <si>
    <t>150791</t>
  </si>
  <si>
    <t>150790</t>
  </si>
  <si>
    <t>150789</t>
  </si>
  <si>
    <t>150792</t>
  </si>
  <si>
    <t>151936</t>
  </si>
  <si>
    <t>151935</t>
  </si>
  <si>
    <t>151938</t>
  </si>
  <si>
    <t>151937</t>
  </si>
  <si>
    <t>101200</t>
  </si>
  <si>
    <t>101201</t>
  </si>
  <si>
    <t>120309</t>
  </si>
  <si>
    <t>120307</t>
  </si>
  <si>
    <t>101198</t>
  </si>
  <si>
    <t>101199</t>
  </si>
  <si>
    <t>120312</t>
  </si>
  <si>
    <t>120308</t>
  </si>
  <si>
    <t>154031</t>
  </si>
  <si>
    <t>154030</t>
  </si>
  <si>
    <t>154029</t>
  </si>
  <si>
    <t>154032</t>
  </si>
  <si>
    <t>154147</t>
  </si>
  <si>
    <t>154148</t>
  </si>
  <si>
    <t>154146</t>
  </si>
  <si>
    <t>154145</t>
  </si>
  <si>
    <t>153464</t>
  </si>
  <si>
    <t>153463</t>
  </si>
  <si>
    <t>153462</t>
  </si>
  <si>
    <t>153461</t>
  </si>
  <si>
    <t>151648</t>
  </si>
  <si>
    <t>151647</t>
  </si>
  <si>
    <t>151650</t>
  </si>
  <si>
    <t>151649</t>
  </si>
  <si>
    <t>153222</t>
  </si>
  <si>
    <t>153221</t>
  </si>
  <si>
    <t>153223</t>
  </si>
  <si>
    <t>153220</t>
  </si>
  <si>
    <t>150724</t>
  </si>
  <si>
    <t>150723</t>
  </si>
  <si>
    <t>150726</t>
  </si>
  <si>
    <t>150725</t>
  </si>
  <si>
    <t>151419</t>
  </si>
  <si>
    <t>151417</t>
  </si>
  <si>
    <t>151418</t>
  </si>
  <si>
    <t>151420</t>
  </si>
  <si>
    <t>151217</t>
  </si>
  <si>
    <t>151216</t>
  </si>
  <si>
    <t>151219</t>
  </si>
  <si>
    <t>151218</t>
  </si>
  <si>
    <t>149866</t>
  </si>
  <si>
    <t>149862</t>
  </si>
  <si>
    <t>149864</t>
  </si>
  <si>
    <t>149865</t>
  </si>
  <si>
    <t>149854</t>
  </si>
  <si>
    <t>149853</t>
  </si>
  <si>
    <t>149852</t>
  </si>
  <si>
    <t>149855</t>
  </si>
  <si>
    <t>148744</t>
  </si>
  <si>
    <t>148743</t>
  </si>
  <si>
    <t>148746</t>
  </si>
  <si>
    <t>148745</t>
  </si>
  <si>
    <t>152766</t>
  </si>
  <si>
    <t>152765</t>
  </si>
  <si>
    <t>152768</t>
  </si>
  <si>
    <t>152767</t>
  </si>
  <si>
    <t>152919</t>
  </si>
  <si>
    <t>152918</t>
  </si>
  <si>
    <t>152917</t>
  </si>
  <si>
    <t>152916</t>
  </si>
  <si>
    <t>153400</t>
  </si>
  <si>
    <t>153399</t>
  </si>
  <si>
    <t>153402</t>
  </si>
  <si>
    <t>153401</t>
  </si>
  <si>
    <t>152871</t>
  </si>
  <si>
    <t>152872</t>
  </si>
  <si>
    <t>152870</t>
  </si>
  <si>
    <t>152873</t>
  </si>
  <si>
    <t>152101</t>
  </si>
  <si>
    <t>152100</t>
  </si>
  <si>
    <t>152099</t>
  </si>
  <si>
    <t>152098</t>
  </si>
  <si>
    <t>151910</t>
  </si>
  <si>
    <t>151909</t>
  </si>
  <si>
    <t>151912</t>
  </si>
  <si>
    <t>151911</t>
  </si>
  <si>
    <t>153352</t>
  </si>
  <si>
    <t>153351</t>
  </si>
  <si>
    <t>153354</t>
  </si>
  <si>
    <t>153353</t>
  </si>
  <si>
    <t>153783</t>
  </si>
  <si>
    <t>153784</t>
  </si>
  <si>
    <t>153782</t>
  </si>
  <si>
    <t>153781</t>
  </si>
  <si>
    <t>153682</t>
  </si>
  <si>
    <t>153683</t>
  </si>
  <si>
    <t>153681</t>
  </si>
  <si>
    <t>153680</t>
  </si>
  <si>
    <t>148979</t>
  </si>
  <si>
    <t>148974</t>
  </si>
  <si>
    <t>148976</t>
  </si>
  <si>
    <t>148978</t>
  </si>
  <si>
    <t>153149</t>
  </si>
  <si>
    <t>153148</t>
  </si>
  <si>
    <t>153147</t>
  </si>
  <si>
    <t>153150</t>
  </si>
  <si>
    <t>153661</t>
  </si>
  <si>
    <t>153659</t>
  </si>
  <si>
    <t>153658</t>
  </si>
  <si>
    <t>153660</t>
  </si>
  <si>
    <t>151780</t>
  </si>
  <si>
    <t>151783</t>
  </si>
  <si>
    <t>151782</t>
  </si>
  <si>
    <t>151781</t>
  </si>
  <si>
    <t>152666</t>
  </si>
  <si>
    <t>152664</t>
  </si>
  <si>
    <t>152665</t>
  </si>
  <si>
    <t>152663</t>
  </si>
  <si>
    <t>153144</t>
  </si>
  <si>
    <t>153145</t>
  </si>
  <si>
    <t>153143</t>
  </si>
  <si>
    <t>153146</t>
  </si>
  <si>
    <t>153878</t>
  </si>
  <si>
    <t>153877</t>
  </si>
  <si>
    <t>153876</t>
  </si>
  <si>
    <t>153875</t>
  </si>
  <si>
    <t>153374</t>
  </si>
  <si>
    <t>153375</t>
  </si>
  <si>
    <t>153373</t>
  </si>
  <si>
    <t>153372</t>
  </si>
  <si>
    <t>152867</t>
  </si>
  <si>
    <t>152866</t>
  </si>
  <si>
    <t>152868</t>
  </si>
  <si>
    <t>152869</t>
  </si>
  <si>
    <t>153310</t>
  </si>
  <si>
    <t>153311</t>
  </si>
  <si>
    <t>153312</t>
  </si>
  <si>
    <t>153313</t>
  </si>
  <si>
    <t>153287</t>
  </si>
  <si>
    <t>153286</t>
  </si>
  <si>
    <t>153285</t>
  </si>
  <si>
    <t>153284</t>
  </si>
  <si>
    <t>152753</t>
  </si>
  <si>
    <t>152752</t>
  </si>
  <si>
    <t>152754</t>
  </si>
  <si>
    <t>152755</t>
  </si>
  <si>
    <t>152037</t>
  </si>
  <si>
    <t>152039</t>
  </si>
  <si>
    <t>152040</t>
  </si>
  <si>
    <t>152038</t>
  </si>
  <si>
    <t>153790</t>
  </si>
  <si>
    <t>153789</t>
  </si>
  <si>
    <t>153788</t>
  </si>
  <si>
    <t>153791</t>
  </si>
  <si>
    <t>153787</t>
  </si>
  <si>
    <t>Jio BlackRock Mutual Fund</t>
  </si>
  <si>
    <t>151595</t>
  </si>
  <si>
    <t>151594</t>
  </si>
  <si>
    <t>151596</t>
  </si>
  <si>
    <t>151597</t>
  </si>
  <si>
    <t>151591</t>
  </si>
  <si>
    <t>151590</t>
  </si>
  <si>
    <t>151592</t>
  </si>
  <si>
    <t>151593</t>
  </si>
  <si>
    <t>152364</t>
  </si>
  <si>
    <t>152366</t>
  </si>
  <si>
    <t>152367</t>
  </si>
  <si>
    <t>152365</t>
  </si>
  <si>
    <t>150638</t>
  </si>
  <si>
    <t>150637</t>
  </si>
  <si>
    <t>150640</t>
  </si>
  <si>
    <t>150639</t>
  </si>
  <si>
    <t>152935</t>
  </si>
  <si>
    <t>152934</t>
  </si>
  <si>
    <t>152933</t>
  </si>
  <si>
    <t>152936</t>
  </si>
  <si>
    <t>153545</t>
  </si>
  <si>
    <t>153544</t>
  </si>
  <si>
    <t>153547</t>
  </si>
  <si>
    <t>153546</t>
  </si>
  <si>
    <t>153615</t>
  </si>
  <si>
    <t>153613</t>
  </si>
  <si>
    <t>153616</t>
  </si>
  <si>
    <t>153614</t>
  </si>
  <si>
    <t>149282</t>
  </si>
  <si>
    <t>149281</t>
  </si>
  <si>
    <t>149284</t>
  </si>
  <si>
    <t>149283</t>
  </si>
  <si>
    <t>149998</t>
  </si>
  <si>
    <t>149999</t>
  </si>
  <si>
    <t>149997</t>
  </si>
  <si>
    <t>149996</t>
  </si>
  <si>
    <t>151208</t>
  </si>
  <si>
    <t>151211</t>
  </si>
  <si>
    <t>151210</t>
  </si>
  <si>
    <t>151209</t>
  </si>
  <si>
    <t>150728</t>
  </si>
  <si>
    <t>150729</t>
  </si>
  <si>
    <t>150730</t>
  </si>
  <si>
    <t>150731</t>
  </si>
  <si>
    <t>149222</t>
  </si>
  <si>
    <t>149223</t>
  </si>
  <si>
    <t>149208</t>
  </si>
  <si>
    <t>149225</t>
  </si>
  <si>
    <t>149226</t>
  </si>
  <si>
    <t>149210</t>
  </si>
  <si>
    <t>149227</t>
  </si>
  <si>
    <t>149224</t>
  </si>
  <si>
    <t>153676</t>
  </si>
  <si>
    <t>153679</t>
  </si>
  <si>
    <t>150931</t>
  </si>
  <si>
    <t>150929</t>
  </si>
  <si>
    <t>150928</t>
  </si>
  <si>
    <t>150930</t>
  </si>
  <si>
    <t>112958</t>
  </si>
  <si>
    <t>112957</t>
  </si>
  <si>
    <t>120683</t>
  </si>
  <si>
    <t>120684</t>
  </si>
  <si>
    <t>149388</t>
  </si>
  <si>
    <t>149390</t>
  </si>
  <si>
    <t>149391</t>
  </si>
  <si>
    <t>149389</t>
  </si>
  <si>
    <t>152484</t>
  </si>
  <si>
    <t>152481</t>
  </si>
  <si>
    <t>152483</t>
  </si>
  <si>
    <t>152482</t>
  </si>
  <si>
    <t>150467</t>
  </si>
  <si>
    <t>150466</t>
  </si>
  <si>
    <t>150469</t>
  </si>
  <si>
    <t>150468</t>
  </si>
  <si>
    <t>150732</t>
  </si>
  <si>
    <t>150733</t>
  </si>
  <si>
    <t>150735</t>
  </si>
  <si>
    <t>150734</t>
  </si>
  <si>
    <t>149860</t>
  </si>
  <si>
    <t>149859</t>
  </si>
  <si>
    <t>149861</t>
  </si>
  <si>
    <t>149858</t>
  </si>
  <si>
    <t>150646</t>
  </si>
  <si>
    <t>150645</t>
  </si>
  <si>
    <t>150644</t>
  </si>
  <si>
    <t>150643</t>
  </si>
  <si>
    <t>153160</t>
  </si>
  <si>
    <t>153162</t>
  </si>
  <si>
    <t>153159</t>
  </si>
  <si>
    <t>153161</t>
  </si>
  <si>
    <t>135390</t>
  </si>
  <si>
    <t>135391</t>
  </si>
  <si>
    <t>120620</t>
  </si>
  <si>
    <t>101349</t>
  </si>
  <si>
    <t>150451</t>
  </si>
  <si>
    <t>150454</t>
  </si>
  <si>
    <t>150453</t>
  </si>
  <si>
    <t>150452</t>
  </si>
  <si>
    <t>149220</t>
  </si>
  <si>
    <t>149218</t>
  </si>
  <si>
    <t>149221</t>
  </si>
  <si>
    <t>149219</t>
  </si>
  <si>
    <t>153409</t>
  </si>
  <si>
    <t>153411</t>
  </si>
  <si>
    <t>153410</t>
  </si>
  <si>
    <t>153412</t>
  </si>
  <si>
    <t>153236</t>
  </si>
  <si>
    <t>153237</t>
  </si>
  <si>
    <t>153234</t>
  </si>
  <si>
    <t>153235</t>
  </si>
  <si>
    <t>141840</t>
  </si>
  <si>
    <t>141842</t>
  </si>
  <si>
    <t>141841</t>
  </si>
  <si>
    <t>141839</t>
  </si>
  <si>
    <t>151161</t>
  </si>
  <si>
    <t>151162</t>
  </si>
  <si>
    <t>151163</t>
  </si>
  <si>
    <t>151160</t>
  </si>
  <si>
    <t>151159</t>
  </si>
  <si>
    <t>151158</t>
  </si>
  <si>
    <t>151156</t>
  </si>
  <si>
    <t>151157</t>
  </si>
  <si>
    <t>151481</t>
  </si>
  <si>
    <t>151480</t>
  </si>
  <si>
    <t>151482</t>
  </si>
  <si>
    <t>151479</t>
  </si>
  <si>
    <t>149964</t>
  </si>
  <si>
    <t>149963</t>
  </si>
  <si>
    <t>149962</t>
  </si>
  <si>
    <t>149966</t>
  </si>
  <si>
    <t>152779</t>
  </si>
  <si>
    <t>152778</t>
  </si>
  <si>
    <t>149106</t>
  </si>
  <si>
    <t>149107</t>
  </si>
  <si>
    <t>152429</t>
  </si>
  <si>
    <t>152430</t>
  </si>
  <si>
    <t>153265</t>
  </si>
  <si>
    <t>153264</t>
  </si>
  <si>
    <t>152714</t>
  </si>
  <si>
    <t>152713</t>
  </si>
  <si>
    <t>153404</t>
  </si>
  <si>
    <t>153405</t>
  </si>
  <si>
    <t>151727</t>
  </si>
  <si>
    <t>151726</t>
  </si>
  <si>
    <t>151570</t>
  </si>
  <si>
    <t>151571</t>
  </si>
  <si>
    <t>151456</t>
  </si>
  <si>
    <t>151455</t>
  </si>
  <si>
    <t>152521</t>
  </si>
  <si>
    <t>152522</t>
  </si>
  <si>
    <t>149287</t>
  </si>
  <si>
    <t>149288</t>
  </si>
  <si>
    <t>151724</t>
  </si>
  <si>
    <t>151725</t>
  </si>
  <si>
    <t>152889</t>
  </si>
  <si>
    <t>152890</t>
  </si>
  <si>
    <t>153096</t>
  </si>
  <si>
    <t>153097</t>
  </si>
  <si>
    <t>154179</t>
  </si>
  <si>
    <t>154180</t>
  </si>
  <si>
    <t>151183</t>
  </si>
  <si>
    <t>151182</t>
  </si>
  <si>
    <t>151489</t>
  </si>
  <si>
    <t>151490</t>
  </si>
  <si>
    <t>151181</t>
  </si>
  <si>
    <t>151180</t>
  </si>
  <si>
    <t>150847</t>
  </si>
  <si>
    <t>150846</t>
  </si>
  <si>
    <t>150845</t>
  </si>
  <si>
    <t>150844</t>
  </si>
  <si>
    <t>151495</t>
  </si>
  <si>
    <t>151496</t>
  </si>
  <si>
    <t>101525</t>
  </si>
  <si>
    <t>119063</t>
  </si>
  <si>
    <t>149869</t>
  </si>
  <si>
    <t>149868</t>
  </si>
  <si>
    <t>149871</t>
  </si>
  <si>
    <t>149870</t>
  </si>
  <si>
    <t>154309</t>
  </si>
  <si>
    <t>154308</t>
  </si>
  <si>
    <t>153518</t>
  </si>
  <si>
    <t>153517</t>
  </si>
  <si>
    <t>101281</t>
  </si>
  <si>
    <t>119065</t>
  </si>
  <si>
    <t>153959</t>
  </si>
  <si>
    <t>153958</t>
  </si>
  <si>
    <t>151729</t>
  </si>
  <si>
    <t>151728</t>
  </si>
  <si>
    <t>152126</t>
  </si>
  <si>
    <t>152127</t>
  </si>
  <si>
    <t>152125</t>
  </si>
  <si>
    <t>152092</t>
  </si>
  <si>
    <t>152434</t>
  </si>
  <si>
    <t>152433</t>
  </si>
  <si>
    <t>152436</t>
  </si>
  <si>
    <t>152431</t>
  </si>
  <si>
    <t>154285</t>
  </si>
  <si>
    <t>154284</t>
  </si>
  <si>
    <t>154283</t>
  </si>
  <si>
    <t>154278</t>
  </si>
  <si>
    <t>152633</t>
  </si>
  <si>
    <t>152635</t>
  </si>
  <si>
    <t>152637</t>
  </si>
  <si>
    <t>152636</t>
  </si>
  <si>
    <t>153799</t>
  </si>
  <si>
    <t>153798</t>
  </si>
  <si>
    <t>153797</t>
  </si>
  <si>
    <t>153786</t>
  </si>
  <si>
    <t>153954</t>
  </si>
  <si>
    <t>153953</t>
  </si>
  <si>
    <t>153952</t>
  </si>
  <si>
    <t>153939</t>
  </si>
  <si>
    <t>153233</t>
  </si>
  <si>
    <t>153232</t>
  </si>
  <si>
    <t>153231</t>
  </si>
  <si>
    <t>153230</t>
  </si>
  <si>
    <t>153711</t>
  </si>
  <si>
    <t>153710</t>
  </si>
  <si>
    <t>153709</t>
  </si>
  <si>
    <t>153704</t>
  </si>
  <si>
    <t>118581</t>
  </si>
  <si>
    <t>105067</t>
  </si>
  <si>
    <t>100484</t>
  </si>
  <si>
    <t>118580</t>
  </si>
  <si>
    <t>152983</t>
  </si>
  <si>
    <t>152988</t>
  </si>
  <si>
    <t>152982</t>
  </si>
  <si>
    <t>152985</t>
  </si>
  <si>
    <t>150893</t>
  </si>
  <si>
    <t>150894</t>
  </si>
  <si>
    <t>150895</t>
  </si>
  <si>
    <t>150892</t>
  </si>
  <si>
    <t>149248</t>
  </si>
  <si>
    <t>149249</t>
  </si>
  <si>
    <t>149247</t>
  </si>
  <si>
    <t>149246</t>
  </si>
  <si>
    <t>148797</t>
  </si>
  <si>
    <t>148796</t>
  </si>
  <si>
    <t>148795</t>
  </si>
  <si>
    <t>148794</t>
  </si>
  <si>
    <t>150898</t>
  </si>
  <si>
    <t>150897</t>
  </si>
  <si>
    <t>150896</t>
  </si>
  <si>
    <t>150899</t>
  </si>
  <si>
    <t>150901</t>
  </si>
  <si>
    <t>150900</t>
  </si>
  <si>
    <t>150903</t>
  </si>
  <si>
    <t>150902</t>
  </si>
  <si>
    <t>154313</t>
  </si>
  <si>
    <t>154311</t>
  </si>
  <si>
    <t>154315</t>
  </si>
  <si>
    <t>154314</t>
  </si>
  <si>
    <t>154312</t>
  </si>
  <si>
    <t>154310</t>
  </si>
  <si>
    <t>149342</t>
  </si>
  <si>
    <t>149341</t>
  </si>
  <si>
    <t>149339</t>
  </si>
  <si>
    <t>149343</t>
  </si>
  <si>
    <t>152618</t>
  </si>
  <si>
    <t>152617</t>
  </si>
  <si>
    <t>152619</t>
  </si>
  <si>
    <t>152616</t>
  </si>
  <si>
    <t>149253</t>
  </si>
  <si>
    <t>149252</t>
  </si>
  <si>
    <t>149251</t>
  </si>
  <si>
    <t>149250</t>
  </si>
  <si>
    <t>149257</t>
  </si>
  <si>
    <t>149256</t>
  </si>
  <si>
    <t>149255</t>
  </si>
  <si>
    <t>149254</t>
  </si>
  <si>
    <t>148557</t>
  </si>
  <si>
    <t>148555</t>
  </si>
  <si>
    <t>148558</t>
  </si>
  <si>
    <t>148556</t>
  </si>
  <si>
    <t>149949</t>
  </si>
  <si>
    <t>149947</t>
  </si>
  <si>
    <t>149950</t>
  </si>
  <si>
    <t>149945</t>
  </si>
  <si>
    <t>153129</t>
  </si>
  <si>
    <t>153130</t>
  </si>
  <si>
    <t>153128</t>
  </si>
  <si>
    <t>153115</t>
  </si>
  <si>
    <t>153336</t>
  </si>
  <si>
    <t>153334</t>
  </si>
  <si>
    <t>153333</t>
  </si>
  <si>
    <t>153335</t>
  </si>
  <si>
    <t>151399</t>
  </si>
  <si>
    <t>151398</t>
  </si>
  <si>
    <t>151397</t>
  </si>
  <si>
    <t>151365</t>
  </si>
  <si>
    <t>150849</t>
  </si>
  <si>
    <t>150848</t>
  </si>
  <si>
    <t>150850</t>
  </si>
  <si>
    <t>150807</t>
  </si>
  <si>
    <t>150772</t>
  </si>
  <si>
    <t>150771</t>
  </si>
  <si>
    <t>150770</t>
  </si>
  <si>
    <t>150727</t>
  </si>
  <si>
    <t>150721</t>
  </si>
  <si>
    <t>150720</t>
  </si>
  <si>
    <t>150722</t>
  </si>
  <si>
    <t>150671</t>
  </si>
  <si>
    <t>153496</t>
  </si>
  <si>
    <t>153495</t>
  </si>
  <si>
    <t>153494</t>
  </si>
  <si>
    <t>153497</t>
  </si>
  <si>
    <t>153803</t>
  </si>
  <si>
    <t>153802</t>
  </si>
  <si>
    <t>153800</t>
  </si>
  <si>
    <t>153801</t>
  </si>
  <si>
    <t>152813</t>
  </si>
  <si>
    <t>152814</t>
  </si>
  <si>
    <t>152242</t>
  </si>
  <si>
    <t>152245</t>
  </si>
  <si>
    <t>152244</t>
  </si>
  <si>
    <t>152243</t>
  </si>
  <si>
    <t>154017</t>
  </si>
  <si>
    <t>154016</t>
  </si>
  <si>
    <t>154019</t>
  </si>
  <si>
    <t>154018</t>
  </si>
  <si>
    <t>151372</t>
  </si>
  <si>
    <t>151370</t>
  </si>
  <si>
    <t>151371</t>
  </si>
  <si>
    <t>151373</t>
  </si>
  <si>
    <t>149969</t>
  </si>
  <si>
    <t>149968</t>
  </si>
  <si>
    <t>149971</t>
  </si>
  <si>
    <t>149970</t>
  </si>
  <si>
    <t>153346</t>
  </si>
  <si>
    <t>153347</t>
  </si>
  <si>
    <t>153345</t>
  </si>
  <si>
    <t>153348</t>
  </si>
  <si>
    <t>146383</t>
  </si>
  <si>
    <t>146380</t>
  </si>
  <si>
    <t>146382</t>
  </si>
  <si>
    <t>146381</t>
  </si>
  <si>
    <t>150430</t>
  </si>
  <si>
    <t>150427</t>
  </si>
  <si>
    <t>150429</t>
  </si>
  <si>
    <t>150428</t>
  </si>
  <si>
    <t>154013</t>
  </si>
  <si>
    <t>154012</t>
  </si>
  <si>
    <t>154015</t>
  </si>
  <si>
    <t>154014</t>
  </si>
  <si>
    <t>153589</t>
  </si>
  <si>
    <t>153588</t>
  </si>
  <si>
    <t>153591</t>
  </si>
  <si>
    <t>153590</t>
  </si>
  <si>
    <t>153595</t>
  </si>
  <si>
    <t>153592</t>
  </si>
  <si>
    <t>153594</t>
  </si>
  <si>
    <t>153593</t>
  </si>
  <si>
    <t>152653</t>
  </si>
  <si>
    <t>152654</t>
  </si>
  <si>
    <t>154091</t>
  </si>
  <si>
    <t>154090</t>
  </si>
  <si>
    <t>154089</t>
  </si>
  <si>
    <t>154088</t>
  </si>
  <si>
    <t>146378</t>
  </si>
  <si>
    <t>146379</t>
  </si>
  <si>
    <t>146377</t>
  </si>
  <si>
    <t>146376</t>
  </si>
  <si>
    <t>141876</t>
  </si>
  <si>
    <t>141875</t>
  </si>
  <si>
    <t>141878</t>
  </si>
  <si>
    <t>141877</t>
  </si>
  <si>
    <t>151330</t>
  </si>
  <si>
    <t>151327</t>
  </si>
  <si>
    <t>151328</t>
  </si>
  <si>
    <t>151329</t>
  </si>
  <si>
    <t>153217</t>
  </si>
  <si>
    <t>153216</t>
  </si>
  <si>
    <t>153218</t>
  </si>
  <si>
    <t>153219</t>
  </si>
  <si>
    <t>154303</t>
  </si>
  <si>
    <t>154304</t>
  </si>
  <si>
    <t>154302</t>
  </si>
  <si>
    <t>154301</t>
  </si>
  <si>
    <t>Choice Mutual Fund</t>
  </si>
  <si>
    <t>152930</t>
  </si>
  <si>
    <t>152931</t>
  </si>
  <si>
    <t>151573</t>
  </si>
  <si>
    <t>151576</t>
  </si>
  <si>
    <t>151575</t>
  </si>
  <si>
    <t>151574</t>
  </si>
  <si>
    <t>151280</t>
  </si>
  <si>
    <t>151279</t>
  </si>
  <si>
    <t>151281</t>
  </si>
  <si>
    <t>151283</t>
  </si>
  <si>
    <t>153001</t>
  </si>
  <si>
    <t>153000</t>
  </si>
  <si>
    <t>152328</t>
  </si>
  <si>
    <t>152331</t>
  </si>
  <si>
    <t>152330</t>
  </si>
  <si>
    <t>152329</t>
  </si>
  <si>
    <t>150593</t>
  </si>
  <si>
    <t>150590</t>
  </si>
  <si>
    <t>150592</t>
  </si>
  <si>
    <t>150591</t>
  </si>
  <si>
    <t>150635</t>
  </si>
  <si>
    <t>150634</t>
  </si>
  <si>
    <t>150633</t>
  </si>
  <si>
    <t>150636</t>
  </si>
  <si>
    <t>152717</t>
  </si>
  <si>
    <t>152716</t>
  </si>
  <si>
    <t>152265</t>
  </si>
  <si>
    <t>152266</t>
  </si>
  <si>
    <t>152263</t>
  </si>
  <si>
    <t>152264</t>
  </si>
  <si>
    <t>153349</t>
  </si>
  <si>
    <t>153350</t>
  </si>
  <si>
    <t>152856</t>
  </si>
  <si>
    <t>152855</t>
  </si>
  <si>
    <t>152044</t>
  </si>
  <si>
    <t>152043</t>
  </si>
  <si>
    <t>152042</t>
  </si>
  <si>
    <t>152041</t>
  </si>
  <si>
    <t>152792</t>
  </si>
  <si>
    <t>152793</t>
  </si>
  <si>
    <t>153212</t>
  </si>
  <si>
    <t>153213</t>
  </si>
  <si>
    <t>152180</t>
  </si>
  <si>
    <t>152179</t>
  </si>
  <si>
    <t>152178</t>
  </si>
  <si>
    <t>152177</t>
  </si>
  <si>
    <t>152991</t>
  </si>
  <si>
    <t>152990</t>
  </si>
  <si>
    <t>153002</t>
  </si>
  <si>
    <t>153003</t>
  </si>
  <si>
    <t>118483</t>
  </si>
  <si>
    <t>118482</t>
  </si>
  <si>
    <t>112878</t>
  </si>
  <si>
    <t>112877</t>
  </si>
  <si>
    <t>153113</t>
  </si>
  <si>
    <t>153114</t>
  </si>
  <si>
    <t>149834</t>
  </si>
  <si>
    <t>149833</t>
  </si>
  <si>
    <t>149835</t>
  </si>
  <si>
    <t>149832</t>
  </si>
  <si>
    <t>153408</t>
  </si>
  <si>
    <t>153407</t>
  </si>
  <si>
    <t>153392</t>
  </si>
  <si>
    <t>153391</t>
  </si>
  <si>
    <t>153390</t>
  </si>
  <si>
    <t>153389</t>
  </si>
  <si>
    <t>148787</t>
  </si>
  <si>
    <t>148786</t>
  </si>
  <si>
    <t>148788</t>
  </si>
  <si>
    <t>148789</t>
  </si>
  <si>
    <t>151410</t>
  </si>
  <si>
    <t>151409</t>
  </si>
  <si>
    <t>151411</t>
  </si>
  <si>
    <t>151408</t>
  </si>
  <si>
    <t>148793</t>
  </si>
  <si>
    <t>148790</t>
  </si>
  <si>
    <t>148791</t>
  </si>
  <si>
    <t>148792</t>
  </si>
  <si>
    <t>150745</t>
  </si>
  <si>
    <t>150744</t>
  </si>
  <si>
    <t>150747</t>
  </si>
  <si>
    <t>150746</t>
  </si>
  <si>
    <t>150891</t>
  </si>
  <si>
    <t>150890</t>
  </si>
  <si>
    <t>150889</t>
  </si>
  <si>
    <t>150888</t>
  </si>
  <si>
    <t>150870</t>
  </si>
  <si>
    <t>150869</t>
  </si>
  <si>
    <t>150867</t>
  </si>
  <si>
    <t>150868</t>
  </si>
  <si>
    <t>150874</t>
  </si>
  <si>
    <t>150873</t>
  </si>
  <si>
    <t>150872</t>
  </si>
  <si>
    <t>150871</t>
  </si>
  <si>
    <t>153839</t>
  </si>
  <si>
    <t>153838</t>
  </si>
  <si>
    <t>152843</t>
  </si>
  <si>
    <t>152844</t>
  </si>
  <si>
    <t>153481</t>
  </si>
  <si>
    <t>153480</t>
  </si>
  <si>
    <t>153478</t>
  </si>
  <si>
    <t>153479</t>
  </si>
  <si>
    <t>153507</t>
  </si>
  <si>
    <t>153508</t>
  </si>
  <si>
    <t>153505</t>
  </si>
  <si>
    <t>153506</t>
  </si>
  <si>
    <t>152950</t>
  </si>
  <si>
    <t>152949</t>
  </si>
  <si>
    <t>153830</t>
  </si>
  <si>
    <t>153829</t>
  </si>
  <si>
    <t>153245</t>
  </si>
  <si>
    <t>153244</t>
  </si>
  <si>
    <t>149897</t>
  </si>
  <si>
    <t>149896</t>
  </si>
  <si>
    <t>149895</t>
  </si>
  <si>
    <t>149894</t>
  </si>
  <si>
    <t>150851</t>
  </si>
  <si>
    <t>150853</t>
  </si>
  <si>
    <t>150852</t>
  </si>
  <si>
    <t>150854</t>
  </si>
  <si>
    <t>149468</t>
  </si>
  <si>
    <t>149467</t>
  </si>
  <si>
    <t>149469</t>
  </si>
  <si>
    <t>149466</t>
  </si>
  <si>
    <t>149937</t>
  </si>
  <si>
    <t>149938</t>
  </si>
  <si>
    <t>149935</t>
  </si>
  <si>
    <t>149936</t>
  </si>
  <si>
    <t>151784</t>
  </si>
  <si>
    <t>151787</t>
  </si>
  <si>
    <t>151786</t>
  </si>
  <si>
    <t>151785</t>
  </si>
  <si>
    <t>152630</t>
  </si>
  <si>
    <t>152632</t>
  </si>
  <si>
    <t>152631</t>
  </si>
  <si>
    <t>152629</t>
  </si>
  <si>
    <t>152730</t>
  </si>
  <si>
    <t>152731</t>
  </si>
  <si>
    <t>149372</t>
  </si>
  <si>
    <t>149371</t>
  </si>
  <si>
    <t>149374</t>
  </si>
  <si>
    <t>149373</t>
  </si>
  <si>
    <t>147667</t>
  </si>
  <si>
    <t>147665</t>
  </si>
  <si>
    <t>147668</t>
  </si>
  <si>
    <t>147666</t>
  </si>
  <si>
    <t>153881</t>
  </si>
  <si>
    <t>153880</t>
  </si>
  <si>
    <t>153882</t>
  </si>
  <si>
    <t>153879</t>
  </si>
  <si>
    <t>153175</t>
  </si>
  <si>
    <t>153174</t>
  </si>
  <si>
    <t>153173</t>
  </si>
  <si>
    <t>153172</t>
  </si>
  <si>
    <t>152885</t>
  </si>
  <si>
    <t>152886</t>
  </si>
  <si>
    <t>152888</t>
  </si>
  <si>
    <t>152887</t>
  </si>
  <si>
    <t>153053</t>
  </si>
  <si>
    <t>153050</t>
  </si>
  <si>
    <t>153052</t>
  </si>
  <si>
    <t>153051</t>
  </si>
  <si>
    <t>149875</t>
  </si>
  <si>
    <t>149872</t>
  </si>
  <si>
    <t>149874</t>
  </si>
  <si>
    <t>149873</t>
  </si>
  <si>
    <t>151434</t>
  </si>
  <si>
    <t>151433</t>
  </si>
  <si>
    <t>151435</t>
  </si>
  <si>
    <t>151436</t>
  </si>
  <si>
    <t>151298</t>
  </si>
  <si>
    <t>151297</t>
  </si>
  <si>
    <t>151299</t>
  </si>
  <si>
    <t>151300</t>
  </si>
  <si>
    <t>152423</t>
  </si>
  <si>
    <t>152421</t>
  </si>
  <si>
    <t>152424</t>
  </si>
  <si>
    <t>152422</t>
  </si>
  <si>
    <t>154170</t>
  </si>
  <si>
    <t>154171</t>
  </si>
  <si>
    <t>153955</t>
  </si>
  <si>
    <t>153956</t>
  </si>
  <si>
    <t>153331</t>
  </si>
  <si>
    <t>153330</t>
  </si>
  <si>
    <t>153530</t>
  </si>
  <si>
    <t>153529</t>
  </si>
  <si>
    <t>148811</t>
  </si>
  <si>
    <t>148812</t>
  </si>
  <si>
    <t>148815</t>
  </si>
  <si>
    <t>148814</t>
  </si>
  <si>
    <t>151561</t>
  </si>
  <si>
    <t>151560</t>
  </si>
  <si>
    <t>151563</t>
  </si>
  <si>
    <t>151562</t>
  </si>
  <si>
    <t>150667</t>
  </si>
  <si>
    <t>150665</t>
  </si>
  <si>
    <t>150664</t>
  </si>
  <si>
    <t>150663</t>
  </si>
  <si>
    <t>149201</t>
  </si>
  <si>
    <t>149198</t>
  </si>
  <si>
    <t>149200</t>
  </si>
  <si>
    <t>149199</t>
  </si>
  <si>
    <t>149791</t>
  </si>
  <si>
    <t>149792</t>
  </si>
  <si>
    <t>149793</t>
  </si>
  <si>
    <t>149794</t>
  </si>
  <si>
    <t>149836</t>
  </si>
  <si>
    <t>149837</t>
  </si>
  <si>
    <t>149839</t>
  </si>
  <si>
    <t>149838</t>
  </si>
  <si>
    <t>148805</t>
  </si>
  <si>
    <t>148807</t>
  </si>
  <si>
    <t>148806</t>
  </si>
  <si>
    <t>148809</t>
  </si>
  <si>
    <t>152800</t>
  </si>
  <si>
    <t>152801</t>
  </si>
  <si>
    <t>152799</t>
  </si>
  <si>
    <t>152798</t>
  </si>
  <si>
    <t>101313</t>
  </si>
  <si>
    <t>119649</t>
  </si>
  <si>
    <t>101314</t>
  </si>
  <si>
    <t>119648</t>
  </si>
  <si>
    <t>148964</t>
  </si>
  <si>
    <t>148965</t>
  </si>
  <si>
    <t>148963</t>
  </si>
  <si>
    <t>148962</t>
  </si>
  <si>
    <t>153445</t>
  </si>
  <si>
    <t>153444</t>
  </si>
  <si>
    <t>153443</t>
  </si>
  <si>
    <t>153177</t>
  </si>
  <si>
    <t>153176</t>
  </si>
  <si>
    <t>153179</t>
  </si>
  <si>
    <t>153178</t>
  </si>
  <si>
    <t>152946</t>
  </si>
  <si>
    <t>152945</t>
  </si>
  <si>
    <t>152948</t>
  </si>
  <si>
    <t>152947</t>
  </si>
  <si>
    <t>153032</t>
  </si>
  <si>
    <t>153033</t>
  </si>
  <si>
    <t>153031</t>
  </si>
  <si>
    <t>153030</t>
  </si>
  <si>
    <t>151426</t>
  </si>
  <si>
    <t>151428</t>
  </si>
  <si>
    <t>151425</t>
  </si>
  <si>
    <t>151427</t>
  </si>
  <si>
    <t>150700</t>
  </si>
  <si>
    <t>150701</t>
  </si>
  <si>
    <t>150698</t>
  </si>
  <si>
    <t>150699</t>
  </si>
  <si>
    <t>152661</t>
  </si>
  <si>
    <t>152660</t>
  </si>
  <si>
    <t>152662</t>
  </si>
  <si>
    <t>152659</t>
  </si>
  <si>
    <t>152269</t>
  </si>
  <si>
    <t>152268</t>
  </si>
  <si>
    <t>152270</t>
  </si>
  <si>
    <t>152267</t>
  </si>
  <si>
    <t>151582</t>
  </si>
  <si>
    <t>151583</t>
  </si>
  <si>
    <t>151584</t>
  </si>
  <si>
    <t>151577</t>
  </si>
  <si>
    <t>150778</t>
  </si>
  <si>
    <t>150779</t>
  </si>
  <si>
    <t>150777</t>
  </si>
  <si>
    <t>150780</t>
  </si>
  <si>
    <t>150350</t>
  </si>
  <si>
    <t>150351</t>
  </si>
  <si>
    <t>150352</t>
  </si>
  <si>
    <t>150353</t>
  </si>
  <si>
    <t>150937</t>
  </si>
  <si>
    <t>150936</t>
  </si>
  <si>
    <t>150939</t>
  </si>
  <si>
    <t>150938</t>
  </si>
  <si>
    <t>150705</t>
  </si>
  <si>
    <t>150703</t>
  </si>
  <si>
    <t>150704</t>
  </si>
  <si>
    <t>150702</t>
  </si>
  <si>
    <t>153079</t>
  </si>
  <si>
    <t>153080</t>
  </si>
  <si>
    <t>153078</t>
  </si>
  <si>
    <t>153081</t>
  </si>
  <si>
    <t>153743</t>
  </si>
  <si>
    <t>153742</t>
  </si>
  <si>
    <t>153741</t>
  </si>
  <si>
    <t>153740</t>
  </si>
  <si>
    <t>153734</t>
  </si>
  <si>
    <t>153737</t>
  </si>
  <si>
    <t>153736</t>
  </si>
  <si>
    <t>153735</t>
  </si>
  <si>
    <t>Open Ended Schemes(Other Scheme - Index Funds)</t>
  </si>
  <si>
    <t>152476</t>
  </si>
  <si>
    <t>105463</t>
  </si>
  <si>
    <t>153337</t>
  </si>
  <si>
    <t>154092</t>
  </si>
  <si>
    <t>The Wealth Company Mutual Fund</t>
  </si>
  <si>
    <t>152284</t>
  </si>
  <si>
    <t>111954</t>
  </si>
  <si>
    <t>107693</t>
  </si>
  <si>
    <t>140088</t>
  </si>
  <si>
    <t>153780</t>
  </si>
  <si>
    <t>151416</t>
  </si>
  <si>
    <t>151961</t>
  </si>
  <si>
    <t>106193</t>
  </si>
  <si>
    <t>112368</t>
  </si>
  <si>
    <t>113076</t>
  </si>
  <si>
    <t>154294</t>
  </si>
  <si>
    <t>113049</t>
  </si>
  <si>
    <t>152957</t>
  </si>
  <si>
    <t>152193</t>
  </si>
  <si>
    <t>151737</t>
  </si>
  <si>
    <t>153933</t>
  </si>
  <si>
    <t>152231</t>
  </si>
  <si>
    <t>153930</t>
  </si>
  <si>
    <t>113434</t>
  </si>
  <si>
    <t>153826</t>
  </si>
  <si>
    <t>115127</t>
  </si>
  <si>
    <t>153357</t>
  </si>
  <si>
    <t>Open Ended Schemes(Other Scheme - Gold ETF)</t>
  </si>
  <si>
    <t>106369</t>
  </si>
  <si>
    <t>106370</t>
  </si>
  <si>
    <t>119601</t>
  </si>
  <si>
    <t>119602</t>
  </si>
  <si>
    <t>148759</t>
  </si>
  <si>
    <t>148762</t>
  </si>
  <si>
    <t>148761</t>
  </si>
  <si>
    <t>148760</t>
  </si>
  <si>
    <t>149301</t>
  </si>
  <si>
    <t>149299</t>
  </si>
  <si>
    <t>149300</t>
  </si>
  <si>
    <t>149298</t>
  </si>
  <si>
    <t>138523</t>
  </si>
  <si>
    <t>138524</t>
  </si>
  <si>
    <t>138528</t>
  </si>
  <si>
    <t>138527</t>
  </si>
  <si>
    <t>138525</t>
  </si>
  <si>
    <t>138453</t>
  </si>
  <si>
    <t>138454</t>
  </si>
  <si>
    <t>138457</t>
  </si>
  <si>
    <t>138456</t>
  </si>
  <si>
    <t>149831</t>
  </si>
  <si>
    <t>149830</t>
  </si>
  <si>
    <t>149911</t>
  </si>
  <si>
    <t>149910</t>
  </si>
  <si>
    <t>152091</t>
  </si>
  <si>
    <t>152090</t>
  </si>
  <si>
    <t>150596</t>
  </si>
  <si>
    <t>150597</t>
  </si>
  <si>
    <t>150594</t>
  </si>
  <si>
    <t>150595</t>
  </si>
  <si>
    <t>149229</t>
  </si>
  <si>
    <t>149228</t>
  </si>
  <si>
    <t>149231</t>
  </si>
  <si>
    <t>149230</t>
  </si>
  <si>
    <t>Mahindra Manulife Mutual Fund</t>
  </si>
  <si>
    <t>133816</t>
  </si>
  <si>
    <t>133817</t>
  </si>
  <si>
    <t>133815</t>
  </si>
  <si>
    <t>133814</t>
  </si>
  <si>
    <t>148662</t>
  </si>
  <si>
    <t>148661</t>
  </si>
  <si>
    <t>133833</t>
  </si>
  <si>
    <t>133830</t>
  </si>
  <si>
    <t>133831</t>
  </si>
  <si>
    <t>133832</t>
  </si>
  <si>
    <t>154289</t>
  </si>
  <si>
    <t>154286</t>
  </si>
  <si>
    <t>154288</t>
  </si>
  <si>
    <t>154287</t>
  </si>
  <si>
    <t>148647</t>
  </si>
  <si>
    <t>148645</t>
  </si>
  <si>
    <t>148649</t>
  </si>
  <si>
    <t>148646</t>
  </si>
  <si>
    <t>149059</t>
  </si>
  <si>
    <t>149060</t>
  </si>
  <si>
    <t>149056</t>
  </si>
  <si>
    <t>149058</t>
  </si>
  <si>
    <t>106441</t>
  </si>
  <si>
    <t>119778</t>
  </si>
  <si>
    <t>106442</t>
  </si>
  <si>
    <t>119779</t>
  </si>
  <si>
    <t>126350</t>
  </si>
  <si>
    <t>126351</t>
  </si>
  <si>
    <t>126352</t>
  </si>
  <si>
    <t>126353</t>
  </si>
  <si>
    <t>129189</t>
  </si>
  <si>
    <t>129187</t>
  </si>
  <si>
    <t>129190</t>
  </si>
  <si>
    <t>129188</t>
  </si>
  <si>
    <t>148612</t>
  </si>
  <si>
    <t>148613</t>
  </si>
  <si>
    <t>148615</t>
  </si>
  <si>
    <t>148614</t>
  </si>
  <si>
    <t>149960</t>
  </si>
  <si>
    <t>149961</t>
  </si>
  <si>
    <t>149457</t>
  </si>
  <si>
    <t>149456</t>
  </si>
  <si>
    <t>149458</t>
  </si>
  <si>
    <t>149455</t>
  </si>
  <si>
    <t>123653</t>
  </si>
  <si>
    <t>123651</t>
  </si>
  <si>
    <t>123652</t>
  </si>
  <si>
    <t>123654</t>
  </si>
  <si>
    <t>120044</t>
  </si>
  <si>
    <t>107989</t>
  </si>
  <si>
    <t>107988</t>
  </si>
  <si>
    <t>120043</t>
  </si>
  <si>
    <t>115116</t>
  </si>
  <si>
    <t>120036</t>
  </si>
  <si>
    <t>115117</t>
  </si>
  <si>
    <t>120035</t>
  </si>
  <si>
    <t>127070</t>
  </si>
  <si>
    <t>127072</t>
  </si>
  <si>
    <t>127071</t>
  </si>
  <si>
    <t>127073</t>
  </si>
  <si>
    <t>149181</t>
  </si>
  <si>
    <t>149180</t>
  </si>
  <si>
    <t>116632</t>
  </si>
  <si>
    <t>116633</t>
  </si>
  <si>
    <t>118550</t>
  </si>
  <si>
    <t>118551</t>
  </si>
  <si>
    <t>140273</t>
  </si>
  <si>
    <t>140274</t>
  </si>
  <si>
    <t>148064</t>
  </si>
  <si>
    <t>148063</t>
  </si>
  <si>
    <t>140242</t>
  </si>
  <si>
    <t>140243</t>
  </si>
  <si>
    <t>140295</t>
  </si>
  <si>
    <t>140296</t>
  </si>
  <si>
    <t>140328</t>
  </si>
  <si>
    <t>140327</t>
  </si>
  <si>
    <t>140255</t>
  </si>
  <si>
    <t>140256</t>
  </si>
  <si>
    <t>112347</t>
  </si>
  <si>
    <t>112293</t>
  </si>
  <si>
    <t>119280</t>
  </si>
  <si>
    <t>119279</t>
  </si>
  <si>
    <t>106596</t>
  </si>
  <si>
    <t>106597</t>
  </si>
  <si>
    <t>119278</t>
  </si>
  <si>
    <t>119277</t>
  </si>
  <si>
    <t>117692</t>
  </si>
  <si>
    <t>117691</t>
  </si>
  <si>
    <t>119253</t>
  </si>
  <si>
    <t>119252</t>
  </si>
  <si>
    <t>152530</t>
  </si>
  <si>
    <t>152527</t>
  </si>
  <si>
    <t>152529</t>
  </si>
  <si>
    <t>152528</t>
  </si>
  <si>
    <t>149814</t>
  </si>
  <si>
    <t>149817</t>
  </si>
  <si>
    <t>149815</t>
  </si>
  <si>
    <t>149816</t>
  </si>
  <si>
    <t>119275</t>
  </si>
  <si>
    <t>112127</t>
  </si>
  <si>
    <t>112126</t>
  </si>
  <si>
    <t>119276</t>
  </si>
  <si>
    <t>150284</t>
  </si>
  <si>
    <t>150286</t>
  </si>
  <si>
    <t>150287</t>
  </si>
  <si>
    <t>150285</t>
  </si>
  <si>
    <t>151547</t>
  </si>
  <si>
    <t>151546</t>
  </si>
  <si>
    <t>151549</t>
  </si>
  <si>
    <t>151548</t>
  </si>
  <si>
    <t>149097</t>
  </si>
  <si>
    <t>149099</t>
  </si>
  <si>
    <t>149100</t>
  </si>
  <si>
    <t>149098</t>
  </si>
  <si>
    <t>152238</t>
  </si>
  <si>
    <t>152239</t>
  </si>
  <si>
    <t>152241</t>
  </si>
  <si>
    <t>152240</t>
  </si>
  <si>
    <t>150748</t>
  </si>
  <si>
    <t>150750</t>
  </si>
  <si>
    <t>150749</t>
  </si>
  <si>
    <t>150751</t>
  </si>
  <si>
    <t>148702</t>
  </si>
  <si>
    <t>148701</t>
  </si>
  <si>
    <t>148700</t>
  </si>
  <si>
    <t>148699</t>
  </si>
  <si>
    <t>148956</t>
  </si>
  <si>
    <t>148953</t>
  </si>
  <si>
    <t>148955</t>
  </si>
  <si>
    <t>148954</t>
  </si>
  <si>
    <t>148488</t>
  </si>
  <si>
    <t>148486</t>
  </si>
  <si>
    <t>148487</t>
  </si>
  <si>
    <t>148485</t>
  </si>
  <si>
    <t>152149</t>
  </si>
  <si>
    <t>152147</t>
  </si>
  <si>
    <t>152145</t>
  </si>
  <si>
    <t>152150</t>
  </si>
  <si>
    <t>152144</t>
  </si>
  <si>
    <t>152142</t>
  </si>
  <si>
    <t>152139</t>
  </si>
  <si>
    <t>152140</t>
  </si>
  <si>
    <t>149292</t>
  </si>
  <si>
    <t>149290</t>
  </si>
  <si>
    <t>149291</t>
  </si>
  <si>
    <t>149289</t>
  </si>
  <si>
    <t>132003</t>
  </si>
  <si>
    <t>132010</t>
  </si>
  <si>
    <t>132005</t>
  </si>
  <si>
    <t>132009</t>
  </si>
  <si>
    <t>132138</t>
  </si>
  <si>
    <t>132139</t>
  </si>
  <si>
    <t>132140</t>
  </si>
  <si>
    <t>132141</t>
  </si>
  <si>
    <t>Open Ended Schemes(Other Scheme - FoF Overseas)</t>
  </si>
  <si>
    <t>153656</t>
  </si>
  <si>
    <t>153757</t>
  </si>
  <si>
    <t>153011</t>
  </si>
  <si>
    <t>151732</t>
  </si>
  <si>
    <t>151731</t>
  </si>
  <si>
    <t>153441</t>
  </si>
  <si>
    <t>153442</t>
  </si>
  <si>
    <t>150715</t>
  </si>
  <si>
    <t>150714</t>
  </si>
  <si>
    <t>153574</t>
  </si>
  <si>
    <t>153573</t>
  </si>
  <si>
    <t>153576</t>
  </si>
  <si>
    <t>153575</t>
  </si>
  <si>
    <t>153341</t>
  </si>
  <si>
    <t>153338</t>
  </si>
  <si>
    <t>153339</t>
  </si>
  <si>
    <t>153340</t>
  </si>
  <si>
    <t>153823</t>
  </si>
  <si>
    <t>153822</t>
  </si>
  <si>
    <t>153825</t>
  </si>
  <si>
    <t>153824</t>
  </si>
  <si>
    <t>154134</t>
  </si>
  <si>
    <t>154133</t>
  </si>
  <si>
    <t>154132</t>
  </si>
  <si>
    <t>154131</t>
  </si>
  <si>
    <t>152292</t>
  </si>
  <si>
    <t>152296</t>
  </si>
  <si>
    <t>152297</t>
  </si>
  <si>
    <t>152295</t>
  </si>
  <si>
    <t>152294</t>
  </si>
  <si>
    <t>152293</t>
  </si>
  <si>
    <t>150343</t>
  </si>
  <si>
    <t>150342</t>
  </si>
  <si>
    <t>150340</t>
  </si>
  <si>
    <t>150344</t>
  </si>
  <si>
    <t>150341</t>
  </si>
  <si>
    <t>150345</t>
  </si>
  <si>
    <t>153514</t>
  </si>
  <si>
    <t>153510</t>
  </si>
  <si>
    <t>153511</t>
  </si>
  <si>
    <t>153509</t>
  </si>
  <si>
    <t>153512</t>
  </si>
  <si>
    <t>153513</t>
  </si>
  <si>
    <t>152291</t>
  </si>
  <si>
    <t>152286</t>
  </si>
  <si>
    <t>152290</t>
  </si>
  <si>
    <t>152289</t>
  </si>
  <si>
    <t>152288</t>
  </si>
  <si>
    <t>152287</t>
  </si>
  <si>
    <t>154125</t>
  </si>
  <si>
    <t>154127</t>
  </si>
  <si>
    <t>154124</t>
  </si>
  <si>
    <t>154123</t>
  </si>
  <si>
    <t>152733</t>
  </si>
  <si>
    <t>152736</t>
  </si>
  <si>
    <t>152735</t>
  </si>
  <si>
    <t>152734</t>
  </si>
  <si>
    <t>153499</t>
  </si>
  <si>
    <t>153500</t>
  </si>
  <si>
    <t>153501</t>
  </si>
  <si>
    <t>153498</t>
  </si>
  <si>
    <t>119788</t>
  </si>
  <si>
    <t>115676</t>
  </si>
  <si>
    <t>115677</t>
  </si>
  <si>
    <t>119789</t>
  </si>
  <si>
    <t>153833</t>
  </si>
  <si>
    <t>153834</t>
  </si>
  <si>
    <t>153831</t>
  </si>
  <si>
    <t>153832</t>
  </si>
  <si>
    <t>150389</t>
  </si>
  <si>
    <t>150390</t>
  </si>
  <si>
    <t>141072</t>
  </si>
  <si>
    <t>117608</t>
  </si>
  <si>
    <t>141064</t>
  </si>
  <si>
    <t>115132</t>
  </si>
  <si>
    <t>141062</t>
  </si>
  <si>
    <t>141063</t>
  </si>
  <si>
    <t>112038</t>
  </si>
  <si>
    <t>112039</t>
  </si>
  <si>
    <t>149759</t>
  </si>
  <si>
    <t>149761</t>
  </si>
  <si>
    <t>149762</t>
  </si>
  <si>
    <t>149760</t>
  </si>
  <si>
    <t>146512</t>
  </si>
  <si>
    <t>146514</t>
  </si>
  <si>
    <t>146515</t>
  </si>
  <si>
    <t>146513</t>
  </si>
  <si>
    <t>148663</t>
  </si>
  <si>
    <t>148665</t>
  </si>
  <si>
    <t>148664</t>
  </si>
  <si>
    <t>148666</t>
  </si>
  <si>
    <t>153600</t>
  </si>
  <si>
    <t>153601</t>
  </si>
  <si>
    <t>153599</t>
  </si>
  <si>
    <t>153598</t>
  </si>
  <si>
    <t>114616</t>
  </si>
  <si>
    <t>114617</t>
  </si>
  <si>
    <t>118663</t>
  </si>
  <si>
    <t>118662</t>
  </si>
  <si>
    <t>148644</t>
  </si>
  <si>
    <t>148641</t>
  </si>
  <si>
    <t>148643</t>
  </si>
  <si>
    <t>148642</t>
  </si>
  <si>
    <t>145551</t>
  </si>
  <si>
    <t>145552</t>
  </si>
  <si>
    <t>154238</t>
  </si>
  <si>
    <t>154239</t>
  </si>
  <si>
    <t>150641</t>
  </si>
  <si>
    <t>150642</t>
  </si>
  <si>
    <t>154113</t>
  </si>
  <si>
    <t>154112</t>
  </si>
  <si>
    <t>148749</t>
  </si>
  <si>
    <t>148750</t>
  </si>
  <si>
    <t>148748</t>
  </si>
  <si>
    <t>148747</t>
  </si>
  <si>
    <t>149241</t>
  </si>
  <si>
    <t>149240</t>
  </si>
  <si>
    <t>154282</t>
  </si>
  <si>
    <t>154281</t>
  </si>
  <si>
    <t>154280</t>
  </si>
  <si>
    <t>154279</t>
  </si>
  <si>
    <t>149171</t>
  </si>
  <si>
    <t>149170</t>
  </si>
  <si>
    <t>148929</t>
  </si>
  <si>
    <t>148928</t>
  </si>
  <si>
    <t>152721</t>
  </si>
  <si>
    <t>152720</t>
  </si>
  <si>
    <t>152719</t>
  </si>
  <si>
    <t>152718</t>
  </si>
  <si>
    <t>152458</t>
  </si>
  <si>
    <t>152457</t>
  </si>
  <si>
    <t>152456</t>
  </si>
  <si>
    <t>152459</t>
  </si>
  <si>
    <t>152648</t>
  </si>
  <si>
    <t>152647</t>
  </si>
  <si>
    <t>152646</t>
  </si>
  <si>
    <t>152645</t>
  </si>
  <si>
    <t>154219</t>
  </si>
  <si>
    <t>154218</t>
  </si>
  <si>
    <t>154217</t>
  </si>
  <si>
    <t>154216</t>
  </si>
  <si>
    <t>153195</t>
  </si>
  <si>
    <t>153194</t>
  </si>
  <si>
    <t>153193</t>
  </si>
  <si>
    <t>153192</t>
  </si>
  <si>
    <t>149789</t>
  </si>
  <si>
    <t>149788</t>
  </si>
  <si>
    <t>149787</t>
  </si>
  <si>
    <t>149790</t>
  </si>
  <si>
    <t>148576</t>
  </si>
  <si>
    <t>148574</t>
  </si>
  <si>
    <t>148573</t>
  </si>
  <si>
    <t>148575</t>
  </si>
  <si>
    <t>153819</t>
  </si>
  <si>
    <t>153818</t>
  </si>
  <si>
    <t>153817</t>
  </si>
  <si>
    <t>153816</t>
  </si>
  <si>
    <t>153641</t>
  </si>
  <si>
    <t>153640</t>
  </si>
  <si>
    <t>153639</t>
  </si>
  <si>
    <t>153638</t>
  </si>
  <si>
    <t>149381</t>
  </si>
  <si>
    <t>149380</t>
  </si>
  <si>
    <t>153815</t>
  </si>
  <si>
    <t>153814</t>
  </si>
  <si>
    <t>153813</t>
  </si>
  <si>
    <t>153812</t>
  </si>
  <si>
    <t>153010</t>
  </si>
  <si>
    <t>153009</t>
  </si>
  <si>
    <t>153008</t>
  </si>
  <si>
    <t>153007</t>
  </si>
  <si>
    <t>148503</t>
  </si>
  <si>
    <t>148502</t>
  </si>
  <si>
    <t>148501</t>
  </si>
  <si>
    <t>148500</t>
  </si>
  <si>
    <t>153388</t>
  </si>
  <si>
    <t>153387</t>
  </si>
  <si>
    <t>153386</t>
  </si>
  <si>
    <t>153385</t>
  </si>
  <si>
    <t>154190</t>
  </si>
  <si>
    <t>154189</t>
  </si>
  <si>
    <t>154188</t>
  </si>
  <si>
    <t>154187</t>
  </si>
  <si>
    <t>153383</t>
  </si>
  <si>
    <t>153382</t>
  </si>
  <si>
    <t>153381</t>
  </si>
  <si>
    <t>153380</t>
  </si>
  <si>
    <t>154005</t>
  </si>
  <si>
    <t>154006</t>
  </si>
  <si>
    <t>154008</t>
  </si>
  <si>
    <t>154007</t>
  </si>
  <si>
    <t>151973</t>
  </si>
  <si>
    <t>151974</t>
  </si>
  <si>
    <t>151602</t>
  </si>
  <si>
    <t>151603</t>
  </si>
  <si>
    <t>154276</t>
  </si>
  <si>
    <t>154275</t>
  </si>
  <si>
    <t>102573</t>
  </si>
  <si>
    <t>102574</t>
  </si>
  <si>
    <t>119776</t>
  </si>
  <si>
    <t>119777</t>
  </si>
  <si>
    <t>150821</t>
  </si>
  <si>
    <t>150823</t>
  </si>
  <si>
    <t>150822</t>
  </si>
  <si>
    <t>150820</t>
  </si>
  <si>
    <t>153922</t>
  </si>
  <si>
    <t>153921</t>
  </si>
  <si>
    <t>119780</t>
  </si>
  <si>
    <t>114757</t>
  </si>
  <si>
    <t>119781</t>
  </si>
  <si>
    <t>114758</t>
  </si>
  <si>
    <t>153696</t>
  </si>
  <si>
    <t>153695</t>
  </si>
  <si>
    <t>153698</t>
  </si>
  <si>
    <t>153697</t>
  </si>
  <si>
    <t>116075</t>
  </si>
  <si>
    <t>116077</t>
  </si>
  <si>
    <t>120530</t>
  </si>
  <si>
    <t>120531</t>
  </si>
  <si>
    <t>149778</t>
  </si>
  <si>
    <t>149777</t>
  </si>
  <si>
    <t>149776</t>
  </si>
  <si>
    <t>149775</t>
  </si>
  <si>
    <t>149440</t>
  </si>
  <si>
    <t>149439</t>
  </si>
  <si>
    <t>149442</t>
  </si>
  <si>
    <t>149441</t>
  </si>
  <si>
    <t>153393</t>
  </si>
  <si>
    <t>153396</t>
  </si>
  <si>
    <t>153395</t>
  </si>
  <si>
    <t>153394</t>
  </si>
  <si>
    <t>149159</t>
  </si>
  <si>
    <t>149157</t>
  </si>
  <si>
    <t>149160</t>
  </si>
  <si>
    <t>149158</t>
  </si>
  <si>
    <t>148824</t>
  </si>
  <si>
    <t>148821</t>
  </si>
  <si>
    <t>148823</t>
  </si>
  <si>
    <t>148822</t>
  </si>
  <si>
    <t>102134</t>
  </si>
  <si>
    <t>102133</t>
  </si>
  <si>
    <t>120242</t>
  </si>
  <si>
    <t>120243</t>
  </si>
  <si>
    <t>102140</t>
  </si>
  <si>
    <t>102139</t>
  </si>
  <si>
    <t>120314</t>
  </si>
  <si>
    <t>120313</t>
  </si>
  <si>
    <t>115834</t>
  </si>
  <si>
    <t>115833</t>
  </si>
  <si>
    <t>120686</t>
  </si>
  <si>
    <t>120685</t>
  </si>
  <si>
    <t>147646</t>
  </si>
  <si>
    <t>147647</t>
  </si>
  <si>
    <t>147645</t>
  </si>
  <si>
    <t>147648</t>
  </si>
  <si>
    <t>102138</t>
  </si>
  <si>
    <t>102137</t>
  </si>
  <si>
    <t>120680</t>
  </si>
  <si>
    <t>120679</t>
  </si>
  <si>
    <t>148034</t>
  </si>
  <si>
    <t>148033</t>
  </si>
  <si>
    <t>148036</t>
  </si>
  <si>
    <t>148035</t>
  </si>
  <si>
    <t>154265</t>
  </si>
  <si>
    <t>154266</t>
  </si>
  <si>
    <t>102143</t>
  </si>
  <si>
    <t>102141</t>
  </si>
  <si>
    <t>120703</t>
  </si>
  <si>
    <t>120702</t>
  </si>
  <si>
    <t>149332</t>
  </si>
  <si>
    <t>149334</t>
  </si>
  <si>
    <t>149333</t>
  </si>
  <si>
    <t>149331</t>
  </si>
  <si>
    <t>143903</t>
  </si>
  <si>
    <t>143904</t>
  </si>
  <si>
    <t>102136</t>
  </si>
  <si>
    <t>102135</t>
  </si>
  <si>
    <t>120700</t>
  </si>
  <si>
    <t>129192</t>
  </si>
  <si>
    <t>129194</t>
  </si>
  <si>
    <t>129193</t>
  </si>
  <si>
    <t>129191</t>
  </si>
  <si>
    <t>129196</t>
  </si>
  <si>
    <t>129198</t>
  </si>
  <si>
    <t>129197</t>
  </si>
  <si>
    <t>129195</t>
  </si>
  <si>
    <t>154296</t>
  </si>
  <si>
    <t>154298</t>
  </si>
  <si>
    <t>154297</t>
  </si>
  <si>
    <t>154295</t>
  </si>
  <si>
    <t>129200</t>
  </si>
  <si>
    <t>129065</t>
  </si>
  <si>
    <t>129201</t>
  </si>
  <si>
    <t>129199</t>
  </si>
  <si>
    <t>150737</t>
  </si>
  <si>
    <t>150736</t>
  </si>
  <si>
    <t>148902</t>
  </si>
  <si>
    <t>148900</t>
  </si>
  <si>
    <t>148903</t>
  </si>
  <si>
    <t>148901</t>
  </si>
  <si>
    <t>154264</t>
  </si>
  <si>
    <t>154263</t>
  </si>
  <si>
    <t>154261</t>
  </si>
  <si>
    <t>154262</t>
  </si>
  <si>
    <t>130547</t>
  </si>
  <si>
    <t>130540</t>
  </si>
  <si>
    <t>130543</t>
  </si>
  <si>
    <t>130533</t>
  </si>
  <si>
    <t>115934</t>
  </si>
  <si>
    <t>119132</t>
  </si>
  <si>
    <t>153861</t>
  </si>
  <si>
    <t>153863</t>
  </si>
  <si>
    <t>153862</t>
  </si>
  <si>
    <t>153860</t>
  </si>
  <si>
    <t>153528</t>
  </si>
  <si>
    <t>153527</t>
  </si>
  <si>
    <t>153526</t>
  </si>
  <si>
    <t>153525</t>
  </si>
  <si>
    <t>154174</t>
  </si>
  <si>
    <t>154173</t>
  </si>
  <si>
    <t>154172</t>
  </si>
  <si>
    <t>154164</t>
  </si>
  <si>
    <t>153631</t>
  </si>
  <si>
    <t>153633</t>
  </si>
  <si>
    <t>153632</t>
  </si>
  <si>
    <t>153626</t>
  </si>
  <si>
    <t>152928</t>
  </si>
  <si>
    <t>152927</t>
  </si>
  <si>
    <t>152925</t>
  </si>
  <si>
    <t>152926</t>
  </si>
  <si>
    <t>152770</t>
  </si>
  <si>
    <t>152772</t>
  </si>
  <si>
    <t>152773</t>
  </si>
  <si>
    <t>152771</t>
  </si>
  <si>
    <t>153919</t>
  </si>
  <si>
    <t>153918</t>
  </si>
  <si>
    <t>153917</t>
  </si>
  <si>
    <t>153908</t>
  </si>
  <si>
    <t>153456</t>
  </si>
  <si>
    <t>153455</t>
  </si>
  <si>
    <t>153454</t>
  </si>
  <si>
    <t>153453</t>
  </si>
  <si>
    <t>153344</t>
  </si>
  <si>
    <t>153342</t>
  </si>
  <si>
    <t>153343</t>
  </si>
  <si>
    <t>153328</t>
  </si>
  <si>
    <t>154059</t>
  </si>
  <si>
    <t>154057</t>
  </si>
  <si>
    <t>154058</t>
  </si>
  <si>
    <t>154028</t>
  </si>
  <si>
    <t>153005</t>
  </si>
  <si>
    <t>153006</t>
  </si>
  <si>
    <t>153004</t>
  </si>
  <si>
    <t>152980</t>
  </si>
  <si>
    <t>153747</t>
  </si>
  <si>
    <t>153748</t>
  </si>
  <si>
    <t>153746</t>
  </si>
  <si>
    <t>153745</t>
  </si>
  <si>
    <t>154222</t>
  </si>
  <si>
    <t>154223</t>
  </si>
  <si>
    <t>154221</t>
  </si>
  <si>
    <t>154200</t>
  </si>
  <si>
    <t>132988</t>
  </si>
  <si>
    <t>132989</t>
  </si>
  <si>
    <t>132987</t>
  </si>
  <si>
    <t>132990</t>
  </si>
  <si>
    <t>101656</t>
  </si>
  <si>
    <t>101657</t>
  </si>
  <si>
    <t>118542</t>
  </si>
  <si>
    <t>118543</t>
  </si>
  <si>
    <t>154075</t>
  </si>
  <si>
    <t>154072</t>
  </si>
  <si>
    <t>153778</t>
  </si>
  <si>
    <t>153779</t>
  </si>
  <si>
    <t>153777</t>
  </si>
  <si>
    <t>153776</t>
  </si>
  <si>
    <t>153713</t>
  </si>
  <si>
    <t>153715</t>
  </si>
  <si>
    <t>153712</t>
  </si>
  <si>
    <t>153714</t>
  </si>
  <si>
    <t>154209</t>
  </si>
  <si>
    <t>154208</t>
  </si>
  <si>
    <t>150580</t>
  </si>
  <si>
    <t>150579</t>
  </si>
  <si>
    <t>150578</t>
  </si>
  <si>
    <t>150581</t>
  </si>
  <si>
    <t>148452</t>
  </si>
  <si>
    <t>148450</t>
  </si>
  <si>
    <t>148451</t>
  </si>
  <si>
    <t>148453</t>
  </si>
  <si>
    <t>148448</t>
  </si>
  <si>
    <t>148446</t>
  </si>
  <si>
    <t>148447</t>
  </si>
  <si>
    <t>148449</t>
  </si>
  <si>
    <t>147856</t>
  </si>
  <si>
    <t>147854</t>
  </si>
  <si>
    <t>147855</t>
  </si>
  <si>
    <t>147857</t>
  </si>
  <si>
    <t>150988</t>
  </si>
  <si>
    <t>150991</t>
  </si>
  <si>
    <t>150990</t>
  </si>
  <si>
    <t>150989</t>
  </si>
  <si>
    <t>149399</t>
  </si>
  <si>
    <t>149400</t>
  </si>
  <si>
    <t>149402</t>
  </si>
  <si>
    <t>149401</t>
  </si>
  <si>
    <t>153488</t>
  </si>
  <si>
    <t>153486</t>
  </si>
  <si>
    <t>153489</t>
  </si>
  <si>
    <t>153487</t>
  </si>
  <si>
    <t>154168</t>
  </si>
  <si>
    <t>154165</t>
  </si>
  <si>
    <t>154166</t>
  </si>
  <si>
    <t>154167</t>
  </si>
  <si>
    <t>130490</t>
  </si>
  <si>
    <t>130492</t>
  </si>
  <si>
    <t>130491</t>
  </si>
  <si>
    <t>130493</t>
  </si>
  <si>
    <t>152181</t>
  </si>
  <si>
    <t>152182</t>
  </si>
  <si>
    <t>152184</t>
  </si>
  <si>
    <t>152183</t>
  </si>
  <si>
    <t>153549</t>
  </si>
  <si>
    <t>153548</t>
  </si>
  <si>
    <t>153550</t>
  </si>
  <si>
    <t>153552</t>
  </si>
  <si>
    <t>153538</t>
  </si>
  <si>
    <t>153541</t>
  </si>
  <si>
    <t>153540</t>
  </si>
  <si>
    <t>153536</t>
  </si>
  <si>
    <t>153794</t>
  </si>
  <si>
    <t>153795</t>
  </si>
  <si>
    <t>154135</t>
  </si>
  <si>
    <t>154136</t>
  </si>
  <si>
    <t>112330</t>
  </si>
  <si>
    <t>112329</t>
  </si>
  <si>
    <t>118488</t>
  </si>
  <si>
    <t>118489</t>
  </si>
  <si>
    <t>117867</t>
  </si>
  <si>
    <t>108544</t>
  </si>
  <si>
    <t>131399</t>
  </si>
  <si>
    <t>108546</t>
  </si>
  <si>
    <t>108545</t>
  </si>
  <si>
    <t>115874</t>
  </si>
  <si>
    <t>117868</t>
  </si>
  <si>
    <t>108547</t>
  </si>
  <si>
    <t>118412</t>
  </si>
  <si>
    <t>118413</t>
  </si>
  <si>
    <t>131398</t>
  </si>
  <si>
    <t>118411</t>
  </si>
  <si>
    <t>118410</t>
  </si>
  <si>
    <t>118414</t>
  </si>
  <si>
    <t>118409</t>
  </si>
  <si>
    <t>118408</t>
  </si>
  <si>
    <t>154130</t>
  </si>
  <si>
    <t>154129</t>
  </si>
  <si>
    <t>112328</t>
  </si>
  <si>
    <t>112327</t>
  </si>
  <si>
    <t>118487</t>
  </si>
  <si>
    <t>118486</t>
  </si>
  <si>
    <t>112331</t>
  </si>
  <si>
    <t>112332</t>
  </si>
  <si>
    <t>118484</t>
  </si>
  <si>
    <t>118485</t>
  </si>
  <si>
    <t>150615</t>
  </si>
  <si>
    <t>150616</t>
  </si>
  <si>
    <t>150617</t>
  </si>
  <si>
    <t>150618</t>
  </si>
  <si>
    <t>153962</t>
  </si>
  <si>
    <t>153963</t>
  </si>
  <si>
    <t>153961</t>
  </si>
  <si>
    <t>153960</t>
  </si>
  <si>
    <t>149845</t>
  </si>
  <si>
    <t>149844</t>
  </si>
  <si>
    <t>149846</t>
  </si>
  <si>
    <t>149847</t>
  </si>
  <si>
    <t>153926</t>
  </si>
  <si>
    <t>153927</t>
  </si>
  <si>
    <t>153925</t>
  </si>
  <si>
    <t>153924</t>
  </si>
  <si>
    <t>147905</t>
  </si>
  <si>
    <t>147896</t>
  </si>
  <si>
    <t>147888</t>
  </si>
  <si>
    <t>147897</t>
  </si>
  <si>
    <t>147890</t>
  </si>
  <si>
    <t>147898</t>
  </si>
  <si>
    <t>147893</t>
  </si>
  <si>
    <t>147892</t>
  </si>
  <si>
    <t>147891</t>
  </si>
  <si>
    <t>147894</t>
  </si>
  <si>
    <t>147889</t>
  </si>
  <si>
    <t>147895</t>
  </si>
  <si>
    <t>115898</t>
  </si>
  <si>
    <t>115897</t>
  </si>
  <si>
    <t>120472</t>
  </si>
  <si>
    <t>120473</t>
  </si>
  <si>
    <t>154077</t>
  </si>
  <si>
    <t>154078</t>
  </si>
  <si>
    <t>154207</t>
  </si>
  <si>
    <t>154206</t>
  </si>
  <si>
    <t>153827</t>
  </si>
  <si>
    <t>153828</t>
  </si>
  <si>
    <t>149784</t>
  </si>
  <si>
    <t>149783</t>
  </si>
  <si>
    <t>149781</t>
  </si>
  <si>
    <t>149780</t>
  </si>
  <si>
    <t>150691</t>
  </si>
  <si>
    <t>150690</t>
  </si>
  <si>
    <t>150689</t>
  </si>
  <si>
    <t>150688</t>
  </si>
  <si>
    <t>131863</t>
  </si>
  <si>
    <t>131866</t>
  </si>
  <si>
    <t>131864</t>
  </si>
  <si>
    <t>131865</t>
  </si>
  <si>
    <t>131896</t>
  </si>
  <si>
    <t>131895</t>
  </si>
  <si>
    <t>131898</t>
  </si>
  <si>
    <t>131897</t>
  </si>
  <si>
    <t>116795</t>
  </si>
  <si>
    <t>116796</t>
  </si>
  <si>
    <t>120545</t>
  </si>
  <si>
    <t>120546</t>
  </si>
  <si>
    <t>132181</t>
  </si>
  <si>
    <t>132180</t>
  </si>
  <si>
    <t>132186</t>
  </si>
  <si>
    <t>132187</t>
  </si>
  <si>
    <t>132184</t>
  </si>
  <si>
    <t>132178</t>
  </si>
  <si>
    <t>132183</t>
  </si>
  <si>
    <t>132179</t>
  </si>
  <si>
    <t>132174</t>
  </si>
  <si>
    <t>132185</t>
  </si>
  <si>
    <t>132189</t>
  </si>
  <si>
    <t>132175</t>
  </si>
  <si>
    <t>Open Ended Schemes(Other Scheme - FoF Domestic)</t>
  </si>
  <si>
    <t>139617</t>
  </si>
  <si>
    <t>139618</t>
  </si>
  <si>
    <t>139619</t>
  </si>
  <si>
    <t>Open Ended Schemes(Money Market)</t>
  </si>
  <si>
    <t>122729</t>
  </si>
  <si>
    <t>122727</t>
  </si>
  <si>
    <t>122726</t>
  </si>
  <si>
    <t>122652</t>
  </si>
  <si>
    <t>122655</t>
  </si>
  <si>
    <t>122653</t>
  </si>
  <si>
    <t>122654</t>
  </si>
  <si>
    <t>121699</t>
  </si>
  <si>
    <t>121701</t>
  </si>
  <si>
    <t>124874</t>
  </si>
  <si>
    <t>124877</t>
  </si>
  <si>
    <t>124876</t>
  </si>
  <si>
    <t>124752</t>
  </si>
  <si>
    <t>124754</t>
  </si>
  <si>
    <t>124753</t>
  </si>
  <si>
    <t>124755</t>
  </si>
  <si>
    <t>124748</t>
  </si>
  <si>
    <t>124750</t>
  </si>
  <si>
    <t>124749</t>
  </si>
  <si>
    <t>124751</t>
  </si>
  <si>
    <t>124678</t>
  </si>
  <si>
    <t>124681</t>
  </si>
  <si>
    <t>124679</t>
  </si>
  <si>
    <t>100952</t>
  </si>
  <si>
    <t>100954</t>
  </si>
  <si>
    <t>100953</t>
  </si>
  <si>
    <t>100955</t>
  </si>
  <si>
    <t>130940</t>
  </si>
  <si>
    <t>120668</t>
  </si>
  <si>
    <t>120666</t>
  </si>
  <si>
    <t>120667</t>
  </si>
  <si>
    <t>120669</t>
  </si>
  <si>
    <t>110045</t>
  </si>
  <si>
    <t>110046</t>
  </si>
  <si>
    <t>120661</t>
  </si>
  <si>
    <t>120660</t>
  </si>
  <si>
    <t>110047</t>
  </si>
  <si>
    <t>110048</t>
  </si>
  <si>
    <t>115022</t>
  </si>
  <si>
    <t>110347</t>
  </si>
  <si>
    <t>110346</t>
  </si>
  <si>
    <t>120811</t>
  </si>
  <si>
    <t>120623</t>
  </si>
  <si>
    <t>120624</t>
  </si>
  <si>
    <t>110348</t>
  </si>
  <si>
    <t>110345</t>
  </si>
  <si>
    <t>115927</t>
  </si>
  <si>
    <t>110383</t>
  </si>
  <si>
    <t>110384</t>
  </si>
  <si>
    <t>123055</t>
  </si>
  <si>
    <t>120652</t>
  </si>
  <si>
    <t>120653</t>
  </si>
  <si>
    <t>107310</t>
  </si>
  <si>
    <t>107309</t>
  </si>
  <si>
    <t>114929</t>
  </si>
  <si>
    <t>110013</t>
  </si>
  <si>
    <t>110014</t>
  </si>
  <si>
    <t>120649</t>
  </si>
  <si>
    <t>120650</t>
  </si>
  <si>
    <t>120651</t>
  </si>
  <si>
    <t>107139</t>
  </si>
  <si>
    <t>107138</t>
  </si>
  <si>
    <t>118235</t>
  </si>
  <si>
    <t>109854</t>
  </si>
  <si>
    <t>109855</t>
  </si>
  <si>
    <t>120648</t>
  </si>
  <si>
    <t>120646</t>
  </si>
  <si>
    <t>120647</t>
  </si>
  <si>
    <t>106976</t>
  </si>
  <si>
    <t>106977</t>
  </si>
  <si>
    <t>118037</t>
  </si>
  <si>
    <t>111316</t>
  </si>
  <si>
    <t>111317</t>
  </si>
  <si>
    <t>120643</t>
  </si>
  <si>
    <t>120644</t>
  </si>
  <si>
    <t>106886</t>
  </si>
  <si>
    <t>106885</t>
  </si>
  <si>
    <t>117368</t>
  </si>
  <si>
    <t>110663</t>
  </si>
  <si>
    <t>110664</t>
  </si>
  <si>
    <t>120642</t>
  </si>
  <si>
    <t>120641</t>
  </si>
  <si>
    <t>123645</t>
  </si>
  <si>
    <t>106829</t>
  </si>
  <si>
    <t>106828</t>
  </si>
  <si>
    <t>123597</t>
  </si>
  <si>
    <t>127235</t>
  </si>
  <si>
    <t>127236</t>
  </si>
  <si>
    <t>127238</t>
  </si>
  <si>
    <t>121442</t>
  </si>
  <si>
    <t>121440</t>
  </si>
  <si>
    <t>121441</t>
  </si>
  <si>
    <t>121362</t>
  </si>
  <si>
    <t>121364</t>
  </si>
  <si>
    <t>121126</t>
  </si>
  <si>
    <t>121127</t>
  </si>
  <si>
    <t>121129</t>
  </si>
  <si>
    <t>110555</t>
  </si>
  <si>
    <t>110556</t>
  </si>
  <si>
    <t>120655</t>
  </si>
  <si>
    <t>120654</t>
  </si>
  <si>
    <t>106142</t>
  </si>
  <si>
    <t>106141</t>
  </si>
  <si>
    <t>127399</t>
  </si>
  <si>
    <t>110204</t>
  </si>
  <si>
    <t>110203</t>
  </si>
  <si>
    <t>120639</t>
  </si>
  <si>
    <t>105908</t>
  </si>
  <si>
    <t>105907</t>
  </si>
  <si>
    <t>124214</t>
  </si>
  <si>
    <t>111406</t>
  </si>
  <si>
    <t>111405</t>
  </si>
  <si>
    <t>120637</t>
  </si>
  <si>
    <t>120638</t>
  </si>
  <si>
    <t>115763</t>
  </si>
  <si>
    <t>105710</t>
  </si>
  <si>
    <t>105711</t>
  </si>
  <si>
    <t>109679</t>
  </si>
  <si>
    <t>109680</t>
  </si>
  <si>
    <t>120636</t>
  </si>
  <si>
    <t>120635</t>
  </si>
  <si>
    <t>105651</t>
  </si>
  <si>
    <t>105650</t>
  </si>
  <si>
    <t>106831</t>
  </si>
  <si>
    <t>120631</t>
  </si>
  <si>
    <t>106830</t>
  </si>
  <si>
    <t>106833</t>
  </si>
  <si>
    <t>106832</t>
  </si>
  <si>
    <t>106779</t>
  </si>
  <si>
    <t>106780</t>
  </si>
  <si>
    <t>120629</t>
  </si>
  <si>
    <t>106777</t>
  </si>
  <si>
    <t>106778</t>
  </si>
  <si>
    <t>106761</t>
  </si>
  <si>
    <t>106760</t>
  </si>
  <si>
    <t>120627</t>
  </si>
  <si>
    <t>106763</t>
  </si>
  <si>
    <t>106762</t>
  </si>
  <si>
    <t>106293</t>
  </si>
  <si>
    <t>120625</t>
  </si>
  <si>
    <t>106291</t>
  </si>
  <si>
    <t>130958</t>
  </si>
  <si>
    <t>106292</t>
  </si>
  <si>
    <t>106290</t>
  </si>
  <si>
    <t>111998</t>
  </si>
  <si>
    <t>112002</t>
  </si>
  <si>
    <t>111997</t>
  </si>
  <si>
    <t>112005</t>
  </si>
  <si>
    <t>111996</t>
  </si>
  <si>
    <t>120583</t>
  </si>
  <si>
    <t>131199</t>
  </si>
  <si>
    <t>131620</t>
  </si>
  <si>
    <t>120580</t>
  </si>
  <si>
    <t>120581</t>
  </si>
  <si>
    <t>120582</t>
  </si>
  <si>
    <t>120584</t>
  </si>
  <si>
    <t>113055</t>
  </si>
  <si>
    <t>122613</t>
  </si>
  <si>
    <t>131621</t>
  </si>
  <si>
    <t>120691</t>
  </si>
  <si>
    <t>101098</t>
  </si>
  <si>
    <t>120303</t>
  </si>
  <si>
    <t>132979</t>
  </si>
  <si>
    <t>131149</t>
  </si>
  <si>
    <t>123542</t>
  </si>
  <si>
    <t>131150</t>
  </si>
  <si>
    <t>120301</t>
  </si>
  <si>
    <t>120300</t>
  </si>
  <si>
    <t>120302</t>
  </si>
  <si>
    <t>114238</t>
  </si>
  <si>
    <t>114376</t>
  </si>
  <si>
    <t>103061</t>
  </si>
  <si>
    <t>103062</t>
  </si>
  <si>
    <t>Open Ended Schemes(Income)</t>
  </si>
  <si>
    <t>151746</t>
  </si>
  <si>
    <t>151745</t>
  </si>
  <si>
    <t>WhiteOak Capital Mutual Fund</t>
  </si>
  <si>
    <t>111602</t>
  </si>
  <si>
    <t>111599</t>
  </si>
  <si>
    <t>120761</t>
  </si>
  <si>
    <t>120760</t>
  </si>
  <si>
    <t>152785</t>
  </si>
  <si>
    <t>152786</t>
  </si>
  <si>
    <t>152784</t>
  </si>
  <si>
    <t>152787</t>
  </si>
  <si>
    <t>154001</t>
  </si>
  <si>
    <t>154002</t>
  </si>
  <si>
    <t>154000</t>
  </si>
  <si>
    <t>153999</t>
  </si>
  <si>
    <t>148050</t>
  </si>
  <si>
    <t>148051</t>
  </si>
  <si>
    <t>148054</t>
  </si>
  <si>
    <t>148053</t>
  </si>
  <si>
    <t>148052</t>
  </si>
  <si>
    <t>148049</t>
  </si>
  <si>
    <t>152313</t>
  </si>
  <si>
    <t>152315</t>
  </si>
  <si>
    <t>152311</t>
  </si>
  <si>
    <t>152312</t>
  </si>
  <si>
    <t>152316</t>
  </si>
  <si>
    <t>152314</t>
  </si>
  <si>
    <t>152052</t>
  </si>
  <si>
    <t>152051</t>
  </si>
  <si>
    <t>103401</t>
  </si>
  <si>
    <t>103400</t>
  </si>
  <si>
    <t>103408</t>
  </si>
  <si>
    <t>103409</t>
  </si>
  <si>
    <t>119842</t>
  </si>
  <si>
    <t>119841</t>
  </si>
  <si>
    <t>119843</t>
  </si>
  <si>
    <t>119840</t>
  </si>
  <si>
    <t>153093</t>
  </si>
  <si>
    <t>153092</t>
  </si>
  <si>
    <t>Samco Mutual Fund</t>
  </si>
  <si>
    <t>152475</t>
  </si>
  <si>
    <t>152474</t>
  </si>
  <si>
    <t>120821</t>
  </si>
  <si>
    <t>101072</t>
  </si>
  <si>
    <t>101071</t>
  </si>
  <si>
    <t>120820</t>
  </si>
  <si>
    <t>quant Mutual Fund</t>
  </si>
  <si>
    <t>153989</t>
  </si>
  <si>
    <t>153988</t>
  </si>
  <si>
    <t>153990</t>
  </si>
  <si>
    <t>153987</t>
  </si>
  <si>
    <t>148459</t>
  </si>
  <si>
    <t>148460</t>
  </si>
  <si>
    <t>148458</t>
  </si>
  <si>
    <t>148457</t>
  </si>
  <si>
    <t>152346</t>
  </si>
  <si>
    <t>152347</t>
  </si>
  <si>
    <t>152345</t>
  </si>
  <si>
    <t>152344</t>
  </si>
  <si>
    <t>152441</t>
  </si>
  <si>
    <t>152443</t>
  </si>
  <si>
    <t>152444</t>
  </si>
  <si>
    <t>152445</t>
  </si>
  <si>
    <t>153249</t>
  </si>
  <si>
    <t>153248</t>
  </si>
  <si>
    <t>153247</t>
  </si>
  <si>
    <t>153246</t>
  </si>
  <si>
    <t>152066</t>
  </si>
  <si>
    <t>152065</t>
  </si>
  <si>
    <t>152063</t>
  </si>
  <si>
    <t>152064</t>
  </si>
  <si>
    <t>153048</t>
  </si>
  <si>
    <t>153046</t>
  </si>
  <si>
    <t>153049</t>
  </si>
  <si>
    <t>153047</t>
  </si>
  <si>
    <t>104898</t>
  </si>
  <si>
    <t>115269</t>
  </si>
  <si>
    <t>101143</t>
  </si>
  <si>
    <t>101144</t>
  </si>
  <si>
    <t>120335</t>
  </si>
  <si>
    <t>120334</t>
  </si>
  <si>
    <t>152379</t>
  </si>
  <si>
    <t>152378</t>
  </si>
  <si>
    <t>152381</t>
  </si>
  <si>
    <t>152380</t>
  </si>
  <si>
    <t>119130</t>
  </si>
  <si>
    <t>103130</t>
  </si>
  <si>
    <t>119131</t>
  </si>
  <si>
    <t>103131</t>
  </si>
  <si>
    <t>153850</t>
  </si>
  <si>
    <t>153851</t>
  </si>
  <si>
    <t>153852</t>
  </si>
  <si>
    <t>153821</t>
  </si>
  <si>
    <t>153730</t>
  </si>
  <si>
    <t>153733</t>
  </si>
  <si>
    <t>153731</t>
  </si>
  <si>
    <t>153732</t>
  </si>
  <si>
    <t>151794</t>
  </si>
  <si>
    <t>151795</t>
  </si>
  <si>
    <t>151793</t>
  </si>
  <si>
    <t>151792</t>
  </si>
  <si>
    <t>152054</t>
  </si>
  <si>
    <t>152053</t>
  </si>
  <si>
    <t>152055</t>
  </si>
  <si>
    <t>152056</t>
  </si>
  <si>
    <t>154213</t>
  </si>
  <si>
    <t>154231</t>
  </si>
  <si>
    <t>154212</t>
  </si>
  <si>
    <t>154232</t>
  </si>
  <si>
    <t>Capitalmind Mutual Fund</t>
  </si>
  <si>
    <t>153467</t>
  </si>
  <si>
    <t>153466</t>
  </si>
  <si>
    <t>153468</t>
  </si>
  <si>
    <t>153465</t>
  </si>
  <si>
    <t>Canara Robeco Mutual Fund</t>
  </si>
  <si>
    <t>150864</t>
  </si>
  <si>
    <t>150863</t>
  </si>
  <si>
    <t>150866</t>
  </si>
  <si>
    <t>150865</t>
  </si>
  <si>
    <t>152395</t>
  </si>
  <si>
    <t>152398</t>
  </si>
  <si>
    <t>152399</t>
  </si>
  <si>
    <t>152396</t>
  </si>
  <si>
    <t>152325</t>
  </si>
  <si>
    <t>152326</t>
  </si>
  <si>
    <t>152323</t>
  </si>
  <si>
    <t>152324</t>
  </si>
  <si>
    <t>152640</t>
  </si>
  <si>
    <t>152642</t>
  </si>
  <si>
    <t>152641</t>
  </si>
  <si>
    <t>152639</t>
  </si>
  <si>
    <t>113065</t>
  </si>
  <si>
    <t>113064</t>
  </si>
  <si>
    <t>120523</t>
  </si>
  <si>
    <t>120524</t>
  </si>
  <si>
    <t>151310</t>
  </si>
  <si>
    <t>151309</t>
  </si>
  <si>
    <t>151308</t>
  </si>
  <si>
    <t>151307</t>
  </si>
  <si>
    <t>153775</t>
  </si>
  <si>
    <t>153772</t>
  </si>
  <si>
    <t>153773</t>
  </si>
  <si>
    <t>153774</t>
  </si>
  <si>
    <t>Open Ended Schemes(Hybrid Scheme - Multi Asset Allocation)</t>
  </si>
  <si>
    <t>153356</t>
  </si>
  <si>
    <t>153355</t>
  </si>
  <si>
    <t>144487</t>
  </si>
  <si>
    <t>144486</t>
  </si>
  <si>
    <t>144485</t>
  </si>
  <si>
    <t>144484</t>
  </si>
  <si>
    <t>144488</t>
  </si>
  <si>
    <t>144489</t>
  </si>
  <si>
    <t>144491</t>
  </si>
  <si>
    <t>144490</t>
  </si>
  <si>
    <t>144311</t>
  </si>
  <si>
    <t>144310</t>
  </si>
  <si>
    <t>144313</t>
  </si>
  <si>
    <t>144312</t>
  </si>
  <si>
    <t>119959</t>
  </si>
  <si>
    <t>119958</t>
  </si>
  <si>
    <t>101609</t>
  </si>
  <si>
    <t>102118</t>
  </si>
  <si>
    <t>119960</t>
  </si>
  <si>
    <t>101906</t>
  </si>
  <si>
    <t>149675</t>
  </si>
  <si>
    <t>149678</t>
  </si>
  <si>
    <t>149676</t>
  </si>
  <si>
    <t>149674</t>
  </si>
  <si>
    <t>149679</t>
  </si>
  <si>
    <t>149677</t>
  </si>
  <si>
    <t>134642</t>
  </si>
  <si>
    <t>134639</t>
  </si>
  <si>
    <t>134644</t>
  </si>
  <si>
    <t>134640</t>
  </si>
  <si>
    <t>134641</t>
  </si>
  <si>
    <t>134643</t>
  </si>
  <si>
    <t>153708</t>
  </si>
  <si>
    <t>153706</t>
  </si>
  <si>
    <t>153707</t>
  </si>
  <si>
    <t>153705</t>
  </si>
  <si>
    <t>142426</t>
  </si>
  <si>
    <t>138370</t>
  </si>
  <si>
    <t>138369</t>
  </si>
  <si>
    <t>138372</t>
  </si>
  <si>
    <t>142428</t>
  </si>
  <si>
    <t>138378</t>
  </si>
  <si>
    <t>138377</t>
  </si>
  <si>
    <t>142427</t>
  </si>
  <si>
    <t>138376</t>
  </si>
  <si>
    <t>138375</t>
  </si>
  <si>
    <t>138371</t>
  </si>
  <si>
    <t>134593</t>
  </si>
  <si>
    <t>134602</t>
  </si>
  <si>
    <t>134594</t>
  </si>
  <si>
    <t>134595</t>
  </si>
  <si>
    <t>148280</t>
  </si>
  <si>
    <t>148279</t>
  </si>
  <si>
    <t>148274</t>
  </si>
  <si>
    <t>148273</t>
  </si>
  <si>
    <t>147696</t>
  </si>
  <si>
    <t>147699</t>
  </si>
  <si>
    <t>147694</t>
  </si>
  <si>
    <t>147700</t>
  </si>
  <si>
    <t>147695</t>
  </si>
  <si>
    <t>147698</t>
  </si>
  <si>
    <t>147693</t>
  </si>
  <si>
    <t>147692</t>
  </si>
  <si>
    <t>147697</t>
  </si>
  <si>
    <t>147691</t>
  </si>
  <si>
    <t>134600</t>
  </si>
  <si>
    <t>134598</t>
  </si>
  <si>
    <t>134596</t>
  </si>
  <si>
    <t>134601</t>
  </si>
  <si>
    <t>134599</t>
  </si>
  <si>
    <t>134597</t>
  </si>
  <si>
    <t>148281</t>
  </si>
  <si>
    <t>148282</t>
  </si>
  <si>
    <t>148278</t>
  </si>
  <si>
    <t>148275</t>
  </si>
  <si>
    <t>148277</t>
  </si>
  <si>
    <t>148276</t>
  </si>
  <si>
    <t>145695</t>
  </si>
  <si>
    <t>145693</t>
  </si>
  <si>
    <t>145696</t>
  </si>
  <si>
    <t>145694</t>
  </si>
  <si>
    <t>140446</t>
  </si>
  <si>
    <t>140442</t>
  </si>
  <si>
    <t>140447</t>
  </si>
  <si>
    <t>140444</t>
  </si>
  <si>
    <t>151951</t>
  </si>
  <si>
    <t>151949</t>
  </si>
  <si>
    <t>151950</t>
  </si>
  <si>
    <t>151954</t>
  </si>
  <si>
    <t>151953</t>
  </si>
  <si>
    <t>151952</t>
  </si>
  <si>
    <t>131374</t>
  </si>
  <si>
    <t>131372</t>
  </si>
  <si>
    <t>131375</t>
  </si>
  <si>
    <t>131373</t>
  </si>
  <si>
    <t>146455</t>
  </si>
  <si>
    <t>146456</t>
  </si>
  <si>
    <t>146458</t>
  </si>
  <si>
    <t>146457</t>
  </si>
  <si>
    <t>133053</t>
  </si>
  <si>
    <t>133050</t>
  </si>
  <si>
    <t>133057</t>
  </si>
  <si>
    <t>133052</t>
  </si>
  <si>
    <t>133049</t>
  </si>
  <si>
    <t>133056</t>
  </si>
  <si>
    <t>133054</t>
  </si>
  <si>
    <t>133051</t>
  </si>
  <si>
    <t>151057</t>
  </si>
  <si>
    <t>151056</t>
  </si>
  <si>
    <t>151058</t>
  </si>
  <si>
    <t>151059</t>
  </si>
  <si>
    <t>151061</t>
  </si>
  <si>
    <t>151060</t>
  </si>
  <si>
    <t>101586</t>
  </si>
  <si>
    <t>119129</t>
  </si>
  <si>
    <t>101585</t>
  </si>
  <si>
    <t>119128</t>
  </si>
  <si>
    <t>144466</t>
  </si>
  <si>
    <t>144461</t>
  </si>
  <si>
    <t>144463</t>
  </si>
  <si>
    <t>144464</t>
  </si>
  <si>
    <t>144468</t>
  </si>
  <si>
    <t>144467</t>
  </si>
  <si>
    <t>144465</t>
  </si>
  <si>
    <t>144462</t>
  </si>
  <si>
    <t>141934</t>
  </si>
  <si>
    <t>140349</t>
  </si>
  <si>
    <t>140351</t>
  </si>
  <si>
    <t>140352</t>
  </si>
  <si>
    <t>141933</t>
  </si>
  <si>
    <t>140348</t>
  </si>
  <si>
    <t>140347</t>
  </si>
  <si>
    <t>140350</t>
  </si>
  <si>
    <t>136566</t>
  </si>
  <si>
    <t>136565</t>
  </si>
  <si>
    <t>136564</t>
  </si>
  <si>
    <t>136563</t>
  </si>
  <si>
    <t>136570</t>
  </si>
  <si>
    <t>136569</t>
  </si>
  <si>
    <t>136568</t>
  </si>
  <si>
    <t>136567</t>
  </si>
  <si>
    <t>147495</t>
  </si>
  <si>
    <t>147494</t>
  </si>
  <si>
    <t>147498</t>
  </si>
  <si>
    <t>147496</t>
  </si>
  <si>
    <t>118476</t>
  </si>
  <si>
    <t>118477</t>
  </si>
  <si>
    <t>133681</t>
  </si>
  <si>
    <t>143258</t>
  </si>
  <si>
    <t>143259</t>
  </si>
  <si>
    <t>108994</t>
  </si>
  <si>
    <t>108993</t>
  </si>
  <si>
    <t>133682</t>
  </si>
  <si>
    <t>108992</t>
  </si>
  <si>
    <t>108995</t>
  </si>
  <si>
    <t>153771</t>
  </si>
  <si>
    <t>153769</t>
  </si>
  <si>
    <t>153758</t>
  </si>
  <si>
    <t>153770</t>
  </si>
  <si>
    <t>139521</t>
  </si>
  <si>
    <t>135125</t>
  </si>
  <si>
    <t>135123</t>
  </si>
  <si>
    <t>135122</t>
  </si>
  <si>
    <t>139520</t>
  </si>
  <si>
    <t>135124</t>
  </si>
  <si>
    <t>135121</t>
  </si>
  <si>
    <t>135120</t>
  </si>
  <si>
    <t>132998</t>
  </si>
  <si>
    <t>132997</t>
  </si>
  <si>
    <t>132995</t>
  </si>
  <si>
    <t>132996</t>
  </si>
  <si>
    <t>Open Ended Schemes(Hybrid Scheme - Equity Savings)</t>
  </si>
  <si>
    <t>151268</t>
  </si>
  <si>
    <t>151267</t>
  </si>
  <si>
    <t>151884</t>
  </si>
  <si>
    <t>151882</t>
  </si>
  <si>
    <t>151883</t>
  </si>
  <si>
    <t>151885</t>
  </si>
  <si>
    <t>120784</t>
  </si>
  <si>
    <t>100646</t>
  </si>
  <si>
    <t>142036</t>
  </si>
  <si>
    <t>142035</t>
  </si>
  <si>
    <t>142037</t>
  </si>
  <si>
    <t>142038</t>
  </si>
  <si>
    <t>153377</t>
  </si>
  <si>
    <t>153376</t>
  </si>
  <si>
    <t>Unifi Mutual Fund</t>
  </si>
  <si>
    <t>154184</t>
  </si>
  <si>
    <t>154183</t>
  </si>
  <si>
    <t>154186</t>
  </si>
  <si>
    <t>154185</t>
  </si>
  <si>
    <t>146007</t>
  </si>
  <si>
    <t>146010</t>
  </si>
  <si>
    <t>146009</t>
  </si>
  <si>
    <t>146005</t>
  </si>
  <si>
    <t>146008</t>
  </si>
  <si>
    <t>146006</t>
  </si>
  <si>
    <t>149716</t>
  </si>
  <si>
    <t>149715</t>
  </si>
  <si>
    <t>149718</t>
  </si>
  <si>
    <t>149717</t>
  </si>
  <si>
    <t>147404</t>
  </si>
  <si>
    <t>147405</t>
  </si>
  <si>
    <t>147403</t>
  </si>
  <si>
    <t>147406</t>
  </si>
  <si>
    <t>149133</t>
  </si>
  <si>
    <t>149132</t>
  </si>
  <si>
    <t>149135</t>
  </si>
  <si>
    <t>149134</t>
  </si>
  <si>
    <t>152185</t>
  </si>
  <si>
    <t>152187</t>
  </si>
  <si>
    <t>152186</t>
  </si>
  <si>
    <t>152188</t>
  </si>
  <si>
    <t>151715</t>
  </si>
  <si>
    <t>151712</t>
  </si>
  <si>
    <t>151714</t>
  </si>
  <si>
    <t>151713</t>
  </si>
  <si>
    <t>152464</t>
  </si>
  <si>
    <t>152467</t>
  </si>
  <si>
    <t>152468</t>
  </si>
  <si>
    <t>152469</t>
  </si>
  <si>
    <t>PPFAS Mutual Fund</t>
  </si>
  <si>
    <t>148657</t>
  </si>
  <si>
    <t>148660</t>
  </si>
  <si>
    <t>148659</t>
  </si>
  <si>
    <t>148658</t>
  </si>
  <si>
    <t>149263</t>
  </si>
  <si>
    <t>149266</t>
  </si>
  <si>
    <t>149265</t>
  </si>
  <si>
    <t>149264</t>
  </si>
  <si>
    <t>NJ Mutual Fund</t>
  </si>
  <si>
    <t>102846</t>
  </si>
  <si>
    <t>102847</t>
  </si>
  <si>
    <t>102848</t>
  </si>
  <si>
    <t>118736</t>
  </si>
  <si>
    <t>118737</t>
  </si>
  <si>
    <t>118738</t>
  </si>
  <si>
    <t>139871</t>
  </si>
  <si>
    <t>139865</t>
  </si>
  <si>
    <t>139866</t>
  </si>
  <si>
    <t>139870</t>
  </si>
  <si>
    <t>139863</t>
  </si>
  <si>
    <t>139872</t>
  </si>
  <si>
    <t>150473</t>
  </si>
  <si>
    <t>150474</t>
  </si>
  <si>
    <t>150471</t>
  </si>
  <si>
    <t>150470</t>
  </si>
  <si>
    <t>149405</t>
  </si>
  <si>
    <t>149404</t>
  </si>
  <si>
    <t>149407</t>
  </si>
  <si>
    <t>149406</t>
  </si>
  <si>
    <t>149258</t>
  </si>
  <si>
    <t>149259</t>
  </si>
  <si>
    <t>149260</t>
  </si>
  <si>
    <t>149261</t>
  </si>
  <si>
    <t>144333</t>
  </si>
  <si>
    <t>144334</t>
  </si>
  <si>
    <t>144336</t>
  </si>
  <si>
    <t>144335</t>
  </si>
  <si>
    <t>147786</t>
  </si>
  <si>
    <t>147787</t>
  </si>
  <si>
    <t>147788</t>
  </si>
  <si>
    <t>147789</t>
  </si>
  <si>
    <t>ITI Mutual Fund</t>
  </si>
  <si>
    <t>106316</t>
  </si>
  <si>
    <t>106317</t>
  </si>
  <si>
    <t>120332</t>
  </si>
  <si>
    <t>120333</t>
  </si>
  <si>
    <t>131450</t>
  </si>
  <si>
    <t>122168</t>
  </si>
  <si>
    <t>104686</t>
  </si>
  <si>
    <t>104685</t>
  </si>
  <si>
    <t>131451</t>
  </si>
  <si>
    <t>122236</t>
  </si>
  <si>
    <t>120376</t>
  </si>
  <si>
    <t>120377</t>
  </si>
  <si>
    <t>151126</t>
  </si>
  <si>
    <t>151127</t>
  </si>
  <si>
    <t>151128</t>
  </si>
  <si>
    <t>151129</t>
  </si>
  <si>
    <t>152510</t>
  </si>
  <si>
    <t>152512</t>
  </si>
  <si>
    <t>152511</t>
  </si>
  <si>
    <t>152509</t>
  </si>
  <si>
    <t>Helios Mutual Fund</t>
  </si>
  <si>
    <t>118969</t>
  </si>
  <si>
    <t>100120</t>
  </si>
  <si>
    <t>118968</t>
  </si>
  <si>
    <t>100119</t>
  </si>
  <si>
    <t>150479</t>
  </si>
  <si>
    <t>150478</t>
  </si>
  <si>
    <t>150481</t>
  </si>
  <si>
    <t>150480</t>
  </si>
  <si>
    <t>118615</t>
  </si>
  <si>
    <t>112118</t>
  </si>
  <si>
    <t>141766</t>
  </si>
  <si>
    <t>112117</t>
  </si>
  <si>
    <t>118614</t>
  </si>
  <si>
    <t>141767</t>
  </si>
  <si>
    <t>126392</t>
  </si>
  <si>
    <t>126394</t>
  </si>
  <si>
    <t>126391</t>
  </si>
  <si>
    <t>126393</t>
  </si>
  <si>
    <t>152691</t>
  </si>
  <si>
    <t>152690</t>
  </si>
  <si>
    <t>152689</t>
  </si>
  <si>
    <t>152688</t>
  </si>
  <si>
    <t>145389</t>
  </si>
  <si>
    <t>145387</t>
  </si>
  <si>
    <t>145397</t>
  </si>
  <si>
    <t>145396</t>
  </si>
  <si>
    <t>127849</t>
  </si>
  <si>
    <t>127850</t>
  </si>
  <si>
    <t>127851</t>
  </si>
  <si>
    <t>127852</t>
  </si>
  <si>
    <t>131354</t>
  </si>
  <si>
    <t>131357</t>
  </si>
  <si>
    <t>131356</t>
  </si>
  <si>
    <t>131355</t>
  </si>
  <si>
    <t>152197</t>
  </si>
  <si>
    <t>152196</t>
  </si>
  <si>
    <t>152195</t>
  </si>
  <si>
    <t>152194</t>
  </si>
  <si>
    <t>141645</t>
  </si>
  <si>
    <t>141644</t>
  </si>
  <si>
    <t>141643</t>
  </si>
  <si>
    <t>141642</t>
  </si>
  <si>
    <t>131665</t>
  </si>
  <si>
    <t>131671</t>
  </si>
  <si>
    <t>131666</t>
  </si>
  <si>
    <t>131670</t>
  </si>
  <si>
    <t>Open Ended Schemes(Hybrid Scheme - Dynamic Asset Allocation or Balanced Advantage)</t>
  </si>
  <si>
    <t>102536</t>
  </si>
  <si>
    <t>102535</t>
  </si>
  <si>
    <t>102534</t>
  </si>
  <si>
    <t>120790</t>
  </si>
  <si>
    <t>120778</t>
  </si>
  <si>
    <t>120779</t>
  </si>
  <si>
    <t>120789</t>
  </si>
  <si>
    <t>102533</t>
  </si>
  <si>
    <t>148104</t>
  </si>
  <si>
    <t>148111</t>
  </si>
  <si>
    <t>148109</t>
  </si>
  <si>
    <t>148115</t>
  </si>
  <si>
    <t>148108</t>
  </si>
  <si>
    <t>148105</t>
  </si>
  <si>
    <t>148112</t>
  </si>
  <si>
    <t>148106</t>
  </si>
  <si>
    <t>112869</t>
  </si>
  <si>
    <t>112870</t>
  </si>
  <si>
    <t>112867</t>
  </si>
  <si>
    <t>112868</t>
  </si>
  <si>
    <t>119637</t>
  </si>
  <si>
    <t>119638</t>
  </si>
  <si>
    <t>119636</t>
  </si>
  <si>
    <t>119635</t>
  </si>
  <si>
    <t>100928</t>
  </si>
  <si>
    <t>100927</t>
  </si>
  <si>
    <t>100968</t>
  </si>
  <si>
    <t>100929</t>
  </si>
  <si>
    <t>119838</t>
  </si>
  <si>
    <t>119839</t>
  </si>
  <si>
    <t>119837</t>
  </si>
  <si>
    <t>119836</t>
  </si>
  <si>
    <t>148960</t>
  </si>
  <si>
    <t>148959</t>
  </si>
  <si>
    <t>148961</t>
  </si>
  <si>
    <t>148958</t>
  </si>
  <si>
    <t>148140</t>
  </si>
  <si>
    <t>148292</t>
  </si>
  <si>
    <t>102172</t>
  </si>
  <si>
    <t>148293</t>
  </si>
  <si>
    <t>148296</t>
  </si>
  <si>
    <t>148144</t>
  </si>
  <si>
    <t>148142</t>
  </si>
  <si>
    <t>148141</t>
  </si>
  <si>
    <t>148139</t>
  </si>
  <si>
    <t>148143</t>
  </si>
  <si>
    <t>102174</t>
  </si>
  <si>
    <t>102173</t>
  </si>
  <si>
    <t>118726</t>
  </si>
  <si>
    <t>118729</t>
  </si>
  <si>
    <t>118727</t>
  </si>
  <si>
    <t>148295</t>
  </si>
  <si>
    <t>148294</t>
  </si>
  <si>
    <t>148291</t>
  </si>
  <si>
    <t>101868</t>
  </si>
  <si>
    <t>101867</t>
  </si>
  <si>
    <t>101866</t>
  </si>
  <si>
    <t>101869</t>
  </si>
  <si>
    <t>120275</t>
  </si>
  <si>
    <t>120274</t>
  </si>
  <si>
    <t>120277</t>
  </si>
  <si>
    <t>120276</t>
  </si>
  <si>
    <t>120155</t>
  </si>
  <si>
    <t>114858</t>
  </si>
  <si>
    <t>120154</t>
  </si>
  <si>
    <t>114859</t>
  </si>
  <si>
    <t>113097</t>
  </si>
  <si>
    <t>102331</t>
  </si>
  <si>
    <t>113098</t>
  </si>
  <si>
    <t>102330</t>
  </si>
  <si>
    <t>128110</t>
  </si>
  <si>
    <t>120614</t>
  </si>
  <si>
    <t>120615</t>
  </si>
  <si>
    <t>120613</t>
  </si>
  <si>
    <t>120616</t>
  </si>
  <si>
    <t>123183</t>
  </si>
  <si>
    <t>102261</t>
  </si>
  <si>
    <t>102260</t>
  </si>
  <si>
    <t>102262</t>
  </si>
  <si>
    <t>120075</t>
  </si>
  <si>
    <t>120074</t>
  </si>
  <si>
    <t>120073</t>
  </si>
  <si>
    <t>119120</t>
  </si>
  <si>
    <t>102149</t>
  </si>
  <si>
    <t>119119</t>
  </si>
  <si>
    <t>102148</t>
  </si>
  <si>
    <t>102147</t>
  </si>
  <si>
    <t>119118</t>
  </si>
  <si>
    <t>148301</t>
  </si>
  <si>
    <t>148300</t>
  </si>
  <si>
    <t>148299</t>
  </si>
  <si>
    <t>148297</t>
  </si>
  <si>
    <t>148298</t>
  </si>
  <si>
    <t>148302</t>
  </si>
  <si>
    <t>100950</t>
  </si>
  <si>
    <t>100949</t>
  </si>
  <si>
    <t>118576</t>
  </si>
  <si>
    <t>118575</t>
  </si>
  <si>
    <t>100948</t>
  </si>
  <si>
    <t>118574</t>
  </si>
  <si>
    <t>102448</t>
  </si>
  <si>
    <t>102451</t>
  </si>
  <si>
    <t>102450</t>
  </si>
  <si>
    <t>118993</t>
  </si>
  <si>
    <t>118992</t>
  </si>
  <si>
    <t>118994</t>
  </si>
  <si>
    <t>112378</t>
  </si>
  <si>
    <t>100600</t>
  </si>
  <si>
    <t>100601</t>
  </si>
  <si>
    <t>118310</t>
  </si>
  <si>
    <t>118311</t>
  </si>
  <si>
    <t>118309</t>
  </si>
  <si>
    <t>150205</t>
  </si>
  <si>
    <t>150204</t>
  </si>
  <si>
    <t>150203</t>
  </si>
  <si>
    <t>150208</t>
  </si>
  <si>
    <t>150207</t>
  </si>
  <si>
    <t>150206</t>
  </si>
  <si>
    <t>118492</t>
  </si>
  <si>
    <t>118490</t>
  </si>
  <si>
    <t>118491</t>
  </si>
  <si>
    <t>113361</t>
  </si>
  <si>
    <t>112352</t>
  </si>
  <si>
    <t>112353</t>
  </si>
  <si>
    <t>112925</t>
  </si>
  <si>
    <t>112926</t>
  </si>
  <si>
    <t>112924</t>
  </si>
  <si>
    <t>112927</t>
  </si>
  <si>
    <t>120479</t>
  </si>
  <si>
    <t>120478</t>
  </si>
  <si>
    <t>120480</t>
  </si>
  <si>
    <t>120477</t>
  </si>
  <si>
    <t>101816</t>
  </si>
  <si>
    <t>101818</t>
  </si>
  <si>
    <t>120705</t>
  </si>
  <si>
    <t>120550</t>
  </si>
  <si>
    <t>Open Ended Schemes(Hybrid Scheme - Conservative Hybrid Fund)</t>
  </si>
  <si>
    <t>152133</t>
  </si>
  <si>
    <t>152132</t>
  </si>
  <si>
    <t>152074</t>
  </si>
  <si>
    <t>152076</t>
  </si>
  <si>
    <t>152075</t>
  </si>
  <si>
    <t>152073</t>
  </si>
  <si>
    <t>Open Ended Schemes(Hybrid Scheme - Balanced Hybrid Fund)</t>
  </si>
  <si>
    <t>152850</t>
  </si>
  <si>
    <t>152849</t>
  </si>
  <si>
    <t>104074</t>
  </si>
  <si>
    <t>104075</t>
  </si>
  <si>
    <t>120796</t>
  </si>
  <si>
    <t>120795</t>
  </si>
  <si>
    <t>146295</t>
  </si>
  <si>
    <t>146294</t>
  </si>
  <si>
    <t>146296</t>
  </si>
  <si>
    <t>146297</t>
  </si>
  <si>
    <t>153805</t>
  </si>
  <si>
    <t>153804</t>
  </si>
  <si>
    <t>153894</t>
  </si>
  <si>
    <t>153892</t>
  </si>
  <si>
    <t>153893</t>
  </si>
  <si>
    <t>153891</t>
  </si>
  <si>
    <t>145723</t>
  </si>
  <si>
    <t>145724</t>
  </si>
  <si>
    <t>145726</t>
  </si>
  <si>
    <t>145728</t>
  </si>
  <si>
    <t>145725</t>
  </si>
  <si>
    <t>145727</t>
  </si>
  <si>
    <t>149549</t>
  </si>
  <si>
    <t>149550</t>
  </si>
  <si>
    <t>149551</t>
  </si>
  <si>
    <t>149552</t>
  </si>
  <si>
    <t>104458</t>
  </si>
  <si>
    <t>104457</t>
  </si>
  <si>
    <t>119567</t>
  </si>
  <si>
    <t>119574</t>
  </si>
  <si>
    <t>153091</t>
  </si>
  <si>
    <t>153090</t>
  </si>
  <si>
    <t>153429</t>
  </si>
  <si>
    <t>153427</t>
  </si>
  <si>
    <t>153428</t>
  </si>
  <si>
    <t>153426</t>
  </si>
  <si>
    <t>152110</t>
  </si>
  <si>
    <t>152109</t>
  </si>
  <si>
    <t>138887</t>
  </si>
  <si>
    <t>138884</t>
  </si>
  <si>
    <t>138883</t>
  </si>
  <si>
    <t>138876</t>
  </si>
  <si>
    <t>138885</t>
  </si>
  <si>
    <t>138877</t>
  </si>
  <si>
    <t>138879</t>
  </si>
  <si>
    <t>138878</t>
  </si>
  <si>
    <t>142424</t>
  </si>
  <si>
    <t>138875</t>
  </si>
  <si>
    <t>138880</t>
  </si>
  <si>
    <t>153980</t>
  </si>
  <si>
    <t>153977</t>
  </si>
  <si>
    <t>153979</t>
  </si>
  <si>
    <t>153981</t>
  </si>
  <si>
    <t>Old Bridge Mutual Fund</t>
  </si>
  <si>
    <t>150366</t>
  </si>
  <si>
    <t>150367</t>
  </si>
  <si>
    <t>128820</t>
  </si>
  <si>
    <t>113346</t>
  </si>
  <si>
    <t>113345</t>
  </si>
  <si>
    <t>118585</t>
  </si>
  <si>
    <t>128821</t>
  </si>
  <si>
    <t>118587</t>
  </si>
  <si>
    <t>153186</t>
  </si>
  <si>
    <t>153188</t>
  </si>
  <si>
    <t>153185</t>
  </si>
  <si>
    <t>153187</t>
  </si>
  <si>
    <t>148403</t>
  </si>
  <si>
    <t>148400</t>
  </si>
  <si>
    <t>148402</t>
  </si>
  <si>
    <t>148401</t>
  </si>
  <si>
    <t>148469</t>
  </si>
  <si>
    <t>148467</t>
  </si>
  <si>
    <t>148468</t>
  </si>
  <si>
    <t>148470</t>
  </si>
  <si>
    <t>145893</t>
  </si>
  <si>
    <t>145892</t>
  </si>
  <si>
    <t>145890</t>
  </si>
  <si>
    <t>145891</t>
  </si>
  <si>
    <t>145894</t>
  </si>
  <si>
    <t>145895</t>
  </si>
  <si>
    <t>105967</t>
  </si>
  <si>
    <t>105968</t>
  </si>
  <si>
    <t>119771</t>
  </si>
  <si>
    <t>119770</t>
  </si>
  <si>
    <t>135169</t>
  </si>
  <si>
    <t>133396</t>
  </si>
  <si>
    <t>135168</t>
  </si>
  <si>
    <t>103781</t>
  </si>
  <si>
    <t>135170</t>
  </si>
  <si>
    <t>133399</t>
  </si>
  <si>
    <t>103780</t>
  </si>
  <si>
    <t>130603</t>
  </si>
  <si>
    <t>135167</t>
  </si>
  <si>
    <t>133394</t>
  </si>
  <si>
    <t>120481</t>
  </si>
  <si>
    <t>135174</t>
  </si>
  <si>
    <t>133398</t>
  </si>
  <si>
    <t>135172</t>
  </si>
  <si>
    <t>135171</t>
  </si>
  <si>
    <t>133397</t>
  </si>
  <si>
    <t>120482</t>
  </si>
  <si>
    <t>130604</t>
  </si>
  <si>
    <t>135173</t>
  </si>
  <si>
    <t>133395</t>
  </si>
  <si>
    <t>JM Financial Mutual Fund</t>
  </si>
  <si>
    <t>154076</t>
  </si>
  <si>
    <t>147616</t>
  </si>
  <si>
    <t>147618</t>
  </si>
  <si>
    <t>147615</t>
  </si>
  <si>
    <t>147617</t>
  </si>
  <si>
    <t>105604</t>
  </si>
  <si>
    <t>105603</t>
  </si>
  <si>
    <t>120400</t>
  </si>
  <si>
    <t>120401</t>
  </si>
  <si>
    <t>130787</t>
  </si>
  <si>
    <t>104681</t>
  </si>
  <si>
    <t>104683</t>
  </si>
  <si>
    <t>130951</t>
  </si>
  <si>
    <t>120365</t>
  </si>
  <si>
    <t>120364</t>
  </si>
  <si>
    <t>130898</t>
  </si>
  <si>
    <t>104684</t>
  </si>
  <si>
    <t>151137</t>
  </si>
  <si>
    <t>151140</t>
  </si>
  <si>
    <t>151134</t>
  </si>
  <si>
    <t>151136</t>
  </si>
  <si>
    <t>151135</t>
  </si>
  <si>
    <t>151138</t>
  </si>
  <si>
    <t>154260</t>
  </si>
  <si>
    <t>154258</t>
  </si>
  <si>
    <t>154259</t>
  </si>
  <si>
    <t>154257</t>
  </si>
  <si>
    <t>129051</t>
  </si>
  <si>
    <t>129054</t>
  </si>
  <si>
    <t>129052</t>
  </si>
  <si>
    <t>106793</t>
  </si>
  <si>
    <t>153044</t>
  </si>
  <si>
    <t>153042</t>
  </si>
  <si>
    <t>153041</t>
  </si>
  <si>
    <t>153043</t>
  </si>
  <si>
    <t>130205</t>
  </si>
  <si>
    <t>130208</t>
  </si>
  <si>
    <t>130206</t>
  </si>
  <si>
    <t>130207</t>
  </si>
  <si>
    <t>141605</t>
  </si>
  <si>
    <t>141606</t>
  </si>
  <si>
    <t>130209</t>
  </si>
  <si>
    <t>142278</t>
  </si>
  <si>
    <t>142280</t>
  </si>
  <si>
    <t>142282</t>
  </si>
  <si>
    <t>142281</t>
  </si>
  <si>
    <t>142279</t>
  </si>
  <si>
    <t>142283</t>
  </si>
  <si>
    <t>154235</t>
  </si>
  <si>
    <t>154233</t>
  </si>
  <si>
    <t>154234</t>
  </si>
  <si>
    <t>154236</t>
  </si>
  <si>
    <t>150253</t>
  </si>
  <si>
    <t>150251</t>
  </si>
  <si>
    <t>150250</t>
  </si>
  <si>
    <t>150257</t>
  </si>
  <si>
    <t>150254</t>
  </si>
  <si>
    <t>150256</t>
  </si>
  <si>
    <t>150255</t>
  </si>
  <si>
    <t>150252</t>
  </si>
  <si>
    <t>143619</t>
  </si>
  <si>
    <t>143618</t>
  </si>
  <si>
    <t>143617</t>
  </si>
  <si>
    <t>143620</t>
  </si>
  <si>
    <t>143616</t>
  </si>
  <si>
    <t>143615</t>
  </si>
  <si>
    <t>143614</t>
  </si>
  <si>
    <t>143613</t>
  </si>
  <si>
    <t>118475</t>
  </si>
  <si>
    <t>133679</t>
  </si>
  <si>
    <t>118474</t>
  </si>
  <si>
    <t>108847</t>
  </si>
  <si>
    <t>108845</t>
  </si>
  <si>
    <t>133680</t>
  </si>
  <si>
    <t>108846</t>
  </si>
  <si>
    <t>108844</t>
  </si>
  <si>
    <t>152079</t>
  </si>
  <si>
    <t>152077</t>
  </si>
  <si>
    <t>152078</t>
  </si>
  <si>
    <t>152080</t>
  </si>
  <si>
    <t>130776</t>
  </si>
  <si>
    <t>130771</t>
  </si>
  <si>
    <t>130774</t>
  </si>
  <si>
    <t>130773</t>
  </si>
  <si>
    <t>112087</t>
  </si>
  <si>
    <t>119525</t>
  </si>
  <si>
    <t>112088</t>
  </si>
  <si>
    <t>119526</t>
  </si>
  <si>
    <t>Open Ended Schemes(Hybrid Scheme - Arbitrage Fund)</t>
  </si>
  <si>
    <t>120674</t>
  </si>
  <si>
    <t>100685</t>
  </si>
  <si>
    <t>100684</t>
  </si>
  <si>
    <t>120673</t>
  </si>
  <si>
    <t>148590</t>
  </si>
  <si>
    <t>148591</t>
  </si>
  <si>
    <t>148593</t>
  </si>
  <si>
    <t>148592</t>
  </si>
  <si>
    <t>101222</t>
  </si>
  <si>
    <t>113134</t>
  </si>
  <si>
    <t>100414</t>
  </si>
  <si>
    <t>119058</t>
  </si>
  <si>
    <t>119057</t>
  </si>
  <si>
    <t>119053</t>
  </si>
  <si>
    <t>149602</t>
  </si>
  <si>
    <t>149599</t>
  </si>
  <si>
    <t>149600</t>
  </si>
  <si>
    <t>149601</t>
  </si>
  <si>
    <t>125714</t>
  </si>
  <si>
    <t>125713</t>
  </si>
  <si>
    <t>125712</t>
  </si>
  <si>
    <t>125711</t>
  </si>
  <si>
    <t>102885</t>
  </si>
  <si>
    <t>101551</t>
  </si>
  <si>
    <t>119604</t>
  </si>
  <si>
    <t>119609</t>
  </si>
  <si>
    <t>120818</t>
  </si>
  <si>
    <t>101069</t>
  </si>
  <si>
    <t>120819</t>
  </si>
  <si>
    <t>101070</t>
  </si>
  <si>
    <t>139822</t>
  </si>
  <si>
    <t>139821</t>
  </si>
  <si>
    <t>139823</t>
  </si>
  <si>
    <t>139820</t>
  </si>
  <si>
    <t>138383</t>
  </si>
  <si>
    <t>138384</t>
  </si>
  <si>
    <t>142421</t>
  </si>
  <si>
    <t>138382</t>
  </si>
  <si>
    <t>138381</t>
  </si>
  <si>
    <t>138386</t>
  </si>
  <si>
    <t>138387</t>
  </si>
  <si>
    <t>142422</t>
  </si>
  <si>
    <t>138385</t>
  </si>
  <si>
    <t>148271</t>
  </si>
  <si>
    <t>147685</t>
  </si>
  <si>
    <t>147689</t>
  </si>
  <si>
    <t>122765</t>
  </si>
  <si>
    <t>139680</t>
  </si>
  <si>
    <t>112937</t>
  </si>
  <si>
    <t>112936</t>
  </si>
  <si>
    <t>122766</t>
  </si>
  <si>
    <t>139679</t>
  </si>
  <si>
    <t>118793</t>
  </si>
  <si>
    <t>148269</t>
  </si>
  <si>
    <t>148268</t>
  </si>
  <si>
    <t>148272</t>
  </si>
  <si>
    <t>148270</t>
  </si>
  <si>
    <t>148267</t>
  </si>
  <si>
    <t>148266</t>
  </si>
  <si>
    <t>147688</t>
  </si>
  <si>
    <t>147687</t>
  </si>
  <si>
    <t>147686</t>
  </si>
  <si>
    <t>147683</t>
  </si>
  <si>
    <t>147684</t>
  </si>
  <si>
    <t>147690</t>
  </si>
  <si>
    <t>118794</t>
  </si>
  <si>
    <t>148265</t>
  </si>
  <si>
    <t>143199</t>
  </si>
  <si>
    <t>143166</t>
  </si>
  <si>
    <t>143197</t>
  </si>
  <si>
    <t>143189</t>
  </si>
  <si>
    <t>143198</t>
  </si>
  <si>
    <t>143162</t>
  </si>
  <si>
    <t>143185</t>
  </si>
  <si>
    <t>143167</t>
  </si>
  <si>
    <t>143192</t>
  </si>
  <si>
    <t>143186</t>
  </si>
  <si>
    <t>143195</t>
  </si>
  <si>
    <t>143163</t>
  </si>
  <si>
    <t>134816</t>
  </si>
  <si>
    <t>134815</t>
  </si>
  <si>
    <t>134814</t>
  </si>
  <si>
    <t>134813</t>
  </si>
  <si>
    <t>147449</t>
  </si>
  <si>
    <t>147447</t>
  </si>
  <si>
    <t>147446</t>
  </si>
  <si>
    <t>147448</t>
  </si>
  <si>
    <t>100321</t>
  </si>
  <si>
    <t>100323</t>
  </si>
  <si>
    <t>120260</t>
  </si>
  <si>
    <t>120261</t>
  </si>
  <si>
    <t>133036</t>
  </si>
  <si>
    <t>100286</t>
  </si>
  <si>
    <t>133035</t>
  </si>
  <si>
    <t>119767</t>
  </si>
  <si>
    <t>100221</t>
  </si>
  <si>
    <t>133405</t>
  </si>
  <si>
    <t>133410</t>
  </si>
  <si>
    <t>133404</t>
  </si>
  <si>
    <t>100220</t>
  </si>
  <si>
    <t>133408</t>
  </si>
  <si>
    <t>133403</t>
  </si>
  <si>
    <t>133400</t>
  </si>
  <si>
    <t>131476</t>
  </si>
  <si>
    <t>133407</t>
  </si>
  <si>
    <t>133406</t>
  </si>
  <si>
    <t>133411</t>
  </si>
  <si>
    <t>133412</t>
  </si>
  <si>
    <t>120483</t>
  </si>
  <si>
    <t>133402</t>
  </si>
  <si>
    <t>133409</t>
  </si>
  <si>
    <t>120484</t>
  </si>
  <si>
    <t>133401</t>
  </si>
  <si>
    <t>131477</t>
  </si>
  <si>
    <t>130904</t>
  </si>
  <si>
    <t>143534</t>
  </si>
  <si>
    <t>143536</t>
  </si>
  <si>
    <t>143532</t>
  </si>
  <si>
    <t>143537</t>
  </si>
  <si>
    <t>100355</t>
  </si>
  <si>
    <t>131452</t>
  </si>
  <si>
    <t>100356</t>
  </si>
  <si>
    <t>120252</t>
  </si>
  <si>
    <t>131453</t>
  </si>
  <si>
    <t>120251</t>
  </si>
  <si>
    <t>136114</t>
  </si>
  <si>
    <t>136113</t>
  </si>
  <si>
    <t>151121</t>
  </si>
  <si>
    <t>151120</t>
  </si>
  <si>
    <t>151124</t>
  </si>
  <si>
    <t>151123</t>
  </si>
  <si>
    <t>151122</t>
  </si>
  <si>
    <t>151125</t>
  </si>
  <si>
    <t>102947</t>
  </si>
  <si>
    <t>119061</t>
  </si>
  <si>
    <t>102948</t>
  </si>
  <si>
    <t>119062</t>
  </si>
  <si>
    <t>145607</t>
  </si>
  <si>
    <t>145604</t>
  </si>
  <si>
    <t>145608</t>
  </si>
  <si>
    <t>145603</t>
  </si>
  <si>
    <t>145601</t>
  </si>
  <si>
    <t>145606</t>
  </si>
  <si>
    <t>145602</t>
  </si>
  <si>
    <t>145600</t>
  </si>
  <si>
    <t>145605</t>
  </si>
  <si>
    <t>145599</t>
  </si>
  <si>
    <t>100549</t>
  </si>
  <si>
    <t>100550</t>
  </si>
  <si>
    <t>118547</t>
  </si>
  <si>
    <t>118546</t>
  </si>
  <si>
    <t>118624</t>
  </si>
  <si>
    <t>112012</t>
  </si>
  <si>
    <t>112109</t>
  </si>
  <si>
    <t>112108</t>
  </si>
  <si>
    <t>112013</t>
  </si>
  <si>
    <t>118625</t>
  </si>
  <si>
    <t>100082</t>
  </si>
  <si>
    <t>100081</t>
  </si>
  <si>
    <t>119020</t>
  </si>
  <si>
    <t>119019</t>
  </si>
  <si>
    <t>106167</t>
  </si>
  <si>
    <t>106166</t>
  </si>
  <si>
    <t>118271</t>
  </si>
  <si>
    <t>118272</t>
  </si>
  <si>
    <t>150258</t>
  </si>
  <si>
    <t>150261</t>
  </si>
  <si>
    <t>150260</t>
  </si>
  <si>
    <t>150259</t>
  </si>
  <si>
    <t>139528</t>
  </si>
  <si>
    <t>139529</t>
  </si>
  <si>
    <t>139530</t>
  </si>
  <si>
    <t>139527</t>
  </si>
  <si>
    <t>140384</t>
  </si>
  <si>
    <t>140381</t>
  </si>
  <si>
    <t>140383</t>
  </si>
  <si>
    <t>140382</t>
  </si>
  <si>
    <t>144396</t>
  </si>
  <si>
    <t>144400</t>
  </si>
  <si>
    <t>144399</t>
  </si>
  <si>
    <t>144393</t>
  </si>
  <si>
    <t>144395</t>
  </si>
  <si>
    <t>144398</t>
  </si>
  <si>
    <t>144397</t>
  </si>
  <si>
    <t>144394</t>
  </si>
  <si>
    <t>103154</t>
  </si>
  <si>
    <t>120518</t>
  </si>
  <si>
    <t>103155</t>
  </si>
  <si>
    <t>120517</t>
  </si>
  <si>
    <t>Open Ended Schemes(Hybrid Scheme - Aggressive Hybrid Fund)</t>
  </si>
  <si>
    <t>120310</t>
  </si>
  <si>
    <t>120311</t>
  </si>
  <si>
    <t>103027</t>
  </si>
  <si>
    <t>130949</t>
  </si>
  <si>
    <t>103028</t>
  </si>
  <si>
    <t>Open Ended Schemes(Growth)</t>
  </si>
  <si>
    <t>130905</t>
  </si>
  <si>
    <t>118022</t>
  </si>
  <si>
    <t>118023</t>
  </si>
  <si>
    <t>102248</t>
  </si>
  <si>
    <t>120611</t>
  </si>
  <si>
    <t>120610</t>
  </si>
  <si>
    <t>120612</t>
  </si>
  <si>
    <t>130954</t>
  </si>
  <si>
    <t>130901</t>
  </si>
  <si>
    <t>118019</t>
  </si>
  <si>
    <t>102060</t>
  </si>
  <si>
    <t>120605</t>
  </si>
  <si>
    <t>120606</t>
  </si>
  <si>
    <t>Open Ended Schemes(Gilt)</t>
  </si>
  <si>
    <t>103097</t>
  </si>
  <si>
    <t>103098</t>
  </si>
  <si>
    <t>120752</t>
  </si>
  <si>
    <t>120751</t>
  </si>
  <si>
    <t>145472</t>
  </si>
  <si>
    <t>145471</t>
  </si>
  <si>
    <t>145474</t>
  </si>
  <si>
    <t>145473</t>
  </si>
  <si>
    <t>119232</t>
  </si>
  <si>
    <t>119233</t>
  </si>
  <si>
    <t>102428</t>
  </si>
  <si>
    <t>119231</t>
  </si>
  <si>
    <t>101672</t>
  </si>
  <si>
    <t>112218</t>
  </si>
  <si>
    <t>100614</t>
  </si>
  <si>
    <t>101853</t>
  </si>
  <si>
    <t>119548</t>
  </si>
  <si>
    <t>119549</t>
  </si>
  <si>
    <t>141069</t>
  </si>
  <si>
    <t>141068</t>
  </si>
  <si>
    <t>103491</t>
  </si>
  <si>
    <t>103490</t>
  </si>
  <si>
    <t>149336</t>
  </si>
  <si>
    <t>149338</t>
  </si>
  <si>
    <t>149337</t>
  </si>
  <si>
    <t>149335</t>
  </si>
  <si>
    <t>103085</t>
  </si>
  <si>
    <t>103086</t>
  </si>
  <si>
    <t>118784</t>
  </si>
  <si>
    <t>118782</t>
  </si>
  <si>
    <t>153302</t>
  </si>
  <si>
    <t>153304</t>
  </si>
  <si>
    <t>153305</t>
  </si>
  <si>
    <t>153303</t>
  </si>
  <si>
    <t>152017</t>
  </si>
  <si>
    <t>152016</t>
  </si>
  <si>
    <t>152015</t>
  </si>
  <si>
    <t>152018</t>
  </si>
  <si>
    <t>106168</t>
  </si>
  <si>
    <t>100254</t>
  </si>
  <si>
    <t>120485</t>
  </si>
  <si>
    <t>120486</t>
  </si>
  <si>
    <t>148971</t>
  </si>
  <si>
    <t>148973</t>
  </si>
  <si>
    <t>148970</t>
  </si>
  <si>
    <t>148972</t>
  </si>
  <si>
    <t>102595</t>
  </si>
  <si>
    <t>102594</t>
  </si>
  <si>
    <t>120322</t>
  </si>
  <si>
    <t>120323</t>
  </si>
  <si>
    <t>151111</t>
  </si>
  <si>
    <t>151110</t>
  </si>
  <si>
    <t>151112</t>
  </si>
  <si>
    <t>151113</t>
  </si>
  <si>
    <t>101765</t>
  </si>
  <si>
    <t>118934</t>
  </si>
  <si>
    <t>101764</t>
  </si>
  <si>
    <t>118935</t>
  </si>
  <si>
    <t>140818</t>
  </si>
  <si>
    <t>140816</t>
  </si>
  <si>
    <t>140820</t>
  </si>
  <si>
    <t>135344</t>
  </si>
  <si>
    <t>140817</t>
  </si>
  <si>
    <t>140815</t>
  </si>
  <si>
    <t>140819</t>
  </si>
  <si>
    <t>135342</t>
  </si>
  <si>
    <t>135343</t>
  </si>
  <si>
    <t>135341</t>
  </si>
  <si>
    <t>100497</t>
  </si>
  <si>
    <t>100496</t>
  </si>
  <si>
    <t>118493</t>
  </si>
  <si>
    <t>118494</t>
  </si>
  <si>
    <t>148597</t>
  </si>
  <si>
    <t>148594</t>
  </si>
  <si>
    <t>148596</t>
  </si>
  <si>
    <t>148595</t>
  </si>
  <si>
    <t>149087</t>
  </si>
  <si>
    <t>149088</t>
  </si>
  <si>
    <t>149086</t>
  </si>
  <si>
    <t>149085</t>
  </si>
  <si>
    <t>151754</t>
  </si>
  <si>
    <t>151747</t>
  </si>
  <si>
    <t>151756</t>
  </si>
  <si>
    <t>151755</t>
  </si>
  <si>
    <t>108908</t>
  </si>
  <si>
    <t>108909</t>
  </si>
  <si>
    <t>118480</t>
  </si>
  <si>
    <t>118481</t>
  </si>
  <si>
    <t>149165</t>
  </si>
  <si>
    <t>149167</t>
  </si>
  <si>
    <t>149168</t>
  </si>
  <si>
    <t>149166</t>
  </si>
  <si>
    <t>108166</t>
  </si>
  <si>
    <t>108167</t>
  </si>
  <si>
    <t>119659</t>
  </si>
  <si>
    <t>119658</t>
  </si>
  <si>
    <t>Open Ended Schemes(Equity Scheme - Value Fund)</t>
  </si>
  <si>
    <t>148616</t>
  </si>
  <si>
    <t>148617</t>
  </si>
  <si>
    <t>148619</t>
  </si>
  <si>
    <t>148618</t>
  </si>
  <si>
    <t>129648</t>
  </si>
  <si>
    <t>129647</t>
  </si>
  <si>
    <t>129646</t>
  </si>
  <si>
    <t>129649</t>
  </si>
  <si>
    <t>152940</t>
  </si>
  <si>
    <t>152938</t>
  </si>
  <si>
    <t>152937</t>
  </si>
  <si>
    <t>152939</t>
  </si>
  <si>
    <t>154267</t>
  </si>
  <si>
    <t>154268</t>
  </si>
  <si>
    <t>154270</t>
  </si>
  <si>
    <t>154269</t>
  </si>
  <si>
    <t>145205</t>
  </si>
  <si>
    <t>145207</t>
  </si>
  <si>
    <t>145208</t>
  </si>
  <si>
    <t>145206</t>
  </si>
  <si>
    <t>145210</t>
  </si>
  <si>
    <t>145209</t>
  </si>
  <si>
    <t>100794</t>
  </si>
  <si>
    <t>100795</t>
  </si>
  <si>
    <t>119588</t>
  </si>
  <si>
    <t>119589</t>
  </si>
  <si>
    <t>125495</t>
  </si>
  <si>
    <t>125494</t>
  </si>
  <si>
    <t>125496</t>
  </si>
  <si>
    <t>125497</t>
  </si>
  <si>
    <t>153869</t>
  </si>
  <si>
    <t>153868</t>
  </si>
  <si>
    <t>152108</t>
  </si>
  <si>
    <t>152107</t>
  </si>
  <si>
    <t>100176</t>
  </si>
  <si>
    <t>120827</t>
  </si>
  <si>
    <t>120828</t>
  </si>
  <si>
    <t>100177</t>
  </si>
  <si>
    <t>149032</t>
  </si>
  <si>
    <t>149020</t>
  </si>
  <si>
    <t>149019</t>
  </si>
  <si>
    <t>149031</t>
  </si>
  <si>
    <t>113179</t>
  </si>
  <si>
    <t>113177</t>
  </si>
  <si>
    <t>113178</t>
  </si>
  <si>
    <t>118778</t>
  </si>
  <si>
    <t>118777</t>
  </si>
  <si>
    <t>118775</t>
  </si>
  <si>
    <t>152234</t>
  </si>
  <si>
    <t>152232</t>
  </si>
  <si>
    <t>152235</t>
  </si>
  <si>
    <t>152237</t>
  </si>
  <si>
    <t>153199</t>
  </si>
  <si>
    <t>153198</t>
  </si>
  <si>
    <t>153197</t>
  </si>
  <si>
    <t>153196</t>
  </si>
  <si>
    <t>150914</t>
  </si>
  <si>
    <t>150912</t>
  </si>
  <si>
    <t>150913</t>
  </si>
  <si>
    <t>150915</t>
  </si>
  <si>
    <t>152006</t>
  </si>
  <si>
    <t>152003</t>
  </si>
  <si>
    <t>152005</t>
  </si>
  <si>
    <t>152004</t>
  </si>
  <si>
    <t>120163</t>
  </si>
  <si>
    <t>102874</t>
  </si>
  <si>
    <t>120164</t>
  </si>
  <si>
    <t>102875</t>
  </si>
  <si>
    <t>152613</t>
  </si>
  <si>
    <t>152612</t>
  </si>
  <si>
    <t>152615</t>
  </si>
  <si>
    <t>152614</t>
  </si>
  <si>
    <t>147918</t>
  </si>
  <si>
    <t>147920</t>
  </si>
  <si>
    <t>147917</t>
  </si>
  <si>
    <t>147919</t>
  </si>
  <si>
    <t>145140</t>
  </si>
  <si>
    <t>145139</t>
  </si>
  <si>
    <t>145138</t>
  </si>
  <si>
    <t>145137</t>
  </si>
  <si>
    <t>106821</t>
  </si>
  <si>
    <t>106822</t>
  </si>
  <si>
    <t>106823</t>
  </si>
  <si>
    <t>120870</t>
  </si>
  <si>
    <t>120591</t>
  </si>
  <si>
    <t>151131</t>
  </si>
  <si>
    <t>151133</t>
  </si>
  <si>
    <t>151132</t>
  </si>
  <si>
    <t>151130</t>
  </si>
  <si>
    <t>153911</t>
  </si>
  <si>
    <t>153909</t>
  </si>
  <si>
    <t>153910</t>
  </si>
  <si>
    <t>153912</t>
  </si>
  <si>
    <t>130504</t>
  </si>
  <si>
    <t>130501</t>
  </si>
  <si>
    <t>130503</t>
  </si>
  <si>
    <t>130502</t>
  </si>
  <si>
    <t>154103</t>
  </si>
  <si>
    <t>154102</t>
  </si>
  <si>
    <t>154063</t>
  </si>
  <si>
    <t>154104</t>
  </si>
  <si>
    <t>103360</t>
  </si>
  <si>
    <t>103361</t>
  </si>
  <si>
    <t>118524</t>
  </si>
  <si>
    <t>118525</t>
  </si>
  <si>
    <t>146194</t>
  </si>
  <si>
    <t>146193</t>
  </si>
  <si>
    <t>146197</t>
  </si>
  <si>
    <t>146196</t>
  </si>
  <si>
    <t>113153</t>
  </si>
  <si>
    <t>105989</t>
  </si>
  <si>
    <t>119213</t>
  </si>
  <si>
    <t>119212</t>
  </si>
  <si>
    <t>146128</t>
  </si>
  <si>
    <t>146127</t>
  </si>
  <si>
    <t>146131</t>
  </si>
  <si>
    <t>146130</t>
  </si>
  <si>
    <t>152131</t>
  </si>
  <si>
    <t>152130</t>
  </si>
  <si>
    <t>152129</t>
  </si>
  <si>
    <t>152128</t>
  </si>
  <si>
    <t>145676</t>
  </si>
  <si>
    <t>145677</t>
  </si>
  <si>
    <t>145675</t>
  </si>
  <si>
    <t>145678</t>
  </si>
  <si>
    <t>147945</t>
  </si>
  <si>
    <t>147944</t>
  </si>
  <si>
    <t>147943</t>
  </si>
  <si>
    <t>147946</t>
  </si>
  <si>
    <t>153610</t>
  </si>
  <si>
    <t>153609</t>
  </si>
  <si>
    <t>153611</t>
  </si>
  <si>
    <t>153612</t>
  </si>
  <si>
    <t>125352</t>
  </si>
  <si>
    <t>125350</t>
  </si>
  <si>
    <t>125351</t>
  </si>
  <si>
    <t>125354</t>
  </si>
  <si>
    <t>105805</t>
  </si>
  <si>
    <t>119557</t>
  </si>
  <si>
    <t>119556</t>
  </si>
  <si>
    <t>105804</t>
  </si>
  <si>
    <t>154214</t>
  </si>
  <si>
    <t>154215</t>
  </si>
  <si>
    <t>Abakkus Mutual Fund</t>
  </si>
  <si>
    <t>Open Ended Schemes(Equity Scheme - Small Cap Fund)</t>
  </si>
  <si>
    <t>152643</t>
  </si>
  <si>
    <t>152644</t>
  </si>
  <si>
    <t>153190</t>
  </si>
  <si>
    <t>153189</t>
  </si>
  <si>
    <t>152348</t>
  </si>
  <si>
    <t>152349</t>
  </si>
  <si>
    <t>152963</t>
  </si>
  <si>
    <t>152962</t>
  </si>
  <si>
    <t>152914</t>
  </si>
  <si>
    <t>152915</t>
  </si>
  <si>
    <t>154162</t>
  </si>
  <si>
    <t>154161</t>
  </si>
  <si>
    <t>152322</t>
  </si>
  <si>
    <t>152321</t>
  </si>
  <si>
    <t>153205</t>
  </si>
  <si>
    <t>153204</t>
  </si>
  <si>
    <t>152088</t>
  </si>
  <si>
    <t>152086</t>
  </si>
  <si>
    <t>152089</t>
  </si>
  <si>
    <t>152087</t>
  </si>
  <si>
    <t>120731</t>
  </si>
  <si>
    <t>102398</t>
  </si>
  <si>
    <t>102397</t>
  </si>
  <si>
    <t>120730</t>
  </si>
  <si>
    <t>100739</t>
  </si>
  <si>
    <t>120681</t>
  </si>
  <si>
    <t>100740</t>
  </si>
  <si>
    <t>120682</t>
  </si>
  <si>
    <t>120728</t>
  </si>
  <si>
    <t>102395</t>
  </si>
  <si>
    <t>102396</t>
  </si>
  <si>
    <t>120729</t>
  </si>
  <si>
    <t>106426</t>
  </si>
  <si>
    <t>106425</t>
  </si>
  <si>
    <t>120781</t>
  </si>
  <si>
    <t>120780</t>
  </si>
  <si>
    <t>100806</t>
  </si>
  <si>
    <t>100807</t>
  </si>
  <si>
    <t>120783</t>
  </si>
  <si>
    <t>120782</t>
  </si>
  <si>
    <t>102402</t>
  </si>
  <si>
    <t>102401</t>
  </si>
  <si>
    <t>120732</t>
  </si>
  <si>
    <t>120733</t>
  </si>
  <si>
    <t>151906</t>
  </si>
  <si>
    <t>151903</t>
  </si>
  <si>
    <t>151904</t>
  </si>
  <si>
    <t>151905</t>
  </si>
  <si>
    <t>154023</t>
  </si>
  <si>
    <t>154022</t>
  </si>
  <si>
    <t>154021</t>
  </si>
  <si>
    <t>154020</t>
  </si>
  <si>
    <t>152412</t>
  </si>
  <si>
    <t>152411</t>
  </si>
  <si>
    <t>152410</t>
  </si>
  <si>
    <t>152409</t>
  </si>
  <si>
    <t>153112</t>
  </si>
  <si>
    <t>153111</t>
  </si>
  <si>
    <t>153110</t>
  </si>
  <si>
    <t>153109</t>
  </si>
  <si>
    <t>153896</t>
  </si>
  <si>
    <t>153897</t>
  </si>
  <si>
    <t>153898</t>
  </si>
  <si>
    <t>153895</t>
  </si>
  <si>
    <t>105418</t>
  </si>
  <si>
    <t>105417</t>
  </si>
  <si>
    <t>118880</t>
  </si>
  <si>
    <t>118879</t>
  </si>
  <si>
    <t>118878</t>
  </si>
  <si>
    <t>111788</t>
  </si>
  <si>
    <t>111787</t>
  </si>
  <si>
    <t>118877</t>
  </si>
  <si>
    <t>118876</t>
  </si>
  <si>
    <t>111903</t>
  </si>
  <si>
    <t>117313</t>
  </si>
  <si>
    <t>117312</t>
  </si>
  <si>
    <t>118869</t>
  </si>
  <si>
    <t>118868</t>
  </si>
  <si>
    <t>135815</t>
  </si>
  <si>
    <t>135813</t>
  </si>
  <si>
    <t>135818</t>
  </si>
  <si>
    <t>135814</t>
  </si>
  <si>
    <t>135816</t>
  </si>
  <si>
    <t>135817</t>
  </si>
  <si>
    <t>147867</t>
  </si>
  <si>
    <t>147864</t>
  </si>
  <si>
    <t>147866</t>
  </si>
  <si>
    <t>147865</t>
  </si>
  <si>
    <t>147868</t>
  </si>
  <si>
    <t>147869</t>
  </si>
  <si>
    <t>101766</t>
  </si>
  <si>
    <t>119244</t>
  </si>
  <si>
    <t>101852</t>
  </si>
  <si>
    <t>119243</t>
  </si>
  <si>
    <t>135812</t>
  </si>
  <si>
    <t>135810</t>
  </si>
  <si>
    <t>135811</t>
  </si>
  <si>
    <t>135808</t>
  </si>
  <si>
    <t>135809</t>
  </si>
  <si>
    <t>135807</t>
  </si>
  <si>
    <t>153058</t>
  </si>
  <si>
    <t>153054</t>
  </si>
  <si>
    <t>153059</t>
  </si>
  <si>
    <t>153056</t>
  </si>
  <si>
    <t>153057</t>
  </si>
  <si>
    <t>153055</t>
  </si>
  <si>
    <t>135804</t>
  </si>
  <si>
    <t>135805</t>
  </si>
  <si>
    <t>135803</t>
  </si>
  <si>
    <t>135802</t>
  </si>
  <si>
    <t>135801</t>
  </si>
  <si>
    <t>135806</t>
  </si>
  <si>
    <t>150536</t>
  </si>
  <si>
    <t>150535</t>
  </si>
  <si>
    <t>150537</t>
  </si>
  <si>
    <t>150533</t>
  </si>
  <si>
    <t>150534</t>
  </si>
  <si>
    <t>150532</t>
  </si>
  <si>
    <t>100415</t>
  </si>
  <si>
    <t>101833</t>
  </si>
  <si>
    <t>119171</t>
  </si>
  <si>
    <t>119172</t>
  </si>
  <si>
    <t>135797</t>
  </si>
  <si>
    <t>135800</t>
  </si>
  <si>
    <t>135799</t>
  </si>
  <si>
    <t>135796</t>
  </si>
  <si>
    <t>135798</t>
  </si>
  <si>
    <t>135795</t>
  </si>
  <si>
    <t>149069</t>
  </si>
  <si>
    <t>149070</t>
  </si>
  <si>
    <t>149068</t>
  </si>
  <si>
    <t>149067</t>
  </si>
  <si>
    <t>149066</t>
  </si>
  <si>
    <t>149071</t>
  </si>
  <si>
    <t>135794</t>
  </si>
  <si>
    <t>135793</t>
  </si>
  <si>
    <t>135791</t>
  </si>
  <si>
    <t>135790</t>
  </si>
  <si>
    <t>135792</t>
  </si>
  <si>
    <t>135789</t>
  </si>
  <si>
    <t>144834</t>
  </si>
  <si>
    <t>144839</t>
  </si>
  <si>
    <t>144838</t>
  </si>
  <si>
    <t>144837</t>
  </si>
  <si>
    <t>144836</t>
  </si>
  <si>
    <t>144835</t>
  </si>
  <si>
    <t>153668</t>
  </si>
  <si>
    <t>153671</t>
  </si>
  <si>
    <t>153667</t>
  </si>
  <si>
    <t>153666</t>
  </si>
  <si>
    <t>153670</t>
  </si>
  <si>
    <t>153669</t>
  </si>
  <si>
    <t>129210</t>
  </si>
  <si>
    <t>129213</t>
  </si>
  <si>
    <t>129211</t>
  </si>
  <si>
    <t>129212</t>
  </si>
  <si>
    <t>109058</t>
  </si>
  <si>
    <t>109059</t>
  </si>
  <si>
    <t>109060</t>
  </si>
  <si>
    <t>109061</t>
  </si>
  <si>
    <t>119596</t>
  </si>
  <si>
    <t>119597</t>
  </si>
  <si>
    <t>102142</t>
  </si>
  <si>
    <t>119594</t>
  </si>
  <si>
    <t>103743</t>
  </si>
  <si>
    <t>113373</t>
  </si>
  <si>
    <t>119595</t>
  </si>
  <si>
    <t>152675</t>
  </si>
  <si>
    <t>152674</t>
  </si>
  <si>
    <t>152678</t>
  </si>
  <si>
    <t>152673</t>
  </si>
  <si>
    <t>152676</t>
  </si>
  <si>
    <t>152677</t>
  </si>
  <si>
    <t>153077</t>
  </si>
  <si>
    <t>153076</t>
  </si>
  <si>
    <t>100643</t>
  </si>
  <si>
    <t>120577</t>
  </si>
  <si>
    <t>119731</t>
  </si>
  <si>
    <t>120578</t>
  </si>
  <si>
    <t>153152</t>
  </si>
  <si>
    <t>153153</t>
  </si>
  <si>
    <t>153151</t>
  </si>
  <si>
    <t>153154</t>
  </si>
  <si>
    <t>154176</t>
  </si>
  <si>
    <t>154175</t>
  </si>
  <si>
    <t>154178</t>
  </si>
  <si>
    <t>154177</t>
  </si>
  <si>
    <t>113099</t>
  </si>
  <si>
    <t>112923</t>
  </si>
  <si>
    <t>119733</t>
  </si>
  <si>
    <t>119732</t>
  </si>
  <si>
    <t>103034</t>
  </si>
  <si>
    <t>103114</t>
  </si>
  <si>
    <t>119711</t>
  </si>
  <si>
    <t>119710</t>
  </si>
  <si>
    <t>152775</t>
  </si>
  <si>
    <t>152774</t>
  </si>
  <si>
    <t>152777</t>
  </si>
  <si>
    <t>152776</t>
  </si>
  <si>
    <t>106095</t>
  </si>
  <si>
    <t>119695</t>
  </si>
  <si>
    <t>106096</t>
  </si>
  <si>
    <t>119700</t>
  </si>
  <si>
    <t>102823</t>
  </si>
  <si>
    <t>100644</t>
  </si>
  <si>
    <t>119783</t>
  </si>
  <si>
    <t>119782</t>
  </si>
  <si>
    <t>101295</t>
  </si>
  <si>
    <t>104523</t>
  </si>
  <si>
    <t>119709</t>
  </si>
  <si>
    <t>119708</t>
  </si>
  <si>
    <t>146641</t>
  </si>
  <si>
    <t>146644</t>
  </si>
  <si>
    <t>146642</t>
  </si>
  <si>
    <t>146643</t>
  </si>
  <si>
    <t>152419</t>
  </si>
  <si>
    <t>152418</t>
  </si>
  <si>
    <t>152420</t>
  </si>
  <si>
    <t>152417</t>
  </si>
  <si>
    <t>100645</t>
  </si>
  <si>
    <t>120576</t>
  </si>
  <si>
    <t>119730</t>
  </si>
  <si>
    <t>120575</t>
  </si>
  <si>
    <t>103146</t>
  </si>
  <si>
    <t>103145</t>
  </si>
  <si>
    <t>119613</t>
  </si>
  <si>
    <t>119705</t>
  </si>
  <si>
    <t>133860</t>
  </si>
  <si>
    <t>133858</t>
  </si>
  <si>
    <t>133857</t>
  </si>
  <si>
    <t>133859</t>
  </si>
  <si>
    <t>152656</t>
  </si>
  <si>
    <t>152658</t>
  </si>
  <si>
    <t>152655</t>
  </si>
  <si>
    <t>152657</t>
  </si>
  <si>
    <t>152587</t>
  </si>
  <si>
    <t>152586</t>
  </si>
  <si>
    <t>151752</t>
  </si>
  <si>
    <t>151753</t>
  </si>
  <si>
    <t>153095</t>
  </si>
  <si>
    <t>153094</t>
  </si>
  <si>
    <t>147371</t>
  </si>
  <si>
    <t>147372</t>
  </si>
  <si>
    <t>152069</t>
  </si>
  <si>
    <t>152068</t>
  </si>
  <si>
    <t>152070</t>
  </si>
  <si>
    <t>152067</t>
  </si>
  <si>
    <t>148922</t>
  </si>
  <si>
    <t>148924</t>
  </si>
  <si>
    <t>148923</t>
  </si>
  <si>
    <t>148925</t>
  </si>
  <si>
    <t>152414</t>
  </si>
  <si>
    <t>152416</t>
  </si>
  <si>
    <t>152413</t>
  </si>
  <si>
    <t>152415</t>
  </si>
  <si>
    <t>152191</t>
  </si>
  <si>
    <t>152192</t>
  </si>
  <si>
    <t>152190</t>
  </si>
  <si>
    <t>152189</t>
  </si>
  <si>
    <t>151915</t>
  </si>
  <si>
    <t>151914</t>
  </si>
  <si>
    <t>151913</t>
  </si>
  <si>
    <t>151916</t>
  </si>
  <si>
    <t>106169</t>
  </si>
  <si>
    <t>120832</t>
  </si>
  <si>
    <t>120833</t>
  </si>
  <si>
    <t>106170</t>
  </si>
  <si>
    <t>151856</t>
  </si>
  <si>
    <t>151854</t>
  </si>
  <si>
    <t>151855</t>
  </si>
  <si>
    <t>151853</t>
  </si>
  <si>
    <t>148561</t>
  </si>
  <si>
    <t>148563</t>
  </si>
  <si>
    <t>148560</t>
  </si>
  <si>
    <t>148564</t>
  </si>
  <si>
    <t>152337</t>
  </si>
  <si>
    <t>152339</t>
  </si>
  <si>
    <t>152338</t>
  </si>
  <si>
    <t>152336</t>
  </si>
  <si>
    <t>152258</t>
  </si>
  <si>
    <t>152257</t>
  </si>
  <si>
    <t>152256</t>
  </si>
  <si>
    <t>152255</t>
  </si>
  <si>
    <t>151760</t>
  </si>
  <si>
    <t>151759</t>
  </si>
  <si>
    <t>151758</t>
  </si>
  <si>
    <t>151757</t>
  </si>
  <si>
    <t>151789</t>
  </si>
  <si>
    <t>151790</t>
  </si>
  <si>
    <t>151788</t>
  </si>
  <si>
    <t>151791</t>
  </si>
  <si>
    <t>153038</t>
  </si>
  <si>
    <t>153040</t>
  </si>
  <si>
    <t>153037</t>
  </si>
  <si>
    <t>153039</t>
  </si>
  <si>
    <t>134922</t>
  </si>
  <si>
    <t>134923</t>
  </si>
  <si>
    <t>134924</t>
  </si>
  <si>
    <t>134925</t>
  </si>
  <si>
    <t>149325</t>
  </si>
  <si>
    <t>149328</t>
  </si>
  <si>
    <t>149327</t>
  </si>
  <si>
    <t>149329</t>
  </si>
  <si>
    <t>108258</t>
  </si>
  <si>
    <t>108249</t>
  </si>
  <si>
    <t>108252</t>
  </si>
  <si>
    <t>118769</t>
  </si>
  <si>
    <t>118770</t>
  </si>
  <si>
    <t>118767</t>
  </si>
  <si>
    <t>101263</t>
  </si>
  <si>
    <t>101262</t>
  </si>
  <si>
    <t>101264</t>
  </si>
  <si>
    <t>118763</t>
  </si>
  <si>
    <t>118762</t>
  </si>
  <si>
    <t>118760</t>
  </si>
  <si>
    <t>102431</t>
  </si>
  <si>
    <t>102432</t>
  </si>
  <si>
    <t>102433</t>
  </si>
  <si>
    <t>118759</t>
  </si>
  <si>
    <t>118758</t>
  </si>
  <si>
    <t>118756</t>
  </si>
  <si>
    <t>153691</t>
  </si>
  <si>
    <t>153692</t>
  </si>
  <si>
    <t>153690</t>
  </si>
  <si>
    <t>153693</t>
  </si>
  <si>
    <t>130863</t>
  </si>
  <si>
    <t>130858</t>
  </si>
  <si>
    <t>130860</t>
  </si>
  <si>
    <t>130861</t>
  </si>
  <si>
    <t>130859</t>
  </si>
  <si>
    <t>130864</t>
  </si>
  <si>
    <t>152036</t>
  </si>
  <si>
    <t>152034</t>
  </si>
  <si>
    <t>152035</t>
  </si>
  <si>
    <t>152033</t>
  </si>
  <si>
    <t>102751</t>
  </si>
  <si>
    <t>102752</t>
  </si>
  <si>
    <t>102753</t>
  </si>
  <si>
    <t>118724</t>
  </si>
  <si>
    <t>118722</t>
  </si>
  <si>
    <t>118725</t>
  </si>
  <si>
    <t>101862</t>
  </si>
  <si>
    <t>101863</t>
  </si>
  <si>
    <t>118591</t>
  </si>
  <si>
    <t>101864</t>
  </si>
  <si>
    <t>118589</t>
  </si>
  <si>
    <t>118588</t>
  </si>
  <si>
    <t>153274</t>
  </si>
  <si>
    <t>153278</t>
  </si>
  <si>
    <t>153277</t>
  </si>
  <si>
    <t>153276</t>
  </si>
  <si>
    <t>153751</t>
  </si>
  <si>
    <t>153752</t>
  </si>
  <si>
    <t>153750</t>
  </si>
  <si>
    <t>153749</t>
  </si>
  <si>
    <t>153562</t>
  </si>
  <si>
    <t>153561</t>
  </si>
  <si>
    <t>153563</t>
  </si>
  <si>
    <t>153558</t>
  </si>
  <si>
    <t>152693</t>
  </si>
  <si>
    <t>152692</t>
  </si>
  <si>
    <t>152695</t>
  </si>
  <si>
    <t>152694</t>
  </si>
  <si>
    <t>152763</t>
  </si>
  <si>
    <t>152761</t>
  </si>
  <si>
    <t>152760</t>
  </si>
  <si>
    <t>152762</t>
  </si>
  <si>
    <t>153257</t>
  </si>
  <si>
    <t>153256</t>
  </si>
  <si>
    <t>153259</t>
  </si>
  <si>
    <t>153258</t>
  </si>
  <si>
    <t>153485</t>
  </si>
  <si>
    <t>153482</t>
  </si>
  <si>
    <t>153483</t>
  </si>
  <si>
    <t>153484</t>
  </si>
  <si>
    <t>154139</t>
  </si>
  <si>
    <t>154137</t>
  </si>
  <si>
    <t>154140</t>
  </si>
  <si>
    <t>154142</t>
  </si>
  <si>
    <t>152966</t>
  </si>
  <si>
    <t>152967</t>
  </si>
  <si>
    <t>152965</t>
  </si>
  <si>
    <t>152964</t>
  </si>
  <si>
    <t>153915</t>
  </si>
  <si>
    <t>153916</t>
  </si>
  <si>
    <t>153914</t>
  </si>
  <si>
    <t>153913</t>
  </si>
  <si>
    <t>152795</t>
  </si>
  <si>
    <t>152794</t>
  </si>
  <si>
    <t>152797</t>
  </si>
  <si>
    <t>152796</t>
  </si>
  <si>
    <t>153365</t>
  </si>
  <si>
    <t>153367</t>
  </si>
  <si>
    <t>153364</t>
  </si>
  <si>
    <t>153366</t>
  </si>
  <si>
    <t>153986</t>
  </si>
  <si>
    <t>153985</t>
  </si>
  <si>
    <t>153984</t>
  </si>
  <si>
    <t>153983</t>
  </si>
  <si>
    <t>143786</t>
  </si>
  <si>
    <t>143784</t>
  </si>
  <si>
    <t>143783</t>
  </si>
  <si>
    <t>143785</t>
  </si>
  <si>
    <t>114930</t>
  </si>
  <si>
    <t>118838</t>
  </si>
  <si>
    <t>114931</t>
  </si>
  <si>
    <t>118837</t>
  </si>
  <si>
    <t>148622</t>
  </si>
  <si>
    <t>148621</t>
  </si>
  <si>
    <t>148623</t>
  </si>
  <si>
    <t>148624</t>
  </si>
  <si>
    <t>153673</t>
  </si>
  <si>
    <t>153675</t>
  </si>
  <si>
    <t>153672</t>
  </si>
  <si>
    <t>153674</t>
  </si>
  <si>
    <t>152669</t>
  </si>
  <si>
    <t>152671</t>
  </si>
  <si>
    <t>152670</t>
  </si>
  <si>
    <t>152672</t>
  </si>
  <si>
    <t>154119</t>
  </si>
  <si>
    <t>154120</t>
  </si>
  <si>
    <t>154122</t>
  </si>
  <si>
    <t>154121</t>
  </si>
  <si>
    <t>145355</t>
  </si>
  <si>
    <t>145358</t>
  </si>
  <si>
    <t>145356</t>
  </si>
  <si>
    <t>145357</t>
  </si>
  <si>
    <t>152046</t>
  </si>
  <si>
    <t>152047</t>
  </si>
  <si>
    <t>152048</t>
  </si>
  <si>
    <t>152045</t>
  </si>
  <si>
    <t>154246</t>
  </si>
  <si>
    <t>154247</t>
  </si>
  <si>
    <t>154245</t>
  </si>
  <si>
    <t>154244</t>
  </si>
  <si>
    <t>152923</t>
  </si>
  <si>
    <t>152922</t>
  </si>
  <si>
    <t>152921</t>
  </si>
  <si>
    <t>152920</t>
  </si>
  <si>
    <t>107764</t>
  </si>
  <si>
    <t>107763</t>
  </si>
  <si>
    <t>120350</t>
  </si>
  <si>
    <t>120351</t>
  </si>
  <si>
    <t>152026</t>
  </si>
  <si>
    <t>152025</t>
  </si>
  <si>
    <t>152023</t>
  </si>
  <si>
    <t>152024</t>
  </si>
  <si>
    <t>153951</t>
  </si>
  <si>
    <t>153950</t>
  </si>
  <si>
    <t>153949</t>
  </si>
  <si>
    <t>153948</t>
  </si>
  <si>
    <t>134015</t>
  </si>
  <si>
    <t>134016</t>
  </si>
  <si>
    <t>133908</t>
  </si>
  <si>
    <t>134017</t>
  </si>
  <si>
    <t>153119</t>
  </si>
  <si>
    <t>153116</t>
  </si>
  <si>
    <t>153118</t>
  </si>
  <si>
    <t>153117</t>
  </si>
  <si>
    <t>152461</t>
  </si>
  <si>
    <t>152460</t>
  </si>
  <si>
    <t>152463</t>
  </si>
  <si>
    <t>152462</t>
  </si>
  <si>
    <t>152700</t>
  </si>
  <si>
    <t>152703</t>
  </si>
  <si>
    <t>152704</t>
  </si>
  <si>
    <t>152702</t>
  </si>
  <si>
    <t>154152</t>
  </si>
  <si>
    <t>154151</t>
  </si>
  <si>
    <t>154150</t>
  </si>
  <si>
    <t>154149</t>
  </si>
  <si>
    <t>153968</t>
  </si>
  <si>
    <t>153969</t>
  </si>
  <si>
    <t>153967</t>
  </si>
  <si>
    <t>153970</t>
  </si>
  <si>
    <t>151879</t>
  </si>
  <si>
    <t>151878</t>
  </si>
  <si>
    <t>151880</t>
  </si>
  <si>
    <t>151881</t>
  </si>
  <si>
    <t>147725</t>
  </si>
  <si>
    <t>147728</t>
  </si>
  <si>
    <t>147724</t>
  </si>
  <si>
    <t>147727</t>
  </si>
  <si>
    <t>152912</t>
  </si>
  <si>
    <t>152913</t>
  </si>
  <si>
    <t>152911</t>
  </si>
  <si>
    <t>152910</t>
  </si>
  <si>
    <t>149843</t>
  </si>
  <si>
    <t>149840</t>
  </si>
  <si>
    <t>149842</t>
  </si>
  <si>
    <t>149841</t>
  </si>
  <si>
    <t>133800</t>
  </si>
  <si>
    <t>133801</t>
  </si>
  <si>
    <t>133799</t>
  </si>
  <si>
    <t>133796</t>
  </si>
  <si>
    <t>152213</t>
  </si>
  <si>
    <t>152216</t>
  </si>
  <si>
    <t>152215</t>
  </si>
  <si>
    <t>152214</t>
  </si>
  <si>
    <t>148603</t>
  </si>
  <si>
    <t>148602</t>
  </si>
  <si>
    <t>148605</t>
  </si>
  <si>
    <t>148606</t>
  </si>
  <si>
    <t>153450</t>
  </si>
  <si>
    <t>153449</t>
  </si>
  <si>
    <t>153448</t>
  </si>
  <si>
    <t>153447</t>
  </si>
  <si>
    <t>152171</t>
  </si>
  <si>
    <t>152170</t>
  </si>
  <si>
    <t>152172</t>
  </si>
  <si>
    <t>152169</t>
  </si>
  <si>
    <t>150622</t>
  </si>
  <si>
    <t>150626</t>
  </si>
  <si>
    <t>150625</t>
  </si>
  <si>
    <t>150624</t>
  </si>
  <si>
    <t>151382</t>
  </si>
  <si>
    <t>151381</t>
  </si>
  <si>
    <t>151383</t>
  </si>
  <si>
    <t>151384</t>
  </si>
  <si>
    <t>153756</t>
  </si>
  <si>
    <t>153755</t>
  </si>
  <si>
    <t>153754</t>
  </si>
  <si>
    <t>153753</t>
  </si>
  <si>
    <t>154082</t>
  </si>
  <si>
    <t>149269</t>
  </si>
  <si>
    <t>149270</t>
  </si>
  <si>
    <t>149271</t>
  </si>
  <si>
    <t>149268</t>
  </si>
  <si>
    <t>154160</t>
  </si>
  <si>
    <t>154159</t>
  </si>
  <si>
    <t>154158</t>
  </si>
  <si>
    <t>154157</t>
  </si>
  <si>
    <t>153263</t>
  </si>
  <si>
    <t>153262</t>
  </si>
  <si>
    <t>153261</t>
  </si>
  <si>
    <t>153260</t>
  </si>
  <si>
    <t>149324</t>
  </si>
  <si>
    <t>149323</t>
  </si>
  <si>
    <t>149322</t>
  </si>
  <si>
    <t>149321</t>
  </si>
  <si>
    <t>152861</t>
  </si>
  <si>
    <t>152862</t>
  </si>
  <si>
    <t>152860</t>
  </si>
  <si>
    <t>152863</t>
  </si>
  <si>
    <t>112173</t>
  </si>
  <si>
    <t>112171</t>
  </si>
  <si>
    <t>120394</t>
  </si>
  <si>
    <t>120395</t>
  </si>
  <si>
    <t>152759</t>
  </si>
  <si>
    <t>152758</t>
  </si>
  <si>
    <t>152757</t>
  </si>
  <si>
    <t>152756</t>
  </si>
  <si>
    <t>106653</t>
  </si>
  <si>
    <t>106654</t>
  </si>
  <si>
    <t>120404</t>
  </si>
  <si>
    <t>120405</t>
  </si>
  <si>
    <t>108378</t>
  </si>
  <si>
    <t>108377</t>
  </si>
  <si>
    <t>120384</t>
  </si>
  <si>
    <t>120385</t>
  </si>
  <si>
    <t>148754</t>
  </si>
  <si>
    <t>148753</t>
  </si>
  <si>
    <t>148752</t>
  </si>
  <si>
    <t>148751</t>
  </si>
  <si>
    <t>153903</t>
  </si>
  <si>
    <t>153902</t>
  </si>
  <si>
    <t>153901</t>
  </si>
  <si>
    <t>153900</t>
  </si>
  <si>
    <t>153289</t>
  </si>
  <si>
    <t>153288</t>
  </si>
  <si>
    <t>153290</t>
  </si>
  <si>
    <t>153291</t>
  </si>
  <si>
    <t>117619</t>
  </si>
  <si>
    <t>117620</t>
  </si>
  <si>
    <t>120185</t>
  </si>
  <si>
    <t>120186</t>
  </si>
  <si>
    <t>150686</t>
  </si>
  <si>
    <t>150684</t>
  </si>
  <si>
    <t>150687</t>
  </si>
  <si>
    <t>150685</t>
  </si>
  <si>
    <t>115294</t>
  </si>
  <si>
    <t>100363</t>
  </si>
  <si>
    <t>120595</t>
  </si>
  <si>
    <t>120594</t>
  </si>
  <si>
    <t>153183</t>
  </si>
  <si>
    <t>153181</t>
  </si>
  <si>
    <t>153182</t>
  </si>
  <si>
    <t>153184</t>
  </si>
  <si>
    <t>148599</t>
  </si>
  <si>
    <t>148598</t>
  </si>
  <si>
    <t>148601</t>
  </si>
  <si>
    <t>148600</t>
  </si>
  <si>
    <t>153457</t>
  </si>
  <si>
    <t>153459</t>
  </si>
  <si>
    <t>153460</t>
  </si>
  <si>
    <t>153458</t>
  </si>
  <si>
    <t>150540</t>
  </si>
  <si>
    <t>150538</t>
  </si>
  <si>
    <t>150541</t>
  </si>
  <si>
    <t>150539</t>
  </si>
  <si>
    <t>143875</t>
  </si>
  <si>
    <t>143876</t>
  </si>
  <si>
    <t>143874</t>
  </si>
  <si>
    <t>143873</t>
  </si>
  <si>
    <t>147348</t>
  </si>
  <si>
    <t>147345</t>
  </si>
  <si>
    <t>147347</t>
  </si>
  <si>
    <t>147346</t>
  </si>
  <si>
    <t>145078</t>
  </si>
  <si>
    <t>145076</t>
  </si>
  <si>
    <t>145075</t>
  </si>
  <si>
    <t>145077</t>
  </si>
  <si>
    <t>151581</t>
  </si>
  <si>
    <t>151579</t>
  </si>
  <si>
    <t>151578</t>
  </si>
  <si>
    <t>151580</t>
  </si>
  <si>
    <t>103150</t>
  </si>
  <si>
    <t>103149</t>
  </si>
  <si>
    <t>120622</t>
  </si>
  <si>
    <t>120621</t>
  </si>
  <si>
    <t>145899</t>
  </si>
  <si>
    <t>145898</t>
  </si>
  <si>
    <t>145897</t>
  </si>
  <si>
    <t>145896</t>
  </si>
  <si>
    <t>150309</t>
  </si>
  <si>
    <t>150308</t>
  </si>
  <si>
    <t>150311</t>
  </si>
  <si>
    <t>150310</t>
  </si>
  <si>
    <t>100351</t>
  </si>
  <si>
    <t>100352</t>
  </si>
  <si>
    <t>120588</t>
  </si>
  <si>
    <t>120587</t>
  </si>
  <si>
    <t>103313</t>
  </si>
  <si>
    <t>103312</t>
  </si>
  <si>
    <t>120687</t>
  </si>
  <si>
    <t>120688</t>
  </si>
  <si>
    <t>148514</t>
  </si>
  <si>
    <t>148517</t>
  </si>
  <si>
    <t>148515</t>
  </si>
  <si>
    <t>148516</t>
  </si>
  <si>
    <t>153068</t>
  </si>
  <si>
    <t>153069</t>
  </si>
  <si>
    <t>153071</t>
  </si>
  <si>
    <t>153070</t>
  </si>
  <si>
    <t>152727</t>
  </si>
  <si>
    <t>152726</t>
  </si>
  <si>
    <t>152729</t>
  </si>
  <si>
    <t>152728</t>
  </si>
  <si>
    <t>153864</t>
  </si>
  <si>
    <t>153865</t>
  </si>
  <si>
    <t>153866</t>
  </si>
  <si>
    <t>153867</t>
  </si>
  <si>
    <t>147663</t>
  </si>
  <si>
    <t>147661</t>
  </si>
  <si>
    <t>147664</t>
  </si>
  <si>
    <t>147662</t>
  </si>
  <si>
    <t>148654</t>
  </si>
  <si>
    <t>148653</t>
  </si>
  <si>
    <t>148652</t>
  </si>
  <si>
    <t>148651</t>
  </si>
  <si>
    <t>146952</t>
  </si>
  <si>
    <t>146950</t>
  </si>
  <si>
    <t>146949</t>
  </si>
  <si>
    <t>146951</t>
  </si>
  <si>
    <t>120245</t>
  </si>
  <si>
    <t>120244</t>
  </si>
  <si>
    <t>109446</t>
  </si>
  <si>
    <t>109445</t>
  </si>
  <si>
    <t>153685</t>
  </si>
  <si>
    <t>153684</t>
  </si>
  <si>
    <t>151038</t>
  </si>
  <si>
    <t>151037</t>
  </si>
  <si>
    <t>151039</t>
  </si>
  <si>
    <t>151040</t>
  </si>
  <si>
    <t>152832</t>
  </si>
  <si>
    <t>152830</t>
  </si>
  <si>
    <t>152831</t>
  </si>
  <si>
    <t>152829</t>
  </si>
  <si>
    <t>153268</t>
  </si>
  <si>
    <t>153267</t>
  </si>
  <si>
    <t>153269</t>
  </si>
  <si>
    <t>153266</t>
  </si>
  <si>
    <t>152030</t>
  </si>
  <si>
    <t>152027</t>
  </si>
  <si>
    <t>152028</t>
  </si>
  <si>
    <t>152032</t>
  </si>
  <si>
    <t>151143</t>
  </si>
  <si>
    <t>151144</t>
  </si>
  <si>
    <t>151145</t>
  </si>
  <si>
    <t>151142</t>
  </si>
  <si>
    <t>152681</t>
  </si>
  <si>
    <t>152682</t>
  </si>
  <si>
    <t>152680</t>
  </si>
  <si>
    <t>152679</t>
  </si>
  <si>
    <t>151899</t>
  </si>
  <si>
    <t>151902</t>
  </si>
  <si>
    <t>151901</t>
  </si>
  <si>
    <t>151900</t>
  </si>
  <si>
    <t>152060</t>
  </si>
  <si>
    <t>152057</t>
  </si>
  <si>
    <t>152059</t>
  </si>
  <si>
    <t>152058</t>
  </si>
  <si>
    <t>152081</t>
  </si>
  <si>
    <t>152083</t>
  </si>
  <si>
    <t>152082</t>
  </si>
  <si>
    <t>152084</t>
  </si>
  <si>
    <t>151460</t>
  </si>
  <si>
    <t>151459</t>
  </si>
  <si>
    <t>151458</t>
  </si>
  <si>
    <t>151457</t>
  </si>
  <si>
    <t>152601</t>
  </si>
  <si>
    <t>152603</t>
  </si>
  <si>
    <t>152602</t>
  </si>
  <si>
    <t>152600</t>
  </si>
  <si>
    <t>153619</t>
  </si>
  <si>
    <t>153647</t>
  </si>
  <si>
    <t>153643</t>
  </si>
  <si>
    <t>153620</t>
  </si>
  <si>
    <t>107525</t>
  </si>
  <si>
    <t>118978</t>
  </si>
  <si>
    <t>107524</t>
  </si>
  <si>
    <t>118979</t>
  </si>
  <si>
    <t>141921</t>
  </si>
  <si>
    <t>141922</t>
  </si>
  <si>
    <t>141924</t>
  </si>
  <si>
    <t>141923</t>
  </si>
  <si>
    <t>151749</t>
  </si>
  <si>
    <t>151748</t>
  </si>
  <si>
    <t>151750</t>
  </si>
  <si>
    <t>151751</t>
  </si>
  <si>
    <t>151805</t>
  </si>
  <si>
    <t>151802</t>
  </si>
  <si>
    <t>151804</t>
  </si>
  <si>
    <t>151803</t>
  </si>
  <si>
    <t>150804</t>
  </si>
  <si>
    <t>150806</t>
  </si>
  <si>
    <t>150805</t>
  </si>
  <si>
    <t>150803</t>
  </si>
  <si>
    <t>148985</t>
  </si>
  <si>
    <t>148984</t>
  </si>
  <si>
    <t>148986</t>
  </si>
  <si>
    <t>148987</t>
  </si>
  <si>
    <t>152273</t>
  </si>
  <si>
    <t>152276</t>
  </si>
  <si>
    <t>152274</t>
  </si>
  <si>
    <t>152254</t>
  </si>
  <si>
    <t>100522</t>
  </si>
  <si>
    <t>100521</t>
  </si>
  <si>
    <t>118536</t>
  </si>
  <si>
    <t>118537</t>
  </si>
  <si>
    <t>100524</t>
  </si>
  <si>
    <t>103151</t>
  </si>
  <si>
    <t>118538</t>
  </si>
  <si>
    <t>118539</t>
  </si>
  <si>
    <t>153941</t>
  </si>
  <si>
    <t>153943</t>
  </si>
  <si>
    <t>153944</t>
  </si>
  <si>
    <t>153942</t>
  </si>
  <si>
    <t>112092</t>
  </si>
  <si>
    <t>112093</t>
  </si>
  <si>
    <t>118556</t>
  </si>
  <si>
    <t>118557</t>
  </si>
  <si>
    <t>106978</t>
  </si>
  <si>
    <t>106979</t>
  </si>
  <si>
    <t>118558</t>
  </si>
  <si>
    <t>118559</t>
  </si>
  <si>
    <t>152440</t>
  </si>
  <si>
    <t>152439</t>
  </si>
  <si>
    <t>152438</t>
  </si>
  <si>
    <t>152437</t>
  </si>
  <si>
    <t>142383</t>
  </si>
  <si>
    <t>142384</t>
  </si>
  <si>
    <t>142388</t>
  </si>
  <si>
    <t>142386</t>
  </si>
  <si>
    <t>154106</t>
  </si>
  <si>
    <t>154107</t>
  </si>
  <si>
    <t>154105</t>
  </si>
  <si>
    <t>154108</t>
  </si>
  <si>
    <t>153215</t>
  </si>
  <si>
    <t>153255</t>
  </si>
  <si>
    <t>153254</t>
  </si>
  <si>
    <t>153214</t>
  </si>
  <si>
    <t>152722</t>
  </si>
  <si>
    <t>152724</t>
  </si>
  <si>
    <t>152723</t>
  </si>
  <si>
    <t>152710</t>
  </si>
  <si>
    <t>147305</t>
  </si>
  <si>
    <t>147303</t>
  </si>
  <si>
    <t>147304</t>
  </si>
  <si>
    <t>147306</t>
  </si>
  <si>
    <t>108203</t>
  </si>
  <si>
    <t>108202</t>
  </si>
  <si>
    <t>119029</t>
  </si>
  <si>
    <t>119028</t>
  </si>
  <si>
    <t>102435</t>
  </si>
  <si>
    <t>102434</t>
  </si>
  <si>
    <t>119248</t>
  </si>
  <si>
    <t>119247</t>
  </si>
  <si>
    <t>145453</t>
  </si>
  <si>
    <t>145456</t>
  </si>
  <si>
    <t>145455</t>
  </si>
  <si>
    <t>145454</t>
  </si>
  <si>
    <t>153120</t>
  </si>
  <si>
    <t>153122</t>
  </si>
  <si>
    <t>153123</t>
  </si>
  <si>
    <t>153121</t>
  </si>
  <si>
    <t>152209</t>
  </si>
  <si>
    <t>152208</t>
  </si>
  <si>
    <t>152207</t>
  </si>
  <si>
    <t>152206</t>
  </si>
  <si>
    <t>152448</t>
  </si>
  <si>
    <t>152447</t>
  </si>
  <si>
    <t>152449</t>
  </si>
  <si>
    <t>152450</t>
  </si>
  <si>
    <t>103389</t>
  </si>
  <si>
    <t>103390</t>
  </si>
  <si>
    <t>118268</t>
  </si>
  <si>
    <t>118267</t>
  </si>
  <si>
    <t>112153</t>
  </si>
  <si>
    <t>112152</t>
  </si>
  <si>
    <t>118274</t>
  </si>
  <si>
    <t>118273</t>
  </si>
  <si>
    <t>154249</t>
  </si>
  <si>
    <t>154248</t>
  </si>
  <si>
    <t>154251</t>
  </si>
  <si>
    <t>154250</t>
  </si>
  <si>
    <t>152699</t>
  </si>
  <si>
    <t>152696</t>
  </si>
  <si>
    <t>152698</t>
  </si>
  <si>
    <t>152697</t>
  </si>
  <si>
    <t>152473</t>
  </si>
  <si>
    <t>152472</t>
  </si>
  <si>
    <t>152471</t>
  </si>
  <si>
    <t>152470</t>
  </si>
  <si>
    <t>150267</t>
  </si>
  <si>
    <t>150268</t>
  </si>
  <si>
    <t>150269</t>
  </si>
  <si>
    <t>150266</t>
  </si>
  <si>
    <t>153607</t>
  </si>
  <si>
    <t>153602</t>
  </si>
  <si>
    <t>153605</t>
  </si>
  <si>
    <t>153604</t>
  </si>
  <si>
    <t>154191</t>
  </si>
  <si>
    <t>154194</t>
  </si>
  <si>
    <t>154193</t>
  </si>
  <si>
    <t>154195</t>
  </si>
  <si>
    <t>153224</t>
  </si>
  <si>
    <t>153226</t>
  </si>
  <si>
    <t>153227</t>
  </si>
  <si>
    <t>153225</t>
  </si>
  <si>
    <t>149142</t>
  </si>
  <si>
    <t>149140</t>
  </si>
  <si>
    <t>149143</t>
  </si>
  <si>
    <t>149141</t>
  </si>
  <si>
    <t>153846</t>
  </si>
  <si>
    <t>153844</t>
  </si>
  <si>
    <t>153845</t>
  </si>
  <si>
    <t>153847</t>
  </si>
  <si>
    <t>117547</t>
  </si>
  <si>
    <t>117549</t>
  </si>
  <si>
    <t>119334</t>
  </si>
  <si>
    <t>119333</t>
  </si>
  <si>
    <t>112361</t>
  </si>
  <si>
    <t>112360</t>
  </si>
  <si>
    <t>112359</t>
  </si>
  <si>
    <t>119363</t>
  </si>
  <si>
    <t>119365</t>
  </si>
  <si>
    <t>119364</t>
  </si>
  <si>
    <t>153141</t>
  </si>
  <si>
    <t>153140</t>
  </si>
  <si>
    <t>153142</t>
  </si>
  <si>
    <t>153139</t>
  </si>
  <si>
    <t>152790</t>
  </si>
  <si>
    <t>152791</t>
  </si>
  <si>
    <t>152789</t>
  </si>
  <si>
    <t>152788</t>
  </si>
  <si>
    <t>154096</t>
  </si>
  <si>
    <t>154095</t>
  </si>
  <si>
    <t>154094</t>
  </si>
  <si>
    <t>154093</t>
  </si>
  <si>
    <t>150718</t>
  </si>
  <si>
    <t>150719</t>
  </si>
  <si>
    <t>150717</t>
  </si>
  <si>
    <t>150716</t>
  </si>
  <si>
    <t>153723</t>
  </si>
  <si>
    <t>153721</t>
  </si>
  <si>
    <t>153720</t>
  </si>
  <si>
    <t>153722</t>
  </si>
  <si>
    <t>152605</t>
  </si>
  <si>
    <t>152606</t>
  </si>
  <si>
    <t>152604</t>
  </si>
  <si>
    <t>152607</t>
  </si>
  <si>
    <t>118468</t>
  </si>
  <si>
    <t>118469</t>
  </si>
  <si>
    <t>114477</t>
  </si>
  <si>
    <t>114476</t>
  </si>
  <si>
    <t>153973</t>
  </si>
  <si>
    <t>153974</t>
  </si>
  <si>
    <t>153971</t>
  </si>
  <si>
    <t>153972</t>
  </si>
  <si>
    <t>151819</t>
  </si>
  <si>
    <t>151818</t>
  </si>
  <si>
    <t>151817</t>
  </si>
  <si>
    <t>151816</t>
  </si>
  <si>
    <t>152880</t>
  </si>
  <si>
    <t>152877</t>
  </si>
  <si>
    <t>152879</t>
  </si>
  <si>
    <t>152878</t>
  </si>
  <si>
    <t>153158</t>
  </si>
  <si>
    <t>153155</t>
  </si>
  <si>
    <t>153156</t>
  </si>
  <si>
    <t>153157</t>
  </si>
  <si>
    <t>153073</t>
  </si>
  <si>
    <t>153072</t>
  </si>
  <si>
    <t>153074</t>
  </si>
  <si>
    <t>153075</t>
  </si>
  <si>
    <t>153936</t>
  </si>
  <si>
    <t>153935</t>
  </si>
  <si>
    <t>153938</t>
  </si>
  <si>
    <t>153937</t>
  </si>
  <si>
    <t>153623</t>
  </si>
  <si>
    <t>153621</t>
  </si>
  <si>
    <t>153622</t>
  </si>
  <si>
    <t>153624</t>
  </si>
  <si>
    <t>148995</t>
  </si>
  <si>
    <t>148992</t>
  </si>
  <si>
    <t>148994</t>
  </si>
  <si>
    <t>148993</t>
  </si>
  <si>
    <t>153082</t>
  </si>
  <si>
    <t>153085</t>
  </si>
  <si>
    <t>153084</t>
  </si>
  <si>
    <t>153083</t>
  </si>
  <si>
    <t>148633</t>
  </si>
  <si>
    <t>148631</t>
  </si>
  <si>
    <t>148632</t>
  </si>
  <si>
    <t>148634</t>
  </si>
  <si>
    <t>152203</t>
  </si>
  <si>
    <t>152205</t>
  </si>
  <si>
    <t>152204</t>
  </si>
  <si>
    <t>152202</t>
  </si>
  <si>
    <t>147930</t>
  </si>
  <si>
    <t>147929</t>
  </si>
  <si>
    <t>147931</t>
  </si>
  <si>
    <t>147928</t>
  </si>
  <si>
    <t>152806</t>
  </si>
  <si>
    <t>152804</t>
  </si>
  <si>
    <t>152803</t>
  </si>
  <si>
    <t>152805</t>
  </si>
  <si>
    <t>151367</t>
  </si>
  <si>
    <t>151366</t>
  </si>
  <si>
    <t>151369</t>
  </si>
  <si>
    <t>151368</t>
  </si>
  <si>
    <t>152160</t>
  </si>
  <si>
    <t>152161</t>
  </si>
  <si>
    <t>152159</t>
  </si>
  <si>
    <t>152158</t>
  </si>
  <si>
    <t>148537</t>
  </si>
  <si>
    <t>148538</t>
  </si>
  <si>
    <t>148539</t>
  </si>
  <si>
    <t>148540</t>
  </si>
  <si>
    <t>152687</t>
  </si>
  <si>
    <t>152686</t>
  </si>
  <si>
    <t>152685</t>
  </si>
  <si>
    <t>152684</t>
  </si>
  <si>
    <t>147846</t>
  </si>
  <si>
    <t>147847</t>
  </si>
  <si>
    <t>147844</t>
  </si>
  <si>
    <t>147845</t>
  </si>
  <si>
    <t>147407</t>
  </si>
  <si>
    <t>147408</t>
  </si>
  <si>
    <t>147409</t>
  </si>
  <si>
    <t>147410</t>
  </si>
  <si>
    <t>100063</t>
  </si>
  <si>
    <t>100064</t>
  </si>
  <si>
    <t>119646</t>
  </si>
  <si>
    <t>119647</t>
  </si>
  <si>
    <t>133513</t>
  </si>
  <si>
    <t>133515</t>
  </si>
  <si>
    <t>133516</t>
  </si>
  <si>
    <t>133514</t>
  </si>
  <si>
    <t>106875</t>
  </si>
  <si>
    <t>106876</t>
  </si>
  <si>
    <t>119518</t>
  </si>
  <si>
    <t>119519</t>
  </si>
  <si>
    <t>106872</t>
  </si>
  <si>
    <t>106873</t>
  </si>
  <si>
    <t>119517</t>
  </si>
  <si>
    <t>119516</t>
  </si>
  <si>
    <t>103476</t>
  </si>
  <si>
    <t>119514</t>
  </si>
  <si>
    <t>103475</t>
  </si>
  <si>
    <t>119515</t>
  </si>
  <si>
    <t>148635</t>
  </si>
  <si>
    <t>148636</t>
  </si>
  <si>
    <t>148637</t>
  </si>
  <si>
    <t>148640</t>
  </si>
  <si>
    <t>103167</t>
  </si>
  <si>
    <t>120538</t>
  </si>
  <si>
    <t>103168</t>
  </si>
  <si>
    <t>120539</t>
  </si>
  <si>
    <t>103111</t>
  </si>
  <si>
    <t>103110</t>
  </si>
  <si>
    <t>119590</t>
  </si>
  <si>
    <t>119591</t>
  </si>
  <si>
    <t>153126</t>
  </si>
  <si>
    <t>153127</t>
  </si>
  <si>
    <t>153125</t>
  </si>
  <si>
    <t>153124</t>
  </si>
  <si>
    <t>111348</t>
  </si>
  <si>
    <t>119575</t>
  </si>
  <si>
    <t>111349</t>
  </si>
  <si>
    <t>119576</t>
  </si>
  <si>
    <t>149296</t>
  </si>
  <si>
    <t>149294</t>
  </si>
  <si>
    <t>149297</t>
  </si>
  <si>
    <t>149295</t>
  </si>
  <si>
    <t>125595</t>
  </si>
  <si>
    <t>125596</t>
  </si>
  <si>
    <t>125597</t>
  </si>
  <si>
    <t>125598</t>
  </si>
  <si>
    <t>149316</t>
  </si>
  <si>
    <t>149317</t>
  </si>
  <si>
    <t>149319</t>
  </si>
  <si>
    <t>149318</t>
  </si>
  <si>
    <t>Open Ended Schemes(Equity Scheme - Sectoral/ Thematic)</t>
  </si>
  <si>
    <t>152072</t>
  </si>
  <si>
    <t>152071</t>
  </si>
  <si>
    <t>153516</t>
  </si>
  <si>
    <t>153515</t>
  </si>
  <si>
    <t>150856</t>
  </si>
  <si>
    <t>150855</t>
  </si>
  <si>
    <t>150857</t>
  </si>
  <si>
    <t>150858</t>
  </si>
  <si>
    <t>153645</t>
  </si>
  <si>
    <t>153644</t>
  </si>
  <si>
    <t>151236</t>
  </si>
  <si>
    <t>151237</t>
  </si>
  <si>
    <t>151235</t>
  </si>
  <si>
    <t>151233</t>
  </si>
  <si>
    <t>151234</t>
  </si>
  <si>
    <t>151232</t>
  </si>
  <si>
    <t>149667</t>
  </si>
  <si>
    <t>149669</t>
  </si>
  <si>
    <t>149666</t>
  </si>
  <si>
    <t>149668</t>
  </si>
  <si>
    <t>149883</t>
  </si>
  <si>
    <t>149886</t>
  </si>
  <si>
    <t>149882</t>
  </si>
  <si>
    <t>149887</t>
  </si>
  <si>
    <t>152848</t>
  </si>
  <si>
    <t>152847</t>
  </si>
  <si>
    <t>100630</t>
  </si>
  <si>
    <t>120822</t>
  </si>
  <si>
    <t>120823</t>
  </si>
  <si>
    <t>100631</t>
  </si>
  <si>
    <t>152818</t>
  </si>
  <si>
    <t>152816</t>
  </si>
  <si>
    <t>152817</t>
  </si>
  <si>
    <t>152815</t>
  </si>
  <si>
    <t>101161</t>
  </si>
  <si>
    <t>101162</t>
  </si>
  <si>
    <t>106253</t>
  </si>
  <si>
    <t>106252</t>
  </si>
  <si>
    <t>101163</t>
  </si>
  <si>
    <t>118650</t>
  </si>
  <si>
    <t>118651</t>
  </si>
  <si>
    <t>118652</t>
  </si>
  <si>
    <t>152652</t>
  </si>
  <si>
    <t>152651</t>
  </si>
  <si>
    <t>152649</t>
  </si>
  <si>
    <t>152650</t>
  </si>
  <si>
    <t>151813</t>
  </si>
  <si>
    <t>151812</t>
  </si>
  <si>
    <t>151811</t>
  </si>
  <si>
    <t>151810</t>
  </si>
  <si>
    <t>141225</t>
  </si>
  <si>
    <t>141224</t>
  </si>
  <si>
    <t>141226</t>
  </si>
  <si>
    <t>141223</t>
  </si>
  <si>
    <t>150662</t>
  </si>
  <si>
    <t>150661</t>
  </si>
  <si>
    <t>150660</t>
  </si>
  <si>
    <t>150659</t>
  </si>
  <si>
    <t>149182</t>
  </si>
  <si>
    <t>149187</t>
  </si>
  <si>
    <t>149185</t>
  </si>
  <si>
    <t>149183</t>
  </si>
  <si>
    <t>147185</t>
  </si>
  <si>
    <t>147184</t>
  </si>
  <si>
    <t>147186</t>
  </si>
  <si>
    <t>147183</t>
  </si>
  <si>
    <t>107352</t>
  </si>
  <si>
    <t>107353</t>
  </si>
  <si>
    <t>120412</t>
  </si>
  <si>
    <t>101706</t>
  </si>
  <si>
    <t>101228</t>
  </si>
  <si>
    <t>120598</t>
  </si>
  <si>
    <t>120599</t>
  </si>
  <si>
    <t>151292</t>
  </si>
  <si>
    <t>151289</t>
  </si>
  <si>
    <t>151291</t>
  </si>
  <si>
    <t>151290</t>
  </si>
  <si>
    <t>149367</t>
  </si>
  <si>
    <t>149365</t>
  </si>
  <si>
    <t>149368</t>
  </si>
  <si>
    <t>149366</t>
  </si>
  <si>
    <t>153099</t>
  </si>
  <si>
    <t>153100</t>
  </si>
  <si>
    <t>153098</t>
  </si>
  <si>
    <t>153034</t>
  </si>
  <si>
    <t>152740</t>
  </si>
  <si>
    <t>152738</t>
  </si>
  <si>
    <t>152737</t>
  </si>
  <si>
    <t>152739</t>
  </si>
  <si>
    <t>152096</t>
  </si>
  <si>
    <t>152095</t>
  </si>
  <si>
    <t>152093</t>
  </si>
  <si>
    <t>152094</t>
  </si>
  <si>
    <t>152308</t>
  </si>
  <si>
    <t>152307</t>
  </si>
  <si>
    <t>152309</t>
  </si>
  <si>
    <t>152310</t>
  </si>
  <si>
    <t>151823</t>
  </si>
  <si>
    <t>151821</t>
  </si>
  <si>
    <t>151822</t>
  </si>
  <si>
    <t>151824</t>
  </si>
  <si>
    <t>102021</t>
  </si>
  <si>
    <t>102020</t>
  </si>
  <si>
    <t>119353</t>
  </si>
  <si>
    <t>119354</t>
  </si>
  <si>
    <t>151446</t>
  </si>
  <si>
    <t>151445</t>
  </si>
  <si>
    <t>151444</t>
  </si>
  <si>
    <t>151443</t>
  </si>
  <si>
    <t>149302</t>
  </si>
  <si>
    <t>149304</t>
  </si>
  <si>
    <t>149305</t>
  </si>
  <si>
    <t>149303</t>
  </si>
  <si>
    <t>153308</t>
  </si>
  <si>
    <t>153307</t>
  </si>
  <si>
    <t>153306</t>
  </si>
  <si>
    <t>153309</t>
  </si>
  <si>
    <t>149387</t>
  </si>
  <si>
    <t>149382</t>
  </si>
  <si>
    <t>149384</t>
  </si>
  <si>
    <t>149383</t>
  </si>
  <si>
    <t>148919</t>
  </si>
  <si>
    <t>148918</t>
  </si>
  <si>
    <t>148920</t>
  </si>
  <si>
    <t>148921</t>
  </si>
  <si>
    <t>Open Ended Schemes(Equity Scheme - Multi Cap Fund)</t>
  </si>
  <si>
    <t>150585</t>
  </si>
  <si>
    <t>150583</t>
  </si>
  <si>
    <t>150582</t>
  </si>
  <si>
    <t>150584</t>
  </si>
  <si>
    <t>120726</t>
  </si>
  <si>
    <t>102394</t>
  </si>
  <si>
    <t>102393</t>
  </si>
  <si>
    <t>120727</t>
  </si>
  <si>
    <t>148072</t>
  </si>
  <si>
    <t>148071</t>
  </si>
  <si>
    <t>148074</t>
  </si>
  <si>
    <t>148073</t>
  </si>
  <si>
    <t>154211</t>
  </si>
  <si>
    <t>154210</t>
  </si>
  <si>
    <t>111642</t>
  </si>
  <si>
    <t>100477</t>
  </si>
  <si>
    <t>118873</t>
  </si>
  <si>
    <t>118872</t>
  </si>
  <si>
    <t>102326</t>
  </si>
  <si>
    <t>102328</t>
  </si>
  <si>
    <t>119177</t>
  </si>
  <si>
    <t>119178</t>
  </si>
  <si>
    <t>101538</t>
  </si>
  <si>
    <t>101539</t>
  </si>
  <si>
    <t>119582</t>
  </si>
  <si>
    <t>119581</t>
  </si>
  <si>
    <t>102942</t>
  </si>
  <si>
    <t>102941</t>
  </si>
  <si>
    <t>119715</t>
  </si>
  <si>
    <t>119716</t>
  </si>
  <si>
    <t>154115</t>
  </si>
  <si>
    <t>154114</t>
  </si>
  <si>
    <t>101066</t>
  </si>
  <si>
    <t>120840</t>
  </si>
  <si>
    <t>101065</t>
  </si>
  <si>
    <t>120841</t>
  </si>
  <si>
    <t>125305</t>
  </si>
  <si>
    <t>125306</t>
  </si>
  <si>
    <t>125307</t>
  </si>
  <si>
    <t>125301</t>
  </si>
  <si>
    <t>100377</t>
  </si>
  <si>
    <t>100376</t>
  </si>
  <si>
    <t>106260</t>
  </si>
  <si>
    <t>100375</t>
  </si>
  <si>
    <t>118668</t>
  </si>
  <si>
    <t>118665</t>
  </si>
  <si>
    <t>118666</t>
  </si>
  <si>
    <t>127039</t>
  </si>
  <si>
    <t>127040</t>
  </si>
  <si>
    <t>127042</t>
  </si>
  <si>
    <t>127044</t>
  </si>
  <si>
    <t>147445</t>
  </si>
  <si>
    <t>147480</t>
  </si>
  <si>
    <t>147478</t>
  </si>
  <si>
    <t>147479</t>
  </si>
  <si>
    <t>142107</t>
  </si>
  <si>
    <t>142109</t>
  </si>
  <si>
    <t>142110</t>
  </si>
  <si>
    <t>142108</t>
  </si>
  <si>
    <t>152000</t>
  </si>
  <si>
    <t>152001</t>
  </si>
  <si>
    <t>151999</t>
  </si>
  <si>
    <t>152002</t>
  </si>
  <si>
    <t>104907</t>
  </si>
  <si>
    <t>104908</t>
  </si>
  <si>
    <t>119775</t>
  </si>
  <si>
    <t>119774</t>
  </si>
  <si>
    <t>150813</t>
  </si>
  <si>
    <t>150812</t>
  </si>
  <si>
    <t>150814</t>
  </si>
  <si>
    <t>150815</t>
  </si>
  <si>
    <t>148734</t>
  </si>
  <si>
    <t>148732</t>
  </si>
  <si>
    <t>148731</t>
  </si>
  <si>
    <t>148733</t>
  </si>
  <si>
    <t>105504</t>
  </si>
  <si>
    <t>105503</t>
  </si>
  <si>
    <t>120402</t>
  </si>
  <si>
    <t>120403</t>
  </si>
  <si>
    <t>102529</t>
  </si>
  <si>
    <t>102528</t>
  </si>
  <si>
    <t>120380</t>
  </si>
  <si>
    <t>120381</t>
  </si>
  <si>
    <t>151033</t>
  </si>
  <si>
    <t>151034</t>
  </si>
  <si>
    <t>151035</t>
  </si>
  <si>
    <t>151036</t>
  </si>
  <si>
    <t>153325</t>
  </si>
  <si>
    <t>153327</t>
  </si>
  <si>
    <t>153324</t>
  </si>
  <si>
    <t>153326</t>
  </si>
  <si>
    <t>105757</t>
  </si>
  <si>
    <t>118988</t>
  </si>
  <si>
    <t>105758</t>
  </si>
  <si>
    <t>118989</t>
  </si>
  <si>
    <t>100473</t>
  </si>
  <si>
    <t>100472</t>
  </si>
  <si>
    <t>118532</t>
  </si>
  <si>
    <t>118533</t>
  </si>
  <si>
    <t>140226</t>
  </si>
  <si>
    <t>140225</t>
  </si>
  <si>
    <t>140227</t>
  </si>
  <si>
    <t>140228</t>
  </si>
  <si>
    <t>104482</t>
  </si>
  <si>
    <t>104481</t>
  </si>
  <si>
    <t>119070</t>
  </si>
  <si>
    <t>119071</t>
  </si>
  <si>
    <t>150819</t>
  </si>
  <si>
    <t>150816</t>
  </si>
  <si>
    <t>150818</t>
  </si>
  <si>
    <t>150817</t>
  </si>
  <si>
    <t>150210</t>
  </si>
  <si>
    <t>150209</t>
  </si>
  <si>
    <t>150211</t>
  </si>
  <si>
    <t>150212</t>
  </si>
  <si>
    <t>153727</t>
  </si>
  <si>
    <t>153726</t>
  </si>
  <si>
    <t>153729</t>
  </si>
  <si>
    <t>153728</t>
  </si>
  <si>
    <t>150403</t>
  </si>
  <si>
    <t>150401</t>
  </si>
  <si>
    <t>150402</t>
  </si>
  <si>
    <t>150404</t>
  </si>
  <si>
    <t>114565</t>
  </si>
  <si>
    <t>114564</t>
  </si>
  <si>
    <t>120504</t>
  </si>
  <si>
    <t>120505</t>
  </si>
  <si>
    <t>101592</t>
  </si>
  <si>
    <t>101591</t>
  </si>
  <si>
    <t>119619</t>
  </si>
  <si>
    <t>119620</t>
  </si>
  <si>
    <t>Open Ended Schemes(Equity Scheme - Mid Cap Fund)</t>
  </si>
  <si>
    <t>150800</t>
  </si>
  <si>
    <t>150799</t>
  </si>
  <si>
    <t>150798</t>
  </si>
  <si>
    <t>150797</t>
  </si>
  <si>
    <t>100650</t>
  </si>
  <si>
    <t>100651</t>
  </si>
  <si>
    <t>120657</t>
  </si>
  <si>
    <t>120656</t>
  </si>
  <si>
    <t>141250</t>
  </si>
  <si>
    <t>141247</t>
  </si>
  <si>
    <t>141249</t>
  </si>
  <si>
    <t>141248</t>
  </si>
  <si>
    <t>108403</t>
  </si>
  <si>
    <t>101209</t>
  </si>
  <si>
    <t>118871</t>
  </si>
  <si>
    <t>118870</t>
  </si>
  <si>
    <t>102036</t>
  </si>
  <si>
    <t>119159</t>
  </si>
  <si>
    <t>100475</t>
  </si>
  <si>
    <t>119160</t>
  </si>
  <si>
    <t>148504</t>
  </si>
  <si>
    <t>148507</t>
  </si>
  <si>
    <t>148506</t>
  </si>
  <si>
    <t>148508</t>
  </si>
  <si>
    <t>148505</t>
  </si>
  <si>
    <t>148509</t>
  </si>
  <si>
    <t>103504</t>
  </si>
  <si>
    <t>119598</t>
  </si>
  <si>
    <t>103616</t>
  </si>
  <si>
    <t>119585</t>
  </si>
  <si>
    <t>153238</t>
  </si>
  <si>
    <t>153239</t>
  </si>
  <si>
    <t>150442</t>
  </si>
  <si>
    <t>150439</t>
  </si>
  <si>
    <t>150441</t>
  </si>
  <si>
    <t>150440</t>
  </si>
  <si>
    <t>154153</t>
  </si>
  <si>
    <t>154154</t>
  </si>
  <si>
    <t>154156</t>
  </si>
  <si>
    <t>154155</t>
  </si>
  <si>
    <t>138309</t>
  </si>
  <si>
    <t>138310</t>
  </si>
  <si>
    <t>138308</t>
  </si>
  <si>
    <t>138307</t>
  </si>
  <si>
    <t>138312</t>
  </si>
  <si>
    <t>138313</t>
  </si>
  <si>
    <t>138314</t>
  </si>
  <si>
    <t>138311</t>
  </si>
  <si>
    <t>106238</t>
  </si>
  <si>
    <t>106240</t>
  </si>
  <si>
    <t>106236</t>
  </si>
  <si>
    <t>118632</t>
  </si>
  <si>
    <t>118633</t>
  </si>
  <si>
    <t>118634</t>
  </si>
  <si>
    <t>106235</t>
  </si>
  <si>
    <t>152353</t>
  </si>
  <si>
    <t>152352</t>
  </si>
  <si>
    <t>152351</t>
  </si>
  <si>
    <t>152354</t>
  </si>
  <si>
    <t>107579</t>
  </si>
  <si>
    <t>118826</t>
  </si>
  <si>
    <t>107578</t>
  </si>
  <si>
    <t>118825</t>
  </si>
  <si>
    <t>146548</t>
  </si>
  <si>
    <t>146551</t>
  </si>
  <si>
    <t>146549</t>
  </si>
  <si>
    <t>146550</t>
  </si>
  <si>
    <t>100332</t>
  </si>
  <si>
    <t>106871</t>
  </si>
  <si>
    <t>120268</t>
  </si>
  <si>
    <t>120267</t>
  </si>
  <si>
    <t>114457</t>
  </si>
  <si>
    <t>120153</t>
  </si>
  <si>
    <t>114458</t>
  </si>
  <si>
    <t>120152</t>
  </si>
  <si>
    <t>134954</t>
  </si>
  <si>
    <t>134959</t>
  </si>
  <si>
    <t>100218</t>
  </si>
  <si>
    <t>134955</t>
  </si>
  <si>
    <t>100219</t>
  </si>
  <si>
    <t>134961</t>
  </si>
  <si>
    <t>134960</t>
  </si>
  <si>
    <t>134956</t>
  </si>
  <si>
    <t>120489</t>
  </si>
  <si>
    <t>134957</t>
  </si>
  <si>
    <t>120490</t>
  </si>
  <si>
    <t>134958</t>
  </si>
  <si>
    <t>154307</t>
  </si>
  <si>
    <t>148354</t>
  </si>
  <si>
    <t>148351</t>
  </si>
  <si>
    <t>148352</t>
  </si>
  <si>
    <t>148353</t>
  </si>
  <si>
    <t>112099</t>
  </si>
  <si>
    <t>112098</t>
  </si>
  <si>
    <t>120393</t>
  </si>
  <si>
    <t>120392</t>
  </si>
  <si>
    <t>120586</t>
  </si>
  <si>
    <t>108465</t>
  </si>
  <si>
    <t>108466</t>
  </si>
  <si>
    <t>120585</t>
  </si>
  <si>
    <t>108467</t>
  </si>
  <si>
    <t>101593</t>
  </si>
  <si>
    <t>101594</t>
  </si>
  <si>
    <t>120029</t>
  </si>
  <si>
    <t>120030</t>
  </si>
  <si>
    <t>102001</t>
  </si>
  <si>
    <t>119017</t>
  </si>
  <si>
    <t>102000</t>
  </si>
  <si>
    <t>119018</t>
  </si>
  <si>
    <t>140812</t>
  </si>
  <si>
    <t>140810</t>
  </si>
  <si>
    <t>140813</t>
  </si>
  <si>
    <t>116548</t>
  </si>
  <si>
    <t>140811</t>
  </si>
  <si>
    <t>140809</t>
  </si>
  <si>
    <t>140814</t>
  </si>
  <si>
    <t>119134</t>
  </si>
  <si>
    <t>116547</t>
  </si>
  <si>
    <t>119133</t>
  </si>
  <si>
    <t>100471</t>
  </si>
  <si>
    <t>118531</t>
  </si>
  <si>
    <t>100470</t>
  </si>
  <si>
    <t>118462</t>
  </si>
  <si>
    <t>111937</t>
  </si>
  <si>
    <t>111935</t>
  </si>
  <si>
    <t>111936</t>
  </si>
  <si>
    <t>111940</t>
  </si>
  <si>
    <t>111939</t>
  </si>
  <si>
    <t>111938</t>
  </si>
  <si>
    <t>118617</t>
  </si>
  <si>
    <t>118616</t>
  </si>
  <si>
    <t>101636</t>
  </si>
  <si>
    <t>101635</t>
  </si>
  <si>
    <t>119249</t>
  </si>
  <si>
    <t>119250</t>
  </si>
  <si>
    <t>113222</t>
  </si>
  <si>
    <t>113221</t>
  </si>
  <si>
    <t>118270</t>
  </si>
  <si>
    <t>118269</t>
  </si>
  <si>
    <t>150185</t>
  </si>
  <si>
    <t>150186</t>
  </si>
  <si>
    <t>150188</t>
  </si>
  <si>
    <t>150187</t>
  </si>
  <si>
    <t>148983</t>
  </si>
  <si>
    <t>148982</t>
  </si>
  <si>
    <t>148981</t>
  </si>
  <si>
    <t>148980</t>
  </si>
  <si>
    <t>118478</t>
  </si>
  <si>
    <t>118479</t>
  </si>
  <si>
    <t>108800</t>
  </si>
  <si>
    <t>108799</t>
  </si>
  <si>
    <t>152782</t>
  </si>
  <si>
    <t>152780</t>
  </si>
  <si>
    <t>152781</t>
  </si>
  <si>
    <t>152783</t>
  </si>
  <si>
    <t>112278</t>
  </si>
  <si>
    <t>112277</t>
  </si>
  <si>
    <t>120466</t>
  </si>
  <si>
    <t>120465</t>
  </si>
  <si>
    <t>103173</t>
  </si>
  <si>
    <t>103174</t>
  </si>
  <si>
    <t>119527</t>
  </si>
  <si>
    <t>119528</t>
  </si>
  <si>
    <t>Open Ended Schemes(Equity Scheme - Large Cap Fund)</t>
  </si>
  <si>
    <t>152225</t>
  </si>
  <si>
    <t>152226</t>
  </si>
  <si>
    <t>100663</t>
  </si>
  <si>
    <t>100664</t>
  </si>
  <si>
    <t>120664</t>
  </si>
  <si>
    <t>120665</t>
  </si>
  <si>
    <t>147749</t>
  </si>
  <si>
    <t>147748</t>
  </si>
  <si>
    <t>147751</t>
  </si>
  <si>
    <t>147750</t>
  </si>
  <si>
    <t>101824</t>
  </si>
  <si>
    <t>101823</t>
  </si>
  <si>
    <t>119201</t>
  </si>
  <si>
    <t>119202</t>
  </si>
  <si>
    <t>105000</t>
  </si>
  <si>
    <t>105001</t>
  </si>
  <si>
    <t>119566</t>
  </si>
  <si>
    <t>119565</t>
  </si>
  <si>
    <t>103024</t>
  </si>
  <si>
    <t>119721</t>
  </si>
  <si>
    <t>101530</t>
  </si>
  <si>
    <t>119720</t>
  </si>
  <si>
    <t>153533</t>
  </si>
  <si>
    <t>153534</t>
  </si>
  <si>
    <t>104514</t>
  </si>
  <si>
    <t>120825</t>
  </si>
  <si>
    <t>120826</t>
  </si>
  <si>
    <t>104513</t>
  </si>
  <si>
    <t>152385</t>
  </si>
  <si>
    <t>152383</t>
  </si>
  <si>
    <t>152384</t>
  </si>
  <si>
    <t>152382</t>
  </si>
  <si>
    <t>100380</t>
  </si>
  <si>
    <t>100379</t>
  </si>
  <si>
    <t>100378</t>
  </si>
  <si>
    <t>106255</t>
  </si>
  <si>
    <t>118678</t>
  </si>
  <si>
    <t>118675</t>
  </si>
  <si>
    <t>118676</t>
  </si>
  <si>
    <t>135678</t>
  </si>
  <si>
    <t>135677</t>
  </si>
  <si>
    <t>135680</t>
  </si>
  <si>
    <t>141410</t>
  </si>
  <si>
    <t>141411</t>
  </si>
  <si>
    <t>135679</t>
  </si>
  <si>
    <t>141415</t>
  </si>
  <si>
    <t>141414</t>
  </si>
  <si>
    <t>147703</t>
  </si>
  <si>
    <t>147706</t>
  </si>
  <si>
    <t>147701</t>
  </si>
  <si>
    <t>147704</t>
  </si>
  <si>
    <t>112931</t>
  </si>
  <si>
    <t>112932</t>
  </si>
  <si>
    <t>118835</t>
  </si>
  <si>
    <t>118834</t>
  </si>
  <si>
    <t>147842</t>
  </si>
  <si>
    <t>147843</t>
  </si>
  <si>
    <t>147840</t>
  </si>
  <si>
    <t>147841</t>
  </si>
  <si>
    <t>133712</t>
  </si>
  <si>
    <t>133711</t>
  </si>
  <si>
    <t>133709</t>
  </si>
  <si>
    <t>133710</t>
  </si>
  <si>
    <t>103233</t>
  </si>
  <si>
    <t>120157</t>
  </si>
  <si>
    <t>103234</t>
  </si>
  <si>
    <t>120158</t>
  </si>
  <si>
    <t>153628</t>
  </si>
  <si>
    <t>153627</t>
  </si>
  <si>
    <t>153630</t>
  </si>
  <si>
    <t>153629</t>
  </si>
  <si>
    <t>152822</t>
  </si>
  <si>
    <t>152824</t>
  </si>
  <si>
    <t>152823</t>
  </si>
  <si>
    <t>152821</t>
  </si>
  <si>
    <t>106143</t>
  </si>
  <si>
    <t>106144</t>
  </si>
  <si>
    <t>120356</t>
  </si>
  <si>
    <t>120357</t>
  </si>
  <si>
    <t>100348</t>
  </si>
  <si>
    <t>100349</t>
  </si>
  <si>
    <t>120597</t>
  </si>
  <si>
    <t>120596</t>
  </si>
  <si>
    <t>146769</t>
  </si>
  <si>
    <t>146771</t>
  </si>
  <si>
    <t>146770</t>
  </si>
  <si>
    <t>146772</t>
  </si>
  <si>
    <t>152944</t>
  </si>
  <si>
    <t>152943</t>
  </si>
  <si>
    <t>152942</t>
  </si>
  <si>
    <t>152941</t>
  </si>
  <si>
    <t>130499</t>
  </si>
  <si>
    <t>130497</t>
  </si>
  <si>
    <t>130498</t>
  </si>
  <si>
    <t>130496</t>
  </si>
  <si>
    <t>102884</t>
  </si>
  <si>
    <t>102883</t>
  </si>
  <si>
    <t>118509</t>
  </si>
  <si>
    <t>118510</t>
  </si>
  <si>
    <t>140173</t>
  </si>
  <si>
    <t>140174</t>
  </si>
  <si>
    <t>140172</t>
  </si>
  <si>
    <t>140175</t>
  </si>
  <si>
    <t>103820</t>
  </si>
  <si>
    <t>103819</t>
  </si>
  <si>
    <t>119219</t>
  </si>
  <si>
    <t>119218</t>
  </si>
  <si>
    <t>102921</t>
  </si>
  <si>
    <t>102920</t>
  </si>
  <si>
    <t>118277</t>
  </si>
  <si>
    <t>118278</t>
  </si>
  <si>
    <t>148472</t>
  </si>
  <si>
    <t>148471</t>
  </si>
  <si>
    <t>148475</t>
  </si>
  <si>
    <t>148474</t>
  </si>
  <si>
    <t>110606</t>
  </si>
  <si>
    <t>110607</t>
  </si>
  <si>
    <t>110598</t>
  </si>
  <si>
    <t>110603</t>
  </si>
  <si>
    <t>110608</t>
  </si>
  <si>
    <t>110604</t>
  </si>
  <si>
    <t>110601</t>
  </si>
  <si>
    <t>110599</t>
  </si>
  <si>
    <t>119346</t>
  </si>
  <si>
    <t>119350</t>
  </si>
  <si>
    <t>119300</t>
  </si>
  <si>
    <t>119349</t>
  </si>
  <si>
    <t>108597</t>
  </si>
  <si>
    <t>108596</t>
  </si>
  <si>
    <t>118420</t>
  </si>
  <si>
    <t>118419</t>
  </si>
  <si>
    <t>152407</t>
  </si>
  <si>
    <t>152406</t>
  </si>
  <si>
    <t>152405</t>
  </si>
  <si>
    <t>152408</t>
  </si>
  <si>
    <t>145111</t>
  </si>
  <si>
    <t>145112</t>
  </si>
  <si>
    <t>145109</t>
  </si>
  <si>
    <t>145110</t>
  </si>
  <si>
    <t>100034</t>
  </si>
  <si>
    <t>119433</t>
  </si>
  <si>
    <t>100033</t>
  </si>
  <si>
    <t>119436</t>
  </si>
  <si>
    <t>Open Ended Schemes(Equity Scheme - Large &amp; Mid Cap Fund)</t>
  </si>
  <si>
    <t>149092</t>
  </si>
  <si>
    <t>149090</t>
  </si>
  <si>
    <t>149093</t>
  </si>
  <si>
    <t>149091</t>
  </si>
  <si>
    <t>147493</t>
  </si>
  <si>
    <t>147490</t>
  </si>
  <si>
    <t>147491</t>
  </si>
  <si>
    <t>147492</t>
  </si>
  <si>
    <t>147760</t>
  </si>
  <si>
    <t>147757</t>
  </si>
  <si>
    <t>147756</t>
  </si>
  <si>
    <t>147761</t>
  </si>
  <si>
    <t>147758</t>
  </si>
  <si>
    <t>147759</t>
  </si>
  <si>
    <t>149532</t>
  </si>
  <si>
    <t>149531</t>
  </si>
  <si>
    <t>149534</t>
  </si>
  <si>
    <t>149533</t>
  </si>
  <si>
    <t>102756</t>
  </si>
  <si>
    <t>102765</t>
  </si>
  <si>
    <t>119727</t>
  </si>
  <si>
    <t>119834</t>
  </si>
  <si>
    <t>109274</t>
  </si>
  <si>
    <t>120835</t>
  </si>
  <si>
    <t>120834</t>
  </si>
  <si>
    <t>109275</t>
  </si>
  <si>
    <t>152363</t>
  </si>
  <si>
    <t>152361</t>
  </si>
  <si>
    <t>152359</t>
  </si>
  <si>
    <t>152358</t>
  </si>
  <si>
    <t>104637</t>
  </si>
  <si>
    <t>118692</t>
  </si>
  <si>
    <t>104638</t>
  </si>
  <si>
    <t>118693</t>
  </si>
  <si>
    <t>122388</t>
  </si>
  <si>
    <t>122390</t>
  </si>
  <si>
    <t>122387</t>
  </si>
  <si>
    <t>122389</t>
  </si>
  <si>
    <t>147203</t>
  </si>
  <si>
    <t>147204</t>
  </si>
  <si>
    <t>147206</t>
  </si>
  <si>
    <t>147205</t>
  </si>
  <si>
    <t>148566</t>
  </si>
  <si>
    <t>148571</t>
  </si>
  <si>
    <t>148567</t>
  </si>
  <si>
    <t>148569</t>
  </si>
  <si>
    <t>152007</t>
  </si>
  <si>
    <t>152009</t>
  </si>
  <si>
    <t>152008</t>
  </si>
  <si>
    <t>152010</t>
  </si>
  <si>
    <t>147475</t>
  </si>
  <si>
    <t>147472</t>
  </si>
  <si>
    <t>147477</t>
  </si>
  <si>
    <t>147473</t>
  </si>
  <si>
    <t>107409</t>
  </si>
  <si>
    <t>107410</t>
  </si>
  <si>
    <t>120487</t>
  </si>
  <si>
    <t>120488</t>
  </si>
  <si>
    <t>151775</t>
  </si>
  <si>
    <t>151778</t>
  </si>
  <si>
    <t>151776</t>
  </si>
  <si>
    <t>151777</t>
  </si>
  <si>
    <t>148484</t>
  </si>
  <si>
    <t>148483</t>
  </si>
  <si>
    <t>148482</t>
  </si>
  <si>
    <t>148481</t>
  </si>
  <si>
    <t>111958</t>
  </si>
  <si>
    <t>111957</t>
  </si>
  <si>
    <t>120723</t>
  </si>
  <si>
    <t>120722</t>
  </si>
  <si>
    <t>148410</t>
  </si>
  <si>
    <t>148409</t>
  </si>
  <si>
    <t>148412</t>
  </si>
  <si>
    <t>148411</t>
  </si>
  <si>
    <t>102761</t>
  </si>
  <si>
    <t>118949</t>
  </si>
  <si>
    <t>102760</t>
  </si>
  <si>
    <t>118950</t>
  </si>
  <si>
    <t>105816</t>
  </si>
  <si>
    <t>105817</t>
  </si>
  <si>
    <t>118563</t>
  </si>
  <si>
    <t>118564</t>
  </si>
  <si>
    <t>150384</t>
  </si>
  <si>
    <t>150382</t>
  </si>
  <si>
    <t>150383</t>
  </si>
  <si>
    <t>150376</t>
  </si>
  <si>
    <t>113032</t>
  </si>
  <si>
    <t>112901</t>
  </si>
  <si>
    <t>119095</t>
  </si>
  <si>
    <t>119096</t>
  </si>
  <si>
    <t>148885</t>
  </si>
  <si>
    <t>148884</t>
  </si>
  <si>
    <t>148882</t>
  </si>
  <si>
    <t>148883</t>
  </si>
  <si>
    <t>150263</t>
  </si>
  <si>
    <t>150262</t>
  </si>
  <si>
    <t>150265</t>
  </si>
  <si>
    <t>150264</t>
  </si>
  <si>
    <t>108593</t>
  </si>
  <si>
    <t>108592</t>
  </si>
  <si>
    <t>118422</t>
  </si>
  <si>
    <t>118421</t>
  </si>
  <si>
    <t>117559</t>
  </si>
  <si>
    <t>117560</t>
  </si>
  <si>
    <t>120467</t>
  </si>
  <si>
    <t>120468</t>
  </si>
  <si>
    <t>103308</t>
  </si>
  <si>
    <t>103309</t>
  </si>
  <si>
    <t>119563</t>
  </si>
  <si>
    <t>119564</t>
  </si>
  <si>
    <t>131580</t>
  </si>
  <si>
    <t>131578</t>
  </si>
  <si>
    <t>131579</t>
  </si>
  <si>
    <t>131581</t>
  </si>
  <si>
    <t>Open Ended Schemes(Equity Scheme - Focused Fund)</t>
  </si>
  <si>
    <t>150347</t>
  </si>
  <si>
    <t>150348</t>
  </si>
  <si>
    <t>150346</t>
  </si>
  <si>
    <t>150349</t>
  </si>
  <si>
    <t>100668</t>
  </si>
  <si>
    <t>120663</t>
  </si>
  <si>
    <t>120662</t>
  </si>
  <si>
    <t>100669</t>
  </si>
  <si>
    <t>115290</t>
  </si>
  <si>
    <t>115270</t>
  </si>
  <si>
    <t>119293</t>
  </si>
  <si>
    <t>119292</t>
  </si>
  <si>
    <t>153542</t>
  </si>
  <si>
    <t>153543</t>
  </si>
  <si>
    <t>152583</t>
  </si>
  <si>
    <t>152582</t>
  </si>
  <si>
    <t>152585</t>
  </si>
  <si>
    <t>152584</t>
  </si>
  <si>
    <t>153871</t>
  </si>
  <si>
    <t>153870</t>
  </si>
  <si>
    <t>153873</t>
  </si>
  <si>
    <t>153872</t>
  </si>
  <si>
    <t>111640</t>
  </si>
  <si>
    <t>100476</t>
  </si>
  <si>
    <t>118883</t>
  </si>
  <si>
    <t>118884</t>
  </si>
  <si>
    <t>144546</t>
  </si>
  <si>
    <t>144545</t>
  </si>
  <si>
    <t>144544</t>
  </si>
  <si>
    <t>144543</t>
  </si>
  <si>
    <t>144548</t>
  </si>
  <si>
    <t>144547</t>
  </si>
  <si>
    <t>150570</t>
  </si>
  <si>
    <t>150569</t>
  </si>
  <si>
    <t>150568</t>
  </si>
  <si>
    <t>150572</t>
  </si>
  <si>
    <t>150573</t>
  </si>
  <si>
    <t>150571</t>
  </si>
  <si>
    <t>144903</t>
  </si>
  <si>
    <t>144902</t>
  </si>
  <si>
    <t>144906</t>
  </si>
  <si>
    <t>144905</t>
  </si>
  <si>
    <t>103215</t>
  </si>
  <si>
    <t>103216</t>
  </si>
  <si>
    <t>119717</t>
  </si>
  <si>
    <t>119718</t>
  </si>
  <si>
    <t>149449</t>
  </si>
  <si>
    <t>149450</t>
  </si>
  <si>
    <t>109831</t>
  </si>
  <si>
    <t>120842</t>
  </si>
  <si>
    <t>120843</t>
  </si>
  <si>
    <t>109830</t>
  </si>
  <si>
    <t>153965</t>
  </si>
  <si>
    <t>122640</t>
  </si>
  <si>
    <t>153964</t>
  </si>
  <si>
    <t>122639</t>
  </si>
  <si>
    <t>133836</t>
  </si>
  <si>
    <t>133838</t>
  </si>
  <si>
    <t>133839</t>
  </si>
  <si>
    <t>133837</t>
  </si>
  <si>
    <t>154227</t>
  </si>
  <si>
    <t>154226</t>
  </si>
  <si>
    <t>154228</t>
  </si>
  <si>
    <t>154225</t>
  </si>
  <si>
    <t>151919</t>
  </si>
  <si>
    <t>151920</t>
  </si>
  <si>
    <t>151918</t>
  </si>
  <si>
    <t>151917</t>
  </si>
  <si>
    <t>149096</t>
  </si>
  <si>
    <t>149089</t>
  </si>
  <si>
    <t>149095</t>
  </si>
  <si>
    <t>149094</t>
  </si>
  <si>
    <t>143788</t>
  </si>
  <si>
    <t>143789</t>
  </si>
  <si>
    <t>143790</t>
  </si>
  <si>
    <t>143794</t>
  </si>
  <si>
    <t>143795</t>
  </si>
  <si>
    <t>143787</t>
  </si>
  <si>
    <t>143791</t>
  </si>
  <si>
    <t>143792</t>
  </si>
  <si>
    <t>143796</t>
  </si>
  <si>
    <t>143797</t>
  </si>
  <si>
    <t>143798</t>
  </si>
  <si>
    <t>143793</t>
  </si>
  <si>
    <t>129048</t>
  </si>
  <si>
    <t>129049</t>
  </si>
  <si>
    <t>129046</t>
  </si>
  <si>
    <t>129047</t>
  </si>
  <si>
    <t>151415</t>
  </si>
  <si>
    <t>151414</t>
  </si>
  <si>
    <t>151412</t>
  </si>
  <si>
    <t>151413</t>
  </si>
  <si>
    <t>149102</t>
  </si>
  <si>
    <t>149101</t>
  </si>
  <si>
    <t>149103</t>
  </si>
  <si>
    <t>149104</t>
  </si>
  <si>
    <t>100312</t>
  </si>
  <si>
    <t>100313</t>
  </si>
  <si>
    <t>120263</t>
  </si>
  <si>
    <t>120264</t>
  </si>
  <si>
    <t>120165</t>
  </si>
  <si>
    <t>112089</t>
  </si>
  <si>
    <t>120166</t>
  </si>
  <si>
    <t>112090</t>
  </si>
  <si>
    <t>109523</t>
  </si>
  <si>
    <t>109522</t>
  </si>
  <si>
    <t>120491</t>
  </si>
  <si>
    <t>120492</t>
  </si>
  <si>
    <t>153859</t>
  </si>
  <si>
    <t>151378</t>
  </si>
  <si>
    <t>151377</t>
  </si>
  <si>
    <t>151380</t>
  </si>
  <si>
    <t>151379</t>
  </si>
  <si>
    <t>149764</t>
  </si>
  <si>
    <t>149766</t>
  </si>
  <si>
    <t>149765</t>
  </si>
  <si>
    <t>149763</t>
  </si>
  <si>
    <t>148988</t>
  </si>
  <si>
    <t>148989</t>
  </si>
  <si>
    <t>148991</t>
  </si>
  <si>
    <t>148990</t>
  </si>
  <si>
    <t>102251</t>
  </si>
  <si>
    <t>102252</t>
  </si>
  <si>
    <t>120045</t>
  </si>
  <si>
    <t>120046</t>
  </si>
  <si>
    <t>152137</t>
  </si>
  <si>
    <t>152136</t>
  </si>
  <si>
    <t>152138</t>
  </si>
  <si>
    <t>152135</t>
  </si>
  <si>
    <t>101763</t>
  </si>
  <si>
    <t>118954</t>
  </si>
  <si>
    <t>101762</t>
  </si>
  <si>
    <t>118955</t>
  </si>
  <si>
    <t>100519</t>
  </si>
  <si>
    <t>100520</t>
  </si>
  <si>
    <t>118534</t>
  </si>
  <si>
    <t>118535</t>
  </si>
  <si>
    <t>140355</t>
  </si>
  <si>
    <t>140356</t>
  </si>
  <si>
    <t>140354</t>
  </si>
  <si>
    <t>140353</t>
  </si>
  <si>
    <t>100080</t>
  </si>
  <si>
    <t>105875</t>
  </si>
  <si>
    <t>119077</t>
  </si>
  <si>
    <t>119076</t>
  </si>
  <si>
    <t>153739</t>
  </si>
  <si>
    <t>153738</t>
  </si>
  <si>
    <t>101923</t>
  </si>
  <si>
    <t>101922</t>
  </si>
  <si>
    <t>118276</t>
  </si>
  <si>
    <t>118275</t>
  </si>
  <si>
    <t>150386</t>
  </si>
  <si>
    <t>150385</t>
  </si>
  <si>
    <t>150388</t>
  </si>
  <si>
    <t>150387</t>
  </si>
  <si>
    <t>148407</t>
  </si>
  <si>
    <t>148405</t>
  </si>
  <si>
    <t>148406</t>
  </si>
  <si>
    <t>148404</t>
  </si>
  <si>
    <t>118423</t>
  </si>
  <si>
    <t>118424</t>
  </si>
  <si>
    <t>108595</t>
  </si>
  <si>
    <t>108594</t>
  </si>
  <si>
    <t>151897</t>
  </si>
  <si>
    <t>151896</t>
  </si>
  <si>
    <t>151895</t>
  </si>
  <si>
    <t>151898</t>
  </si>
  <si>
    <t>141928</t>
  </si>
  <si>
    <t>141927</t>
  </si>
  <si>
    <t>141926</t>
  </si>
  <si>
    <t>141925</t>
  </si>
  <si>
    <t>103165</t>
  </si>
  <si>
    <t>120565</t>
  </si>
  <si>
    <t>103166</t>
  </si>
  <si>
    <t>120564</t>
  </si>
  <si>
    <t>154042</t>
  </si>
  <si>
    <t>154041</t>
  </si>
  <si>
    <t>154045</t>
  </si>
  <si>
    <t>154043</t>
  </si>
  <si>
    <t>151797</t>
  </si>
  <si>
    <t>151799</t>
  </si>
  <si>
    <t>151798</t>
  </si>
  <si>
    <t>151796</t>
  </si>
  <si>
    <t>Open Ended Schemes(Equity Scheme - Flexi Cap Fund)</t>
  </si>
  <si>
    <t>150588</t>
  </si>
  <si>
    <t>150589</t>
  </si>
  <si>
    <t>150586</t>
  </si>
  <si>
    <t>150587</t>
  </si>
  <si>
    <t>100820</t>
  </si>
  <si>
    <t>100821</t>
  </si>
  <si>
    <t>120714</t>
  </si>
  <si>
    <t>120715</t>
  </si>
  <si>
    <t>116052</t>
  </si>
  <si>
    <t>116051</t>
  </si>
  <si>
    <t>119306</t>
  </si>
  <si>
    <t>119307</t>
  </si>
  <si>
    <t>108402</t>
  </si>
  <si>
    <t>100480</t>
  </si>
  <si>
    <t>118867</t>
  </si>
  <si>
    <t>118866</t>
  </si>
  <si>
    <t>132757</t>
  </si>
  <si>
    <t>132756</t>
  </si>
  <si>
    <t>100474</t>
  </si>
  <si>
    <t>119281</t>
  </si>
  <si>
    <t>149572</t>
  </si>
  <si>
    <t>149569</t>
  </si>
  <si>
    <t>149570</t>
  </si>
  <si>
    <t>149571</t>
  </si>
  <si>
    <t>145821</t>
  </si>
  <si>
    <t>145820</t>
  </si>
  <si>
    <t>145822</t>
  </si>
  <si>
    <t>145819</t>
  </si>
  <si>
    <t>105628</t>
  </si>
  <si>
    <t>103883</t>
  </si>
  <si>
    <t>119723</t>
  </si>
  <si>
    <t>119722</t>
  </si>
  <si>
    <t>150839</t>
  </si>
  <si>
    <t>150838</t>
  </si>
  <si>
    <t>141071</t>
  </si>
  <si>
    <t>141070</t>
  </si>
  <si>
    <t>111550</t>
  </si>
  <si>
    <t>111549</t>
  </si>
  <si>
    <t>100174</t>
  </si>
  <si>
    <t>120846</t>
  </si>
  <si>
    <t>100175</t>
  </si>
  <si>
    <t>120847</t>
  </si>
  <si>
    <t>147482</t>
  </si>
  <si>
    <t>147481</t>
  </si>
  <si>
    <t>135598</t>
  </si>
  <si>
    <t>135599</t>
  </si>
  <si>
    <t>135601</t>
  </si>
  <si>
    <t>135600</t>
  </si>
  <si>
    <t>151610</t>
  </si>
  <si>
    <t>151609</t>
  </si>
  <si>
    <t>151612</t>
  </si>
  <si>
    <t>151611</t>
  </si>
  <si>
    <t>103196</t>
  </si>
  <si>
    <t>103197</t>
  </si>
  <si>
    <t>118803</t>
  </si>
  <si>
    <t>118801</t>
  </si>
  <si>
    <t>133865</t>
  </si>
  <si>
    <t>133866</t>
  </si>
  <si>
    <t>151474</t>
  </si>
  <si>
    <t>151472</t>
  </si>
  <si>
    <t>151473</t>
  </si>
  <si>
    <t>151471</t>
  </si>
  <si>
    <t>135655</t>
  </si>
  <si>
    <t>135654</t>
  </si>
  <si>
    <t>135652</t>
  </si>
  <si>
    <t>135653</t>
  </si>
  <si>
    <t>133384</t>
  </si>
  <si>
    <t>133385</t>
  </si>
  <si>
    <t>133383</t>
  </si>
  <si>
    <t>133386</t>
  </si>
  <si>
    <t>135783</t>
  </si>
  <si>
    <t>135784</t>
  </si>
  <si>
    <t>135782</t>
  </si>
  <si>
    <t>135781</t>
  </si>
  <si>
    <t>139783</t>
  </si>
  <si>
    <t>139782</t>
  </si>
  <si>
    <t>139780</t>
  </si>
  <si>
    <t>139781</t>
  </si>
  <si>
    <t>100325</t>
  </si>
  <si>
    <t>120259</t>
  </si>
  <si>
    <t>134874</t>
  </si>
  <si>
    <t>134886</t>
  </si>
  <si>
    <t>135982</t>
  </si>
  <si>
    <t>135980</t>
  </si>
  <si>
    <t>134872</t>
  </si>
  <si>
    <t>134887</t>
  </si>
  <si>
    <t>134873</t>
  </si>
  <si>
    <t>134885</t>
  </si>
  <si>
    <t>134871</t>
  </si>
  <si>
    <t>134883</t>
  </si>
  <si>
    <t>135981</t>
  </si>
  <si>
    <t>135978</t>
  </si>
  <si>
    <t>134869</t>
  </si>
  <si>
    <t>134884</t>
  </si>
  <si>
    <t>134870</t>
  </si>
  <si>
    <t>134882</t>
  </si>
  <si>
    <t>134846</t>
  </si>
  <si>
    <t>134875</t>
  </si>
  <si>
    <t>134868</t>
  </si>
  <si>
    <t>134880</t>
  </si>
  <si>
    <t>135983</t>
  </si>
  <si>
    <t>135977</t>
  </si>
  <si>
    <t>134863</t>
  </si>
  <si>
    <t>134881</t>
  </si>
  <si>
    <t>134867</t>
  </si>
  <si>
    <t>134879</t>
  </si>
  <si>
    <t>134864</t>
  </si>
  <si>
    <t>134877</t>
  </si>
  <si>
    <t>135979</t>
  </si>
  <si>
    <t>135976</t>
  </si>
  <si>
    <t>134847</t>
  </si>
  <si>
    <t>134876</t>
  </si>
  <si>
    <t>134865</t>
  </si>
  <si>
    <t>134878</t>
  </si>
  <si>
    <t>100864</t>
  </si>
  <si>
    <t>100865</t>
  </si>
  <si>
    <t>120269</t>
  </si>
  <si>
    <t>120270</t>
  </si>
  <si>
    <t>119772</t>
  </si>
  <si>
    <t>103338</t>
  </si>
  <si>
    <t>119773</t>
  </si>
  <si>
    <t>103339</t>
  </si>
  <si>
    <t>107287</t>
  </si>
  <si>
    <t>107288</t>
  </si>
  <si>
    <t>120493</t>
  </si>
  <si>
    <t>120494</t>
  </si>
  <si>
    <t>147543</t>
  </si>
  <si>
    <t>147544</t>
  </si>
  <si>
    <t>147542</t>
  </si>
  <si>
    <t>147541</t>
  </si>
  <si>
    <t>104635</t>
  </si>
  <si>
    <t>104636</t>
  </si>
  <si>
    <t>120417</t>
  </si>
  <si>
    <t>120416</t>
  </si>
  <si>
    <t>100353</t>
  </si>
  <si>
    <t>100354</t>
  </si>
  <si>
    <t>120593</t>
  </si>
  <si>
    <t>120592</t>
  </si>
  <si>
    <t>151077</t>
  </si>
  <si>
    <t>151076</t>
  </si>
  <si>
    <t>151079</t>
  </si>
  <si>
    <t>151078</t>
  </si>
  <si>
    <t>100997</t>
  </si>
  <si>
    <t>118928</t>
  </si>
  <si>
    <t>100998</t>
  </si>
  <si>
    <t>118929</t>
  </si>
  <si>
    <t>101980</t>
  </si>
  <si>
    <t>119059</t>
  </si>
  <si>
    <t>101979</t>
  </si>
  <si>
    <t>119060</t>
  </si>
  <si>
    <t>141862</t>
  </si>
  <si>
    <t>141810</t>
  </si>
  <si>
    <t>141808</t>
  </si>
  <si>
    <t>141807</t>
  </si>
  <si>
    <t>100526</t>
  </si>
  <si>
    <t>100525</t>
  </si>
  <si>
    <t>118541</t>
  </si>
  <si>
    <t>118540</t>
  </si>
  <si>
    <t>111639</t>
  </si>
  <si>
    <t>111638</t>
  </si>
  <si>
    <t>118620</t>
  </si>
  <si>
    <t>118619</t>
  </si>
  <si>
    <t>104773</t>
  </si>
  <si>
    <t>104772</t>
  </si>
  <si>
    <t>119241</t>
  </si>
  <si>
    <t>119242</t>
  </si>
  <si>
    <t>100593</t>
  </si>
  <si>
    <t>111722</t>
  </si>
  <si>
    <t>118286</t>
  </si>
  <si>
    <t>118285</t>
  </si>
  <si>
    <t>150157</t>
  </si>
  <si>
    <t>150156</t>
  </si>
  <si>
    <t>150158</t>
  </si>
  <si>
    <t>150159</t>
  </si>
  <si>
    <t>111708</t>
  </si>
  <si>
    <t>111710</t>
  </si>
  <si>
    <t>111711</t>
  </si>
  <si>
    <t>111709</t>
  </si>
  <si>
    <t>119352</t>
  </si>
  <si>
    <t>119351</t>
  </si>
  <si>
    <t>111570</t>
  </si>
  <si>
    <t>111569</t>
  </si>
  <si>
    <t>118472</t>
  </si>
  <si>
    <t>118473</t>
  </si>
  <si>
    <t>153200</t>
  </si>
  <si>
    <t>153202</t>
  </si>
  <si>
    <t>153203</t>
  </si>
  <si>
    <t>153201</t>
  </si>
  <si>
    <t>112322</t>
  </si>
  <si>
    <t>112323</t>
  </si>
  <si>
    <t>120502</t>
  </si>
  <si>
    <t>120503</t>
  </si>
  <si>
    <t>103164</t>
  </si>
  <si>
    <t>119543</t>
  </si>
  <si>
    <t>107745</t>
  </si>
  <si>
    <t>119544</t>
  </si>
  <si>
    <t>151167</t>
  </si>
  <si>
    <t>151164</t>
  </si>
  <si>
    <t>151166</t>
  </si>
  <si>
    <t>151165</t>
  </si>
  <si>
    <t>Open Ended Schemes(Equity Scheme - ELSS)</t>
  </si>
  <si>
    <t>120749</t>
  </si>
  <si>
    <t>103026</t>
  </si>
  <si>
    <t>103025</t>
  </si>
  <si>
    <t>120750</t>
  </si>
  <si>
    <t>148949</t>
  </si>
  <si>
    <t>148950</t>
  </si>
  <si>
    <t>148948</t>
  </si>
  <si>
    <t>148951</t>
  </si>
  <si>
    <t>148952</t>
  </si>
  <si>
    <t>148947</t>
  </si>
  <si>
    <t>149697</t>
  </si>
  <si>
    <t>149698</t>
  </si>
  <si>
    <t>149699</t>
  </si>
  <si>
    <t>149700</t>
  </si>
  <si>
    <t>151477</t>
  </si>
  <si>
    <t>151476</t>
  </si>
  <si>
    <t>151475</t>
  </si>
  <si>
    <t>151478</t>
  </si>
  <si>
    <t>152020</t>
  </si>
  <si>
    <t>152019</t>
  </si>
  <si>
    <t>152021</t>
  </si>
  <si>
    <t>152022</t>
  </si>
  <si>
    <t>154098</t>
  </si>
  <si>
    <t>154099</t>
  </si>
  <si>
    <t>154100</t>
  </si>
  <si>
    <t>154097</t>
  </si>
  <si>
    <t>129311</t>
  </si>
  <si>
    <t>129310</t>
  </si>
  <si>
    <t>129309</t>
  </si>
  <si>
    <t>129312</t>
  </si>
  <si>
    <t>148611</t>
  </si>
  <si>
    <t>148608</t>
  </si>
  <si>
    <t>148610</t>
  </si>
  <si>
    <t>148609</t>
  </si>
  <si>
    <t>103678</t>
  </si>
  <si>
    <t>103679</t>
  </si>
  <si>
    <t>118526</t>
  </si>
  <si>
    <t>118527</t>
  </si>
  <si>
    <t>152808</t>
  </si>
  <si>
    <t>152807</t>
  </si>
  <si>
    <t>152809</t>
  </si>
  <si>
    <t>152810</t>
  </si>
  <si>
    <t>101737</t>
  </si>
  <si>
    <t>119506</t>
  </si>
  <si>
    <t>101738</t>
  </si>
  <si>
    <t>119507</t>
  </si>
  <si>
    <t>Open Ended Schemes(Equity Scheme - Dividend Yield Fund)</t>
  </si>
  <si>
    <t>102414</t>
  </si>
  <si>
    <t>100915</t>
  </si>
  <si>
    <t>119724</t>
  </si>
  <si>
    <t>119835</t>
  </si>
  <si>
    <t>103039</t>
  </si>
  <si>
    <t>103040</t>
  </si>
  <si>
    <t>119768</t>
  </si>
  <si>
    <t>119769</t>
  </si>
  <si>
    <t>105459</t>
  </si>
  <si>
    <t>105460</t>
  </si>
  <si>
    <t>120349</t>
  </si>
  <si>
    <t>120348</t>
  </si>
  <si>
    <t>Open Ended Schemes(Equity Scheme - Contra Fund)</t>
  </si>
  <si>
    <t>147310</t>
  </si>
  <si>
    <t>147314</t>
  </si>
  <si>
    <t>147307</t>
  </si>
  <si>
    <t>147309</t>
  </si>
  <si>
    <t>147308</t>
  </si>
  <si>
    <t>147313</t>
  </si>
  <si>
    <t>147312</t>
  </si>
  <si>
    <t>147311</t>
  </si>
  <si>
    <t>147315</t>
  </si>
  <si>
    <t>147316</t>
  </si>
  <si>
    <t>102531</t>
  </si>
  <si>
    <t>133873</t>
  </si>
  <si>
    <t>131445</t>
  </si>
  <si>
    <t>134799</t>
  </si>
  <si>
    <t>102532</t>
  </si>
  <si>
    <t>131511</t>
  </si>
  <si>
    <t>121891</t>
  </si>
  <si>
    <t>109501</t>
  </si>
  <si>
    <t>134484</t>
  </si>
  <si>
    <t>112082</t>
  </si>
  <si>
    <t>112083</t>
  </si>
  <si>
    <t>120745</t>
  </si>
  <si>
    <t>133059</t>
  </si>
  <si>
    <t>131444</t>
  </si>
  <si>
    <t>147128</t>
  </si>
  <si>
    <t>120746</t>
  </si>
  <si>
    <t>131512</t>
  </si>
  <si>
    <t>121892</t>
  </si>
  <si>
    <t>120744</t>
  </si>
  <si>
    <t>139568</t>
  </si>
  <si>
    <t>146070</t>
  </si>
  <si>
    <t>146071</t>
  </si>
  <si>
    <t>146072</t>
  </si>
  <si>
    <t>146075</t>
  </si>
  <si>
    <t>146067</t>
  </si>
  <si>
    <t>146069</t>
  </si>
  <si>
    <t>146074</t>
  </si>
  <si>
    <t>146073</t>
  </si>
  <si>
    <t>146068</t>
  </si>
  <si>
    <t>146076</t>
  </si>
  <si>
    <t>149722</t>
  </si>
  <si>
    <t>149723</t>
  </si>
  <si>
    <t>149538</t>
  </si>
  <si>
    <t>149535</t>
  </si>
  <si>
    <t>149536</t>
  </si>
  <si>
    <t>149540</t>
  </si>
  <si>
    <t>149719</t>
  </si>
  <si>
    <t>149539</t>
  </si>
  <si>
    <t>149721</t>
  </si>
  <si>
    <t>149720</t>
  </si>
  <si>
    <t>149724</t>
  </si>
  <si>
    <t>149537</t>
  </si>
  <si>
    <t>103884</t>
  </si>
  <si>
    <t>100641</t>
  </si>
  <si>
    <t>105080</t>
  </si>
  <si>
    <t>119829</t>
  </si>
  <si>
    <t>119828</t>
  </si>
  <si>
    <t>119784</t>
  </si>
  <si>
    <t>138346</t>
  </si>
  <si>
    <t>138353</t>
  </si>
  <si>
    <t>138365</t>
  </si>
  <si>
    <t>138349</t>
  </si>
  <si>
    <t>138364</t>
  </si>
  <si>
    <t>138366</t>
  </si>
  <si>
    <t>138357</t>
  </si>
  <si>
    <t>138363</t>
  </si>
  <si>
    <t>138360</t>
  </si>
  <si>
    <t>138367</t>
  </si>
  <si>
    <t>138345</t>
  </si>
  <si>
    <t>138354</t>
  </si>
  <si>
    <t>138368</t>
  </si>
  <si>
    <t>138341</t>
  </si>
  <si>
    <t>138339</t>
  </si>
  <si>
    <t>138340</t>
  </si>
  <si>
    <t>138337</t>
  </si>
  <si>
    <t>138338</t>
  </si>
  <si>
    <t>138344</t>
  </si>
  <si>
    <t>138343</t>
  </si>
  <si>
    <t>138362</t>
  </si>
  <si>
    <t>138359</t>
  </si>
  <si>
    <t>138358</t>
  </si>
  <si>
    <t>138361</t>
  </si>
  <si>
    <t>138342</t>
  </si>
  <si>
    <t>143493</t>
  </si>
  <si>
    <t>143494</t>
  </si>
  <si>
    <t>143495</t>
  </si>
  <si>
    <t>147680</t>
  </si>
  <si>
    <t>147679</t>
  </si>
  <si>
    <t>147678</t>
  </si>
  <si>
    <t>147674</t>
  </si>
  <si>
    <t>147682</t>
  </si>
  <si>
    <t>147677</t>
  </si>
  <si>
    <t>147676</t>
  </si>
  <si>
    <t>147675</t>
  </si>
  <si>
    <t>147681</t>
  </si>
  <si>
    <t>147673</t>
  </si>
  <si>
    <t>143496</t>
  </si>
  <si>
    <t>143499</t>
  </si>
  <si>
    <t>143501</t>
  </si>
  <si>
    <t>143502</t>
  </si>
  <si>
    <t>143497</t>
  </si>
  <si>
    <t>143500</t>
  </si>
  <si>
    <t>143498</t>
  </si>
  <si>
    <t>124310</t>
  </si>
  <si>
    <t>124305</t>
  </si>
  <si>
    <t>124315</t>
  </si>
  <si>
    <t>124313</t>
  </si>
  <si>
    <t>124303</t>
  </si>
  <si>
    <t>124308</t>
  </si>
  <si>
    <t>124306</t>
  </si>
  <si>
    <t>124312</t>
  </si>
  <si>
    <t>124311</t>
  </si>
  <si>
    <t>124316</t>
  </si>
  <si>
    <t>124233</t>
  </si>
  <si>
    <t>124234</t>
  </si>
  <si>
    <t>148531</t>
  </si>
  <si>
    <t>148530</t>
  </si>
  <si>
    <t>148532</t>
  </si>
  <si>
    <t>148529</t>
  </si>
  <si>
    <t>147730</t>
  </si>
  <si>
    <t>147734</t>
  </si>
  <si>
    <t>147729</t>
  </si>
  <si>
    <t>147731</t>
  </si>
  <si>
    <t>147732</t>
  </si>
  <si>
    <t>147733</t>
  </si>
  <si>
    <t>147767</t>
  </si>
  <si>
    <t>147768</t>
  </si>
  <si>
    <t>147770</t>
  </si>
  <si>
    <t>147766</t>
  </si>
  <si>
    <t>147769</t>
  </si>
  <si>
    <t>147773</t>
  </si>
  <si>
    <t>147772</t>
  </si>
  <si>
    <t>147771</t>
  </si>
  <si>
    <t>119749</t>
  </si>
  <si>
    <t>110575</t>
  </si>
  <si>
    <t>119751</t>
  </si>
  <si>
    <t>119750</t>
  </si>
  <si>
    <t>102592</t>
  </si>
  <si>
    <t>102591</t>
  </si>
  <si>
    <t>106104</t>
  </si>
  <si>
    <t>104271</t>
  </si>
  <si>
    <t>106101</t>
  </si>
  <si>
    <t>104272</t>
  </si>
  <si>
    <t>122317</t>
  </si>
  <si>
    <t>120455</t>
  </si>
  <si>
    <t>120454</t>
  </si>
  <si>
    <t>120458</t>
  </si>
  <si>
    <t>120457</t>
  </si>
  <si>
    <t>122316</t>
  </si>
  <si>
    <t>148907</t>
  </si>
  <si>
    <t>148914</t>
  </si>
  <si>
    <t>148906</t>
  </si>
  <si>
    <t>148911</t>
  </si>
  <si>
    <t>148912</t>
  </si>
  <si>
    <t>148917</t>
  </si>
  <si>
    <t>148915</t>
  </si>
  <si>
    <t>148916</t>
  </si>
  <si>
    <t>148913</t>
  </si>
  <si>
    <t>148908</t>
  </si>
  <si>
    <t>148910</t>
  </si>
  <si>
    <t>148909</t>
  </si>
  <si>
    <t>114360</t>
  </si>
  <si>
    <t>114362</t>
  </si>
  <si>
    <t>114359</t>
  </si>
  <si>
    <t>136111</t>
  </si>
  <si>
    <t>114361</t>
  </si>
  <si>
    <t>120544</t>
  </si>
  <si>
    <t>120542</t>
  </si>
  <si>
    <t>120541</t>
  </si>
  <si>
    <t>136112</t>
  </si>
  <si>
    <t>120543</t>
  </si>
  <si>
    <t>145402</t>
  </si>
  <si>
    <t>115091</t>
  </si>
  <si>
    <t>115094</t>
  </si>
  <si>
    <t>115093</t>
  </si>
  <si>
    <t>115092</t>
  </si>
  <si>
    <t>145403</t>
  </si>
  <si>
    <t>130942</t>
  </si>
  <si>
    <t>145400</t>
  </si>
  <si>
    <t>145401</t>
  </si>
  <si>
    <t>145404</t>
  </si>
  <si>
    <t>120675</t>
  </si>
  <si>
    <t>120677</t>
  </si>
  <si>
    <t>120678</t>
  </si>
  <si>
    <t>120676</t>
  </si>
  <si>
    <t>145399</t>
  </si>
  <si>
    <t>147911</t>
  </si>
  <si>
    <t>147916</t>
  </si>
  <si>
    <t>147907</t>
  </si>
  <si>
    <t>147909</t>
  </si>
  <si>
    <t>147912</t>
  </si>
  <si>
    <t>147915</t>
  </si>
  <si>
    <t>147908</t>
  </si>
  <si>
    <t>147910</t>
  </si>
  <si>
    <t>145038</t>
  </si>
  <si>
    <t>145037</t>
  </si>
  <si>
    <t>145040</t>
  </si>
  <si>
    <t>145035</t>
  </si>
  <si>
    <t>145036</t>
  </si>
  <si>
    <t>145034</t>
  </si>
  <si>
    <t>145039</t>
  </si>
  <si>
    <t>145041</t>
  </si>
  <si>
    <t>152826</t>
  </si>
  <si>
    <t>152828</t>
  </si>
  <si>
    <t>152827</t>
  </si>
  <si>
    <t>152825</t>
  </si>
  <si>
    <t>147972</t>
  </si>
  <si>
    <t>147970</t>
  </si>
  <si>
    <t>147978</t>
  </si>
  <si>
    <t>147973</t>
  </si>
  <si>
    <t>147974</t>
  </si>
  <si>
    <t>147971</t>
  </si>
  <si>
    <t>147977</t>
  </si>
  <si>
    <t>147979</t>
  </si>
  <si>
    <t>147980</t>
  </si>
  <si>
    <t>147976</t>
  </si>
  <si>
    <t>147975</t>
  </si>
  <si>
    <t>118562</t>
  </si>
  <si>
    <t>118561</t>
  </si>
  <si>
    <t>109576</t>
  </si>
  <si>
    <t>118560</t>
  </si>
  <si>
    <t>107250</t>
  </si>
  <si>
    <t>107249</t>
  </si>
  <si>
    <t>109575</t>
  </si>
  <si>
    <t>107252</t>
  </si>
  <si>
    <t>107247</t>
  </si>
  <si>
    <t>107251</t>
  </si>
  <si>
    <t>109574</t>
  </si>
  <si>
    <t>107248</t>
  </si>
  <si>
    <t>104139</t>
  </si>
  <si>
    <t>117995</t>
  </si>
  <si>
    <t>117063</t>
  </si>
  <si>
    <t>104140</t>
  </si>
  <si>
    <t>104138</t>
  </si>
  <si>
    <t>119207</t>
  </si>
  <si>
    <t>119204</t>
  </si>
  <si>
    <t>119203</t>
  </si>
  <si>
    <t>119206</t>
  </si>
  <si>
    <t>119205</t>
  </si>
  <si>
    <t>140530</t>
  </si>
  <si>
    <t>109366</t>
  </si>
  <si>
    <t>109370</t>
  </si>
  <si>
    <t>109371</t>
  </si>
  <si>
    <t>109372</t>
  </si>
  <si>
    <t>118316</t>
  </si>
  <si>
    <t>118318</t>
  </si>
  <si>
    <t>118319</t>
  </si>
  <si>
    <t>118317</t>
  </si>
  <si>
    <t>118315</t>
  </si>
  <si>
    <t>143509</t>
  </si>
  <si>
    <t>143508</t>
  </si>
  <si>
    <t>143511</t>
  </si>
  <si>
    <t>143464</t>
  </si>
  <si>
    <t>143507</t>
  </si>
  <si>
    <t>143510</t>
  </si>
  <si>
    <t>109264</t>
  </si>
  <si>
    <t>109269</t>
  </si>
  <si>
    <t>111970</t>
  </si>
  <si>
    <t>126389</t>
  </si>
  <si>
    <t>119381</t>
  </si>
  <si>
    <t>119379</t>
  </si>
  <si>
    <t>119380</t>
  </si>
  <si>
    <t>144189</t>
  </si>
  <si>
    <t>144190</t>
  </si>
  <si>
    <t>144193</t>
  </si>
  <si>
    <t>144194</t>
  </si>
  <si>
    <t>144171</t>
  </si>
  <si>
    <t>144172</t>
  </si>
  <si>
    <t>144174</t>
  </si>
  <si>
    <t>144191</t>
  </si>
  <si>
    <t>144192</t>
  </si>
  <si>
    <t>144196</t>
  </si>
  <si>
    <t>144173</t>
  </si>
  <si>
    <t>144195</t>
  </si>
  <si>
    <t>144759</t>
  </si>
  <si>
    <t>144762</t>
  </si>
  <si>
    <t>144761</t>
  </si>
  <si>
    <t>144760</t>
  </si>
  <si>
    <t>144758</t>
  </si>
  <si>
    <t>144754</t>
  </si>
  <si>
    <t>144757</t>
  </si>
  <si>
    <t>144756</t>
  </si>
  <si>
    <t>144755</t>
  </si>
  <si>
    <t>144753</t>
  </si>
  <si>
    <t>105887</t>
  </si>
  <si>
    <t>105888</t>
  </si>
  <si>
    <t>119499</t>
  </si>
  <si>
    <t>119500</t>
  </si>
  <si>
    <t>101317</t>
  </si>
  <si>
    <t>119501</t>
  </si>
  <si>
    <t>112016</t>
  </si>
  <si>
    <t>Open Ended Schemes(Debt Scheme - Ultra Short Duration Fund)</t>
  </si>
  <si>
    <t>106980</t>
  </si>
  <si>
    <t>131547</t>
  </si>
  <si>
    <t>131424</t>
  </si>
  <si>
    <t>106624</t>
  </si>
  <si>
    <t>125045</t>
  </si>
  <si>
    <t>134517</t>
  </si>
  <si>
    <t>106384</t>
  </si>
  <si>
    <t>106383</t>
  </si>
  <si>
    <t>120719</t>
  </si>
  <si>
    <t>131548</t>
  </si>
  <si>
    <t>131425</t>
  </si>
  <si>
    <t>120718</t>
  </si>
  <si>
    <t>124962</t>
  </si>
  <si>
    <t>135497</t>
  </si>
  <si>
    <t>153241</t>
  </si>
  <si>
    <t>153240</t>
  </si>
  <si>
    <t>153243</t>
  </si>
  <si>
    <t>153242</t>
  </si>
  <si>
    <t>149074</t>
  </si>
  <si>
    <t>149075</t>
  </si>
  <si>
    <t>149080</t>
  </si>
  <si>
    <t>149073</t>
  </si>
  <si>
    <t>149077</t>
  </si>
  <si>
    <t>149079</t>
  </si>
  <si>
    <t>149078</t>
  </si>
  <si>
    <t>149076</t>
  </si>
  <si>
    <t>133975</t>
  </si>
  <si>
    <t>101547</t>
  </si>
  <si>
    <t>133974</t>
  </si>
  <si>
    <t>119950</t>
  </si>
  <si>
    <t>101548</t>
  </si>
  <si>
    <t>119949</t>
  </si>
  <si>
    <t>149586</t>
  </si>
  <si>
    <t>149585</t>
  </si>
  <si>
    <t>149587</t>
  </si>
  <si>
    <t>149732</t>
  </si>
  <si>
    <t>149736</t>
  </si>
  <si>
    <t>149735</t>
  </si>
  <si>
    <t>149734</t>
  </si>
  <si>
    <t>149730</t>
  </si>
  <si>
    <t>149729</t>
  </si>
  <si>
    <t>149726</t>
  </si>
  <si>
    <t>149727</t>
  </si>
  <si>
    <t>149733</t>
  </si>
  <si>
    <t>149731</t>
  </si>
  <si>
    <t>149588</t>
  </si>
  <si>
    <t>149728</t>
  </si>
  <si>
    <t>106232</t>
  </si>
  <si>
    <t>106234</t>
  </si>
  <si>
    <t>106231</t>
  </si>
  <si>
    <t>106233</t>
  </si>
  <si>
    <t>119817</t>
  </si>
  <si>
    <t>119815</t>
  </si>
  <si>
    <t>119816</t>
  </si>
  <si>
    <t>119813</t>
  </si>
  <si>
    <t>106227</t>
  </si>
  <si>
    <t>106228</t>
  </si>
  <si>
    <t>106229</t>
  </si>
  <si>
    <t>106230</t>
  </si>
  <si>
    <t>101669</t>
  </si>
  <si>
    <t>101667</t>
  </si>
  <si>
    <t>125268</t>
  </si>
  <si>
    <t>118796</t>
  </si>
  <si>
    <t>118800</t>
  </si>
  <si>
    <t>118797</t>
  </si>
  <si>
    <t>125269</t>
  </si>
  <si>
    <t>101665</t>
  </si>
  <si>
    <t>142643</t>
  </si>
  <si>
    <t>142642</t>
  </si>
  <si>
    <t>142640</t>
  </si>
  <si>
    <t>142641</t>
  </si>
  <si>
    <t>148728</t>
  </si>
  <si>
    <t>148727</t>
  </si>
  <si>
    <t>148729</t>
  </si>
  <si>
    <t>148730</t>
  </si>
  <si>
    <t>151956</t>
  </si>
  <si>
    <t>151955</t>
  </si>
  <si>
    <t>145951</t>
  </si>
  <si>
    <t>145952</t>
  </si>
  <si>
    <t>151960</t>
  </si>
  <si>
    <t>151959</t>
  </si>
  <si>
    <t>145953</t>
  </si>
  <si>
    <t>145954</t>
  </si>
  <si>
    <t>101372</t>
  </si>
  <si>
    <t>119739</t>
  </si>
  <si>
    <t>101373</t>
  </si>
  <si>
    <t>135501</t>
  </si>
  <si>
    <t>135500</t>
  </si>
  <si>
    <t>101520</t>
  </si>
  <si>
    <t>101519</t>
  </si>
  <si>
    <t>115090</t>
  </si>
  <si>
    <t>101521</t>
  </si>
  <si>
    <t>101524</t>
  </si>
  <si>
    <t>115103</t>
  </si>
  <si>
    <t>120471</t>
  </si>
  <si>
    <t>120470</t>
  </si>
  <si>
    <t>120469</t>
  </si>
  <si>
    <t>150543</t>
  </si>
  <si>
    <t>150542</t>
  </si>
  <si>
    <t>150544</t>
  </si>
  <si>
    <t>150545</t>
  </si>
  <si>
    <t>154079</t>
  </si>
  <si>
    <t>116110</t>
  </si>
  <si>
    <t>105190</t>
  </si>
  <si>
    <t>105191</t>
  </si>
  <si>
    <t>105185</t>
  </si>
  <si>
    <t>117973</t>
  </si>
  <si>
    <t>105192</t>
  </si>
  <si>
    <t>105187</t>
  </si>
  <si>
    <t>105189</t>
  </si>
  <si>
    <t>120562</t>
  </si>
  <si>
    <t>120563</t>
  </si>
  <si>
    <t>120561</t>
  </si>
  <si>
    <t>120560</t>
  </si>
  <si>
    <t>120559</t>
  </si>
  <si>
    <t>101230</t>
  </si>
  <si>
    <t>101231</t>
  </si>
  <si>
    <t>101229</t>
  </si>
  <si>
    <t>101165</t>
  </si>
  <si>
    <t>101759</t>
  </si>
  <si>
    <t>131479</t>
  </si>
  <si>
    <t>101758</t>
  </si>
  <si>
    <t>120753</t>
  </si>
  <si>
    <t>120755</t>
  </si>
  <si>
    <t>131478</t>
  </si>
  <si>
    <t>120754</t>
  </si>
  <si>
    <t>122909</t>
  </si>
  <si>
    <t>122674</t>
  </si>
  <si>
    <t>151064</t>
  </si>
  <si>
    <t>151065</t>
  </si>
  <si>
    <t>151071</t>
  </si>
  <si>
    <t>151069</t>
  </si>
  <si>
    <t>151068</t>
  </si>
  <si>
    <t>151067</t>
  </si>
  <si>
    <t>151070</t>
  </si>
  <si>
    <t>151062</t>
  </si>
  <si>
    <t>151063</t>
  </si>
  <si>
    <t>133368</t>
  </si>
  <si>
    <t>133367</t>
  </si>
  <si>
    <t>119016</t>
  </si>
  <si>
    <t>113047</t>
  </si>
  <si>
    <t>113048</t>
  </si>
  <si>
    <t>119015</t>
  </si>
  <si>
    <t>123709</t>
  </si>
  <si>
    <t>123711</t>
  </si>
  <si>
    <t>123710</t>
  </si>
  <si>
    <t>123705</t>
  </si>
  <si>
    <t>123707</t>
  </si>
  <si>
    <t>123706</t>
  </si>
  <si>
    <t>123704</t>
  </si>
  <si>
    <t>123708</t>
  </si>
  <si>
    <t>101237</t>
  </si>
  <si>
    <t>148316</t>
  </si>
  <si>
    <t>148006</t>
  </si>
  <si>
    <t>101246</t>
  </si>
  <si>
    <t>101244</t>
  </si>
  <si>
    <t>101232</t>
  </si>
  <si>
    <t>148315</t>
  </si>
  <si>
    <t>148005</t>
  </si>
  <si>
    <t>148001</t>
  </si>
  <si>
    <t>148002</t>
  </si>
  <si>
    <t>148008</t>
  </si>
  <si>
    <t>148317</t>
  </si>
  <si>
    <t>148319</t>
  </si>
  <si>
    <t>148311</t>
  </si>
  <si>
    <t>148312</t>
  </si>
  <si>
    <t>148014</t>
  </si>
  <si>
    <t>148012</t>
  </si>
  <si>
    <t>148011</t>
  </si>
  <si>
    <t>148016</t>
  </si>
  <si>
    <t>148018</t>
  </si>
  <si>
    <t>148017</t>
  </si>
  <si>
    <t>148007</t>
  </si>
  <si>
    <t>148003</t>
  </si>
  <si>
    <t>148009</t>
  </si>
  <si>
    <t>148004</t>
  </si>
  <si>
    <t>148010</t>
  </si>
  <si>
    <t>148015</t>
  </si>
  <si>
    <t>148013</t>
  </si>
  <si>
    <t>148318</t>
  </si>
  <si>
    <t>148314</t>
  </si>
  <si>
    <t>118565</t>
  </si>
  <si>
    <t>101242</t>
  </si>
  <si>
    <t>101238</t>
  </si>
  <si>
    <t>101236</t>
  </si>
  <si>
    <t>118568</t>
  </si>
  <si>
    <t>118566</t>
  </si>
  <si>
    <t>118567</t>
  </si>
  <si>
    <t>148313</t>
  </si>
  <si>
    <t>101303</t>
  </si>
  <si>
    <t>101305</t>
  </si>
  <si>
    <t>101304</t>
  </si>
  <si>
    <t>101306</t>
  </si>
  <si>
    <t>119223</t>
  </si>
  <si>
    <t>119224</t>
  </si>
  <si>
    <t>119222</t>
  </si>
  <si>
    <t>119226</t>
  </si>
  <si>
    <t>115079</t>
  </si>
  <si>
    <t>115078</t>
  </si>
  <si>
    <t>115077</t>
  </si>
  <si>
    <t>118322</t>
  </si>
  <si>
    <t>118321</t>
  </si>
  <si>
    <t>118320</t>
  </si>
  <si>
    <t>140465</t>
  </si>
  <si>
    <t>113037</t>
  </si>
  <si>
    <t>113036</t>
  </si>
  <si>
    <t>140463</t>
  </si>
  <si>
    <t>119399</t>
  </si>
  <si>
    <t>119400</t>
  </si>
  <si>
    <t>111590</t>
  </si>
  <si>
    <t>111589</t>
  </si>
  <si>
    <t>111585</t>
  </si>
  <si>
    <t>119384</t>
  </si>
  <si>
    <t>119383</t>
  </si>
  <si>
    <t>119382</t>
  </si>
  <si>
    <t>143366</t>
  </si>
  <si>
    <t>131383</t>
  </si>
  <si>
    <t>108713</t>
  </si>
  <si>
    <t>143368</t>
  </si>
  <si>
    <t>108715</t>
  </si>
  <si>
    <t>108720</t>
  </si>
  <si>
    <t>108719</t>
  </si>
  <si>
    <t>108718</t>
  </si>
  <si>
    <t>108717</t>
  </si>
  <si>
    <t>108714</t>
  </si>
  <si>
    <t>108716</t>
  </si>
  <si>
    <t>143367</t>
  </si>
  <si>
    <t>131382</t>
  </si>
  <si>
    <t>118406</t>
  </si>
  <si>
    <t>118407</t>
  </si>
  <si>
    <t>118405</t>
  </si>
  <si>
    <t>143369</t>
  </si>
  <si>
    <t>112722</t>
  </si>
  <si>
    <t>112723</t>
  </si>
  <si>
    <t>112721</t>
  </si>
  <si>
    <t>112369</t>
  </si>
  <si>
    <t>133895</t>
  </si>
  <si>
    <t>112355</t>
  </si>
  <si>
    <t>112354</t>
  </si>
  <si>
    <t>128950</t>
  </si>
  <si>
    <t>120512</t>
  </si>
  <si>
    <t>133894</t>
  </si>
  <si>
    <t>120511</t>
  </si>
  <si>
    <t>120510</t>
  </si>
  <si>
    <t>119497</t>
  </si>
  <si>
    <t>112356</t>
  </si>
  <si>
    <t>101843</t>
  </si>
  <si>
    <t>101844</t>
  </si>
  <si>
    <t>119498</t>
  </si>
  <si>
    <t>119496</t>
  </si>
  <si>
    <t>Open Ended Schemes(Debt Scheme - Short Duration Fund)</t>
  </si>
  <si>
    <t>153436</t>
  </si>
  <si>
    <t>100813</t>
  </si>
  <si>
    <t>124265</t>
  </si>
  <si>
    <t>120786</t>
  </si>
  <si>
    <t>124266</t>
  </si>
  <si>
    <t>120785</t>
  </si>
  <si>
    <t>100814</t>
  </si>
  <si>
    <t>149454</t>
  </si>
  <si>
    <t>149453</t>
  </si>
  <si>
    <t>149452</t>
  </si>
  <si>
    <t>149451</t>
  </si>
  <si>
    <t>147000</t>
  </si>
  <si>
    <t>146997</t>
  </si>
  <si>
    <t>146998</t>
  </si>
  <si>
    <t>147006</t>
  </si>
  <si>
    <t>147003</t>
  </si>
  <si>
    <t>147002</t>
  </si>
  <si>
    <t>149795</t>
  </si>
  <si>
    <t>149798</t>
  </si>
  <si>
    <t>149797</t>
  </si>
  <si>
    <t>149796</t>
  </si>
  <si>
    <t>146977</t>
  </si>
  <si>
    <t>146980</t>
  </si>
  <si>
    <t>146979</t>
  </si>
  <si>
    <t>146978</t>
  </si>
  <si>
    <t>146954</t>
  </si>
  <si>
    <t>146961</t>
  </si>
  <si>
    <t>146960</t>
  </si>
  <si>
    <t>146959</t>
  </si>
  <si>
    <t>146958</t>
  </si>
  <si>
    <t>146953</t>
  </si>
  <si>
    <t>146955</t>
  </si>
  <si>
    <t>146957</t>
  </si>
  <si>
    <t>146962</t>
  </si>
  <si>
    <t>146963</t>
  </si>
  <si>
    <t>146956</t>
  </si>
  <si>
    <t>146964</t>
  </si>
  <si>
    <t>103140</t>
  </si>
  <si>
    <t>101206</t>
  </si>
  <si>
    <t>114297</t>
  </si>
  <si>
    <t>119832</t>
  </si>
  <si>
    <t>119833</t>
  </si>
  <si>
    <t>119831</t>
  </si>
  <si>
    <t>153021</t>
  </si>
  <si>
    <t>150632</t>
  </si>
  <si>
    <t>150631</t>
  </si>
  <si>
    <t>154084</t>
  </si>
  <si>
    <t>154085</t>
  </si>
  <si>
    <t>154086</t>
  </si>
  <si>
    <t>154083</t>
  </si>
  <si>
    <t>151191</t>
  </si>
  <si>
    <t>151193</t>
  </si>
  <si>
    <t>151195</t>
  </si>
  <si>
    <t>151190</t>
  </si>
  <si>
    <t>147600</t>
  </si>
  <si>
    <t>147607</t>
  </si>
  <si>
    <t>147609</t>
  </si>
  <si>
    <t>147608</t>
  </si>
  <si>
    <t>147606</t>
  </si>
  <si>
    <t>147605</t>
  </si>
  <si>
    <t>152116</t>
  </si>
  <si>
    <t>150368</t>
  </si>
  <si>
    <t>150369</t>
  </si>
  <si>
    <t>145826</t>
  </si>
  <si>
    <t>145811</t>
  </si>
  <si>
    <t>145833</t>
  </si>
  <si>
    <t>145827</t>
  </si>
  <si>
    <t>145823</t>
  </si>
  <si>
    <t>145825</t>
  </si>
  <si>
    <t>145824</t>
  </si>
  <si>
    <t>145810</t>
  </si>
  <si>
    <t>145812</t>
  </si>
  <si>
    <t>145830</t>
  </si>
  <si>
    <t>147741</t>
  </si>
  <si>
    <t>147739</t>
  </si>
  <si>
    <t>147742</t>
  </si>
  <si>
    <t>147743</t>
  </si>
  <si>
    <t>147740</t>
  </si>
  <si>
    <t>147736</t>
  </si>
  <si>
    <t>147738</t>
  </si>
  <si>
    <t>147737</t>
  </si>
  <si>
    <t>149470</t>
  </si>
  <si>
    <t>149471</t>
  </si>
  <si>
    <t>147565</t>
  </si>
  <si>
    <t>147566</t>
  </si>
  <si>
    <t>147564</t>
  </si>
  <si>
    <t>147563</t>
  </si>
  <si>
    <t>147518</t>
  </si>
  <si>
    <t>147512</t>
  </si>
  <si>
    <t>147519</t>
  </si>
  <si>
    <t>147517</t>
  </si>
  <si>
    <t>147514</t>
  </si>
  <si>
    <t>147513</t>
  </si>
  <si>
    <t>147515</t>
  </si>
  <si>
    <t>147516</t>
  </si>
  <si>
    <t>146138</t>
  </si>
  <si>
    <t>146140</t>
  </si>
  <si>
    <t>146142</t>
  </si>
  <si>
    <t>146141</t>
  </si>
  <si>
    <t>149826</t>
  </si>
  <si>
    <t>149829</t>
  </si>
  <si>
    <t>149827</t>
  </si>
  <si>
    <t>149828</t>
  </si>
  <si>
    <t>147837</t>
  </si>
  <si>
    <t>147834</t>
  </si>
  <si>
    <t>147836</t>
  </si>
  <si>
    <t>147839</t>
  </si>
  <si>
    <t>147835</t>
  </si>
  <si>
    <t>147838</t>
  </si>
  <si>
    <t>154070</t>
  </si>
  <si>
    <t>153650</t>
  </si>
  <si>
    <t>147712</t>
  </si>
  <si>
    <t>147718</t>
  </si>
  <si>
    <t>147714</t>
  </si>
  <si>
    <t>147716</t>
  </si>
  <si>
    <t>147709</t>
  </si>
  <si>
    <t>147715</t>
  </si>
  <si>
    <t>147711</t>
  </si>
  <si>
    <t>147717</t>
  </si>
  <si>
    <t>147713</t>
  </si>
  <si>
    <t>147710</t>
  </si>
  <si>
    <t>147708</t>
  </si>
  <si>
    <t>147707</t>
  </si>
  <si>
    <t>147881</t>
  </si>
  <si>
    <t>147879</t>
  </si>
  <si>
    <t>147878</t>
  </si>
  <si>
    <t>147880</t>
  </si>
  <si>
    <t>147885</t>
  </si>
  <si>
    <t>147886</t>
  </si>
  <si>
    <t>147883</t>
  </si>
  <si>
    <t>147884</t>
  </si>
  <si>
    <t>145538</t>
  </si>
  <si>
    <t>145543</t>
  </si>
  <si>
    <t>145548</t>
  </si>
  <si>
    <t>145549</t>
  </si>
  <si>
    <t>145535</t>
  </si>
  <si>
    <t>145540</t>
  </si>
  <si>
    <t>145539</t>
  </si>
  <si>
    <t>149410</t>
  </si>
  <si>
    <t>149409</t>
  </si>
  <si>
    <t>149408</t>
  </si>
  <si>
    <t>149411</t>
  </si>
  <si>
    <t>145544</t>
  </si>
  <si>
    <t>145542</t>
  </si>
  <si>
    <t>145545</t>
  </si>
  <si>
    <t>145536</t>
  </si>
  <si>
    <t>145541</t>
  </si>
  <si>
    <t>145537</t>
  </si>
  <si>
    <t>145550</t>
  </si>
  <si>
    <t>145547</t>
  </si>
  <si>
    <t>145546</t>
  </si>
  <si>
    <t>150502</t>
  </si>
  <si>
    <t>150500</t>
  </si>
  <si>
    <t>150499</t>
  </si>
  <si>
    <t>150501</t>
  </si>
  <si>
    <t>147288</t>
  </si>
  <si>
    <t>147301</t>
  </si>
  <si>
    <t>147290</t>
  </si>
  <si>
    <t>147289</t>
  </si>
  <si>
    <t>147296</t>
  </si>
  <si>
    <t>147300</t>
  </si>
  <si>
    <t>147287</t>
  </si>
  <si>
    <t>147291</t>
  </si>
  <si>
    <t>152153</t>
  </si>
  <si>
    <t>152154</t>
  </si>
  <si>
    <t>152152</t>
  </si>
  <si>
    <t>152151</t>
  </si>
  <si>
    <t>101997</t>
  </si>
  <si>
    <t>119110</t>
  </si>
  <si>
    <t>101996</t>
  </si>
  <si>
    <t>119109</t>
  </si>
  <si>
    <t>149395</t>
  </si>
  <si>
    <t>149396</t>
  </si>
  <si>
    <t>149393</t>
  </si>
  <si>
    <t>149394</t>
  </si>
  <si>
    <t>147456</t>
  </si>
  <si>
    <t>147459</t>
  </si>
  <si>
    <t>147454</t>
  </si>
  <si>
    <t>147457</t>
  </si>
  <si>
    <t>147455</t>
  </si>
  <si>
    <t>147451</t>
  </si>
  <si>
    <t>147453</t>
  </si>
  <si>
    <t>147450</t>
  </si>
  <si>
    <t>147452</t>
  </si>
  <si>
    <t>147458</t>
  </si>
  <si>
    <t>149446</t>
  </si>
  <si>
    <t>149444</t>
  </si>
  <si>
    <t>149443</t>
  </si>
  <si>
    <t>149445</t>
  </si>
  <si>
    <t>147214</t>
  </si>
  <si>
    <t>147213</t>
  </si>
  <si>
    <t>147216</t>
  </si>
  <si>
    <t>147211</t>
  </si>
  <si>
    <t>147212</t>
  </si>
  <si>
    <t>147215</t>
  </si>
  <si>
    <t>149478</t>
  </si>
  <si>
    <t>149479</t>
  </si>
  <si>
    <t>149477</t>
  </si>
  <si>
    <t>149476</t>
  </si>
  <si>
    <t>147553</t>
  </si>
  <si>
    <t>147555</t>
  </si>
  <si>
    <t>147569</t>
  </si>
  <si>
    <t>147549</t>
  </si>
  <si>
    <t>147552</t>
  </si>
  <si>
    <t>147556</t>
  </si>
  <si>
    <t>147558</t>
  </si>
  <si>
    <t>147554</t>
  </si>
  <si>
    <t>147570</t>
  </si>
  <si>
    <t>147550</t>
  </si>
  <si>
    <t>147557</t>
  </si>
  <si>
    <t>147551</t>
  </si>
  <si>
    <t>149310</t>
  </si>
  <si>
    <t>149311</t>
  </si>
  <si>
    <t>149312</t>
  </si>
  <si>
    <t>149313</t>
  </si>
  <si>
    <t>146063</t>
  </si>
  <si>
    <t>146066</t>
  </si>
  <si>
    <t>146061</t>
  </si>
  <si>
    <t>146064</t>
  </si>
  <si>
    <t>146065</t>
  </si>
  <si>
    <t>146062</t>
  </si>
  <si>
    <t>147534</t>
  </si>
  <si>
    <t>147533</t>
  </si>
  <si>
    <t>147531</t>
  </si>
  <si>
    <t>147532</t>
  </si>
  <si>
    <t>147198</t>
  </si>
  <si>
    <t>147193</t>
  </si>
  <si>
    <t>147194</t>
  </si>
  <si>
    <t>149989</t>
  </si>
  <si>
    <t>149990</t>
  </si>
  <si>
    <t>149991</t>
  </si>
  <si>
    <t>149988</t>
  </si>
  <si>
    <t>147195</t>
  </si>
  <si>
    <t>147196</t>
  </si>
  <si>
    <t>147197</t>
  </si>
  <si>
    <t>149413</t>
  </si>
  <si>
    <t>149415</t>
  </si>
  <si>
    <t>149414</t>
  </si>
  <si>
    <t>149412</t>
  </si>
  <si>
    <t>147947</t>
  </si>
  <si>
    <t>147949</t>
  </si>
  <si>
    <t>147953</t>
  </si>
  <si>
    <t>147936</t>
  </si>
  <si>
    <t>147950</t>
  </si>
  <si>
    <t>147948</t>
  </si>
  <si>
    <t>147952</t>
  </si>
  <si>
    <t>147951</t>
  </si>
  <si>
    <t>146186</t>
  </si>
  <si>
    <t>146189</t>
  </si>
  <si>
    <t>146185</t>
  </si>
  <si>
    <t>146187</t>
  </si>
  <si>
    <t>146188</t>
  </si>
  <si>
    <t>146192</t>
  </si>
  <si>
    <t>146184</t>
  </si>
  <si>
    <t>146183</t>
  </si>
  <si>
    <t>146191</t>
  </si>
  <si>
    <t>146190</t>
  </si>
  <si>
    <t>151846</t>
  </si>
  <si>
    <t>151848</t>
  </si>
  <si>
    <t>151851</t>
  </si>
  <si>
    <t>151847</t>
  </si>
  <si>
    <t>151852</t>
  </si>
  <si>
    <t>151844</t>
  </si>
  <si>
    <t>151845</t>
  </si>
  <si>
    <t>151849</t>
  </si>
  <si>
    <t>151850</t>
  </si>
  <si>
    <t>151843</t>
  </si>
  <si>
    <t>153438</t>
  </si>
  <si>
    <t>153437</t>
  </si>
  <si>
    <t>146680</t>
  </si>
  <si>
    <t>146681</t>
  </si>
  <si>
    <t>146678</t>
  </si>
  <si>
    <t>146682</t>
  </si>
  <si>
    <t>146676</t>
  </si>
  <si>
    <t>146677</t>
  </si>
  <si>
    <t>146675</t>
  </si>
  <si>
    <t>146679</t>
  </si>
  <si>
    <t>145481</t>
  </si>
  <si>
    <t>145486</t>
  </si>
  <si>
    <t>145485</t>
  </si>
  <si>
    <t>145483</t>
  </si>
  <si>
    <t>145487</t>
  </si>
  <si>
    <t>145482</t>
  </si>
  <si>
    <t>145489</t>
  </si>
  <si>
    <t>145488</t>
  </si>
  <si>
    <t>153701</t>
  </si>
  <si>
    <t>153702</t>
  </si>
  <si>
    <t>153700</t>
  </si>
  <si>
    <t>153703</t>
  </si>
  <si>
    <t>Open Ended Schemes(Debt Scheme - Overnight Fund)</t>
  </si>
  <si>
    <t>112635</t>
  </si>
  <si>
    <t>139646</t>
  </si>
  <si>
    <t>133484</t>
  </si>
  <si>
    <t>134763</t>
  </si>
  <si>
    <t>135371</t>
  </si>
  <si>
    <t>112076</t>
  </si>
  <si>
    <t>134972</t>
  </si>
  <si>
    <t>120793</t>
  </si>
  <si>
    <t>142249</t>
  </si>
  <si>
    <t>133387</t>
  </si>
  <si>
    <t>140023</t>
  </si>
  <si>
    <t>135606</t>
  </si>
  <si>
    <t>143125</t>
  </si>
  <si>
    <t>120772</t>
  </si>
  <si>
    <t>134973</t>
  </si>
  <si>
    <t>100723</t>
  </si>
  <si>
    <t>100725</t>
  </si>
  <si>
    <t>100724</t>
  </si>
  <si>
    <t>112077</t>
  </si>
  <si>
    <t>139236</t>
  </si>
  <si>
    <t>120299</t>
  </si>
  <si>
    <t>149118</t>
  </si>
  <si>
    <t>149120</t>
  </si>
  <si>
    <t>149122</t>
  </si>
  <si>
    <t>149116</t>
  </si>
  <si>
    <t>149119</t>
  </si>
  <si>
    <t>149121</t>
  </si>
  <si>
    <t>149123</t>
  </si>
  <si>
    <t>149117</t>
  </si>
  <si>
    <t>150512</t>
  </si>
  <si>
    <t>150511</t>
  </si>
  <si>
    <t>150514</t>
  </si>
  <si>
    <t>150513</t>
  </si>
  <si>
    <t>101847</t>
  </si>
  <si>
    <t>101986</t>
  </si>
  <si>
    <t>119424</t>
  </si>
  <si>
    <t>119421</t>
  </si>
  <si>
    <t>145044</t>
  </si>
  <si>
    <t>145049</t>
  </si>
  <si>
    <t>145046</t>
  </si>
  <si>
    <t>145047</t>
  </si>
  <si>
    <t>145045</t>
  </si>
  <si>
    <t>145042</t>
  </si>
  <si>
    <t>145048</t>
  </si>
  <si>
    <t>145043</t>
  </si>
  <si>
    <t>145057</t>
  </si>
  <si>
    <t>145052</t>
  </si>
  <si>
    <t>145055</t>
  </si>
  <si>
    <t>145056</t>
  </si>
  <si>
    <t>145051</t>
  </si>
  <si>
    <t>145050</t>
  </si>
  <si>
    <t>145053</t>
  </si>
  <si>
    <t>145054</t>
  </si>
  <si>
    <t>154143</t>
  </si>
  <si>
    <t>154144</t>
  </si>
  <si>
    <t>102860</t>
  </si>
  <si>
    <t>114348</t>
  </si>
  <si>
    <t>102504</t>
  </si>
  <si>
    <t>119823</t>
  </si>
  <si>
    <t>119822</t>
  </si>
  <si>
    <t>119820</t>
  </si>
  <si>
    <t>102503</t>
  </si>
  <si>
    <t>119821</t>
  </si>
  <si>
    <t>152121</t>
  </si>
  <si>
    <t>152119</t>
  </si>
  <si>
    <t>152122</t>
  </si>
  <si>
    <t>152120</t>
  </si>
  <si>
    <t>152113</t>
  </si>
  <si>
    <t>152112</t>
  </si>
  <si>
    <t>152114</t>
  </si>
  <si>
    <t>152111</t>
  </si>
  <si>
    <t>148158</t>
  </si>
  <si>
    <t>148157</t>
  </si>
  <si>
    <t>148159</t>
  </si>
  <si>
    <t>148160</t>
  </si>
  <si>
    <t>148164</t>
  </si>
  <si>
    <t>148163</t>
  </si>
  <si>
    <t>148161</t>
  </si>
  <si>
    <t>148162</t>
  </si>
  <si>
    <t>103048</t>
  </si>
  <si>
    <t>103049</t>
  </si>
  <si>
    <t>103051</t>
  </si>
  <si>
    <t>112341</t>
  </si>
  <si>
    <t>103052</t>
  </si>
  <si>
    <t>118719</t>
  </si>
  <si>
    <t>118715</t>
  </si>
  <si>
    <t>118717</t>
  </si>
  <si>
    <t>118716</t>
  </si>
  <si>
    <t>118720</t>
  </si>
  <si>
    <t>118718</t>
  </si>
  <si>
    <t>103050</t>
  </si>
  <si>
    <t>149114</t>
  </si>
  <si>
    <t>149115</t>
  </si>
  <si>
    <t>149113</t>
  </si>
  <si>
    <t>149112</t>
  </si>
  <si>
    <t>150394</t>
  </si>
  <si>
    <t>150393</t>
  </si>
  <si>
    <t>150391</t>
  </si>
  <si>
    <t>150392</t>
  </si>
  <si>
    <t>119747</t>
  </si>
  <si>
    <t>101892</t>
  </si>
  <si>
    <t>119746</t>
  </si>
  <si>
    <t>101893</t>
  </si>
  <si>
    <t>143600</t>
  </si>
  <si>
    <t>143598</t>
  </si>
  <si>
    <t>143596</t>
  </si>
  <si>
    <t>143594</t>
  </si>
  <si>
    <t>143601</t>
  </si>
  <si>
    <t>143595</t>
  </si>
  <si>
    <t>143592</t>
  </si>
  <si>
    <t>143599</t>
  </si>
  <si>
    <t>143597</t>
  </si>
  <si>
    <t>143602</t>
  </si>
  <si>
    <t>153649</t>
  </si>
  <si>
    <t>152580</t>
  </si>
  <si>
    <t>116488</t>
  </si>
  <si>
    <t>112122</t>
  </si>
  <si>
    <t>112120</t>
  </si>
  <si>
    <t>112125</t>
  </si>
  <si>
    <t>112123</t>
  </si>
  <si>
    <t>116653</t>
  </si>
  <si>
    <t>152581</t>
  </si>
  <si>
    <t>120509</t>
  </si>
  <si>
    <t>120507</t>
  </si>
  <si>
    <t>120508</t>
  </si>
  <si>
    <t>120506</t>
  </si>
  <si>
    <t>115515</t>
  </si>
  <si>
    <t>103636</t>
  </si>
  <si>
    <t>103635</t>
  </si>
  <si>
    <t>103637</t>
  </si>
  <si>
    <t>130013</t>
  </si>
  <si>
    <t>103633</t>
  </si>
  <si>
    <t>103634</t>
  </si>
  <si>
    <t>101221</t>
  </si>
  <si>
    <t>120212</t>
  </si>
  <si>
    <t>120213</t>
  </si>
  <si>
    <t>120216</t>
  </si>
  <si>
    <t>120211</t>
  </si>
  <si>
    <t>120210</t>
  </si>
  <si>
    <t>120209</t>
  </si>
  <si>
    <t>115328</t>
  </si>
  <si>
    <t>130945</t>
  </si>
  <si>
    <t>130946</t>
  </si>
  <si>
    <t>151050</t>
  </si>
  <si>
    <t>151051</t>
  </si>
  <si>
    <t>151048</t>
  </si>
  <si>
    <t>151049</t>
  </si>
  <si>
    <t>151053</t>
  </si>
  <si>
    <t>151052</t>
  </si>
  <si>
    <t>151054</t>
  </si>
  <si>
    <t>151055</t>
  </si>
  <si>
    <t>119094</t>
  </si>
  <si>
    <t>101995</t>
  </si>
  <si>
    <t>119092</t>
  </si>
  <si>
    <t>101993</t>
  </si>
  <si>
    <t>119093</t>
  </si>
  <si>
    <t>101994</t>
  </si>
  <si>
    <t>153993</t>
  </si>
  <si>
    <t>153992</t>
  </si>
  <si>
    <t>153991</t>
  </si>
  <si>
    <t>153982</t>
  </si>
  <si>
    <t>152199</t>
  </si>
  <si>
    <t>101356</t>
  </si>
  <si>
    <t>129436</t>
  </si>
  <si>
    <t>118505</t>
  </si>
  <si>
    <t>129437</t>
  </si>
  <si>
    <t>122444</t>
  </si>
  <si>
    <t>122443</t>
  </si>
  <si>
    <t>101358</t>
  </si>
  <si>
    <t>101359</t>
  </si>
  <si>
    <t>101357</t>
  </si>
  <si>
    <t>152200</t>
  </si>
  <si>
    <t>118506</t>
  </si>
  <si>
    <t>140232</t>
  </si>
  <si>
    <t>140229</t>
  </si>
  <si>
    <t>140233</t>
  </si>
  <si>
    <t>140230</t>
  </si>
  <si>
    <t>140235</t>
  </si>
  <si>
    <t>140237</t>
  </si>
  <si>
    <t>140236</t>
  </si>
  <si>
    <t>100089</t>
  </si>
  <si>
    <t>123287</t>
  </si>
  <si>
    <t>100088</t>
  </si>
  <si>
    <t>100087</t>
  </si>
  <si>
    <t>119107</t>
  </si>
  <si>
    <t>119108</t>
  </si>
  <si>
    <t>119106</t>
  </si>
  <si>
    <t>123288</t>
  </si>
  <si>
    <t>147381</t>
  </si>
  <si>
    <t>147380</t>
  </si>
  <si>
    <t>147382</t>
  </si>
  <si>
    <t>147377</t>
  </si>
  <si>
    <t>147379</t>
  </si>
  <si>
    <t>147376</t>
  </si>
  <si>
    <t>147378</t>
  </si>
  <si>
    <t>147373</t>
  </si>
  <si>
    <t>153301</t>
  </si>
  <si>
    <t>153299</t>
  </si>
  <si>
    <t>153293</t>
  </si>
  <si>
    <t>153298</t>
  </si>
  <si>
    <t>153295</t>
  </si>
  <si>
    <t>153294</t>
  </si>
  <si>
    <t>153296</t>
  </si>
  <si>
    <t>108757</t>
  </si>
  <si>
    <t>108756</t>
  </si>
  <si>
    <t>108650</t>
  </si>
  <si>
    <t>118386</t>
  </si>
  <si>
    <t>131388</t>
  </si>
  <si>
    <t>118385</t>
  </si>
  <si>
    <t>118384</t>
  </si>
  <si>
    <t>118383</t>
  </si>
  <si>
    <t>108701</t>
  </si>
  <si>
    <t>131389</t>
  </si>
  <si>
    <t>151892</t>
  </si>
  <si>
    <t>151891</t>
  </si>
  <si>
    <t>151893</t>
  </si>
  <si>
    <t>151894</t>
  </si>
  <si>
    <t>151890</t>
  </si>
  <si>
    <t>151889</t>
  </si>
  <si>
    <t>147574</t>
  </si>
  <si>
    <t>147578</t>
  </si>
  <si>
    <t>147568</t>
  </si>
  <si>
    <t>147577</t>
  </si>
  <si>
    <t>147575</t>
  </si>
  <si>
    <t>147573</t>
  </si>
  <si>
    <t>147572</t>
  </si>
  <si>
    <t>147567</t>
  </si>
  <si>
    <t>147571</t>
  </si>
  <si>
    <t>147576</t>
  </si>
  <si>
    <t>101974</t>
  </si>
  <si>
    <t>101972</t>
  </si>
  <si>
    <t>119511</t>
  </si>
  <si>
    <t>101976</t>
  </si>
  <si>
    <t>119512</t>
  </si>
  <si>
    <t>119513</t>
  </si>
  <si>
    <t>101973</t>
  </si>
  <si>
    <t>Open Ended Schemes(Debt Scheme - Money Market Fund)</t>
  </si>
  <si>
    <t>120689</t>
  </si>
  <si>
    <t>100741</t>
  </si>
  <si>
    <t>100742</t>
  </si>
  <si>
    <t>135581</t>
  </si>
  <si>
    <t>133872</t>
  </si>
  <si>
    <t>133869</t>
  </si>
  <si>
    <t>120690</t>
  </si>
  <si>
    <t>134998</t>
  </si>
  <si>
    <t>133280</t>
  </si>
  <si>
    <t>139339</t>
  </si>
  <si>
    <t>100417</t>
  </si>
  <si>
    <t>119877</t>
  </si>
  <si>
    <t>101186</t>
  </si>
  <si>
    <t>119875</t>
  </si>
  <si>
    <t>100418</t>
  </si>
  <si>
    <t>119876</t>
  </si>
  <si>
    <t>100639</t>
  </si>
  <si>
    <t>100640</t>
  </si>
  <si>
    <t>119714</t>
  </si>
  <si>
    <t>119712</t>
  </si>
  <si>
    <t>121944</t>
  </si>
  <si>
    <t>100638</t>
  </si>
  <si>
    <t>121940</t>
  </si>
  <si>
    <t>119713</t>
  </si>
  <si>
    <t>100383</t>
  </si>
  <si>
    <t>118687</t>
  </si>
  <si>
    <t>118684</t>
  </si>
  <si>
    <t>100384</t>
  </si>
  <si>
    <t>100385</t>
  </si>
  <si>
    <t>100387</t>
  </si>
  <si>
    <t>100388</t>
  </si>
  <si>
    <t>118679</t>
  </si>
  <si>
    <t>118683</t>
  </si>
  <si>
    <t>118681</t>
  </si>
  <si>
    <t>118680</t>
  </si>
  <si>
    <t>100386</t>
  </si>
  <si>
    <t>151986</t>
  </si>
  <si>
    <t>100314</t>
  </si>
  <si>
    <t>100315</t>
  </si>
  <si>
    <t>151989</t>
  </si>
  <si>
    <t>151988</t>
  </si>
  <si>
    <t>120278</t>
  </si>
  <si>
    <t>120279</t>
  </si>
  <si>
    <t>151990</t>
  </si>
  <si>
    <t>100292</t>
  </si>
  <si>
    <t>100291</t>
  </si>
  <si>
    <t>100299</t>
  </si>
  <si>
    <t>100300</t>
  </si>
  <si>
    <t>119735</t>
  </si>
  <si>
    <t>119734</t>
  </si>
  <si>
    <t>101181</t>
  </si>
  <si>
    <t>100222</t>
  </si>
  <si>
    <t>100223</t>
  </si>
  <si>
    <t>120431</t>
  </si>
  <si>
    <t>120430</t>
  </si>
  <si>
    <t>120428</t>
  </si>
  <si>
    <t>109745</t>
  </si>
  <si>
    <t>109744</t>
  </si>
  <si>
    <t>109742</t>
  </si>
  <si>
    <t>109743</t>
  </si>
  <si>
    <t>109741</t>
  </si>
  <si>
    <t>131481</t>
  </si>
  <si>
    <t>109740</t>
  </si>
  <si>
    <t>120618</t>
  </si>
  <si>
    <t>120617</t>
  </si>
  <si>
    <t>131480</t>
  </si>
  <si>
    <t>120619</t>
  </si>
  <si>
    <t>130932</t>
  </si>
  <si>
    <t>101686</t>
  </si>
  <si>
    <t>101685</t>
  </si>
  <si>
    <t>120101</t>
  </si>
  <si>
    <t>120059</t>
  </si>
  <si>
    <t>119068</t>
  </si>
  <si>
    <t>100123</t>
  </si>
  <si>
    <t>133366</t>
  </si>
  <si>
    <t>133365</t>
  </si>
  <si>
    <t>119069</t>
  </si>
  <si>
    <t>100124</t>
  </si>
  <si>
    <t>152854</t>
  </si>
  <si>
    <t>152853</t>
  </si>
  <si>
    <t>152851</t>
  </si>
  <si>
    <t>152852</t>
  </si>
  <si>
    <t>101587</t>
  </si>
  <si>
    <t>101588</t>
  </si>
  <si>
    <t>118281</t>
  </si>
  <si>
    <t>118282</t>
  </si>
  <si>
    <t>111713</t>
  </si>
  <si>
    <t>111716</t>
  </si>
  <si>
    <t>111712</t>
  </si>
  <si>
    <t>111714</t>
  </si>
  <si>
    <t>111717</t>
  </si>
  <si>
    <t>111715</t>
  </si>
  <si>
    <t>119394</t>
  </si>
  <si>
    <t>119396</t>
  </si>
  <si>
    <t>119393</t>
  </si>
  <si>
    <t>111718</t>
  </si>
  <si>
    <t>119395</t>
  </si>
  <si>
    <t>108767</t>
  </si>
  <si>
    <t>108768</t>
  </si>
  <si>
    <t>108764</t>
  </si>
  <si>
    <t>131387</t>
  </si>
  <si>
    <t>108763</t>
  </si>
  <si>
    <t>108765</t>
  </si>
  <si>
    <t>108766</t>
  </si>
  <si>
    <t>118396</t>
  </si>
  <si>
    <t>131386</t>
  </si>
  <si>
    <t>118395</t>
  </si>
  <si>
    <t>118394</t>
  </si>
  <si>
    <t>118393</t>
  </si>
  <si>
    <t>100037</t>
  </si>
  <si>
    <t>133445</t>
  </si>
  <si>
    <t>100038</t>
  </si>
  <si>
    <t>119657</t>
  </si>
  <si>
    <t>119655</t>
  </si>
  <si>
    <t>133446</t>
  </si>
  <si>
    <t>111777</t>
  </si>
  <si>
    <t>Open Ended Schemes(Debt Scheme - Medium to Long Duration Fund)</t>
  </si>
  <si>
    <t>134496</t>
  </si>
  <si>
    <t>134495</t>
  </si>
  <si>
    <t>134497</t>
  </si>
  <si>
    <t>134499</t>
  </si>
  <si>
    <t>134498</t>
  </si>
  <si>
    <t>134500</t>
  </si>
  <si>
    <t>134502</t>
  </si>
  <si>
    <t>134501</t>
  </si>
  <si>
    <t>134504</t>
  </si>
  <si>
    <t>134503</t>
  </si>
  <si>
    <t>134506</t>
  </si>
  <si>
    <t>134505</t>
  </si>
  <si>
    <t>148130</t>
  </si>
  <si>
    <t>148132</t>
  </si>
  <si>
    <t>148133</t>
  </si>
  <si>
    <t>148127</t>
  </si>
  <si>
    <t>148128</t>
  </si>
  <si>
    <t>148131</t>
  </si>
  <si>
    <t>148137</t>
  </si>
  <si>
    <t>148134</t>
  </si>
  <si>
    <t>148135</t>
  </si>
  <si>
    <t>148129</t>
  </si>
  <si>
    <t>148138</t>
  </si>
  <si>
    <t>148136</t>
  </si>
  <si>
    <t>148436</t>
  </si>
  <si>
    <t>148435</t>
  </si>
  <si>
    <t>148437</t>
  </si>
  <si>
    <t>148433</t>
  </si>
  <si>
    <t>148434</t>
  </si>
  <si>
    <t>148421</t>
  </si>
  <si>
    <t>148438</t>
  </si>
  <si>
    <t>148440</t>
  </si>
  <si>
    <t>148441</t>
  </si>
  <si>
    <t>148443</t>
  </si>
  <si>
    <t>148442</t>
  </si>
  <si>
    <t>148439</t>
  </si>
  <si>
    <t>148253</t>
  </si>
  <si>
    <t>148246</t>
  </si>
  <si>
    <t>148251</t>
  </si>
  <si>
    <t>148252</t>
  </si>
  <si>
    <t>148254</t>
  </si>
  <si>
    <t>148247</t>
  </si>
  <si>
    <t>148255</t>
  </si>
  <si>
    <t>148250</t>
  </si>
  <si>
    <t>148256</t>
  </si>
  <si>
    <t>148257</t>
  </si>
  <si>
    <t>148249</t>
  </si>
  <si>
    <t>148248</t>
  </si>
  <si>
    <t>101605</t>
  </si>
  <si>
    <t>119127</t>
  </si>
  <si>
    <t>119126</t>
  </si>
  <si>
    <t>101703</t>
  </si>
  <si>
    <t>100602</t>
  </si>
  <si>
    <t>100609</t>
  </si>
  <si>
    <t>100610</t>
  </si>
  <si>
    <t>100604</t>
  </si>
  <si>
    <t>100603</t>
  </si>
  <si>
    <t>100608</t>
  </si>
  <si>
    <t>119672</t>
  </si>
  <si>
    <t>119676</t>
  </si>
  <si>
    <t>119675</t>
  </si>
  <si>
    <t>102054</t>
  </si>
  <si>
    <t>102053</t>
  </si>
  <si>
    <t>119825</t>
  </si>
  <si>
    <t>119824</t>
  </si>
  <si>
    <t>148286</t>
  </si>
  <si>
    <t>148285</t>
  </si>
  <si>
    <t>148288</t>
  </si>
  <si>
    <t>148082</t>
  </si>
  <si>
    <t>148083</t>
  </si>
  <si>
    <t>148079</t>
  </si>
  <si>
    <t>148080</t>
  </si>
  <si>
    <t>148078</t>
  </si>
  <si>
    <t>148077</t>
  </si>
  <si>
    <t>130056</t>
  </si>
  <si>
    <t>130053</t>
  </si>
  <si>
    <t>130037</t>
  </si>
  <si>
    <t>130055</t>
  </si>
  <si>
    <t>130054</t>
  </si>
  <si>
    <t>130050</t>
  </si>
  <si>
    <t>130052</t>
  </si>
  <si>
    <t>148287</t>
  </si>
  <si>
    <t>148290</t>
  </si>
  <si>
    <t>148289</t>
  </si>
  <si>
    <t>148284</t>
  </si>
  <si>
    <t>148283</t>
  </si>
  <si>
    <t>148084</t>
  </si>
  <si>
    <t>148081</t>
  </si>
  <si>
    <t>130051</t>
  </si>
  <si>
    <t>128078</t>
  </si>
  <si>
    <t>128009</t>
  </si>
  <si>
    <t>128006</t>
  </si>
  <si>
    <t>128079</t>
  </si>
  <si>
    <t>149009</t>
  </si>
  <si>
    <t>149012</t>
  </si>
  <si>
    <t>149010</t>
  </si>
  <si>
    <t>149014</t>
  </si>
  <si>
    <t>149011</t>
  </si>
  <si>
    <t>149013</t>
  </si>
  <si>
    <t>102743</t>
  </si>
  <si>
    <t>113136</t>
  </si>
  <si>
    <t>113138</t>
  </si>
  <si>
    <t>117706</t>
  </si>
  <si>
    <t>113080</t>
  </si>
  <si>
    <t>132982</t>
  </si>
  <si>
    <t>113137</t>
  </si>
  <si>
    <t>117330</t>
  </si>
  <si>
    <t>102741</t>
  </si>
  <si>
    <t>130936</t>
  </si>
  <si>
    <t>120671</t>
  </si>
  <si>
    <t>120672</t>
  </si>
  <si>
    <t>120670</t>
  </si>
  <si>
    <t>130935</t>
  </si>
  <si>
    <t>132981</t>
  </si>
  <si>
    <t>151147</t>
  </si>
  <si>
    <t>151149</t>
  </si>
  <si>
    <t>151151</t>
  </si>
  <si>
    <t>151148</t>
  </si>
  <si>
    <t>151146</t>
  </si>
  <si>
    <t>151150</t>
  </si>
  <si>
    <t>132853</t>
  </si>
  <si>
    <t>132852</t>
  </si>
  <si>
    <t>119081</t>
  </si>
  <si>
    <t>101989</t>
  </si>
  <si>
    <t>119080</t>
  </si>
  <si>
    <t>101990</t>
  </si>
  <si>
    <t>147968</t>
  </si>
  <si>
    <t>147966</t>
  </si>
  <si>
    <t>147969</t>
  </si>
  <si>
    <t>147967</t>
  </si>
  <si>
    <t>147962</t>
  </si>
  <si>
    <t>147964</t>
  </si>
  <si>
    <t>147963</t>
  </si>
  <si>
    <t>147965</t>
  </si>
  <si>
    <t>112305</t>
  </si>
  <si>
    <t>112304</t>
  </si>
  <si>
    <t>118555</t>
  </si>
  <si>
    <t>118554</t>
  </si>
  <si>
    <t>100079</t>
  </si>
  <si>
    <t>100077</t>
  </si>
  <si>
    <t>100078</t>
  </si>
  <si>
    <t>118921</t>
  </si>
  <si>
    <t>118922</t>
  </si>
  <si>
    <t>118924</t>
  </si>
  <si>
    <t>113169</t>
  </si>
  <si>
    <t>131385</t>
  </si>
  <si>
    <t>108727</t>
  </si>
  <si>
    <t>108728</t>
  </si>
  <si>
    <t>108729</t>
  </si>
  <si>
    <t>108731</t>
  </si>
  <si>
    <t>108730</t>
  </si>
  <si>
    <t>118403</t>
  </si>
  <si>
    <t>131384</t>
  </si>
  <si>
    <t>118402</t>
  </si>
  <si>
    <t>118401</t>
  </si>
  <si>
    <t>118404</t>
  </si>
  <si>
    <t>118400</t>
  </si>
  <si>
    <t>118399</t>
  </si>
  <si>
    <t>116895</t>
  </si>
  <si>
    <t>116896</t>
  </si>
  <si>
    <t>116894</t>
  </si>
  <si>
    <t>128958</t>
  </si>
  <si>
    <t>120476</t>
  </si>
  <si>
    <t>120474</t>
  </si>
  <si>
    <t>120475</t>
  </si>
  <si>
    <t>111809</t>
  </si>
  <si>
    <t>111812</t>
  </si>
  <si>
    <t>111811</t>
  </si>
  <si>
    <t>111804</t>
  </si>
  <si>
    <t>111803</t>
  </si>
  <si>
    <t>119539</t>
  </si>
  <si>
    <t>119541</t>
  </si>
  <si>
    <t>119538</t>
  </si>
  <si>
    <t>119540</t>
  </si>
  <si>
    <t>Open Ended Schemes(Debt Scheme - Medium Duration Fund)</t>
  </si>
  <si>
    <t>105627</t>
  </si>
  <si>
    <t>115483</t>
  </si>
  <si>
    <t>105658</t>
  </si>
  <si>
    <t>136345</t>
  </si>
  <si>
    <t>102544</t>
  </si>
  <si>
    <t>133733</t>
  </si>
  <si>
    <t>133130</t>
  </si>
  <si>
    <t>105605</t>
  </si>
  <si>
    <t>102545</t>
  </si>
  <si>
    <t>105670</t>
  </si>
  <si>
    <t>102540</t>
  </si>
  <si>
    <t>105659</t>
  </si>
  <si>
    <t>102539</t>
  </si>
  <si>
    <t>102541</t>
  </si>
  <si>
    <t>105578</t>
  </si>
  <si>
    <t>102538</t>
  </si>
  <si>
    <t>120739</t>
  </si>
  <si>
    <t>120734</t>
  </si>
  <si>
    <t>120736</t>
  </si>
  <si>
    <t>133469</t>
  </si>
  <si>
    <t>120735</t>
  </si>
  <si>
    <t>135191</t>
  </si>
  <si>
    <t>133127</t>
  </si>
  <si>
    <t>120737</t>
  </si>
  <si>
    <t>120738</t>
  </si>
  <si>
    <t>141958</t>
  </si>
  <si>
    <t>153653</t>
  </si>
  <si>
    <t>153652</t>
  </si>
  <si>
    <t>153655</t>
  </si>
  <si>
    <t>153654</t>
  </si>
  <si>
    <t>103158</t>
  </si>
  <si>
    <t>115464</t>
  </si>
  <si>
    <t>103160</t>
  </si>
  <si>
    <t>119865</t>
  </si>
  <si>
    <t>119957</t>
  </si>
  <si>
    <t>119864</t>
  </si>
  <si>
    <t>103159</t>
  </si>
  <si>
    <t>119863</t>
  </si>
  <si>
    <t>149750</t>
  </si>
  <si>
    <t>149521</t>
  </si>
  <si>
    <t>149519</t>
  </si>
  <si>
    <t>149752</t>
  </si>
  <si>
    <t>149751</t>
  </si>
  <si>
    <t>149748</t>
  </si>
  <si>
    <t>149522</t>
  </si>
  <si>
    <t>149520</t>
  </si>
  <si>
    <t>149524</t>
  </si>
  <si>
    <t>149525</t>
  </si>
  <si>
    <t>149526</t>
  </si>
  <si>
    <t>149523</t>
  </si>
  <si>
    <t>149747</t>
  </si>
  <si>
    <t>106222</t>
  </si>
  <si>
    <t>106217</t>
  </si>
  <si>
    <t>106221</t>
  </si>
  <si>
    <t>106214</t>
  </si>
  <si>
    <t>106216</t>
  </si>
  <si>
    <t>106212</t>
  </si>
  <si>
    <t>106215</t>
  </si>
  <si>
    <t>106213</t>
  </si>
  <si>
    <t>119819</t>
  </si>
  <si>
    <t>119818</t>
  </si>
  <si>
    <t>119812</t>
  </si>
  <si>
    <t>119811</t>
  </si>
  <si>
    <t>119810</t>
  </si>
  <si>
    <t>111753</t>
  </si>
  <si>
    <t>111746</t>
  </si>
  <si>
    <t>111754</t>
  </si>
  <si>
    <t>111745</t>
  </si>
  <si>
    <t>111752</t>
  </si>
  <si>
    <t>111751</t>
  </si>
  <si>
    <t>111743</t>
  </si>
  <si>
    <t>111748</t>
  </si>
  <si>
    <t>111744</t>
  </si>
  <si>
    <t>111750</t>
  </si>
  <si>
    <t>111749</t>
  </si>
  <si>
    <t>125265</t>
  </si>
  <si>
    <t>118709</t>
  </si>
  <si>
    <t>118702</t>
  </si>
  <si>
    <t>118706</t>
  </si>
  <si>
    <t>118705</t>
  </si>
  <si>
    <t>118704</t>
  </si>
  <si>
    <t>125264</t>
  </si>
  <si>
    <t>118703</t>
  </si>
  <si>
    <t>111747</t>
  </si>
  <si>
    <t>107701</t>
  </si>
  <si>
    <t>107702</t>
  </si>
  <si>
    <t>107704</t>
  </si>
  <si>
    <t>107705</t>
  </si>
  <si>
    <t>107700</t>
  </si>
  <si>
    <t>118844</t>
  </si>
  <si>
    <t>118842</t>
  </si>
  <si>
    <t>118841</t>
  </si>
  <si>
    <t>118840</t>
  </si>
  <si>
    <t>118843</t>
  </si>
  <si>
    <t>140615</t>
  </si>
  <si>
    <t>140616</t>
  </si>
  <si>
    <t>140620</t>
  </si>
  <si>
    <t>140614</t>
  </si>
  <si>
    <t>140613</t>
  </si>
  <si>
    <t>140618</t>
  </si>
  <si>
    <t>140619</t>
  </si>
  <si>
    <t>140617</t>
  </si>
  <si>
    <t>111675</t>
  </si>
  <si>
    <t>101829</t>
  </si>
  <si>
    <t>101830</t>
  </si>
  <si>
    <t>111676</t>
  </si>
  <si>
    <t>120318</t>
  </si>
  <si>
    <t>120317</t>
  </si>
  <si>
    <t>120315</t>
  </si>
  <si>
    <t>120316</t>
  </si>
  <si>
    <t>133809</t>
  </si>
  <si>
    <t>133805</t>
  </si>
  <si>
    <t>133810</t>
  </si>
  <si>
    <t>133812</t>
  </si>
  <si>
    <t>143609</t>
  </si>
  <si>
    <t>143608</t>
  </si>
  <si>
    <t>143607</t>
  </si>
  <si>
    <t>143605</t>
  </si>
  <si>
    <t>143603</t>
  </si>
  <si>
    <t>143611</t>
  </si>
  <si>
    <t>143612</t>
  </si>
  <si>
    <t>143606</t>
  </si>
  <si>
    <t>143604</t>
  </si>
  <si>
    <t>143610</t>
  </si>
  <si>
    <t>154081</t>
  </si>
  <si>
    <t>104725</t>
  </si>
  <si>
    <t>105024</t>
  </si>
  <si>
    <t>104722</t>
  </si>
  <si>
    <t>104723</t>
  </si>
  <si>
    <t>104728</t>
  </si>
  <si>
    <t>104729</t>
  </si>
  <si>
    <t>104726</t>
  </si>
  <si>
    <t>115458</t>
  </si>
  <si>
    <t>120566</t>
  </si>
  <si>
    <t>120568</t>
  </si>
  <si>
    <t>120571</t>
  </si>
  <si>
    <t>120570</t>
  </si>
  <si>
    <t>120567</t>
  </si>
  <si>
    <t>105025</t>
  </si>
  <si>
    <t>111793</t>
  </si>
  <si>
    <t>111794</t>
  </si>
  <si>
    <t>111795</t>
  </si>
  <si>
    <t>101617</t>
  </si>
  <si>
    <t>122995</t>
  </si>
  <si>
    <t>122531</t>
  </si>
  <si>
    <t>115511</t>
  </si>
  <si>
    <t>101619</t>
  </si>
  <si>
    <t>122748</t>
  </si>
  <si>
    <t>130952</t>
  </si>
  <si>
    <t>120396</t>
  </si>
  <si>
    <t>122982</t>
  </si>
  <si>
    <t>122651</t>
  </si>
  <si>
    <t>120399</t>
  </si>
  <si>
    <t>120398</t>
  </si>
  <si>
    <t>122904</t>
  </si>
  <si>
    <t>120397</t>
  </si>
  <si>
    <t>101618</t>
  </si>
  <si>
    <t>130900</t>
  </si>
  <si>
    <t>151115</t>
  </si>
  <si>
    <t>151114</t>
  </si>
  <si>
    <t>151119</t>
  </si>
  <si>
    <t>151116</t>
  </si>
  <si>
    <t>151117</t>
  </si>
  <si>
    <t>151118</t>
  </si>
  <si>
    <t>105544</t>
  </si>
  <si>
    <t>105545</t>
  </si>
  <si>
    <t>105546</t>
  </si>
  <si>
    <t>105547</t>
  </si>
  <si>
    <t>102453</t>
  </si>
  <si>
    <t>105543</t>
  </si>
  <si>
    <t>102452</t>
  </si>
  <si>
    <t>118944</t>
  </si>
  <si>
    <t>118943</t>
  </si>
  <si>
    <t>118942</t>
  </si>
  <si>
    <t>118945</t>
  </si>
  <si>
    <t>105548</t>
  </si>
  <si>
    <t>147998</t>
  </si>
  <si>
    <t>147996</t>
  </si>
  <si>
    <t>148000</t>
  </si>
  <si>
    <t>147999</t>
  </si>
  <si>
    <t>147997</t>
  </si>
  <si>
    <t>147995</t>
  </si>
  <si>
    <t>147992</t>
  </si>
  <si>
    <t>147990</t>
  </si>
  <si>
    <t>147994</t>
  </si>
  <si>
    <t>147991</t>
  </si>
  <si>
    <t>147989</t>
  </si>
  <si>
    <t>147993</t>
  </si>
  <si>
    <t>100504</t>
  </si>
  <si>
    <t>100503</t>
  </si>
  <si>
    <t>113135</t>
  </si>
  <si>
    <t>118529</t>
  </si>
  <si>
    <t>118528</t>
  </si>
  <si>
    <t>118530</t>
  </si>
  <si>
    <t>153370</t>
  </si>
  <si>
    <t>153371</t>
  </si>
  <si>
    <t>153369</t>
  </si>
  <si>
    <t>153368</t>
  </si>
  <si>
    <t>153417</t>
  </si>
  <si>
    <t>153419</t>
  </si>
  <si>
    <t>153418</t>
  </si>
  <si>
    <t>153416</t>
  </si>
  <si>
    <t>133927</t>
  </si>
  <si>
    <t>133921</t>
  </si>
  <si>
    <t>133920</t>
  </si>
  <si>
    <t>133919</t>
  </si>
  <si>
    <t>133926</t>
  </si>
  <si>
    <t>133923</t>
  </si>
  <si>
    <t>133924</t>
  </si>
  <si>
    <t>133928</t>
  </si>
  <si>
    <t>133922</t>
  </si>
  <si>
    <t>133925</t>
  </si>
  <si>
    <t>102915</t>
  </si>
  <si>
    <t>113144</t>
  </si>
  <si>
    <t>102914</t>
  </si>
  <si>
    <t>102913</t>
  </si>
  <si>
    <t>104559</t>
  </si>
  <si>
    <t>118294</t>
  </si>
  <si>
    <t>118295</t>
  </si>
  <si>
    <t>118292</t>
  </si>
  <si>
    <t>118291</t>
  </si>
  <si>
    <t>118293</t>
  </si>
  <si>
    <t>150161</t>
  </si>
  <si>
    <t>150162</t>
  </si>
  <si>
    <t>150160</t>
  </si>
  <si>
    <t>150163</t>
  </si>
  <si>
    <t>150166</t>
  </si>
  <si>
    <t>150167</t>
  </si>
  <si>
    <t>150165</t>
  </si>
  <si>
    <t>150164</t>
  </si>
  <si>
    <t>150171</t>
  </si>
  <si>
    <t>150170</t>
  </si>
  <si>
    <t>150169</t>
  </si>
  <si>
    <t>150168</t>
  </si>
  <si>
    <t>118373</t>
  </si>
  <si>
    <t>118369</t>
  </si>
  <si>
    <t>118370</t>
  </si>
  <si>
    <t>118372</t>
  </si>
  <si>
    <t>118371</t>
  </si>
  <si>
    <t>118368</t>
  </si>
  <si>
    <t>108634</t>
  </si>
  <si>
    <t>116413</t>
  </si>
  <si>
    <t>116020</t>
  </si>
  <si>
    <t>108635</t>
  </si>
  <si>
    <t>108632</t>
  </si>
  <si>
    <t>108633</t>
  </si>
  <si>
    <t>154201</t>
  </si>
  <si>
    <t>154203</t>
  </si>
  <si>
    <t>154202</t>
  </si>
  <si>
    <t>154204</t>
  </si>
  <si>
    <t>112719</t>
  </si>
  <si>
    <t>112718</t>
  </si>
  <si>
    <t>112717</t>
  </si>
  <si>
    <t>112720</t>
  </si>
  <si>
    <t>112216</t>
  </si>
  <si>
    <t>112217</t>
  </si>
  <si>
    <t>112214</t>
  </si>
  <si>
    <t>112215</t>
  </si>
  <si>
    <t>120514</t>
  </si>
  <si>
    <t>120516</t>
  </si>
  <si>
    <t>120513</t>
  </si>
  <si>
    <t>120515</t>
  </si>
  <si>
    <t>128961</t>
  </si>
  <si>
    <t>103193</t>
  </si>
  <si>
    <t>113307</t>
  </si>
  <si>
    <t>103194</t>
  </si>
  <si>
    <t>119522</t>
  </si>
  <si>
    <t>119524</t>
  </si>
  <si>
    <t>103192</t>
  </si>
  <si>
    <t>119523</t>
  </si>
  <si>
    <t>Open Ended Schemes(Debt Scheme - Low Duration Fund)</t>
  </si>
  <si>
    <t>151528</t>
  </si>
  <si>
    <t>151529</t>
  </si>
  <si>
    <t>151527</t>
  </si>
  <si>
    <t>151532</t>
  </si>
  <si>
    <t>151531</t>
  </si>
  <si>
    <t>151524</t>
  </si>
  <si>
    <t>151530</t>
  </si>
  <si>
    <t>151523</t>
  </si>
  <si>
    <t>151526</t>
  </si>
  <si>
    <t>151525</t>
  </si>
  <si>
    <t>151213</t>
  </si>
  <si>
    <t>151212</t>
  </si>
  <si>
    <t>151215</t>
  </si>
  <si>
    <t>151214</t>
  </si>
  <si>
    <t>143702</t>
  </si>
  <si>
    <t>143704</t>
  </si>
  <si>
    <t>143710</t>
  </si>
  <si>
    <t>143708</t>
  </si>
  <si>
    <t>143712</t>
  </si>
  <si>
    <t>143706</t>
  </si>
  <si>
    <t>143705</t>
  </si>
  <si>
    <t>143707</t>
  </si>
  <si>
    <t>143701</t>
  </si>
  <si>
    <t>143711</t>
  </si>
  <si>
    <t>143703</t>
  </si>
  <si>
    <t>143709</t>
  </si>
  <si>
    <t>153108</t>
  </si>
  <si>
    <t>153107</t>
  </si>
  <si>
    <t>153106</t>
  </si>
  <si>
    <t>153105</t>
  </si>
  <si>
    <t>152490</t>
  </si>
  <si>
    <t>152489</t>
  </si>
  <si>
    <t>152492</t>
  </si>
  <si>
    <t>152491</t>
  </si>
  <si>
    <t>101643</t>
  </si>
  <si>
    <t>101642</t>
  </si>
  <si>
    <t>100366</t>
  </si>
  <si>
    <t>131622</t>
  </si>
  <si>
    <t>100367</t>
  </si>
  <si>
    <t>100364</t>
  </si>
  <si>
    <t>100365</t>
  </si>
  <si>
    <t>120747</t>
  </si>
  <si>
    <t>120748</t>
  </si>
  <si>
    <t>120743</t>
  </si>
  <si>
    <t>122673</t>
  </si>
  <si>
    <t>131623</t>
  </si>
  <si>
    <t>151312</t>
  </si>
  <si>
    <t>151311</t>
  </si>
  <si>
    <t>151313</t>
  </si>
  <si>
    <t>151314</t>
  </si>
  <si>
    <t>153101</t>
  </si>
  <si>
    <t>153104</t>
  </si>
  <si>
    <t>153103</t>
  </si>
  <si>
    <t>153102</t>
  </si>
  <si>
    <t>152517</t>
  </si>
  <si>
    <t>152518</t>
  </si>
  <si>
    <t>152519</t>
  </si>
  <si>
    <t>152520</t>
  </si>
  <si>
    <t>151203</t>
  </si>
  <si>
    <t>151201</t>
  </si>
  <si>
    <t>151178</t>
  </si>
  <si>
    <t>151177</t>
  </si>
  <si>
    <t>151206</t>
  </si>
  <si>
    <t>151176</t>
  </si>
  <si>
    <t>151204</t>
  </si>
  <si>
    <t>151202</t>
  </si>
  <si>
    <t>151179</t>
  </si>
  <si>
    <t>151205</t>
  </si>
  <si>
    <t>150483</t>
  </si>
  <si>
    <t>150482</t>
  </si>
  <si>
    <t>150485</t>
  </si>
  <si>
    <t>150484</t>
  </si>
  <si>
    <t>Open Ended Schemes(Debt Scheme - Long Duration Fund)</t>
  </si>
  <si>
    <t>145964</t>
  </si>
  <si>
    <t>145972</t>
  </si>
  <si>
    <t>145968</t>
  </si>
  <si>
    <t>145965</t>
  </si>
  <si>
    <t>145963</t>
  </si>
  <si>
    <t>145970</t>
  </si>
  <si>
    <t>145967</t>
  </si>
  <si>
    <t>145971</t>
  </si>
  <si>
    <t>145966</t>
  </si>
  <si>
    <t>145969</t>
  </si>
  <si>
    <t>102007</t>
  </si>
  <si>
    <t>102009</t>
  </si>
  <si>
    <t>102008</t>
  </si>
  <si>
    <t>102012</t>
  </si>
  <si>
    <t>120304</t>
  </si>
  <si>
    <t>102013</t>
  </si>
  <si>
    <t>135721</t>
  </si>
  <si>
    <t>102011</t>
  </si>
  <si>
    <t>144475</t>
  </si>
  <si>
    <t>139838</t>
  </si>
  <si>
    <t>140517</t>
  </si>
  <si>
    <t>102010</t>
  </si>
  <si>
    <t>133973</t>
  </si>
  <si>
    <t>120777</t>
  </si>
  <si>
    <t>140024</t>
  </si>
  <si>
    <t>120794</t>
  </si>
  <si>
    <t>140504</t>
  </si>
  <si>
    <t>140913</t>
  </si>
  <si>
    <t>141768</t>
  </si>
  <si>
    <t>120558</t>
  </si>
  <si>
    <t>134427</t>
  </si>
  <si>
    <t>115402</t>
  </si>
  <si>
    <t>142342</t>
  </si>
  <si>
    <t>142343</t>
  </si>
  <si>
    <t>142344</t>
  </si>
  <si>
    <t>142345</t>
  </si>
  <si>
    <t>115400</t>
  </si>
  <si>
    <t>115398</t>
  </si>
  <si>
    <t>115399</t>
  </si>
  <si>
    <t>119304</t>
  </si>
  <si>
    <t>119302</t>
  </si>
  <si>
    <t>119303</t>
  </si>
  <si>
    <t>119305</t>
  </si>
  <si>
    <t>119301</t>
  </si>
  <si>
    <t>115401</t>
  </si>
  <si>
    <t>153571</t>
  </si>
  <si>
    <t>153570</t>
  </si>
  <si>
    <t>148836</t>
  </si>
  <si>
    <t>148843</t>
  </si>
  <si>
    <t>148833</t>
  </si>
  <si>
    <t>148834</t>
  </si>
  <si>
    <t>148837</t>
  </si>
  <si>
    <t>148839</t>
  </si>
  <si>
    <t>148841</t>
  </si>
  <si>
    <t>148842</t>
  </si>
  <si>
    <t>153885</t>
  </si>
  <si>
    <t>153890</t>
  </si>
  <si>
    <t>153888</t>
  </si>
  <si>
    <t>153886</t>
  </si>
  <si>
    <t>153889</t>
  </si>
  <si>
    <t>153884</t>
  </si>
  <si>
    <t>153883</t>
  </si>
  <si>
    <t>153887</t>
  </si>
  <si>
    <t>104241</t>
  </si>
  <si>
    <t>104240</t>
  </si>
  <si>
    <t>101714</t>
  </si>
  <si>
    <t>119861</t>
  </si>
  <si>
    <t>119862</t>
  </si>
  <si>
    <t>102672</t>
  </si>
  <si>
    <t>153688</t>
  </si>
  <si>
    <t>153689</t>
  </si>
  <si>
    <t>149665</t>
  </si>
  <si>
    <t>149659</t>
  </si>
  <si>
    <t>149745</t>
  </si>
  <si>
    <t>149740</t>
  </si>
  <si>
    <t>149739</t>
  </si>
  <si>
    <t>149737</t>
  </si>
  <si>
    <t>149738</t>
  </si>
  <si>
    <t>149661</t>
  </si>
  <si>
    <t>149662</t>
  </si>
  <si>
    <t>149660</t>
  </si>
  <si>
    <t>149664</t>
  </si>
  <si>
    <t>149658</t>
  </si>
  <si>
    <t>149663</t>
  </si>
  <si>
    <t>149742</t>
  </si>
  <si>
    <t>149744</t>
  </si>
  <si>
    <t>153281</t>
  </si>
  <si>
    <t>153280</t>
  </si>
  <si>
    <t>153283</t>
  </si>
  <si>
    <t>153282</t>
  </si>
  <si>
    <t>153036</t>
  </si>
  <si>
    <t>153035</t>
  </si>
  <si>
    <t>105280</t>
  </si>
  <si>
    <t>105282</t>
  </si>
  <si>
    <t>105283</t>
  </si>
  <si>
    <t>105281</t>
  </si>
  <si>
    <t>105275</t>
  </si>
  <si>
    <t>105274</t>
  </si>
  <si>
    <t>119800</t>
  </si>
  <si>
    <t>119799</t>
  </si>
  <si>
    <t>119805</t>
  </si>
  <si>
    <t>119804</t>
  </si>
  <si>
    <t>152300</t>
  </si>
  <si>
    <t>152301</t>
  </si>
  <si>
    <t>152298</t>
  </si>
  <si>
    <t>152299</t>
  </si>
  <si>
    <t>141067</t>
  </si>
  <si>
    <t>141066</t>
  </si>
  <si>
    <t>141065</t>
  </si>
  <si>
    <t>103735</t>
  </si>
  <si>
    <t>103734</t>
  </si>
  <si>
    <t>103736</t>
  </si>
  <si>
    <t>148512</t>
  </si>
  <si>
    <t>148511</t>
  </si>
  <si>
    <t>148510</t>
  </si>
  <si>
    <t>148513</t>
  </si>
  <si>
    <t>103226</t>
  </si>
  <si>
    <t>120836</t>
  </si>
  <si>
    <t>103227</t>
  </si>
  <si>
    <t>120839</t>
  </si>
  <si>
    <t>103228</t>
  </si>
  <si>
    <t>120838</t>
  </si>
  <si>
    <t>103225</t>
  </si>
  <si>
    <t>120837</t>
  </si>
  <si>
    <t>143266</t>
  </si>
  <si>
    <t>143261</t>
  </si>
  <si>
    <t>143260</t>
  </si>
  <si>
    <t>143264</t>
  </si>
  <si>
    <t>143265</t>
  </si>
  <si>
    <t>143262</t>
  </si>
  <si>
    <t>143269</t>
  </si>
  <si>
    <t>143263</t>
  </si>
  <si>
    <t>138281</t>
  </si>
  <si>
    <t>138279</t>
  </si>
  <si>
    <t>138280</t>
  </si>
  <si>
    <t>138289</t>
  </si>
  <si>
    <t>138287</t>
  </si>
  <si>
    <t>138288</t>
  </si>
  <si>
    <t>138301</t>
  </si>
  <si>
    <t>138298</t>
  </si>
  <si>
    <t>138299</t>
  </si>
  <si>
    <t>138297</t>
  </si>
  <si>
    <t>138285</t>
  </si>
  <si>
    <t>138286</t>
  </si>
  <si>
    <t>138304</t>
  </si>
  <si>
    <t>138282</t>
  </si>
  <si>
    <t>138283</t>
  </si>
  <si>
    <t>138278</t>
  </si>
  <si>
    <t>138292</t>
  </si>
  <si>
    <t>138284</t>
  </si>
  <si>
    <t>138294</t>
  </si>
  <si>
    <t>138303</t>
  </si>
  <si>
    <t>138300</t>
  </si>
  <si>
    <t>138296</t>
  </si>
  <si>
    <t>138302</t>
  </si>
  <si>
    <t>138305</t>
  </si>
  <si>
    <t>138306</t>
  </si>
  <si>
    <t>100848</t>
  </si>
  <si>
    <t>114252</t>
  </si>
  <si>
    <t>114251</t>
  </si>
  <si>
    <t>100845</t>
  </si>
  <si>
    <t>100849</t>
  </si>
  <si>
    <t>100851</t>
  </si>
  <si>
    <t>100853</t>
  </si>
  <si>
    <t>100838</t>
  </si>
  <si>
    <t>100844</t>
  </si>
  <si>
    <t>100843</t>
  </si>
  <si>
    <t>100842</t>
  </si>
  <si>
    <t>100837</t>
  </si>
  <si>
    <t>112340</t>
  </si>
  <si>
    <t>100855</t>
  </si>
  <si>
    <t>118701</t>
  </si>
  <si>
    <t>118700</t>
  </si>
  <si>
    <t>118698</t>
  </si>
  <si>
    <t>118696</t>
  </si>
  <si>
    <t>118695</t>
  </si>
  <si>
    <t>100852</t>
  </si>
  <si>
    <t>139386</t>
  </si>
  <si>
    <t>140437</t>
  </si>
  <si>
    <t>112636</t>
  </si>
  <si>
    <t>119164</t>
  </si>
  <si>
    <t>112646</t>
  </si>
  <si>
    <t>112647</t>
  </si>
  <si>
    <t>112645</t>
  </si>
  <si>
    <t>119162</t>
  </si>
  <si>
    <t>119161</t>
  </si>
  <si>
    <t>119163</t>
  </si>
  <si>
    <t>146224</t>
  </si>
  <si>
    <t>146222</t>
  </si>
  <si>
    <t>146220</t>
  </si>
  <si>
    <t>146230</t>
  </si>
  <si>
    <t>146227</t>
  </si>
  <si>
    <t>146229</t>
  </si>
  <si>
    <t>146228</t>
  </si>
  <si>
    <t>146223</t>
  </si>
  <si>
    <t>146226</t>
  </si>
  <si>
    <t>146218</t>
  </si>
  <si>
    <t>147444</t>
  </si>
  <si>
    <t>147443</t>
  </si>
  <si>
    <t>147441</t>
  </si>
  <si>
    <t>147442</t>
  </si>
  <si>
    <t>145946</t>
  </si>
  <si>
    <t>145834</t>
  </si>
  <si>
    <t>111644</t>
  </si>
  <si>
    <t>111645</t>
  </si>
  <si>
    <t>111646</t>
  </si>
  <si>
    <t>111647</t>
  </si>
  <si>
    <t>118860</t>
  </si>
  <si>
    <t>118861</t>
  </si>
  <si>
    <t>118862</t>
  </si>
  <si>
    <t>118859</t>
  </si>
  <si>
    <t>139539</t>
  </si>
  <si>
    <t>139540</t>
  </si>
  <si>
    <t>139541</t>
  </si>
  <si>
    <t>139537</t>
  </si>
  <si>
    <t>139534</t>
  </si>
  <si>
    <t>139538</t>
  </si>
  <si>
    <t>139536</t>
  </si>
  <si>
    <t>139535</t>
  </si>
  <si>
    <t>151927</t>
  </si>
  <si>
    <t>151928</t>
  </si>
  <si>
    <t>101185</t>
  </si>
  <si>
    <t>101184</t>
  </si>
  <si>
    <t>151932</t>
  </si>
  <si>
    <t>151930</t>
  </si>
  <si>
    <t>120249</t>
  </si>
  <si>
    <t>120248</t>
  </si>
  <si>
    <t>153586</t>
  </si>
  <si>
    <t>100835</t>
  </si>
  <si>
    <t>100833</t>
  </si>
  <si>
    <t>153585</t>
  </si>
  <si>
    <t>119766</t>
  </si>
  <si>
    <t>119764</t>
  </si>
  <si>
    <t>101078</t>
  </si>
  <si>
    <t>101549</t>
  </si>
  <si>
    <t>139259</t>
  </si>
  <si>
    <t>139257</t>
  </si>
  <si>
    <t>139260</t>
  </si>
  <si>
    <t>139258</t>
  </si>
  <si>
    <t>148415</t>
  </si>
  <si>
    <t>148413</t>
  </si>
  <si>
    <t>148414</t>
  </si>
  <si>
    <t>100234</t>
  </si>
  <si>
    <t>100233</t>
  </si>
  <si>
    <t>100247</t>
  </si>
  <si>
    <t>100244</t>
  </si>
  <si>
    <t>120407</t>
  </si>
  <si>
    <t>120408</t>
  </si>
  <si>
    <t>120406</t>
  </si>
  <si>
    <t>120411</t>
  </si>
  <si>
    <t>120410</t>
  </si>
  <si>
    <t>153651</t>
  </si>
  <si>
    <t>147164</t>
  </si>
  <si>
    <t>147156</t>
  </si>
  <si>
    <t>147153</t>
  </si>
  <si>
    <t>147155</t>
  </si>
  <si>
    <t>147154</t>
  </si>
  <si>
    <t>147162</t>
  </si>
  <si>
    <t>147159</t>
  </si>
  <si>
    <t>147163</t>
  </si>
  <si>
    <t>147157</t>
  </si>
  <si>
    <t>147160</t>
  </si>
  <si>
    <t>147158</t>
  </si>
  <si>
    <t>147161</t>
  </si>
  <si>
    <t>104485</t>
  </si>
  <si>
    <t>139387</t>
  </si>
  <si>
    <t>139388</t>
  </si>
  <si>
    <t>139389</t>
  </si>
  <si>
    <t>139390</t>
  </si>
  <si>
    <t>104489</t>
  </si>
  <si>
    <t>104488</t>
  </si>
  <si>
    <t>104492</t>
  </si>
  <si>
    <t>104486</t>
  </si>
  <si>
    <t>120534</t>
  </si>
  <si>
    <t>120535</t>
  </si>
  <si>
    <t>120536</t>
  </si>
  <si>
    <t>120537</t>
  </si>
  <si>
    <t>104484</t>
  </si>
  <si>
    <t>101751</t>
  </si>
  <si>
    <t>101752</t>
  </si>
  <si>
    <t>101755</t>
  </si>
  <si>
    <t>101750</t>
  </si>
  <si>
    <t>101754</t>
  </si>
  <si>
    <t>101753</t>
  </si>
  <si>
    <t>101748</t>
  </si>
  <si>
    <t>112119</t>
  </si>
  <si>
    <t>103341</t>
  </si>
  <si>
    <t>103342</t>
  </si>
  <si>
    <t>139431</t>
  </si>
  <si>
    <t>139433</t>
  </si>
  <si>
    <t>139432</t>
  </si>
  <si>
    <t>139434</t>
  </si>
  <si>
    <t>103344</t>
  </si>
  <si>
    <t>115505</t>
  </si>
  <si>
    <t>104308</t>
  </si>
  <si>
    <t>103340</t>
  </si>
  <si>
    <t>130934</t>
  </si>
  <si>
    <t>120190</t>
  </si>
  <si>
    <t>120196</t>
  </si>
  <si>
    <t>120189</t>
  </si>
  <si>
    <t>120197</t>
  </si>
  <si>
    <t>120188</t>
  </si>
  <si>
    <t>120191</t>
  </si>
  <si>
    <t>120187</t>
  </si>
  <si>
    <t>120198</t>
  </si>
  <si>
    <t>103343</t>
  </si>
  <si>
    <t>130933</t>
  </si>
  <si>
    <t>100359</t>
  </si>
  <si>
    <t>100357</t>
  </si>
  <si>
    <t>118908</t>
  </si>
  <si>
    <t>118904</t>
  </si>
  <si>
    <t>118903</t>
  </si>
  <si>
    <t>118902</t>
  </si>
  <si>
    <t>118901</t>
  </si>
  <si>
    <t>118909</t>
  </si>
  <si>
    <t>118906</t>
  </si>
  <si>
    <t>118907</t>
  </si>
  <si>
    <t>120040</t>
  </si>
  <si>
    <t>120039</t>
  </si>
  <si>
    <t>120037</t>
  </si>
  <si>
    <t>120038</t>
  </si>
  <si>
    <t>100872</t>
  </si>
  <si>
    <t>100881</t>
  </si>
  <si>
    <t>100878</t>
  </si>
  <si>
    <t>119088</t>
  </si>
  <si>
    <t>100874</t>
  </si>
  <si>
    <t>119090</t>
  </si>
  <si>
    <t>100876</t>
  </si>
  <si>
    <t>119089</t>
  </si>
  <si>
    <t>100875</t>
  </si>
  <si>
    <t>100868</t>
  </si>
  <si>
    <t>119091</t>
  </si>
  <si>
    <t>115994</t>
  </si>
  <si>
    <t>115993</t>
  </si>
  <si>
    <t>115995</t>
  </si>
  <si>
    <t>115992</t>
  </si>
  <si>
    <t>119137</t>
  </si>
  <si>
    <t>119139</t>
  </si>
  <si>
    <t>119138</t>
  </si>
  <si>
    <t>115991</t>
  </si>
  <si>
    <t>119136</t>
  </si>
  <si>
    <t>119135</t>
  </si>
  <si>
    <t>102442</t>
  </si>
  <si>
    <t>102443</t>
  </si>
  <si>
    <t>102441</t>
  </si>
  <si>
    <t>139889</t>
  </si>
  <si>
    <t>139891</t>
  </si>
  <si>
    <t>139890</t>
  </si>
  <si>
    <t>139892</t>
  </si>
  <si>
    <t>100548</t>
  </si>
  <si>
    <t>100546</t>
  </si>
  <si>
    <t>118579</t>
  </si>
  <si>
    <t>118578</t>
  </si>
  <si>
    <t>100547</t>
  </si>
  <si>
    <t>118577</t>
  </si>
  <si>
    <t>100537</t>
  </si>
  <si>
    <t>100538</t>
  </si>
  <si>
    <t>100541</t>
  </si>
  <si>
    <t>140180</t>
  </si>
  <si>
    <t>140177</t>
  </si>
  <si>
    <t>140178</t>
  </si>
  <si>
    <t>140176</t>
  </si>
  <si>
    <t>140185</t>
  </si>
  <si>
    <t>140183</t>
  </si>
  <si>
    <t>140184</t>
  </si>
  <si>
    <t>140181</t>
  </si>
  <si>
    <t>140188</t>
  </si>
  <si>
    <t>140190</t>
  </si>
  <si>
    <t>140182</t>
  </si>
  <si>
    <t>140189</t>
  </si>
  <si>
    <t>140195</t>
  </si>
  <si>
    <t>140197</t>
  </si>
  <si>
    <t>140199</t>
  </si>
  <si>
    <t>140193</t>
  </si>
  <si>
    <t>140192</t>
  </si>
  <si>
    <t>140198</t>
  </si>
  <si>
    <t>140196</t>
  </si>
  <si>
    <t>140194</t>
  </si>
  <si>
    <t>103349</t>
  </si>
  <si>
    <t>103348</t>
  </si>
  <si>
    <t>103347</t>
  </si>
  <si>
    <t>119123</t>
  </si>
  <si>
    <t>119124</t>
  </si>
  <si>
    <t>119125</t>
  </si>
  <si>
    <t>154010</t>
  </si>
  <si>
    <t>154011</t>
  </si>
  <si>
    <t>139235</t>
  </si>
  <si>
    <t>109350</t>
  </si>
  <si>
    <t>109351</t>
  </si>
  <si>
    <t>109353</t>
  </si>
  <si>
    <t>109349</t>
  </si>
  <si>
    <t>118308</t>
  </si>
  <si>
    <t>118306</t>
  </si>
  <si>
    <t>118304</t>
  </si>
  <si>
    <t>118305</t>
  </si>
  <si>
    <t>118307</t>
  </si>
  <si>
    <t>101409</t>
  </si>
  <si>
    <t>101407</t>
  </si>
  <si>
    <t>101408</t>
  </si>
  <si>
    <t>142247</t>
  </si>
  <si>
    <t>142245</t>
  </si>
  <si>
    <t>142246</t>
  </si>
  <si>
    <t>142248</t>
  </si>
  <si>
    <t>111705</t>
  </si>
  <si>
    <t>111704</t>
  </si>
  <si>
    <t>111707</t>
  </si>
  <si>
    <t>116803</t>
  </si>
  <si>
    <t>139344</t>
  </si>
  <si>
    <t>119416</t>
  </si>
  <si>
    <t>119415</t>
  </si>
  <si>
    <t>119414</t>
  </si>
  <si>
    <t>109255</t>
  </si>
  <si>
    <t>109254</t>
  </si>
  <si>
    <t>111971</t>
  </si>
  <si>
    <t>119370</t>
  </si>
  <si>
    <t>119369</t>
  </si>
  <si>
    <t>119368</t>
  </si>
  <si>
    <t>141890</t>
  </si>
  <si>
    <t>141888</t>
  </si>
  <si>
    <t>141889</t>
  </si>
  <si>
    <t>141887</t>
  </si>
  <si>
    <t>118363</t>
  </si>
  <si>
    <t>118364</t>
  </si>
  <si>
    <t>118366</t>
  </si>
  <si>
    <t>118367</t>
  </si>
  <si>
    <t>118365</t>
  </si>
  <si>
    <t>139585</t>
  </si>
  <si>
    <t>139584</t>
  </si>
  <si>
    <t>139583</t>
  </si>
  <si>
    <t>139582</t>
  </si>
  <si>
    <t>108691</t>
  </si>
  <si>
    <t>115489</t>
  </si>
  <si>
    <t>108693</t>
  </si>
  <si>
    <t>108690</t>
  </si>
  <si>
    <t>108692</t>
  </si>
  <si>
    <t>108694</t>
  </si>
  <si>
    <t>151840</t>
  </si>
  <si>
    <t>151842</t>
  </si>
  <si>
    <t>151837</t>
  </si>
  <si>
    <t>151841</t>
  </si>
  <si>
    <t>151839</t>
  </si>
  <si>
    <t>151834</t>
  </si>
  <si>
    <t>151836</t>
  </si>
  <si>
    <t>151833</t>
  </si>
  <si>
    <t>151838</t>
  </si>
  <si>
    <t>151835</t>
  </si>
  <si>
    <t>112715</t>
  </si>
  <si>
    <t>112714</t>
  </si>
  <si>
    <t>112713</t>
  </si>
  <si>
    <t>112712</t>
  </si>
  <si>
    <t>112212</t>
  </si>
  <si>
    <t>112213</t>
  </si>
  <si>
    <t>112210</t>
  </si>
  <si>
    <t>112211</t>
  </si>
  <si>
    <t>120390</t>
  </si>
  <si>
    <t>120391</t>
  </si>
  <si>
    <t>120389</t>
  </si>
  <si>
    <t>120388</t>
  </si>
  <si>
    <t>128954</t>
  </si>
  <si>
    <t>100051</t>
  </si>
  <si>
    <t>100044</t>
  </si>
  <si>
    <t>103885</t>
  </si>
  <si>
    <t>100048</t>
  </si>
  <si>
    <t>100041</t>
  </si>
  <si>
    <t>119570</t>
  </si>
  <si>
    <t>119571</t>
  </si>
  <si>
    <t>119569</t>
  </si>
  <si>
    <t>100046</t>
  </si>
  <si>
    <t>119568</t>
  </si>
  <si>
    <t>100047</t>
  </si>
  <si>
    <t>154056</t>
  </si>
  <si>
    <t>154054</t>
  </si>
  <si>
    <t>154048</t>
  </si>
  <si>
    <t>154047</t>
  </si>
  <si>
    <t>154053</t>
  </si>
  <si>
    <t>154050</t>
  </si>
  <si>
    <t>154052</t>
  </si>
  <si>
    <t>154055</t>
  </si>
  <si>
    <t>154051</t>
  </si>
  <si>
    <t>154049</t>
  </si>
  <si>
    <t>125337</t>
  </si>
  <si>
    <t>125259</t>
  </si>
  <si>
    <t>125342</t>
  </si>
  <si>
    <t>125343</t>
  </si>
  <si>
    <t>125345</t>
  </si>
  <si>
    <t>125349</t>
  </si>
  <si>
    <t>Open Ended Schemes(Debt Scheme - Liquid Fund)</t>
  </si>
  <si>
    <t>150411</t>
  </si>
  <si>
    <t>150416</t>
  </si>
  <si>
    <t>150409</t>
  </si>
  <si>
    <t>150420</t>
  </si>
  <si>
    <t>150419</t>
  </si>
  <si>
    <t>150412</t>
  </si>
  <si>
    <t>150415</t>
  </si>
  <si>
    <t>150410</t>
  </si>
  <si>
    <t>150424</t>
  </si>
  <si>
    <t>150423</t>
  </si>
  <si>
    <t>101003</t>
  </si>
  <si>
    <t>101002</t>
  </si>
  <si>
    <t>120136</t>
  </si>
  <si>
    <t>120137</t>
  </si>
  <si>
    <t>131057</t>
  </si>
  <si>
    <t>131062</t>
  </si>
  <si>
    <t>131058</t>
  </si>
  <si>
    <t>131051</t>
  </si>
  <si>
    <t>131054</t>
  </si>
  <si>
    <t>131053</t>
  </si>
  <si>
    <t>131055</t>
  </si>
  <si>
    <t>131061</t>
  </si>
  <si>
    <t>131056</t>
  </si>
  <si>
    <t>131059</t>
  </si>
  <si>
    <t>131300</t>
  </si>
  <si>
    <t>131299</t>
  </si>
  <si>
    <t>131298</t>
  </si>
  <si>
    <t>131297</t>
  </si>
  <si>
    <t>131302</t>
  </si>
  <si>
    <t>131303</t>
  </si>
  <si>
    <t>131304</t>
  </si>
  <si>
    <t>131301</t>
  </si>
  <si>
    <t>108646</t>
  </si>
  <si>
    <t>111343</t>
  </si>
  <si>
    <t>108753</t>
  </si>
  <si>
    <t>131391</t>
  </si>
  <si>
    <t>108644</t>
  </si>
  <si>
    <t>118389</t>
  </si>
  <si>
    <t>118388</t>
  </si>
  <si>
    <t>131390</t>
  </si>
  <si>
    <t>118390</t>
  </si>
  <si>
    <t>118387</t>
  </si>
  <si>
    <t>Open Ended Schemes(Debt Scheme - Gilt Fund with 10 year constant duration)</t>
  </si>
  <si>
    <t>102509</t>
  </si>
  <si>
    <t>120791</t>
  </si>
  <si>
    <t>102511</t>
  </si>
  <si>
    <t>102510</t>
  </si>
  <si>
    <t>102514</t>
  </si>
  <si>
    <t>102512</t>
  </si>
  <si>
    <t>120792</t>
  </si>
  <si>
    <t>150457</t>
  </si>
  <si>
    <t>150405</t>
  </si>
  <si>
    <t>150406</t>
  </si>
  <si>
    <t>150456</t>
  </si>
  <si>
    <t>150407</t>
  </si>
  <si>
    <t>150408</t>
  </si>
  <si>
    <t>119953</t>
  </si>
  <si>
    <t>101042</t>
  </si>
  <si>
    <t>101049</t>
  </si>
  <si>
    <t>119954</t>
  </si>
  <si>
    <t>101945</t>
  </si>
  <si>
    <t>102046</t>
  </si>
  <si>
    <t>100999</t>
  </si>
  <si>
    <t>101001</t>
  </si>
  <si>
    <t>101952</t>
  </si>
  <si>
    <t>101951</t>
  </si>
  <si>
    <t>101950</t>
  </si>
  <si>
    <t>119706</t>
  </si>
  <si>
    <t>119707</t>
  </si>
  <si>
    <t>101932</t>
  </si>
  <si>
    <t>101934</t>
  </si>
  <si>
    <t>151231</t>
  </si>
  <si>
    <t>151229</t>
  </si>
  <si>
    <t>151230</t>
  </si>
  <si>
    <t>151228</t>
  </si>
  <si>
    <t>138467</t>
  </si>
  <si>
    <t>138475</t>
  </si>
  <si>
    <t>138470</t>
  </si>
  <si>
    <t>138474</t>
  </si>
  <si>
    <t>138476</t>
  </si>
  <si>
    <t>138472</t>
  </si>
  <si>
    <t>138471</t>
  </si>
  <si>
    <t>118674</t>
  </si>
  <si>
    <t>109724</t>
  </si>
  <si>
    <t>109718</t>
  </si>
  <si>
    <t>133264</t>
  </si>
  <si>
    <t>133265</t>
  </si>
  <si>
    <t>109721</t>
  </si>
  <si>
    <t>109716</t>
  </si>
  <si>
    <t>109720</t>
  </si>
  <si>
    <t>109723</t>
  </si>
  <si>
    <t>109717</t>
  </si>
  <si>
    <t>118672</t>
  </si>
  <si>
    <t>118673</t>
  </si>
  <si>
    <t>118669</t>
  </si>
  <si>
    <t>118670</t>
  </si>
  <si>
    <t>100316</t>
  </si>
  <si>
    <t>100317</t>
  </si>
  <si>
    <t>100318</t>
  </si>
  <si>
    <t>100319</t>
  </si>
  <si>
    <t>120283</t>
  </si>
  <si>
    <t>120282</t>
  </si>
  <si>
    <t>119758</t>
  </si>
  <si>
    <t>100264</t>
  </si>
  <si>
    <t>119759</t>
  </si>
  <si>
    <t>100265</t>
  </si>
  <si>
    <t>100280</t>
  </si>
  <si>
    <t>119757</t>
  </si>
  <si>
    <t>100281</t>
  </si>
  <si>
    <t>107472</t>
  </si>
  <si>
    <t>107471</t>
  </si>
  <si>
    <t>107477</t>
  </si>
  <si>
    <t>107476</t>
  </si>
  <si>
    <t>120522</t>
  </si>
  <si>
    <t>120521</t>
  </si>
  <si>
    <t>120519</t>
  </si>
  <si>
    <t>120520</t>
  </si>
  <si>
    <t>100372</t>
  </si>
  <si>
    <t>100371</t>
  </si>
  <si>
    <t>100370</t>
  </si>
  <si>
    <t>130956</t>
  </si>
  <si>
    <t>120609</t>
  </si>
  <si>
    <t>120608</t>
  </si>
  <si>
    <t>120607</t>
  </si>
  <si>
    <t>130902</t>
  </si>
  <si>
    <t>100368</t>
  </si>
  <si>
    <t>100369</t>
  </si>
  <si>
    <t>130955</t>
  </si>
  <si>
    <t>120589</t>
  </si>
  <si>
    <t>120590</t>
  </si>
  <si>
    <t>130903</t>
  </si>
  <si>
    <t>151012</t>
  </si>
  <si>
    <t>151013</t>
  </si>
  <si>
    <t>151015</t>
  </si>
  <si>
    <t>151014</t>
  </si>
  <si>
    <t>101084</t>
  </si>
  <si>
    <t>119115</t>
  </si>
  <si>
    <t>101083</t>
  </si>
  <si>
    <t>119116</t>
  </si>
  <si>
    <t>153504</t>
  </si>
  <si>
    <t>153503</t>
  </si>
  <si>
    <t>153502</t>
  </si>
  <si>
    <t>153477</t>
  </si>
  <si>
    <t>100494</t>
  </si>
  <si>
    <t>100493</t>
  </si>
  <si>
    <t>118497</t>
  </si>
  <si>
    <t>118498</t>
  </si>
  <si>
    <t>140303</t>
  </si>
  <si>
    <t>140307</t>
  </si>
  <si>
    <t>140305</t>
  </si>
  <si>
    <t>140301</t>
  </si>
  <si>
    <t>140297</t>
  </si>
  <si>
    <t>140310</t>
  </si>
  <si>
    <t>140304</t>
  </si>
  <si>
    <t>140308</t>
  </si>
  <si>
    <t>140306</t>
  </si>
  <si>
    <t>140302</t>
  </si>
  <si>
    <t>140298</t>
  </si>
  <si>
    <t>140309</t>
  </si>
  <si>
    <t>100086</t>
  </si>
  <si>
    <t>100085</t>
  </si>
  <si>
    <t>100084</t>
  </si>
  <si>
    <t>119100</t>
  </si>
  <si>
    <t>119101</t>
  </si>
  <si>
    <t>119099</t>
  </si>
  <si>
    <t>100596</t>
  </si>
  <si>
    <t>100597</t>
  </si>
  <si>
    <t>118298</t>
  </si>
  <si>
    <t>118299</t>
  </si>
  <si>
    <t>101188</t>
  </si>
  <si>
    <t>101187</t>
  </si>
  <si>
    <t>119340</t>
  </si>
  <si>
    <t>119341</t>
  </si>
  <si>
    <t>108558</t>
  </si>
  <si>
    <t>108559</t>
  </si>
  <si>
    <t>131395</t>
  </si>
  <si>
    <t>111527</t>
  </si>
  <si>
    <t>111525</t>
  </si>
  <si>
    <t>118466</t>
  </si>
  <si>
    <t>131394</t>
  </si>
  <si>
    <t>118463</t>
  </si>
  <si>
    <t>118465</t>
  </si>
  <si>
    <t>118464</t>
  </si>
  <si>
    <t>118467</t>
  </si>
  <si>
    <t>108557</t>
  </si>
  <si>
    <t>153209</t>
  </si>
  <si>
    <t>153211</t>
  </si>
  <si>
    <t>153207</t>
  </si>
  <si>
    <t>153206</t>
  </si>
  <si>
    <t>116470</t>
  </si>
  <si>
    <t>116472</t>
  </si>
  <si>
    <t>116471</t>
  </si>
  <si>
    <t>120449</t>
  </si>
  <si>
    <t>120448</t>
  </si>
  <si>
    <t>120447</t>
  </si>
  <si>
    <t>128957</t>
  </si>
  <si>
    <t>119605</t>
  </si>
  <si>
    <t>100058</t>
  </si>
  <si>
    <t>100057</t>
  </si>
  <si>
    <t>119606</t>
  </si>
  <si>
    <t>Open Ended Schemes(Debt Scheme - Gilt Fund)</t>
  </si>
  <si>
    <t>145294</t>
  </si>
  <si>
    <t>145288</t>
  </si>
  <si>
    <t>145292</t>
  </si>
  <si>
    <t>145289</t>
  </si>
  <si>
    <t>145290</t>
  </si>
  <si>
    <t>145296</t>
  </si>
  <si>
    <t>145291</t>
  </si>
  <si>
    <t>145293</t>
  </si>
  <si>
    <t>145287</t>
  </si>
  <si>
    <t>145295</t>
  </si>
  <si>
    <t>149005</t>
  </si>
  <si>
    <t>149038</t>
  </si>
  <si>
    <t>149006</t>
  </si>
  <si>
    <t>149036</t>
  </si>
  <si>
    <t>149004</t>
  </si>
  <si>
    <t>149035</t>
  </si>
  <si>
    <t>149003</t>
  </si>
  <si>
    <t>149001</t>
  </si>
  <si>
    <t>149034</t>
  </si>
  <si>
    <t>149002</t>
  </si>
  <si>
    <t>149033</t>
  </si>
  <si>
    <t>149000</t>
  </si>
  <si>
    <t>149037</t>
  </si>
  <si>
    <t>149007</t>
  </si>
  <si>
    <t>148546</t>
  </si>
  <si>
    <t>148544</t>
  </si>
  <si>
    <t>148543</t>
  </si>
  <si>
    <t>148549</t>
  </si>
  <si>
    <t>148551</t>
  </si>
  <si>
    <t>148550</t>
  </si>
  <si>
    <t>102677</t>
  </si>
  <si>
    <t>112942</t>
  </si>
  <si>
    <t>102675</t>
  </si>
  <si>
    <t>124589</t>
  </si>
  <si>
    <t>102673</t>
  </si>
  <si>
    <t>118661</t>
  </si>
  <si>
    <t>118655</t>
  </si>
  <si>
    <t>124590</t>
  </si>
  <si>
    <t>118654</t>
  </si>
  <si>
    <t>102676</t>
  </si>
  <si>
    <t>118656</t>
  </si>
  <si>
    <t>118660</t>
  </si>
  <si>
    <t>147265</t>
  </si>
  <si>
    <t>147266</t>
  </si>
  <si>
    <t>147267</t>
  </si>
  <si>
    <t>147269</t>
  </si>
  <si>
    <t>111546</t>
  </si>
  <si>
    <t>101797</t>
  </si>
  <si>
    <t>101798</t>
  </si>
  <si>
    <t>101801</t>
  </si>
  <si>
    <t>111543</t>
  </si>
  <si>
    <t>101793</t>
  </si>
  <si>
    <t>101794</t>
  </si>
  <si>
    <t>101799</t>
  </si>
  <si>
    <t>111544</t>
  </si>
  <si>
    <t>101795</t>
  </si>
  <si>
    <t>101796</t>
  </si>
  <si>
    <t>101800</t>
  </si>
  <si>
    <t>111545</t>
  </si>
  <si>
    <t>122891</t>
  </si>
  <si>
    <t>122606</t>
  </si>
  <si>
    <t>115510</t>
  </si>
  <si>
    <t>101802</t>
  </si>
  <si>
    <t>101803</t>
  </si>
  <si>
    <t>120424</t>
  </si>
  <si>
    <t>125216</t>
  </si>
  <si>
    <t>122607</t>
  </si>
  <si>
    <t>120426</t>
  </si>
  <si>
    <t>120425</t>
  </si>
  <si>
    <t>120427</t>
  </si>
  <si>
    <t>120423</t>
  </si>
  <si>
    <t>101804</t>
  </si>
  <si>
    <t>130899</t>
  </si>
  <si>
    <t>106840</t>
  </si>
  <si>
    <t>106839</t>
  </si>
  <si>
    <t>106841</t>
  </si>
  <si>
    <t>118962</t>
  </si>
  <si>
    <t>118960</t>
  </si>
  <si>
    <t>118961</t>
  </si>
  <si>
    <t>118959</t>
  </si>
  <si>
    <t>106838</t>
  </si>
  <si>
    <t>101044</t>
  </si>
  <si>
    <t>101048</t>
  </si>
  <si>
    <t>118507</t>
  </si>
  <si>
    <t>118508</t>
  </si>
  <si>
    <t>148770</t>
  </si>
  <si>
    <t>148768</t>
  </si>
  <si>
    <t>148769</t>
  </si>
  <si>
    <t>148771</t>
  </si>
  <si>
    <t>148717</t>
  </si>
  <si>
    <t>148708</t>
  </si>
  <si>
    <t>148706</t>
  </si>
  <si>
    <t>148709</t>
  </si>
  <si>
    <t>148707</t>
  </si>
  <si>
    <t>148705</t>
  </si>
  <si>
    <t>148710</t>
  </si>
  <si>
    <t>148718</t>
  </si>
  <si>
    <t>148716</t>
  </si>
  <si>
    <t>148712</t>
  </si>
  <si>
    <t>148715</t>
  </si>
  <si>
    <t>148713</t>
  </si>
  <si>
    <t>148711</t>
  </si>
  <si>
    <t>148714</t>
  </si>
  <si>
    <t>149046</t>
  </si>
  <si>
    <t>149053</t>
  </si>
  <si>
    <t>149048</t>
  </si>
  <si>
    <t>149054</t>
  </si>
  <si>
    <t>149047</t>
  </si>
  <si>
    <t>149052</t>
  </si>
  <si>
    <t>149051</t>
  </si>
  <si>
    <t>149049</t>
  </si>
  <si>
    <t>149050</t>
  </si>
  <si>
    <t>149055</t>
  </si>
  <si>
    <t>122644</t>
  </si>
  <si>
    <t>122647</t>
  </si>
  <si>
    <t>122643</t>
  </si>
  <si>
    <t>122646</t>
  </si>
  <si>
    <t>122648</t>
  </si>
  <si>
    <t>122645</t>
  </si>
  <si>
    <t>Open Ended Schemes(Debt Scheme - Floater Fund)</t>
  </si>
  <si>
    <t>113078</t>
  </si>
  <si>
    <t>139181</t>
  </si>
  <si>
    <t>113077</t>
  </si>
  <si>
    <t>135336</t>
  </si>
  <si>
    <t>133852</t>
  </si>
  <si>
    <t>120763</t>
  </si>
  <si>
    <t>134788</t>
  </si>
  <si>
    <t>120762</t>
  </si>
  <si>
    <t>133180</t>
  </si>
  <si>
    <t>135536</t>
  </si>
  <si>
    <t>148126</t>
  </si>
  <si>
    <t>148119</t>
  </si>
  <si>
    <t>148123</t>
  </si>
  <si>
    <t>148122</t>
  </si>
  <si>
    <t>148121</t>
  </si>
  <si>
    <t>148120</t>
  </si>
  <si>
    <t>148124</t>
  </si>
  <si>
    <t>148125</t>
  </si>
  <si>
    <t>148117</t>
  </si>
  <si>
    <t>148118</t>
  </si>
  <si>
    <t>116556</t>
  </si>
  <si>
    <t>116555</t>
  </si>
  <si>
    <t>119310</t>
  </si>
  <si>
    <t>119311</t>
  </si>
  <si>
    <t>119098</t>
  </si>
  <si>
    <t>101224</t>
  </si>
  <si>
    <t>101909</t>
  </si>
  <si>
    <t>119097</t>
  </si>
  <si>
    <t>102206</t>
  </si>
  <si>
    <t>102205</t>
  </si>
  <si>
    <t>119670</t>
  </si>
  <si>
    <t>119671</t>
  </si>
  <si>
    <t>141060</t>
  </si>
  <si>
    <t>141061</t>
  </si>
  <si>
    <t>134493</t>
  </si>
  <si>
    <t>134494</t>
  </si>
  <si>
    <t>122260</t>
  </si>
  <si>
    <t>116485</t>
  </si>
  <si>
    <t>116484</t>
  </si>
  <si>
    <t>116483</t>
  </si>
  <si>
    <t>120086</t>
  </si>
  <si>
    <t>120085</t>
  </si>
  <si>
    <t>120084</t>
  </si>
  <si>
    <t>102849</t>
  </si>
  <si>
    <t>117974</t>
  </si>
  <si>
    <t>102851</t>
  </si>
  <si>
    <t>118747</t>
  </si>
  <si>
    <t>118749</t>
  </si>
  <si>
    <t>118750</t>
  </si>
  <si>
    <t>140771</t>
  </si>
  <si>
    <t>140772</t>
  </si>
  <si>
    <t>140770</t>
  </si>
  <si>
    <t>140769</t>
  </si>
  <si>
    <t>144402</t>
  </si>
  <si>
    <t>144405</t>
  </si>
  <si>
    <t>144401</t>
  </si>
  <si>
    <t>144404</t>
  </si>
  <si>
    <t>144406</t>
  </si>
  <si>
    <t>144403</t>
  </si>
  <si>
    <t>108511</t>
  </si>
  <si>
    <t>117998</t>
  </si>
  <si>
    <t>119755</t>
  </si>
  <si>
    <t>119753</t>
  </si>
  <si>
    <t>101808</t>
  </si>
  <si>
    <t>105638</t>
  </si>
  <si>
    <t>133388</t>
  </si>
  <si>
    <t>120435</t>
  </si>
  <si>
    <t>122315</t>
  </si>
  <si>
    <t>101807</t>
  </si>
  <si>
    <t>105637</t>
  </si>
  <si>
    <t>133390</t>
  </si>
  <si>
    <t>101805</t>
  </si>
  <si>
    <t>133389</t>
  </si>
  <si>
    <t>101806</t>
  </si>
  <si>
    <t>105639</t>
  </si>
  <si>
    <t>122323</t>
  </si>
  <si>
    <t>120433</t>
  </si>
  <si>
    <t>133414</t>
  </si>
  <si>
    <t>120434</t>
  </si>
  <si>
    <t>120432</t>
  </si>
  <si>
    <t>149024</t>
  </si>
  <si>
    <t>149022</t>
  </si>
  <si>
    <t>149026</t>
  </si>
  <si>
    <t>149021</t>
  </si>
  <si>
    <t>149027</t>
  </si>
  <si>
    <t>149025</t>
  </si>
  <si>
    <t>149023</t>
  </si>
  <si>
    <t>149028</t>
  </si>
  <si>
    <t>149029</t>
  </si>
  <si>
    <t>149030</t>
  </si>
  <si>
    <t>113417</t>
  </si>
  <si>
    <t>101350</t>
  </si>
  <si>
    <t>113220</t>
  </si>
  <si>
    <t>101351</t>
  </si>
  <si>
    <t>113403</t>
  </si>
  <si>
    <t>112094</t>
  </si>
  <si>
    <t>112097</t>
  </si>
  <si>
    <t>112096</t>
  </si>
  <si>
    <t>130938</t>
  </si>
  <si>
    <t>120604</t>
  </si>
  <si>
    <t>120602</t>
  </si>
  <si>
    <t>120600</t>
  </si>
  <si>
    <t>120603</t>
  </si>
  <si>
    <t>120601</t>
  </si>
  <si>
    <t>130937</t>
  </si>
  <si>
    <t>113218</t>
  </si>
  <si>
    <t>151085</t>
  </si>
  <si>
    <t>151084</t>
  </si>
  <si>
    <t>151089</t>
  </si>
  <si>
    <t>151086</t>
  </si>
  <si>
    <t>151087</t>
  </si>
  <si>
    <t>151088</t>
  </si>
  <si>
    <t>101875</t>
  </si>
  <si>
    <t>119074</t>
  </si>
  <si>
    <t>101873</t>
  </si>
  <si>
    <t>119073</t>
  </si>
  <si>
    <t>133370</t>
  </si>
  <si>
    <t>133369</t>
  </si>
  <si>
    <t>101874</t>
  </si>
  <si>
    <t>119072</t>
  </si>
  <si>
    <t>119075</t>
  </si>
  <si>
    <t>101872</t>
  </si>
  <si>
    <t>145594</t>
  </si>
  <si>
    <t>145592</t>
  </si>
  <si>
    <t>145598</t>
  </si>
  <si>
    <t>145593</t>
  </si>
  <si>
    <t>145597</t>
  </si>
  <si>
    <t>145591</t>
  </si>
  <si>
    <t>145595</t>
  </si>
  <si>
    <t>145596</t>
  </si>
  <si>
    <t>145590</t>
  </si>
  <si>
    <t>145589</t>
  </si>
  <si>
    <t>148310</t>
  </si>
  <si>
    <t>147986</t>
  </si>
  <si>
    <t>100499</t>
  </si>
  <si>
    <t>148309</t>
  </si>
  <si>
    <t>147987</t>
  </si>
  <si>
    <t>147988</t>
  </si>
  <si>
    <t>147985</t>
  </si>
  <si>
    <t>147981</t>
  </si>
  <si>
    <t>147983</t>
  </si>
  <si>
    <t>147984</t>
  </si>
  <si>
    <t>147982</t>
  </si>
  <si>
    <t>148307</t>
  </si>
  <si>
    <t>148308</t>
  </si>
  <si>
    <t>100498</t>
  </si>
  <si>
    <t>118496</t>
  </si>
  <si>
    <t>118495</t>
  </si>
  <si>
    <t>105878</t>
  </si>
  <si>
    <t>105667</t>
  </si>
  <si>
    <t>111786</t>
  </si>
  <si>
    <t>105668</t>
  </si>
  <si>
    <t>105669</t>
  </si>
  <si>
    <t>119237</t>
  </si>
  <si>
    <t>119236</t>
  </si>
  <si>
    <t>119240</t>
  </si>
  <si>
    <t>119238</t>
  </si>
  <si>
    <t>119239</t>
  </si>
  <si>
    <t>111963</t>
  </si>
  <si>
    <t>111962</t>
  </si>
  <si>
    <t>118283</t>
  </si>
  <si>
    <t>118284</t>
  </si>
  <si>
    <t>150172</t>
  </si>
  <si>
    <t>150175</t>
  </si>
  <si>
    <t>150177</t>
  </si>
  <si>
    <t>150176</t>
  </si>
  <si>
    <t>150178</t>
  </si>
  <si>
    <t>150173</t>
  </si>
  <si>
    <t>150174</t>
  </si>
  <si>
    <t>150184</t>
  </si>
  <si>
    <t>150183</t>
  </si>
  <si>
    <t>150182</t>
  </si>
  <si>
    <t>150181</t>
  </si>
  <si>
    <t>150180</t>
  </si>
  <si>
    <t>150179</t>
  </si>
  <si>
    <t>118418</t>
  </si>
  <si>
    <t>131396</t>
  </si>
  <si>
    <t>118417</t>
  </si>
  <si>
    <t>122618</t>
  </si>
  <si>
    <t>118416</t>
  </si>
  <si>
    <t>118415</t>
  </si>
  <si>
    <t>131397</t>
  </si>
  <si>
    <t>111523</t>
  </si>
  <si>
    <t>122868</t>
  </si>
  <si>
    <t>111524</t>
  </si>
  <si>
    <t>108675</t>
  </si>
  <si>
    <t>108561</t>
  </si>
  <si>
    <t>115069</t>
  </si>
  <si>
    <t>115131</t>
  </si>
  <si>
    <t>115068</t>
  </si>
  <si>
    <t>120452</t>
  </si>
  <si>
    <t>120450</t>
  </si>
  <si>
    <t>120451</t>
  </si>
  <si>
    <t>102766</t>
  </si>
  <si>
    <t>111521</t>
  </si>
  <si>
    <t>132917</t>
  </si>
  <si>
    <t>119502</t>
  </si>
  <si>
    <t>119503</t>
  </si>
  <si>
    <t>132918</t>
  </si>
  <si>
    <t>102767</t>
  </si>
  <si>
    <t>119505</t>
  </si>
  <si>
    <t>122712</t>
  </si>
  <si>
    <t>122719</t>
  </si>
  <si>
    <t>122720</t>
  </si>
  <si>
    <t>122711</t>
  </si>
  <si>
    <t>122717</t>
  </si>
  <si>
    <t>122721</t>
  </si>
  <si>
    <t>122715</t>
  </si>
  <si>
    <t>122612</t>
  </si>
  <si>
    <t>Open Ended Schemes(Debt Scheme - Dynamic Bond)</t>
  </si>
  <si>
    <t>117982</t>
  </si>
  <si>
    <t>131418</t>
  </si>
  <si>
    <t>135419</t>
  </si>
  <si>
    <t>135051</t>
  </si>
  <si>
    <t>133344</t>
  </si>
  <si>
    <t>120765</t>
  </si>
  <si>
    <t>131419</t>
  </si>
  <si>
    <t>135418</t>
  </si>
  <si>
    <t>120764</t>
  </si>
  <si>
    <t>136302</t>
  </si>
  <si>
    <t>135290</t>
  </si>
  <si>
    <t>117981</t>
  </si>
  <si>
    <t>148148</t>
  </si>
  <si>
    <t>148153</t>
  </si>
  <si>
    <t>148152</t>
  </si>
  <si>
    <t>148149</t>
  </si>
  <si>
    <t>148155</t>
  </si>
  <si>
    <t>148150</t>
  </si>
  <si>
    <t>148154</t>
  </si>
  <si>
    <t>148145</t>
  </si>
  <si>
    <t>148151</t>
  </si>
  <si>
    <t>148156</t>
  </si>
  <si>
    <t>148146</t>
  </si>
  <si>
    <t>148147</t>
  </si>
  <si>
    <t>147649</t>
  </si>
  <si>
    <t>147652</t>
  </si>
  <si>
    <t>147658</t>
  </si>
  <si>
    <t>147650</t>
  </si>
  <si>
    <t>147654</t>
  </si>
  <si>
    <t>147657</t>
  </si>
  <si>
    <t>147655</t>
  </si>
  <si>
    <t>147653</t>
  </si>
  <si>
    <t>147660</t>
  </si>
  <si>
    <t>147651</t>
  </si>
  <si>
    <t>147656</t>
  </si>
  <si>
    <t>147659</t>
  </si>
  <si>
    <t>148422</t>
  </si>
  <si>
    <t>148423</t>
  </si>
  <si>
    <t>148424</t>
  </si>
  <si>
    <t>148425</t>
  </si>
  <si>
    <t>148426</t>
  </si>
  <si>
    <t>148420</t>
  </si>
  <si>
    <t>148428</t>
  </si>
  <si>
    <t>148431</t>
  </si>
  <si>
    <t>148430</t>
  </si>
  <si>
    <t>148429</t>
  </si>
  <si>
    <t>148427</t>
  </si>
  <si>
    <t>148432</t>
  </si>
  <si>
    <t>148243</t>
  </si>
  <si>
    <t>148244</t>
  </si>
  <si>
    <t>148235</t>
  </si>
  <si>
    <t>148237</t>
  </si>
  <si>
    <t>148236</t>
  </si>
  <si>
    <t>148234</t>
  </si>
  <si>
    <t>148245</t>
  </si>
  <si>
    <t>148240</t>
  </si>
  <si>
    <t>148238</t>
  </si>
  <si>
    <t>148242</t>
  </si>
  <si>
    <t>148241</t>
  </si>
  <si>
    <t>148239</t>
  </si>
  <si>
    <t>102506</t>
  </si>
  <si>
    <t>102505</t>
  </si>
  <si>
    <t>118211</t>
  </si>
  <si>
    <t>119798</t>
  </si>
  <si>
    <t>119793</t>
  </si>
  <si>
    <t>119792</t>
  </si>
  <si>
    <t>148259</t>
  </si>
  <si>
    <t>148258</t>
  </si>
  <si>
    <t>148261</t>
  </si>
  <si>
    <t>148095</t>
  </si>
  <si>
    <t>148100</t>
  </si>
  <si>
    <t>148097</t>
  </si>
  <si>
    <t>148094</t>
  </si>
  <si>
    <t>148098</t>
  </si>
  <si>
    <t>148096</t>
  </si>
  <si>
    <t>148101</t>
  </si>
  <si>
    <t>112941</t>
  </si>
  <si>
    <t>132871</t>
  </si>
  <si>
    <t>118781</t>
  </si>
  <si>
    <t>132873</t>
  </si>
  <si>
    <t>118780</t>
  </si>
  <si>
    <t>148260</t>
  </si>
  <si>
    <t>148263</t>
  </si>
  <si>
    <t>148264</t>
  </si>
  <si>
    <t>148262</t>
  </si>
  <si>
    <t>112939</t>
  </si>
  <si>
    <t>112938</t>
  </si>
  <si>
    <t>117715</t>
  </si>
  <si>
    <t>119741</t>
  </si>
  <si>
    <t>117716</t>
  </si>
  <si>
    <t>119740</t>
  </si>
  <si>
    <t>130723</t>
  </si>
  <si>
    <t>130721</t>
  </si>
  <si>
    <t>130726</t>
  </si>
  <si>
    <t>130724</t>
  </si>
  <si>
    <t>130722</t>
  </si>
  <si>
    <t>130725</t>
  </si>
  <si>
    <t>114240</t>
  </si>
  <si>
    <t>114241</t>
  </si>
  <si>
    <t>114239</t>
  </si>
  <si>
    <t>130944</t>
  </si>
  <si>
    <t>120709</t>
  </si>
  <si>
    <t>120710</t>
  </si>
  <si>
    <t>120711</t>
  </si>
  <si>
    <t>134341</t>
  </si>
  <si>
    <t>130943</t>
  </si>
  <si>
    <t>134342</t>
  </si>
  <si>
    <t>151041</t>
  </si>
  <si>
    <t>151042</t>
  </si>
  <si>
    <t>151043</t>
  </si>
  <si>
    <t>151046</t>
  </si>
  <si>
    <t>151044</t>
  </si>
  <si>
    <t>151045</t>
  </si>
  <si>
    <t>151047</t>
  </si>
  <si>
    <t>128052</t>
  </si>
  <si>
    <t>128050</t>
  </si>
  <si>
    <t>133147</t>
  </si>
  <si>
    <t>133148</t>
  </si>
  <si>
    <t>128051</t>
  </si>
  <si>
    <t>128053</t>
  </si>
  <si>
    <t>148306</t>
  </si>
  <si>
    <t>147960</t>
  </si>
  <si>
    <t>148305</t>
  </si>
  <si>
    <t>147961</t>
  </si>
  <si>
    <t>147958</t>
  </si>
  <si>
    <t>147959</t>
  </si>
  <si>
    <t>147954</t>
  </si>
  <si>
    <t>147957</t>
  </si>
  <si>
    <t>147955</t>
  </si>
  <si>
    <t>147956</t>
  </si>
  <si>
    <t>148303</t>
  </si>
  <si>
    <t>148304</t>
  </si>
  <si>
    <t>116154</t>
  </si>
  <si>
    <t>116153</t>
  </si>
  <si>
    <t>118552</t>
  </si>
  <si>
    <t>118553</t>
  </si>
  <si>
    <t>101837</t>
  </si>
  <si>
    <t>101838</t>
  </si>
  <si>
    <t>117062</t>
  </si>
  <si>
    <t>117061</t>
  </si>
  <si>
    <t>101840</t>
  </si>
  <si>
    <t>101839</t>
  </si>
  <si>
    <t>119086</t>
  </si>
  <si>
    <t>119085</t>
  </si>
  <si>
    <t>119087</t>
  </si>
  <si>
    <t>119083</t>
  </si>
  <si>
    <t>119082</t>
  </si>
  <si>
    <t>119084</t>
  </si>
  <si>
    <t>148335</t>
  </si>
  <si>
    <t>152893</t>
  </si>
  <si>
    <t>148332</t>
  </si>
  <si>
    <t>148331</t>
  </si>
  <si>
    <t>148330</t>
  </si>
  <si>
    <t>148349</t>
  </si>
  <si>
    <t>148334</t>
  </si>
  <si>
    <t>148333</t>
  </si>
  <si>
    <t>148350</t>
  </si>
  <si>
    <t>133518</t>
  </si>
  <si>
    <t>133517</t>
  </si>
  <si>
    <t>133486</t>
  </si>
  <si>
    <t>152904</t>
  </si>
  <si>
    <t>152902</t>
  </si>
  <si>
    <t>152901</t>
  </si>
  <si>
    <t>133488</t>
  </si>
  <si>
    <t>152900</t>
  </si>
  <si>
    <t>133524</t>
  </si>
  <si>
    <t>133520</t>
  </si>
  <si>
    <t>152895</t>
  </si>
  <si>
    <t>152896</t>
  </si>
  <si>
    <t>152897</t>
  </si>
  <si>
    <t>152898</t>
  </si>
  <si>
    <t>152894</t>
  </si>
  <si>
    <t>152899</t>
  </si>
  <si>
    <t>152892</t>
  </si>
  <si>
    <t>152905</t>
  </si>
  <si>
    <t>152903</t>
  </si>
  <si>
    <t>133867</t>
  </si>
  <si>
    <t>133868</t>
  </si>
  <si>
    <t>140604</t>
  </si>
  <si>
    <t>140606</t>
  </si>
  <si>
    <t>140603</t>
  </si>
  <si>
    <t>140610</t>
  </si>
  <si>
    <t>140607</t>
  </si>
  <si>
    <t>140612</t>
  </si>
  <si>
    <t>140611</t>
  </si>
  <si>
    <t>140609</t>
  </si>
  <si>
    <t>140608</t>
  </si>
  <si>
    <t>140605</t>
  </si>
  <si>
    <t>130310</t>
  </si>
  <si>
    <t>130313</t>
  </si>
  <si>
    <t>130309</t>
  </si>
  <si>
    <t>130311</t>
  </si>
  <si>
    <t>130312</t>
  </si>
  <si>
    <t>130314</t>
  </si>
  <si>
    <t>134383</t>
  </si>
  <si>
    <t>134384</t>
  </si>
  <si>
    <t>134386</t>
  </si>
  <si>
    <t>134387</t>
  </si>
  <si>
    <t>134388</t>
  </si>
  <si>
    <t>134385</t>
  </si>
  <si>
    <t>Open Ended Schemes(Debt Scheme - Credit Risk Fund)</t>
  </si>
  <si>
    <t>144342</t>
  </si>
  <si>
    <t>144343</t>
  </si>
  <si>
    <t>144345</t>
  </si>
  <si>
    <t>144338</t>
  </si>
  <si>
    <t>144337</t>
  </si>
  <si>
    <t>144346</t>
  </si>
  <si>
    <t>144340</t>
  </si>
  <si>
    <t>144339</t>
  </si>
  <si>
    <t>144341</t>
  </si>
  <si>
    <t>144344</t>
  </si>
  <si>
    <t>148089</t>
  </si>
  <si>
    <t>148087</t>
  </si>
  <si>
    <t>148088</t>
  </si>
  <si>
    <t>148075</t>
  </si>
  <si>
    <t>148092</t>
  </si>
  <si>
    <t>148091</t>
  </si>
  <si>
    <t>148090</t>
  </si>
  <si>
    <t>148076</t>
  </si>
  <si>
    <t>148086</t>
  </si>
  <si>
    <t>148085</t>
  </si>
  <si>
    <t>143240</t>
  </si>
  <si>
    <t>143239</t>
  </si>
  <si>
    <t>143242</t>
  </si>
  <si>
    <t>143241</t>
  </si>
  <si>
    <t>151319</t>
  </si>
  <si>
    <t>151322</t>
  </si>
  <si>
    <t>151321</t>
  </si>
  <si>
    <t>151320</t>
  </si>
  <si>
    <t>149359</t>
  </si>
  <si>
    <t>149354</t>
  </si>
  <si>
    <t>149352</t>
  </si>
  <si>
    <t>149360</t>
  </si>
  <si>
    <t>149363</t>
  </si>
  <si>
    <t>149353</t>
  </si>
  <si>
    <t>149351</t>
  </si>
  <si>
    <t>149358</t>
  </si>
  <si>
    <t>149362</t>
  </si>
  <si>
    <t>149356</t>
  </si>
  <si>
    <t>149355</t>
  </si>
  <si>
    <t>149357</t>
  </si>
  <si>
    <t>149364</t>
  </si>
  <si>
    <t>149361</t>
  </si>
  <si>
    <t>100787</t>
  </si>
  <si>
    <t>100788</t>
  </si>
  <si>
    <t>100789</t>
  </si>
  <si>
    <t>100785</t>
  </si>
  <si>
    <t>100786</t>
  </si>
  <si>
    <t>119630</t>
  </si>
  <si>
    <t>119631</t>
  </si>
  <si>
    <t>119622</t>
  </si>
  <si>
    <t>119624</t>
  </si>
  <si>
    <t>119621</t>
  </si>
  <si>
    <t>119628</t>
  </si>
  <si>
    <t>146210</t>
  </si>
  <si>
    <t>146208</t>
  </si>
  <si>
    <t>146207</t>
  </si>
  <si>
    <t>146216</t>
  </si>
  <si>
    <t>146212</t>
  </si>
  <si>
    <t>146215</t>
  </si>
  <si>
    <t>138334</t>
  </si>
  <si>
    <t>138333</t>
  </si>
  <si>
    <t>138324</t>
  </si>
  <si>
    <t>138336</t>
  </si>
  <si>
    <t>138315</t>
  </si>
  <si>
    <t>138323</t>
  </si>
  <si>
    <t>138316</t>
  </si>
  <si>
    <t>138318</t>
  </si>
  <si>
    <t>138332</t>
  </si>
  <si>
    <t>138331</t>
  </si>
  <si>
    <t>138330</t>
  </si>
  <si>
    <t>138329</t>
  </si>
  <si>
    <t>138317</t>
  </si>
  <si>
    <t>109473</t>
  </si>
  <si>
    <t>100858</t>
  </si>
  <si>
    <t>100857</t>
  </si>
  <si>
    <t>125267</t>
  </si>
  <si>
    <t>100856</t>
  </si>
  <si>
    <t>100859</t>
  </si>
  <si>
    <t>118814</t>
  </si>
  <si>
    <t>118807</t>
  </si>
  <si>
    <t>118812</t>
  </si>
  <si>
    <t>118811</t>
  </si>
  <si>
    <t>118809</t>
  </si>
  <si>
    <t>125266</t>
  </si>
  <si>
    <t>118808</t>
  </si>
  <si>
    <t>109472</t>
  </si>
  <si>
    <t>148758</t>
  </si>
  <si>
    <t>148757</t>
  </si>
  <si>
    <t>148756</t>
  </si>
  <si>
    <t>148755</t>
  </si>
  <si>
    <t>133786</t>
  </si>
  <si>
    <t>133776</t>
  </si>
  <si>
    <t>133783</t>
  </si>
  <si>
    <t>133771</t>
  </si>
  <si>
    <t>133779</t>
  </si>
  <si>
    <t>133777</t>
  </si>
  <si>
    <t>133787</t>
  </si>
  <si>
    <t>133782</t>
  </si>
  <si>
    <t>133772</t>
  </si>
  <si>
    <t>133792</t>
  </si>
  <si>
    <t>133791</t>
  </si>
  <si>
    <t>133770</t>
  </si>
  <si>
    <t>106172</t>
  </si>
  <si>
    <t>106171</t>
  </si>
  <si>
    <t>106177</t>
  </si>
  <si>
    <t>116109</t>
  </si>
  <si>
    <t>106179</t>
  </si>
  <si>
    <t>120501</t>
  </si>
  <si>
    <t>120496</t>
  </si>
  <si>
    <t>120497</t>
  </si>
  <si>
    <t>120499</t>
  </si>
  <si>
    <t>120500</t>
  </si>
  <si>
    <t>111977</t>
  </si>
  <si>
    <t>111980</t>
  </si>
  <si>
    <t>111979</t>
  </si>
  <si>
    <t>111972</t>
  </si>
  <si>
    <t>111978</t>
  </si>
  <si>
    <t>111976</t>
  </si>
  <si>
    <t>111992</t>
  </si>
  <si>
    <t>111989</t>
  </si>
  <si>
    <t>111985</t>
  </si>
  <si>
    <t>111982</t>
  </si>
  <si>
    <t>111991</t>
  </si>
  <si>
    <t>131151</t>
  </si>
  <si>
    <t>111987</t>
  </si>
  <si>
    <t>111990</t>
  </si>
  <si>
    <t>120693</t>
  </si>
  <si>
    <t>120694</t>
  </si>
  <si>
    <t>120697</t>
  </si>
  <si>
    <t>131152</t>
  </si>
  <si>
    <t>120692</t>
  </si>
  <si>
    <t>120696</t>
  </si>
  <si>
    <t>120695</t>
  </si>
  <si>
    <t>111988</t>
  </si>
  <si>
    <t>130947</t>
  </si>
  <si>
    <t>150995</t>
  </si>
  <si>
    <t>150994</t>
  </si>
  <si>
    <t>150993</t>
  </si>
  <si>
    <t>150992</t>
  </si>
  <si>
    <t>151001</t>
  </si>
  <si>
    <t>150997</t>
  </si>
  <si>
    <t>150998</t>
  </si>
  <si>
    <t>150996</t>
  </si>
  <si>
    <t>151000</t>
  </si>
  <si>
    <t>118986</t>
  </si>
  <si>
    <t>113071</t>
  </si>
  <si>
    <t>132849</t>
  </si>
  <si>
    <t>132848</t>
  </si>
  <si>
    <t>118987</t>
  </si>
  <si>
    <t>113070</t>
  </si>
  <si>
    <t>100530</t>
  </si>
  <si>
    <t>100529</t>
  </si>
  <si>
    <t>100531</t>
  </si>
  <si>
    <t>118572</t>
  </si>
  <si>
    <t>118571</t>
  </si>
  <si>
    <t>118573</t>
  </si>
  <si>
    <t>118570</t>
  </si>
  <si>
    <t>100527</t>
  </si>
  <si>
    <t>100532</t>
  </si>
  <si>
    <t>100528</t>
  </si>
  <si>
    <t>118569</t>
  </si>
  <si>
    <t>119289</t>
  </si>
  <si>
    <t>144649</t>
  </si>
  <si>
    <t>144645</t>
  </si>
  <si>
    <t>144650</t>
  </si>
  <si>
    <t>144644</t>
  </si>
  <si>
    <t>144648</t>
  </si>
  <si>
    <t>144651</t>
  </si>
  <si>
    <t>144647</t>
  </si>
  <si>
    <t>144646</t>
  </si>
  <si>
    <t>126688</t>
  </si>
  <si>
    <t>126687</t>
  </si>
  <si>
    <t>126686</t>
  </si>
  <si>
    <t>126685</t>
  </si>
  <si>
    <t>150232</t>
  </si>
  <si>
    <t>150234</t>
  </si>
  <si>
    <t>150235</t>
  </si>
  <si>
    <t>150233</t>
  </si>
  <si>
    <t>150239</t>
  </si>
  <si>
    <t>150238</t>
  </si>
  <si>
    <t>150237</t>
  </si>
  <si>
    <t>150236</t>
  </si>
  <si>
    <t>150228</t>
  </si>
  <si>
    <t>150231</t>
  </si>
  <si>
    <t>150229</t>
  </si>
  <si>
    <t>150230</t>
  </si>
  <si>
    <t>139205</t>
  </si>
  <si>
    <t>135915</t>
  </si>
  <si>
    <t>139202</t>
  </si>
  <si>
    <t>139203</t>
  </si>
  <si>
    <t>135914</t>
  </si>
  <si>
    <t>139204</t>
  </si>
  <si>
    <t>139199</t>
  </si>
  <si>
    <t>135917</t>
  </si>
  <si>
    <t>139198</t>
  </si>
  <si>
    <t>139200</t>
  </si>
  <si>
    <t>135916</t>
  </si>
  <si>
    <t>139201</t>
  </si>
  <si>
    <t>141593</t>
  </si>
  <si>
    <t>141592</t>
  </si>
  <si>
    <t>141595</t>
  </si>
  <si>
    <t>141594</t>
  </si>
  <si>
    <t>141589</t>
  </si>
  <si>
    <t>141588</t>
  </si>
  <si>
    <t>141587</t>
  </si>
  <si>
    <t>141591</t>
  </si>
  <si>
    <t>141590</t>
  </si>
  <si>
    <t>141586</t>
  </si>
  <si>
    <t>103183</t>
  </si>
  <si>
    <t>124833</t>
  </si>
  <si>
    <t>119532</t>
  </si>
  <si>
    <t>124832</t>
  </si>
  <si>
    <t>103178</t>
  </si>
  <si>
    <t>119533</t>
  </si>
  <si>
    <t>Open Ended Schemes(Debt Scheme - Corporate Bond Fund)</t>
  </si>
  <si>
    <t>126939</t>
  </si>
  <si>
    <t>126941</t>
  </si>
  <si>
    <t>136110</t>
  </si>
  <si>
    <t>139407</t>
  </si>
  <si>
    <t>133971</t>
  </si>
  <si>
    <t>140116</t>
  </si>
  <si>
    <t>126942</t>
  </si>
  <si>
    <t>134026</t>
  </si>
  <si>
    <t>141375</t>
  </si>
  <si>
    <t>126940</t>
  </si>
  <si>
    <t>133972</t>
  </si>
  <si>
    <t>140135</t>
  </si>
  <si>
    <t>100780</t>
  </si>
  <si>
    <t>100781</t>
  </si>
  <si>
    <t>100783</t>
  </si>
  <si>
    <t>100793</t>
  </si>
  <si>
    <t>100784</t>
  </si>
  <si>
    <t>100782</t>
  </si>
  <si>
    <t>118326</t>
  </si>
  <si>
    <t>119626</t>
  </si>
  <si>
    <t>119625</t>
  </si>
  <si>
    <t>119627</t>
  </si>
  <si>
    <t>119629</t>
  </si>
  <si>
    <t>134360</t>
  </si>
  <si>
    <t>134362</t>
  </si>
  <si>
    <t>134361</t>
  </si>
  <si>
    <t>134359</t>
  </si>
  <si>
    <t>134356</t>
  </si>
  <si>
    <t>134358</t>
  </si>
  <si>
    <t>134355</t>
  </si>
  <si>
    <t>134369</t>
  </si>
  <si>
    <t>134370</t>
  </si>
  <si>
    <t>134363</t>
  </si>
  <si>
    <t>125500</t>
  </si>
  <si>
    <t>125501</t>
  </si>
  <si>
    <t>125499</t>
  </si>
  <si>
    <t>125498</t>
  </si>
  <si>
    <t>125504</t>
  </si>
  <si>
    <t>125505</t>
  </si>
  <si>
    <t>125503</t>
  </si>
  <si>
    <t>125502</t>
  </si>
  <si>
    <t>134545</t>
  </si>
  <si>
    <t>134546</t>
  </si>
  <si>
    <t>134552</t>
  </si>
  <si>
    <t>134551</t>
  </si>
  <si>
    <t>134549</t>
  </si>
  <si>
    <t>134548</t>
  </si>
  <si>
    <t>134554</t>
  </si>
  <si>
    <t>134556</t>
  </si>
  <si>
    <t>134550</t>
  </si>
  <si>
    <t>134547</t>
  </si>
  <si>
    <t>134553</t>
  </si>
  <si>
    <t>134555</t>
  </si>
  <si>
    <t>148418</t>
  </si>
  <si>
    <t>148416</t>
  </si>
  <si>
    <t>148417</t>
  </si>
  <si>
    <t>148419</t>
  </si>
  <si>
    <t>105857</t>
  </si>
  <si>
    <t>105856</t>
  </si>
  <si>
    <t>105823</t>
  </si>
  <si>
    <t>105822</t>
  </si>
  <si>
    <t>120336</t>
  </si>
  <si>
    <t>120339</t>
  </si>
  <si>
    <t>120338</t>
  </si>
  <si>
    <t>120337</t>
  </si>
  <si>
    <t>123692</t>
  </si>
  <si>
    <t>123693</t>
  </si>
  <si>
    <t>123689</t>
  </si>
  <si>
    <t>123691</t>
  </si>
  <si>
    <t>123690</t>
  </si>
  <si>
    <t>148533</t>
  </si>
  <si>
    <t>148535</t>
  </si>
  <si>
    <t>148536</t>
  </si>
  <si>
    <t>148534</t>
  </si>
  <si>
    <t>118233</t>
  </si>
  <si>
    <t>118232</t>
  </si>
  <si>
    <t>118234</t>
  </si>
  <si>
    <t>120445</t>
  </si>
  <si>
    <t>120443</t>
  </si>
  <si>
    <t>120444</t>
  </si>
  <si>
    <t>113243</t>
  </si>
  <si>
    <t>113242</t>
  </si>
  <si>
    <t>113247</t>
  </si>
  <si>
    <t>131147</t>
  </si>
  <si>
    <t>116174</t>
  </si>
  <si>
    <t>112342</t>
  </si>
  <si>
    <t>131148</t>
  </si>
  <si>
    <t>130950</t>
  </si>
  <si>
    <t>120255</t>
  </si>
  <si>
    <t>120258</t>
  </si>
  <si>
    <t>120256</t>
  </si>
  <si>
    <t>120257</t>
  </si>
  <si>
    <t>130897</t>
  </si>
  <si>
    <t>112344</t>
  </si>
  <si>
    <t>112343</t>
  </si>
  <si>
    <t>151103</t>
  </si>
  <si>
    <t>151105</t>
  </si>
  <si>
    <t>151104</t>
  </si>
  <si>
    <t>151102</t>
  </si>
  <si>
    <t>151109</t>
  </si>
  <si>
    <t>151106</t>
  </si>
  <si>
    <t>151107</t>
  </si>
  <si>
    <t>151108</t>
  </si>
  <si>
    <t>128626</t>
  </si>
  <si>
    <t>128627</t>
  </si>
  <si>
    <t>128629</t>
  </si>
  <si>
    <t>128628</t>
  </si>
  <si>
    <t>129007</t>
  </si>
  <si>
    <t>129009</t>
  </si>
  <si>
    <t>129006</t>
  </si>
  <si>
    <t>129008</t>
  </si>
  <si>
    <t>140289</t>
  </si>
  <si>
    <t>140292</t>
  </si>
  <si>
    <t>140294</t>
  </si>
  <si>
    <t>140284</t>
  </si>
  <si>
    <t>140283</t>
  </si>
  <si>
    <t>140290</t>
  </si>
  <si>
    <t>140293</t>
  </si>
  <si>
    <t>140291</t>
  </si>
  <si>
    <t>140288</t>
  </si>
  <si>
    <t>140286</t>
  </si>
  <si>
    <t>124179</t>
  </si>
  <si>
    <t>124181</t>
  </si>
  <si>
    <t>124180</t>
  </si>
  <si>
    <t>124173</t>
  </si>
  <si>
    <t>124174</t>
  </si>
  <si>
    <t>124172</t>
  </si>
  <si>
    <t>124183</t>
  </si>
  <si>
    <t>124177</t>
  </si>
  <si>
    <t>124176</t>
  </si>
  <si>
    <t>124182</t>
  </si>
  <si>
    <t>124178</t>
  </si>
  <si>
    <t>124175</t>
  </si>
  <si>
    <t>150504</t>
  </si>
  <si>
    <t>150503</t>
  </si>
  <si>
    <t>150507</t>
  </si>
  <si>
    <t>150505</t>
  </si>
  <si>
    <t>121937</t>
  </si>
  <si>
    <t>121932</t>
  </si>
  <si>
    <t>121282</t>
  </si>
  <si>
    <t>121280</t>
  </si>
  <si>
    <t>121931</t>
  </si>
  <si>
    <t>127470</t>
  </si>
  <si>
    <t>121933</t>
  </si>
  <si>
    <t>121938</t>
  </si>
  <si>
    <t>121935</t>
  </si>
  <si>
    <t>121281</t>
  </si>
  <si>
    <t>121279</t>
  </si>
  <si>
    <t>121934</t>
  </si>
  <si>
    <t>127471</t>
  </si>
  <si>
    <t>121936</t>
  </si>
  <si>
    <t>152167</t>
  </si>
  <si>
    <t>152162</t>
  </si>
  <si>
    <t>152166</t>
  </si>
  <si>
    <t>152165</t>
  </si>
  <si>
    <t>152163</t>
  </si>
  <si>
    <t>152164</t>
  </si>
  <si>
    <t>117448</t>
  </si>
  <si>
    <t>117449</t>
  </si>
  <si>
    <t>117446</t>
  </si>
  <si>
    <t>117447</t>
  </si>
  <si>
    <t>128953</t>
  </si>
  <si>
    <t>120436</t>
  </si>
  <si>
    <t>120439</t>
  </si>
  <si>
    <t>120438</t>
  </si>
  <si>
    <t>120437</t>
  </si>
  <si>
    <t>128952</t>
  </si>
  <si>
    <t>119550</t>
  </si>
  <si>
    <t>108273</t>
  </si>
  <si>
    <t>108274</t>
  </si>
  <si>
    <t>110282</t>
  </si>
  <si>
    <t>108272</t>
  </si>
  <si>
    <t>119553</t>
  </si>
  <si>
    <t>119552</t>
  </si>
  <si>
    <t>119551</t>
  </si>
  <si>
    <t>Open Ended Schemes(Debt Scheme - Banking and PSU Fund)</t>
  </si>
  <si>
    <t>Remarks</t>
  </si>
  <si>
    <t>Already redeemed</t>
  </si>
  <si>
    <t>120413</t>
  </si>
  <si>
    <t>Monthly</t>
  </si>
  <si>
    <t>Frequency</t>
  </si>
  <si>
    <t>XIRR</t>
  </si>
  <si>
    <t>Account / Scheme</t>
  </si>
  <si>
    <t xml:space="preserve">    Canara Robeco Large And Mid Cap Fund Growth</t>
  </si>
  <si>
    <t xml:space="preserve">    Canara Robeco Large Cap Fund Regulargrowth</t>
  </si>
  <si>
    <t xml:space="preserve">    Hdfc Mid Cap Fund - Growth Option</t>
  </si>
  <si>
    <t xml:space="preserve">    Kotak Contra Fund - Growth</t>
  </si>
  <si>
    <t xml:space="preserve">    Lnt Flexicap Fund Regular Growth Option</t>
  </si>
  <si>
    <t xml:space="preserve">    Nippon India Elss Tax Saver Fund - Growth Plan</t>
  </si>
  <si>
    <t xml:space="preserve">    Nippon India Equity Linked Savings Fund Series - I Growth</t>
  </si>
  <si>
    <t xml:space="preserve">    Sbi Contra Fund Regular Idcw</t>
  </si>
  <si>
    <t xml:space="preserve">    Sbi Elss Tax Saver Fund - Growth</t>
  </si>
  <si>
    <t xml:space="preserve">    Sbi Flexicap Fund - Growth</t>
  </si>
  <si>
    <t xml:space="preserve">    Aditya Birla Sun Life Banking And Financial Services Fund Growth</t>
  </si>
  <si>
    <t xml:space="preserve">    Mahindra Manulife Flexi Cap Fund Growth</t>
  </si>
  <si>
    <t xml:space="preserve">    Mahindra Manulife Focused Fund Growth</t>
  </si>
  <si>
    <t xml:space="preserve">    Mirae Asset Large And Mid Cap Fund Growth</t>
  </si>
  <si>
    <t xml:space="preserve">    Aditya Birla Sun Life Value Fund Growth</t>
  </si>
  <si>
    <t xml:space="preserve">    Icici Prudential Focused Equity Fund Growth</t>
  </si>
  <si>
    <t xml:space="preserve">    Icici Prudential Value Fund Growth</t>
  </si>
  <si>
    <t xml:space="preserve">    Invesco India Multicap Fund Growth</t>
  </si>
  <si>
    <t xml:space="preserve">    Kotak Multicap Fund Growth</t>
  </si>
  <si>
    <t xml:space="preserve">    Mahindra Manulife Large And Mid Cap Fund Growth</t>
  </si>
  <si>
    <t xml:space="preserve">    Mahindra Manulife Mid Cap Fund Growth</t>
  </si>
  <si>
    <t xml:space="preserve">    Principal Emerging Bluechip Fund Growth</t>
  </si>
  <si>
    <t xml:space="preserve">    Sbi Small Cap Fund Growth</t>
  </si>
  <si>
    <t xml:space="preserve">    Sundaram Large And Mid Cap Fund Growth</t>
  </si>
  <si>
    <t xml:space="preserve">    Uti Focused Fund Growth</t>
  </si>
  <si>
    <t xml:space="preserve">    Hdfc Gold Etf Fund Of Fund Direct Growth Option</t>
  </si>
  <si>
    <t xml:space="preserve">    Invesco India Contra Fund - Direct Plan</t>
  </si>
  <si>
    <t xml:space="preserve">    Hdfc Flexicap Fund Direct Growth Option</t>
  </si>
  <si>
    <t xml:space="preserve">    Hdfc Silver Etf Fund Of Fund Direct Growth</t>
  </si>
  <si>
    <t xml:space="preserve">    Icici Prudential Balanced Advantage Fund Direct Growth</t>
  </si>
  <si>
    <t xml:space="preserve">    Invesco India Arbitrage Fund - Direct Plan Growth</t>
  </si>
  <si>
    <t>P&amp;L Type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</si>
  <si>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</si>
  <si>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</si>
  <si>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</si>
  <si>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</si>
  <si>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154331</t>
  </si>
  <si>
    <t>INF200KB1AO0</t>
  </si>
  <si>
    <t>SBI CRISIL - IBX Financial Services 3-6 Months Debt Index Fund - Direct Plan - Growth</t>
  </si>
  <si>
    <t>154332</t>
  </si>
  <si>
    <t>INF200KB1AP7</t>
  </si>
  <si>
    <t>INF200KB1AQ5</t>
  </si>
  <si>
    <t>SBI CRISIL - IBX Financial Services 3-6 Months Debt Index Fund - Direct Plan - IDCW</t>
  </si>
  <si>
    <t>154329</t>
  </si>
  <si>
    <t>INF200KB1AL6</t>
  </si>
  <si>
    <t>SBI CRISIL - IBX Financial Services 3-6 Months Debt Index Fund - Regular Plan - Growth</t>
  </si>
  <si>
    <t>154330</t>
  </si>
  <si>
    <t>INF200KB1AM4</t>
  </si>
  <si>
    <t>INF200KB1AN2</t>
  </si>
  <si>
    <t>SBI CRISIL - IBX Financial Services 3-6 Months Debt Index Fund - Regular Plan - IDCW</t>
  </si>
  <si>
    <t>154334</t>
  </si>
  <si>
    <t>INF200KB1AU7</t>
  </si>
  <si>
    <t>SBI CRISIL - IBX Financial Services 9-12 Months Debt Index Fund - Direct Plan - Growth</t>
  </si>
  <si>
    <t>154335</t>
  </si>
  <si>
    <t>INF200KB1AV5</t>
  </si>
  <si>
    <t>INF200KB1AW3</t>
  </si>
  <si>
    <t>SBI CRISIL - IBX Financial Services 9-12 Months Debt Index Fund - Direct Plan - IDCW</t>
  </si>
  <si>
    <t>154328</t>
  </si>
  <si>
    <t>INF200KB1AR3</t>
  </si>
  <si>
    <t>SBI CRISIL - IBX Financial Services 9-12 Months Debt Index Fund - Regular Plan - Growth</t>
  </si>
  <si>
    <t>154333</t>
  </si>
  <si>
    <t>INF200KB1AS1</t>
  </si>
  <si>
    <t>INF200KB1AT9</t>
  </si>
  <si>
    <t>SBI CRISIL - IBX Financial Services 9-12 Months Debt Index Fund - Regular Plan - IDCW</t>
  </si>
  <si>
    <t>INF789F1AZV0</t>
  </si>
  <si>
    <t>INF789F1AZZ1</t>
  </si>
  <si>
    <t>INF789F1AZT4</t>
  </si>
  <si>
    <t>INF789F1AZX6</t>
  </si>
  <si>
    <t>INF789F1AZR8</t>
  </si>
  <si>
    <t>INF789F1AZP2</t>
  </si>
  <si>
    <t>INF789F1AA56</t>
  </si>
  <si>
    <t>INF789F1AA64</t>
  </si>
  <si>
    <t>154320</t>
  </si>
  <si>
    <t>INF666M01ON8</t>
  </si>
  <si>
    <t>Groww Arbitrage Fund Direct Growth</t>
  </si>
  <si>
    <t>154323</t>
  </si>
  <si>
    <t>INF666M01OO6</t>
  </si>
  <si>
    <t>INF666M01OP3</t>
  </si>
  <si>
    <t>Groww Arbitrage Fund Direct IDCW</t>
  </si>
  <si>
    <t>154325</t>
  </si>
  <si>
    <t>INF666M01OQ1</t>
  </si>
  <si>
    <t>Groww Arbitrage Fund Regular Growth</t>
  </si>
  <si>
    <t>154324</t>
  </si>
  <si>
    <t>INF666M01OR9</t>
  </si>
  <si>
    <t>INF666M01OS7</t>
  </si>
  <si>
    <t>Groww Arbitrage Fund Regular IDCW</t>
  </si>
  <si>
    <t>154316</t>
  </si>
  <si>
    <t>INF174KA1ZO0</t>
  </si>
  <si>
    <t>Kotak Multi Asset Active FOF - Direct - Growth</t>
  </si>
  <si>
    <t>154317</t>
  </si>
  <si>
    <t>INF174KA1ZP7</t>
  </si>
  <si>
    <t>INF174KA1ZQ5</t>
  </si>
  <si>
    <t>Kotak Multi Asset Active FOF - Direct - IDCW</t>
  </si>
  <si>
    <t>154319</t>
  </si>
  <si>
    <t>INF174KA1ZR3</t>
  </si>
  <si>
    <t>Kotak Multi Asset Active FOF - Regular - Growth</t>
  </si>
  <si>
    <t>154318</t>
  </si>
  <si>
    <t>INF174KA1ZS1</t>
  </si>
  <si>
    <t>INF174KA1ZT9</t>
  </si>
  <si>
    <t>Kotak Multi Asset Active FOF - Regular- IDCW</t>
  </si>
  <si>
    <t>INF205KA1BP1</t>
  </si>
  <si>
    <t>154361</t>
  </si>
  <si>
    <t>INF174KA1A03</t>
  </si>
  <si>
    <t>INF174KA1ZY9</t>
  </si>
  <si>
    <t>Kotak Low Duration Fund - Direct Plan - Monthly - Reinvestment &amp; Payout of Income Distribution cum Capital Withdrawal Option</t>
  </si>
  <si>
    <t>154358</t>
  </si>
  <si>
    <t>INF174KA1ZW3</t>
  </si>
  <si>
    <t>INF174KA1ZU7</t>
  </si>
  <si>
    <t>Kotak Low Duration Fund - Direct Plan - Weekly - Reinvestment &amp; Payout of Income Distribution cum Capital Withdrawal Option</t>
  </si>
  <si>
    <t>154326</t>
  </si>
  <si>
    <t>INF846KA1523</t>
  </si>
  <si>
    <t>Axis Nifty India Defence Index Fund - Direct Plan - Growth</t>
  </si>
  <si>
    <t>154327</t>
  </si>
  <si>
    <t>INF846KA1515</t>
  </si>
  <si>
    <t>Axis Nifty India Defence Index Fund - Regular Plan - Growth</t>
  </si>
  <si>
    <t>HDFC ARBITRAGE FUND - Monthly IDCW - Direct Plan</t>
  </si>
  <si>
    <t>HDFC ARBITRAGE FUND - Regular Plan - Monthly IDCW Option</t>
  </si>
  <si>
    <t>HDFC ARBITRAGE FUND - Regular Plan -Growth Option</t>
  </si>
  <si>
    <t>HDFC ARBITRAGE FUND -Direct Plan - Growth Option</t>
  </si>
  <si>
    <t>154348</t>
  </si>
  <si>
    <t>INF846KA1549</t>
  </si>
  <si>
    <t>Axis Nifty Capital Markets Index Fund- Direct Plan</t>
  </si>
  <si>
    <t>154349</t>
  </si>
  <si>
    <t>INF846KA1531</t>
  </si>
  <si>
    <t>Axis Nifty Capital Markets Index Fund- Regular Plan</t>
  </si>
  <si>
    <t>154340</t>
  </si>
  <si>
    <t>INF205KA1BM8</t>
  </si>
  <si>
    <t>Invesco India BSE Sensex Index Fund - Direct Plan - Growth</t>
  </si>
  <si>
    <t>154342</t>
  </si>
  <si>
    <t>INF205KA1BL0</t>
  </si>
  <si>
    <t>Invesco India BSE Sensex Index Fund - Regular Plan - Growth</t>
  </si>
  <si>
    <t>154343</t>
  </si>
  <si>
    <t>INF205KA1BO4</t>
  </si>
  <si>
    <t>Invesco India Nifty Bank Index Fund - Direct Plan - Growth</t>
  </si>
  <si>
    <t>154344</t>
  </si>
  <si>
    <t>INF205KA1BN6</t>
  </si>
  <si>
    <t>Invesco India Nifty Bank Index Fund - Regular Plan - Growth</t>
  </si>
  <si>
    <t>154357</t>
  </si>
  <si>
    <t>INF740KA1ZA4</t>
  </si>
  <si>
    <t>DSP Nifty FMCG ETF</t>
  </si>
  <si>
    <t>154347</t>
  </si>
  <si>
    <t>INF754K01XF3</t>
  </si>
  <si>
    <t>Edelweiss Nifty Next 50 ETF</t>
  </si>
  <si>
    <t>154345</t>
  </si>
  <si>
    <t>INF666M01OT5</t>
  </si>
  <si>
    <t>Groww Nifty Private Bank ETF</t>
  </si>
  <si>
    <t>154353</t>
  </si>
  <si>
    <t>INF200KB1AY9</t>
  </si>
  <si>
    <t>SBI Nifty Smallcap 250 ETF</t>
  </si>
  <si>
    <t>154354</t>
  </si>
  <si>
    <t>INF200KB1AX1</t>
  </si>
  <si>
    <t>SBI Nifty200 Value 30 ETF</t>
  </si>
  <si>
    <t>Sundaram Services Fund Direct Plan - Reinvestment of Income Distribution cum Capital Withdrawal (IDCW)</t>
  </si>
  <si>
    <t>Sundaram Services Fund Regular Plan - Reinvestment of Income Distribution cum Capital Withdrawal (IDCW)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</si>
  <si>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</si>
  <si>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</si>
  <si>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</si>
  <si>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</si>
  <si>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154346</t>
  </si>
  <si>
    <t>INF666M01OU3</t>
  </si>
  <si>
    <t>Groww Nifty Private Bank Index Fund Direct Growth</t>
  </si>
  <si>
    <t>154352</t>
  </si>
  <si>
    <t>INF666M01OV1</t>
  </si>
  <si>
    <t>INF666M01OW9</t>
  </si>
  <si>
    <t>Groww Nifty Private Bank Index Fund Direct IDCW</t>
  </si>
  <si>
    <t>154350</t>
  </si>
  <si>
    <t>INF666M01OX7</t>
  </si>
  <si>
    <t>Groww Nifty Private Bank Index Fund Regular Growth</t>
  </si>
  <si>
    <t>154351</t>
  </si>
  <si>
    <t>INF666M01OY5</t>
  </si>
  <si>
    <t>INF666M01OZ2</t>
  </si>
  <si>
    <t>Groww Nifty Private Bank Index Fund Regular IDCW</t>
  </si>
  <si>
    <t>INF209K01XR3</t>
  </si>
  <si>
    <t>INF251K01VT5</t>
  </si>
  <si>
    <t>INF251K01VS7</t>
  </si>
  <si>
    <t>154395</t>
  </si>
  <si>
    <t>INF680P01513</t>
  </si>
  <si>
    <t>Shriram Overnight Fund- Direct Daily IDCW</t>
  </si>
  <si>
    <t>154394</t>
  </si>
  <si>
    <t>INF680P01497</t>
  </si>
  <si>
    <t>Shriram Overnight Fund- Direct Growth</t>
  </si>
  <si>
    <t>154396</t>
  </si>
  <si>
    <t>INF680P01612</t>
  </si>
  <si>
    <t>INF680P01638</t>
  </si>
  <si>
    <t>Shriram Overnight Fund- Direct Monthly IDCW</t>
  </si>
  <si>
    <t>154398</t>
  </si>
  <si>
    <t>INF680P01521</t>
  </si>
  <si>
    <t>Shriram Overnight Fund- Regular Daily IDCW</t>
  </si>
  <si>
    <t>154399</t>
  </si>
  <si>
    <t>INF680P01505</t>
  </si>
  <si>
    <t>Shriram Overnight Fund- Regular Growth</t>
  </si>
  <si>
    <t>154402</t>
  </si>
  <si>
    <t>INF680P01620</t>
  </si>
  <si>
    <t>INF680P01646</t>
  </si>
  <si>
    <t>Shriram Overnight Fund- Regular Monthly IDCW</t>
  </si>
  <si>
    <t>154337</t>
  </si>
  <si>
    <t>INF247L01GW6</t>
  </si>
  <si>
    <t>Motilal Oswal Contra Fund - Direct â€“ Growth</t>
  </si>
  <si>
    <t>154339</t>
  </si>
  <si>
    <t>INF247L01HA0</t>
  </si>
  <si>
    <t>INF247L01HB8</t>
  </si>
  <si>
    <t>Motilal Oswal Contra Fund - Regular - IDCW</t>
  </si>
  <si>
    <t>154338</t>
  </si>
  <si>
    <t>INF247L01GZ9</t>
  </si>
  <si>
    <t>Motilal Oswal Contra Fund - Regular â€“ Growth</t>
  </si>
  <si>
    <t>154336</t>
  </si>
  <si>
    <t>INF247L01GX4</t>
  </si>
  <si>
    <t>INF247L01GY2</t>
  </si>
  <si>
    <t>Motilal Oswal Contra Fund â€“ Direct â€“ IDCW</t>
  </si>
  <si>
    <t>INF209K01XI2</t>
  </si>
  <si>
    <t>154363</t>
  </si>
  <si>
    <t>INF200KB1BF6</t>
  </si>
  <si>
    <t>SBI CRISIL-IBX 10:90 Gilt + SDL Index - Dec 2029 Index Fund - Regular - Growth</t>
  </si>
  <si>
    <t>154370</t>
  </si>
  <si>
    <t>INF200KB1BI0</t>
  </si>
  <si>
    <t>SBI CRISIL-IBX 10:90 GILT + SDL INDEX DEC 2029 INDEX FUND - DIRECT - GROWTH</t>
  </si>
  <si>
    <t>154369</t>
  </si>
  <si>
    <t>INF200KB1BJ8</t>
  </si>
  <si>
    <t>INF200KB1BK6</t>
  </si>
  <si>
    <t>SBI CRISIL-IBX 10:90 GLIT + SDL INDEX DEC 2029 INDEX FUND - DIRECT IDCW</t>
  </si>
  <si>
    <t>154367</t>
  </si>
  <si>
    <t>INF200KB1BG4</t>
  </si>
  <si>
    <t>INF200KB1BH2</t>
  </si>
  <si>
    <t>SBI CRISIL-IBX 10:90 GLIT + SDL INDEX DEC 2029 INDEX FUND - REGULAR - IDCW</t>
  </si>
  <si>
    <t>154372</t>
  </si>
  <si>
    <t>INF200KB1BC3</t>
  </si>
  <si>
    <t>SBI NIFTY G-SEC JUL 2031 INDEX FUND - DIRECT - GROWTH</t>
  </si>
  <si>
    <t>154375</t>
  </si>
  <si>
    <t>INF200KB1BD1</t>
  </si>
  <si>
    <t>INF200KB1BE9</t>
  </si>
  <si>
    <t>SBI NIFTY G-SEC JUL 2031 INDEX FUND - DIRECT - IDCW</t>
  </si>
  <si>
    <t>154362</t>
  </si>
  <si>
    <t>INF200KB1AZ6</t>
  </si>
  <si>
    <t>SBI Nifty G-sec Jul 2031 Index Fund - REGULAR - GROWTH</t>
  </si>
  <si>
    <t>154373</t>
  </si>
  <si>
    <t>INF200KB1BA7</t>
  </si>
  <si>
    <t>INF200KB1BB5</t>
  </si>
  <si>
    <t>SBI NIFTY G-SEC JUL 2031 INDEX FUND - REGULAR - IDCW</t>
  </si>
  <si>
    <t>154366</t>
  </si>
  <si>
    <t>INF579M01BP5</t>
  </si>
  <si>
    <t>360 ONE MSCI India ETF</t>
  </si>
  <si>
    <t>Aditya Birla Sun Life Low Duration Fund -Regular- Growth Plan</t>
  </si>
  <si>
    <t>154359</t>
  </si>
  <si>
    <t>INF174KA1ZZ6</t>
  </si>
  <si>
    <t>INF174KA1A11</t>
  </si>
  <si>
    <t>Kotak Low Duration Fund - Regular Plan - Monthly - Reinvestment &amp; Payout of Income Distribution cum Capital Withdrawal Option</t>
  </si>
  <si>
    <t>154426</t>
  </si>
  <si>
    <t>INF740KA1ZD8</t>
  </si>
  <si>
    <t>INF740KA1ZE6</t>
  </si>
  <si>
    <t>DSP Savings Fund - Direct Plan - IDCW Weekly</t>
  </si>
  <si>
    <t>154381</t>
  </si>
  <si>
    <t>INF2F0001594</t>
  </si>
  <si>
    <t>The Wealth Company Large &amp; Mid Cap Fund Direct Growth</t>
  </si>
  <si>
    <t>154380</t>
  </si>
  <si>
    <t>INF2F0001602</t>
  </si>
  <si>
    <t>INF2F0001610</t>
  </si>
  <si>
    <t>The Wealth Company Large &amp; Mid Cap Fund Direct IDCW</t>
  </si>
  <si>
    <t>154382</t>
  </si>
  <si>
    <t>INF2F0001560</t>
  </si>
  <si>
    <t>The Wealth Company Large &amp; Mid Cap Fund Regular Growth</t>
  </si>
  <si>
    <t>154379</t>
  </si>
  <si>
    <t>INF2F0001578</t>
  </si>
  <si>
    <t>INF2F0001586</t>
  </si>
  <si>
    <t>The Wealth Company Large &amp; Mid Cap Fund Regular IDCW</t>
  </si>
  <si>
    <t>154383</t>
  </si>
  <si>
    <t>INF666M01PA2</t>
  </si>
  <si>
    <t>Groww Nifty Smallcap 250 Momentum Quality 100 Index Fund Direct Growth</t>
  </si>
  <si>
    <t>154385</t>
  </si>
  <si>
    <t>INF666M01PB0</t>
  </si>
  <si>
    <t>INF666M01PC8</t>
  </si>
  <si>
    <t>Groww Nifty Smallcap 250 Momentum Quality 100 Index Fund Direct IDCW</t>
  </si>
  <si>
    <t>154387</t>
  </si>
  <si>
    <t>INF666M01PD6</t>
  </si>
  <si>
    <t>Groww Nifty Smallcap 250 Momentum Quality 100 Index Fund Regular Growth</t>
  </si>
  <si>
    <t>154386</t>
  </si>
  <si>
    <t>INF666M01PE4</t>
  </si>
  <si>
    <t>INF666M01PF1</t>
  </si>
  <si>
    <t>Groww Nifty Smallcap 250 Momentum Quality 100 Index Fund Regular IDCW</t>
  </si>
  <si>
    <t>154384</t>
  </si>
  <si>
    <t>INF666M01PG9</t>
  </si>
  <si>
    <t>Groww Nifty Smallcap 250 Momentum Quality 100 ETF</t>
  </si>
  <si>
    <t>Include? (Y/N)</t>
  </si>
  <si>
    <t>Start Date</t>
  </si>
  <si>
    <t>Amount (₹)</t>
  </si>
  <si>
    <t>End Date (blank = today)</t>
  </si>
  <si>
    <t>Scheme Name (auto-check)</t>
  </si>
  <si>
    <t>N</t>
  </si>
  <si>
    <t>220886957</t>
  </si>
  <si>
    <t>220886958</t>
  </si>
  <si>
    <t>INF789F1AE45</t>
  </si>
  <si>
    <t>INF789F1AE52</t>
  </si>
  <si>
    <t>INF789F1AD38</t>
  </si>
  <si>
    <t>INF789F1AE60</t>
  </si>
  <si>
    <t>INF789F1AE78</t>
  </si>
  <si>
    <t>INF789F1AD87</t>
  </si>
  <si>
    <t>INF789F1AD95</t>
  </si>
  <si>
    <t>INF789F1AE29</t>
  </si>
  <si>
    <t>INF789F1AE37</t>
  </si>
  <si>
    <t>INF789F1AD53</t>
  </si>
  <si>
    <t>INF789F1AD61</t>
  </si>
  <si>
    <t>INF789F1AE03</t>
  </si>
  <si>
    <t>INF789F1AE11</t>
  </si>
  <si>
    <t>INF789F1AD79</t>
  </si>
  <si>
    <t>INF789F1AD12</t>
  </si>
  <si>
    <t>INF789F1AD20</t>
  </si>
  <si>
    <t>INF789F1AF77</t>
  </si>
  <si>
    <t>INF789F1AF02</t>
  </si>
  <si>
    <t>INF789F1AF10</t>
  </si>
  <si>
    <t>INF789F1AF28</t>
  </si>
  <si>
    <t>INF789F1AF36</t>
  </si>
  <si>
    <t>INF789F1AF51</t>
  </si>
  <si>
    <t>INF789F1AF69</t>
  </si>
  <si>
    <t>INF789F1AF93</t>
  </si>
  <si>
    <t>INF789F1AG01</t>
  </si>
  <si>
    <t>INF789F1AG43</t>
  </si>
  <si>
    <t>INF789F1AG50</t>
  </si>
  <si>
    <t>INF789F1AG19</t>
  </si>
  <si>
    <t>INF789F1AD46</t>
  </si>
  <si>
    <t>INF789F1AF85</t>
  </si>
  <si>
    <t>INF789F1AF44</t>
  </si>
  <si>
    <t>INF789F1AG27</t>
  </si>
  <si>
    <t>INF789F1AG35</t>
  </si>
  <si>
    <t>INF789F1AE94</t>
  </si>
  <si>
    <t>Motilal Oswal Multi Asset Passive Fund of Fund - Direct Growth</t>
  </si>
  <si>
    <t>Motilal Oswal Multi Asset Passive Fund of Fund - Regular Growth</t>
  </si>
  <si>
    <t>154388</t>
  </si>
  <si>
    <t>INF174KA1A29</t>
  </si>
  <si>
    <t>Kotak Nifty Alpha Low Volatility 30 Index Fund - Direct- Growth</t>
  </si>
  <si>
    <t>154391</t>
  </si>
  <si>
    <t>INF174KA1A37</t>
  </si>
  <si>
    <t>INF174KA1A45</t>
  </si>
  <si>
    <t>Kotak Nifty Alpha Low Volatility 30 Index Fund - Direct- IDCW</t>
  </si>
  <si>
    <t>154389</t>
  </si>
  <si>
    <t>INF174KA1A52</t>
  </si>
  <si>
    <t>Kotak Nifty Alpha Low Volatility 30 Index Fund - Regular - Growth</t>
  </si>
  <si>
    <t>154390</t>
  </si>
  <si>
    <t>INF174KA1A60</t>
  </si>
  <si>
    <t>INF174KA1A78</t>
  </si>
  <si>
    <t>Kotak Nifty Alpha Low Volatility 30 Index Fund - Regular - IDCW</t>
  </si>
  <si>
    <t>154404</t>
  </si>
  <si>
    <t>INF109K1A476</t>
  </si>
  <si>
    <t>ICICI Prudential Nifty Smallcap 250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</si>
</sst>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-\₹* #,##0_-;[Red]&quot;-₹&quot;* #,##0_-;_-\₹* \-_-;_-@_-"/>
    <numFmt numFmtId="165" formatCode="0.0%;[Red]\-0.0%;\-"/>
    <numFmt numFmtId="166" formatCode="#,##0.000;[Red]\-#,##0.000;\-"/>
    <numFmt numFmtId="167" formatCode="#,##0.0000;[Red]\-#,##0.0000;\-"/>
    <numFmt numFmtId="168" formatCode="yyyy\-mm\-dd"/>
    <numFmt numFmtId="169" formatCode="d/mmm/yy"/>
  </numFmts>
  <fonts count="1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8"/>
      <color rgb="FF1F3864"/>
      <name val="Calibri"/>
      <charset val="1"/>
    </font>
    <font>
      <sz val="10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b/>
      <sz val="20"/>
      <color rgb="FFFFFFFF"/>
      <name val="Calibri"/>
      <charset val="1"/>
    </font>
    <font>
      <b/>
      <sz val="11"/>
      <color rgb="FFFFFFFF"/>
      <name val="Calibri"/>
      <charset val="1"/>
    </font>
    <font>
      <b/>
      <sz val="11"/>
      <color rgb="FF1F3864"/>
      <name val="Calibri"/>
      <charset val="1"/>
    </font>
    <font>
      <b/>
      <sz val="11"/>
      <color rgb="FF1F3864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rgb="FF1F3864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3864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3" fontId="6" fillId="3" borderId="0" xfId="0" applyNumberFormat="1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168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5" fontId="0" fillId="0" borderId="0" xfId="0" applyNumberFormat="1"/>
    <xf numFmtId="0" fontId="7" fillId="3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right"/>
    </xf>
    <xf numFmtId="164" fontId="9" fillId="6" borderId="1" xfId="0" applyNumberFormat="1" applyFont="1" applyFill="1" applyBorder="1" applyAlignment="1">
      <alignment horizontal="right"/>
    </xf>
    <xf numFmtId="165" fontId="9" fillId="6" borderId="1" xfId="0" applyNumberFormat="1" applyFont="1" applyFill="1" applyBorder="1" applyAlignment="1">
      <alignment horizontal="right"/>
    </xf>
    <xf numFmtId="0" fontId="11" fillId="5" borderId="1" xfId="0" applyFont="1" applyFill="1" applyBorder="1" applyAlignment="1">
      <alignment horizontal="right"/>
    </xf>
    <xf numFmtId="0" fontId="0" fillId="5" borderId="1" xfId="0" applyFill="1" applyBorder="1"/>
    <xf numFmtId="164" fontId="11" fillId="5" borderId="1" xfId="0" applyNumberFormat="1" applyFont="1" applyFill="1" applyBorder="1" applyAlignment="1">
      <alignment horizontal="right"/>
    </xf>
    <xf numFmtId="165" fontId="11" fillId="5" borderId="1" xfId="0" applyNumberFormat="1" applyFont="1" applyFill="1" applyBorder="1" applyAlignment="1">
      <alignment horizontal="right"/>
    </xf>
    <xf numFmtId="165" fontId="12" fillId="6" borderId="1" xfId="0" applyNumberFormat="1" applyFont="1" applyFill="1" applyBorder="1" applyAlignment="1">
      <alignment horizontal="right"/>
    </xf>
    <xf numFmtId="0" fontId="13" fillId="8" borderId="1" xfId="0" applyFont="1" applyFill="1" applyBorder="1" applyAlignment="1">
      <alignment horizontal="center"/>
    </xf>
    <xf numFmtId="0" fontId="9" fillId="6" borderId="1" xfId="0" applyFont="1" applyFill="1" applyBorder="1"/>
    <xf numFmtId="0" fontId="10" fillId="5" borderId="1" xfId="0" applyFont="1" applyFill="1" applyBorder="1"/>
    <xf numFmtId="0" fontId="12" fillId="6" borderId="1" xfId="0" applyFont="1" applyFill="1" applyBorder="1"/>
    <xf numFmtId="0" fontId="9" fillId="6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left"/>
    </xf>
    <xf numFmtId="165" fontId="6" fillId="3" borderId="0" xfId="0" applyNumberFormat="1" applyFont="1" applyFill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/>
    </xf>
    <xf numFmtId="165" fontId="12" fillId="6" borderId="1" xfId="0" applyNumberFormat="1" applyFont="1" applyFill="1" applyBorder="1" applyAlignment="1">
      <alignment horizontal="center"/>
    </xf>
    <xf numFmtId="165" fontId="11" fillId="5" borderId="1" xfId="0" applyNumberFormat="1" applyFont="1" applyFill="1" applyBorder="1" applyAlignment="1">
      <alignment horizontal="center"/>
    </xf>
    <xf numFmtId="3" fontId="0" fillId="0" borderId="0" xfId="0" applyNumberFormat="1"/>
    <xf numFmtId="43" fontId="0" fillId="0" borderId="0" xfId="0" applyNumberFormat="1"/>
    <xf numFmtId="164" fontId="0" fillId="0" borderId="0" xfId="0" applyNumberFormat="1"/>
    <xf numFmtId="14" fontId="1" fillId="0" borderId="0" xfId="1" applyNumberFormat="1"/>
    <xf numFmtId="169" fontId="0" fillId="0" borderId="0" xfId="0" applyNumberFormat="1"/>
    <xf numFmtId="0" fontId="3" fillId="0" borderId="1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 wrapText="1"/>
    </xf>
    <xf numFmtId="165" fontId="6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8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167" fontId="3" fillId="0" borderId="3" xfId="0" applyNumberFormat="1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166" fontId="3" fillId="0" borderId="3" xfId="0" applyNumberFormat="1" applyFont="1" applyBorder="1" applyAlignment="1">
      <alignment horizontal="right" vertical="center"/>
    </xf>
    <xf numFmtId="0" fontId="0" fillId="0" borderId="0" xfId="0" applyBorder="1"/>
  </cellXfs>
  <cellStyles count="2">
    <cellStyle name="Normal" xfId="0" builtinId="0"/>
    <cellStyle name="Normal 2" xfId="1" xr:uid="{65AB270D-7FAA-4ACD-A645-842EDB220793}"/>
  </cellStyles>
  <dxfs count="23">
    <dxf>
      <numFmt numFmtId="19" formatCode="dd/mm/yyyy"/>
      <fill>
        <patternFill patternType="none">
          <fgColor indexed="64"/>
          <bgColor indexed="65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numFmt numFmtId="167" formatCode="#,##0.0000;[Red]\-#,##0.0000;\-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5" formatCode="0.0%;[Red]\-0.0%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numFmt numFmtId="165" formatCode="0.0%;[Red]\-0.0%;\-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numFmt numFmtId="164" formatCode="_-\₹* #,##0_-;[Red]&quot;-₹&quot;* #,##0_-;_-\₹* \-_-;_-@_-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numFmt numFmtId="164" formatCode="_-\₹* #,##0_-;[Red]&quot;-₹&quot;* #,##0_-;_-\₹* \-_-;_-@_-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numFmt numFmtId="167" formatCode="#,##0.0000;[Red]\-#,##0.0000;\-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numFmt numFmtId="164" formatCode="_-\₹* #,##0_-;[Red]&quot;-₹&quot;* #,##0_-;_-\₹* \-_-;_-@_-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</dxf>
    <dxf>
      <numFmt numFmtId="169" formatCode="d/mmm/yy"/>
    </dxf>
    <dxf>
      <numFmt numFmtId="20" formatCode="dd/mmm/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7E632F9-2897-436B-8156-BD7FF398DCCA}" autoFormatId="16" applyNumberFormats="0" applyBorderFormats="0" applyFontFormats="0" applyPatternFormats="0" applyAlignmentFormats="0" applyWidthHeightFormats="0">
  <queryTableRefresh nextId="7">
    <queryTableFields count="6">
      <queryTableField id="1" name="Scheme Code" tableColumnId="1"/>
      <queryTableField id="2" name="ISIN Div Payout/ ISIN Growth" tableColumnId="2"/>
      <queryTableField id="3" name="ISIN Div Reinvestment" tableColumnId="3"/>
      <queryTableField id="4" name="Scheme Name" tableColumnId="4"/>
      <queryTableField id="5" name="Net Asset Value" tableColumnId="5"/>
      <queryTableField id="6" name="Date" tableColumnId="6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Fwise" displayName="MFwise" ref="A10:K41" totalsRowShown="0">
  <autoFilter ref="A10:K41" xr:uid="{00000000-0009-0000-0100-000002000000}">
    <filterColumn colId="7">
      <filters>
        <filter val="Unrealized"/>
      </filters>
    </filterColumn>
  </autoFilter>
  <tableColumns count="11">
    <tableColumn id="1" xr3:uid="{00000000-0010-0000-0100-000001000000}" name="Display Scheme"/>
    <tableColumn id="2" xr3:uid="{00000000-0010-0000-0100-000002000000}" name="Net Units"/>
    <tableColumn id="3" xr3:uid="{00000000-0010-0000-0100-000003000000}" name="Net Invested" dataDxfId="19">
      <calculatedColumnFormula>IF(B11&lt;0.01,0,SUMIFS(tICICIAshu[Signed Amount],tICICIAshu[Display Scheme],$A11)+SUMIFS(tManiqAshu[Signed Amount],tManiqAshu[Display Scheme],$A11)+SUMIFS(tManiqHars[Signed Amount],tManiqHars[Display Scheme],$A11)+SUMIFS(tZerodhAshu[Signed Amount],tZerodhAshu[Display Scheme],$A11)+SUMIFS(tZerodhHars[Signed Amount],tZerodhHars[Display Scheme],$A11))</calculatedColumnFormula>
    </tableColumn>
    <tableColumn id="4" xr3:uid="{00000000-0010-0000-0100-000004000000}" name="Avg Cost NAV" dataDxfId="18">
      <calculatedColumnFormula>IFERROR(IF(B11&lt;0.01,0,C11/B11),0)</calculatedColumnFormula>
    </tableColumn>
    <tableColumn id="5" xr3:uid="{00000000-0010-0000-0100-000005000000}" name="Latest NAV"/>
    <tableColumn id="6" xr3:uid="{00000000-0010-0000-0100-000006000000}" name="Current Value"/>
    <tableColumn id="7" xr3:uid="{00000000-0010-0000-0100-000007000000}" name="Gain/Loss" dataDxfId="17">
      <calculatedColumnFormula>F11-(SUMIFS(tICICIAshu[Signed Amount],tICICIAshu[Display Scheme],$A11)+SUMIFS(tManiqAshu[Signed Amount],tManiqAshu[Display Scheme],$A11)+SUMIFS(tManiqHars[Signed Amount],tManiqHars[Display Scheme],$A11)+SUMIFS(tZerodhAshu[Signed Amount],tZerodhAshu[Display Scheme],$A11)+SUMIFS(tZerodhHars[Signed Amount],tZerodhHars[Display Scheme],$A11))</calculatedColumnFormula>
    </tableColumn>
    <tableColumn id="11" xr3:uid="{36998984-7B5F-4986-BFC2-7BE36EF9E815}" name="P&amp;L Type" dataDxfId="16">
      <calculatedColumnFormula>IF(B11&lt;0.01,"Realized","Unrealized")</calculatedColumnFormula>
    </tableColumn>
    <tableColumn id="8" xr3:uid="{00000000-0010-0000-0100-000008000000}" name="% Gain" dataDxfId="15">
      <calculatedColumnFormula>IFERROR(G11/ABS(SUMIFS(tICICIAshu[Signed Amount],tICICIAshu[Display Scheme],$A11)+SUMIFS(tManiqAshu[Signed Amount],tManiqAshu[Display Scheme],$A11)+SUMIFS(tManiqHars[Signed Amount],tManiqHars[Display Scheme],$A11)+SUMIFS(tZerodhAshu[Signed Amount],tZerodhAshu[Display Scheme],$A11)+SUMIFS(tZerodhHars[Signed Amount],tZerodhHars[Display Scheme],$A11)),0)</calculatedColumnFormula>
    </tableColumn>
    <tableColumn id="9" xr3:uid="{00000000-0010-0000-0100-000009000000}" name="Status"/>
    <tableColumn id="10" xr3:uid="{C81D4B26-D992-47DD-9D4C-256CD048F3F8}" name="XIRR" dataDxfId="14">
      <calculatedColumnFormula array="1">IFERROR(IF(F11&lt;=0,"",XIRR(_xlfn.VSTACK(_xlfn._xlws.FILTER(-tAllCF[Signed Amount],tAllCF[Display Scheme]=$A11),F11),_xlfn.VSTACK(_xlfn._xlws.FILTER(tAllCF[Date],tAllCF[Display Scheme]=$A11),TODAY()))),"")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NAV" displayName="tNAV" ref="A4:G35" totalsRowShown="0">
  <autoFilter ref="A4:G35" xr:uid="{00000000-0009-0000-0100-000006000000}"/>
  <tableColumns count="7">
    <tableColumn id="1" xr3:uid="{00000000-0010-0000-0200-000001000000}" name="Display Scheme"/>
    <tableColumn id="2" xr3:uid="{00000000-0010-0000-0200-000002000000}" name="Scheme Key"/>
    <tableColumn id="3" xr3:uid="{00000000-0010-0000-0200-000003000000}" name="Latest NAV" dataDxfId="13">
      <calculatedColumnFormula>IF(F5="",0,IFERROR(VLOOKUP(F5,NAVAll!$A:$E,5,FALSE),0))</calculatedColumnFormula>
    </tableColumn>
    <tableColumn id="4" xr3:uid="{00000000-0010-0000-0200-000004000000}" name="NAV Source" dataDxfId="12">
      <calculatedColumnFormula>IF(F5="","Redeemed",IF(ISNUMBER(VLOOKUP(F5,NAVAll!$A:$E,5,FALSE)),"NAVAll","Last txn NAV"))</calculatedColumnFormula>
    </tableColumn>
    <tableColumn id="5" xr3:uid="{00000000-0010-0000-0200-000005000000}" name="Notes"/>
    <tableColumn id="6" xr3:uid="{95A71C85-A368-4A16-9448-E74DDE44454D}" name="Scheme Code"/>
    <tableColumn id="7" xr3:uid="{FC3E88E3-2809-49CB-ADA0-FA35FA3E377B}" name="Remark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SchemeMap" displayName="tSchemeMap" ref="A4:C37" totalsRowShown="0">
  <autoFilter ref="A4:C37" xr:uid="{00000000-0009-0000-0100-000007000000}"/>
  <tableColumns count="3">
    <tableColumn id="1" xr3:uid="{00000000-0010-0000-0300-000001000000}" name="Scheme Name (raw)"/>
    <tableColumn id="2" xr3:uid="{00000000-0010-0000-0300-000002000000}" name="Scheme Key"/>
    <tableColumn id="3" xr3:uid="{00000000-0010-0000-0300-000003000000}" name="Display Schem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ICICIAshu" displayName="tICICIAshu" ref="A4:M106" totalsRowShown="0">
  <autoFilter ref="A4:M106" xr:uid="{00000000-0009-0000-0100-000003000000}"/>
  <tableColumns count="13">
    <tableColumn id="1" xr3:uid="{00000000-0010-0000-0400-000001000000}" name="Date"/>
    <tableColumn id="2" xr3:uid="{00000000-0010-0000-0400-000002000000}" name="Transaction ID"/>
    <tableColumn id="3" xr3:uid="{00000000-0010-0000-0400-000003000000}" name="Transaction Type"/>
    <tableColumn id="4" xr3:uid="{00000000-0010-0000-0400-000004000000}" name="Fund Name"/>
    <tableColumn id="5" xr3:uid="{00000000-0010-0000-0400-000005000000}" name="Scheme Name"/>
    <tableColumn id="6" xr3:uid="{00000000-0010-0000-0400-000006000000}" name="Display Scheme"/>
    <tableColumn id="7" xr3:uid="{00000000-0010-0000-0400-000007000000}" name="Folio No"/>
    <tableColumn id="8" xr3:uid="{00000000-0010-0000-0400-000008000000}" name="Last recorded NAV"/>
    <tableColumn id="9" xr3:uid="{00000000-0010-0000-0400-000009000000}" name="Amount"/>
    <tableColumn id="10" xr3:uid="{00000000-0010-0000-0400-00000A000000}" name="Unit"/>
    <tableColumn id="11" xr3:uid="{00000000-0010-0000-0400-00000B000000}" name="Signed Unit"/>
    <tableColumn id="12" xr3:uid="{00000000-0010-0000-0400-00000C000000}" name="Signed Amount">
      <calculatedColumnFormula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calculatedColumnFormula>
    </tableColumn>
    <tableColumn id="13" xr3:uid="{00000000-0010-0000-0400-00000D000000}" name="Statu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ManiqAshu" displayName="tManiqAshu" ref="A4:M195" totalsRowShown="0">
  <autoFilter ref="A4:M195" xr:uid="{00000000-0009-0000-0100-000004000000}"/>
  <sortState xmlns:xlrd2="http://schemas.microsoft.com/office/spreadsheetml/2017/richdata2" ref="A5:M187">
    <sortCondition ref="A4:A187"/>
  </sortState>
  <tableColumns count="13">
    <tableColumn id="1" xr3:uid="{00000000-0010-0000-0500-000001000000}" name="Date"/>
    <tableColumn id="2" xr3:uid="{00000000-0010-0000-0500-000002000000}" name="Transaction ID"/>
    <tableColumn id="3" xr3:uid="{00000000-0010-0000-0500-000003000000}" name="Transaction Type"/>
    <tableColumn id="4" xr3:uid="{00000000-0010-0000-0500-000004000000}" name="Fund Name"/>
    <tableColumn id="5" xr3:uid="{00000000-0010-0000-0500-000005000000}" name="Scheme Name"/>
    <tableColumn id="6" xr3:uid="{00000000-0010-0000-0500-000006000000}" name="Display Scheme"/>
    <tableColumn id="7" xr3:uid="{00000000-0010-0000-0500-000007000000}" name="Folio No"/>
    <tableColumn id="8" xr3:uid="{00000000-0010-0000-0500-000008000000}" name="Last recorded NAV"/>
    <tableColumn id="9" xr3:uid="{00000000-0010-0000-0500-000009000000}" name="Amount"/>
    <tableColumn id="10" xr3:uid="{00000000-0010-0000-0500-00000A000000}" name="Unit"/>
    <tableColumn id="11" xr3:uid="{00000000-0010-0000-0500-00000B000000}" name="Signed Unit"/>
    <tableColumn id="12" xr3:uid="{00000000-0010-0000-0500-00000C000000}" name="Signed Amount">
      <calculatedColumnFormula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calculatedColumnFormula>
    </tableColumn>
    <tableColumn id="13" xr3:uid="{00000000-0010-0000-0500-00000D000000}" name="Statu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ManiqHars" displayName="tManiqHars" ref="A4:M317" totalsRowShown="0">
  <autoFilter ref="A4:M317" xr:uid="{00000000-0009-0000-0100-000005000000}"/>
  <tableColumns count="13">
    <tableColumn id="1" xr3:uid="{00000000-0010-0000-0600-000001000000}" name="Date"/>
    <tableColumn id="2" xr3:uid="{00000000-0010-0000-0600-000002000000}" name="Transaction ID"/>
    <tableColumn id="3" xr3:uid="{00000000-0010-0000-0600-000003000000}" name="Transaction Type"/>
    <tableColumn id="4" xr3:uid="{00000000-0010-0000-0600-000004000000}" name="Fund Name"/>
    <tableColumn id="5" xr3:uid="{00000000-0010-0000-0600-000005000000}" name="Scheme Name"/>
    <tableColumn id="6" xr3:uid="{00000000-0010-0000-0600-000006000000}" name="Display Scheme"/>
    <tableColumn id="7" xr3:uid="{00000000-0010-0000-0600-000007000000}" name="Folio No"/>
    <tableColumn id="8" xr3:uid="{00000000-0010-0000-0600-000008000000}" name="Last recorded NAV"/>
    <tableColumn id="9" xr3:uid="{00000000-0010-0000-0600-000009000000}" name="Amount"/>
    <tableColumn id="10" xr3:uid="{00000000-0010-0000-0600-00000A000000}" name="Unit"/>
    <tableColumn id="11" xr3:uid="{00000000-0010-0000-0600-00000B000000}" name="Signed Unit"/>
    <tableColumn id="12" xr3:uid="{00000000-0010-0000-0600-00000C000000}" name="Signed Amount"/>
    <tableColumn id="13" xr3:uid="{00000000-0010-0000-0600-00000D000000}" name="Statu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ZerodhAshu" displayName="tZerodhAshu" ref="A4:M10" totalsRowShown="0">
  <autoFilter ref="A4:M10" xr:uid="{00000000-0009-0000-0100-000008000000}"/>
  <tableColumns count="13">
    <tableColumn id="1" xr3:uid="{00000000-0010-0000-0700-000001000000}" name="Date"/>
    <tableColumn id="2" xr3:uid="{00000000-0010-0000-0700-000002000000}" name="Transaction ID"/>
    <tableColumn id="3" xr3:uid="{00000000-0010-0000-0700-000003000000}" name="Transaction Type"/>
    <tableColumn id="4" xr3:uid="{00000000-0010-0000-0700-000004000000}" name="Fund Name"/>
    <tableColumn id="5" xr3:uid="{00000000-0010-0000-0700-000005000000}" name="Scheme Name"/>
    <tableColumn id="6" xr3:uid="{00000000-0010-0000-0700-000006000000}" name="Display Scheme"/>
    <tableColumn id="7" xr3:uid="{00000000-0010-0000-0700-000007000000}" name="Folio No"/>
    <tableColumn id="8" xr3:uid="{00000000-0010-0000-0700-000008000000}" name="Last recorded NAV"/>
    <tableColumn id="9" xr3:uid="{00000000-0010-0000-0700-000009000000}" name="Amount"/>
    <tableColumn id="10" xr3:uid="{00000000-0010-0000-0700-00000A000000}" name="Unit"/>
    <tableColumn id="11" xr3:uid="{00000000-0010-0000-0700-00000B000000}" name="Signed Unit"/>
    <tableColumn id="12" xr3:uid="{00000000-0010-0000-0700-00000C000000}" name="Signed Amount">
      <calculatedColumnFormula>IF(EXACT(tZerodhAshu[[#This Row],[Transaction Type]],"Initial Purchase Pre-Rejection"),0,IF(OR(EXACT(tZerodhAshu[[#This Row],[Transaction Type]],"Redemption"),EXACT(tZerodhAshu[[#This Row],[Transaction Type]],"Redeem"),EXACT(tZerodhAshu[[#This Row],[Transaction Type]],"Switch Out"),EXACT(tZerodhAshu[[#This Row],[Transaction Type]],"sell"),EXACT(tZerodhAshu[[#This Row],[Transaction Type]],"Sell")),-tZerodhAshu[[#This Row],[Amount]],tZerodhAshu[[#This Row],[Amount]]))</calculatedColumnFormula>
    </tableColumn>
    <tableColumn id="13" xr3:uid="{00000000-0010-0000-0700-00000D000000}" name="Statu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ZerodhHars" displayName="tZerodhHars" ref="A4:M24" totalsRowShown="0">
  <autoFilter ref="A4:M24" xr:uid="{00000000-0009-0000-0100-000009000000}"/>
  <tableColumns count="13">
    <tableColumn id="1" xr3:uid="{00000000-0010-0000-0800-000001000000}" name="Date"/>
    <tableColumn id="2" xr3:uid="{00000000-0010-0000-0800-000002000000}" name="Transaction ID"/>
    <tableColumn id="3" xr3:uid="{00000000-0010-0000-0800-000003000000}" name="Transaction Type"/>
    <tableColumn id="4" xr3:uid="{00000000-0010-0000-0800-000004000000}" name="Fund Name"/>
    <tableColumn id="5" xr3:uid="{00000000-0010-0000-0800-000005000000}" name="Scheme Name"/>
    <tableColumn id="6" xr3:uid="{00000000-0010-0000-0800-000006000000}" name="Display Scheme"/>
    <tableColumn id="7" xr3:uid="{00000000-0010-0000-0800-000007000000}" name="Folio No"/>
    <tableColumn id="8" xr3:uid="{00000000-0010-0000-0800-000008000000}" name="Last recorded NAV"/>
    <tableColumn id="9" xr3:uid="{00000000-0010-0000-0800-000009000000}" name="Amount"/>
    <tableColumn id="10" xr3:uid="{00000000-0010-0000-0800-00000A000000}" name="Unit"/>
    <tableColumn id="11" xr3:uid="{00000000-0010-0000-0800-00000B000000}" name="Signed Unit"/>
    <tableColumn id="12" xr3:uid="{00000000-0010-0000-0800-00000C000000}" name="Signed Amount">
      <calculatedColumnFormula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calculatedColumnFormula>
    </tableColumn>
    <tableColumn id="13" xr3:uid="{00000000-0010-0000-0800-00000D000000}" name="Statu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C2DA31F-2B1E-42DF-8381-4F4D4BF66123}" name="tSIPs" displayName="tSIPs" ref="A1:I2" totalsRowShown="0">
  <autoFilter ref="A1:I2" xr:uid="{5C2DA31F-2B1E-42DF-8381-4F4D4BF66123}"/>
  <tableColumns count="9">
    <tableColumn id="1" xr3:uid="{8E6E47FC-DF23-4FA7-98F7-567F26426DBB}" name="Include? (Y/N)"/>
    <tableColumn id="2" xr3:uid="{8D2F686B-6CDA-4C4A-BA4B-DAF013BC31FF}" name="Display Scheme"/>
    <tableColumn id="3" xr3:uid="{9D691B58-DFFC-422D-9A89-103D03F0BFDD}" name="Scheme Code" dataDxfId="22"/>
    <tableColumn id="4" xr3:uid="{6CC96748-BFA9-4E53-A86B-9B140BDBEF4E}" name="Start Date" dataDxfId="21"/>
    <tableColumn id="5" xr3:uid="{47357267-E32B-4BA0-B382-4ABA5F1E37FA}" name="Frequency"/>
    <tableColumn id="6" xr3:uid="{820306F8-4AE1-4191-85A2-403A21060E7D}" name="Amount (₹)" dataDxfId="20"/>
    <tableColumn id="7" xr3:uid="{2A154652-91FC-4B1C-9FA0-12D8D1524403}" name="Account"/>
    <tableColumn id="8" xr3:uid="{DF478F38-4077-4369-94BA-6C8B2A552DE7}" name="End Date (blank = today)"/>
    <tableColumn id="9" xr3:uid="{D9A20544-6C6D-48FB-9587-5BC752F022B5}" name="Scheme Name (auto-check)">
      <calculatedColumnFormula>IFERROR(INDEX(NAVAll[Scheme Name],MATCH(C2&amp;"",NAVAll[Scheme Code],0)),"⚠ code not found")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F4F6B01-7AA3-4ED7-AF48-D3C7878ECABF}" name="NAVAll" displayName="NAVAll" ref="A1:F17505" tableType="queryTable" totalsRowShown="0">
  <autoFilter ref="A1:F17505" xr:uid="{032D9B81-D203-4B8F-904F-0FABDBD800A4}"/>
  <tableColumns count="6">
    <tableColumn id="1" xr3:uid="{EC4A7D27-949F-403D-8218-63EA84CD04E4}" uniqueName="1" name="Scheme Code" queryTableFieldId="1" dataDxfId="11" dataCellStyle="Normal 2"/>
    <tableColumn id="2" xr3:uid="{4D88A03B-BA5E-4253-A007-D225DD7DB6FE}" uniqueName="2" name="ISIN Div Payout/ ISIN Growth" queryTableFieldId="2" dataDxfId="10" dataCellStyle="Normal 2"/>
    <tableColumn id="3" xr3:uid="{D5368C54-D673-45BA-BEC9-0954275D5AD2}" uniqueName="3" name="ISIN Div Reinvestment" queryTableFieldId="3" dataDxfId="9" dataCellStyle="Normal 2"/>
    <tableColumn id="4" xr3:uid="{05C8CA67-0180-466A-8592-6FCD928E9F3F}" uniqueName="4" name="Scheme Name" queryTableFieldId="4" dataDxfId="8" dataCellStyle="Normal 2"/>
    <tableColumn id="5" xr3:uid="{7B9596C3-55DB-400C-8876-68E31C442727}" uniqueName="5" name="Net Asset Value" queryTableFieldId="5" dataDxfId="7" dataCellStyle="Normal 2"/>
    <tableColumn id="6" xr3:uid="{C6E768B9-1F63-4275-BF89-14D4E6D97C1E}" uniqueName="6" name="Date" queryTableFieldId="6" dataDxfId="0" dataCellStyle="Normal 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84C1E-899E-4F83-8B48-E3EA9F317823}" name="tAllCF" displayName="tAllCF" ref="A1:D606" totalsRowShown="0">
  <autoFilter ref="A1:D606" xr:uid="{FF384C1E-899E-4F83-8B48-E3EA9F317823}"/>
  <tableColumns count="4">
    <tableColumn id="1" xr3:uid="{D7F0A52D-0073-4337-B473-C1FE11D5F6F7}" name="Account"/>
    <tableColumn id="2" xr3:uid="{D17E6114-29D2-4A16-88A3-612CC51B24F1}" name="Display Scheme"/>
    <tableColumn id="3" xr3:uid="{FD5BF7FE-A25B-4572-831C-3AF7D90BE9C7}" name="Date"/>
    <tableColumn id="4" xr3:uid="{154D5650-6265-4B07-B9CC-778FA26FD139}" name="Signed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8B4664-6B8B-4A6D-AEC5-8A76035D253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a04127c-de21-4efc-8b70-8719fbe46f9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4F73-DAEF-41BD-9201-24F7244EF6FF}">
  <dimension ref="A1:I9"/>
  <sheetViews>
    <sheetView workbookViewId="0">
      <selection activeCell="A9" sqref="A9:I9"/>
    </sheetView>
  </sheetViews>
  <sheetFormatPr defaultRowHeight="14.4" x14ac:dyDescent="0.3"/>
  <sheetData>
    <row r="1" spans="1:9" ht="35.700000000000003" customHeight="1" x14ac:dyDescent="0.3">
      <c r="A1" s="45" t="s">
        <v>56</v>
      </c>
      <c r="B1" s="45"/>
      <c r="C1" s="45"/>
      <c r="D1" s="45"/>
      <c r="E1" s="45"/>
      <c r="F1" s="45"/>
      <c r="G1" s="45"/>
      <c r="H1" s="45"/>
      <c r="I1" s="45"/>
    </row>
    <row r="2" spans="1:9" ht="35.700000000000003" customHeight="1" x14ac:dyDescent="0.3">
      <c r="A2" s="44" t="s">
        <v>57</v>
      </c>
      <c r="B2" s="44"/>
      <c r="C2" s="44"/>
      <c r="D2" s="44"/>
      <c r="E2" s="44"/>
      <c r="F2" s="44"/>
      <c r="G2" s="44"/>
      <c r="H2" s="44"/>
      <c r="I2" s="44"/>
    </row>
    <row r="3" spans="1:9" ht="35.700000000000003" customHeight="1" x14ac:dyDescent="0.3">
      <c r="A3" s="44" t="s">
        <v>58</v>
      </c>
      <c r="B3" s="44"/>
      <c r="C3" s="44"/>
      <c r="D3" s="44"/>
      <c r="E3" s="44"/>
      <c r="F3" s="44"/>
      <c r="G3" s="44"/>
      <c r="H3" s="44"/>
      <c r="I3" s="44"/>
    </row>
    <row r="4" spans="1:9" ht="35.700000000000003" customHeight="1" x14ac:dyDescent="0.3">
      <c r="A4" s="44" t="s">
        <v>59</v>
      </c>
      <c r="B4" s="44"/>
      <c r="C4" s="44"/>
      <c r="D4" s="44"/>
      <c r="E4" s="44"/>
      <c r="F4" s="44"/>
      <c r="G4" s="44"/>
      <c r="H4" s="44"/>
      <c r="I4" s="44"/>
    </row>
    <row r="5" spans="1:9" ht="44.7" customHeight="1" x14ac:dyDescent="0.3">
      <c r="A5" s="44" t="s">
        <v>60</v>
      </c>
      <c r="B5" s="44"/>
      <c r="C5" s="44"/>
      <c r="D5" s="44"/>
      <c r="E5" s="44"/>
      <c r="F5" s="44"/>
      <c r="G5" s="44"/>
      <c r="H5" s="44"/>
      <c r="I5" s="44"/>
    </row>
    <row r="6" spans="1:9" ht="35.700000000000003" customHeight="1" x14ac:dyDescent="0.3">
      <c r="A6" s="44" t="s">
        <v>61</v>
      </c>
      <c r="B6" s="44"/>
      <c r="C6" s="44"/>
      <c r="D6" s="44"/>
      <c r="E6" s="44"/>
      <c r="F6" s="44"/>
      <c r="G6" s="44"/>
      <c r="H6" s="44"/>
      <c r="I6" s="44"/>
    </row>
    <row r="7" spans="1:9" ht="35.700000000000003" customHeight="1" x14ac:dyDescent="0.3">
      <c r="A7" s="44" t="s">
        <v>62</v>
      </c>
      <c r="B7" s="44"/>
      <c r="C7" s="44"/>
      <c r="D7" s="44"/>
      <c r="E7" s="44"/>
      <c r="F7" s="44"/>
      <c r="G7" s="44"/>
      <c r="H7" s="44"/>
      <c r="I7" s="44"/>
    </row>
    <row r="8" spans="1:9" ht="35.700000000000003" customHeight="1" x14ac:dyDescent="0.3">
      <c r="A8" s="44" t="s">
        <v>63</v>
      </c>
      <c r="B8" s="44"/>
      <c r="C8" s="44"/>
      <c r="D8" s="44"/>
      <c r="E8" s="44"/>
      <c r="F8" s="44"/>
      <c r="G8" s="44"/>
      <c r="H8" s="44"/>
      <c r="I8" s="44"/>
    </row>
    <row r="9" spans="1:9" ht="35.700000000000003" customHeight="1" x14ac:dyDescent="0.3">
      <c r="A9" s="44" t="s">
        <v>64</v>
      </c>
      <c r="B9" s="44"/>
      <c r="C9" s="44"/>
      <c r="D9" s="44"/>
      <c r="E9" s="44"/>
      <c r="F9" s="44"/>
      <c r="G9" s="44"/>
      <c r="H9" s="44"/>
      <c r="I9" s="44"/>
    </row>
  </sheetData>
  <mergeCells count="9">
    <mergeCell ref="A7:I7"/>
    <mergeCell ref="A8:I8"/>
    <mergeCell ref="A9:I9"/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"/>
  <sheetViews>
    <sheetView tabSelected="1" zoomScaleNormal="100" workbookViewId="0">
      <pane ySplit="3" topLeftCell="A44" activePane="bottomLeft" state="frozen"/>
      <selection pane="bottomLeft" activeCell="I49" sqref="I49"/>
    </sheetView>
  </sheetViews>
  <sheetFormatPr defaultColWidth="8.6640625" defaultRowHeight="14.4" outlineLevelRow="1" x14ac:dyDescent="0.3"/>
  <cols>
    <col min="1" max="1" width="53.88671875" bestFit="1" customWidth="1"/>
    <col min="2" max="2" width="14" customWidth="1"/>
    <col min="3" max="3" width="16" customWidth="1"/>
    <col min="4" max="4" width="16.21875" bestFit="1" customWidth="1"/>
    <col min="5" max="5" width="14" customWidth="1"/>
    <col min="6" max="8" width="16" customWidth="1"/>
    <col min="9" max="9" width="12" customWidth="1"/>
    <col min="10" max="10" width="14" customWidth="1"/>
    <col min="11" max="11" width="10.77734375" bestFit="1" customWidth="1"/>
  </cols>
  <sheetData>
    <row r="1" spans="1:11" ht="31.5" customHeight="1" x14ac:dyDescent="0.4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</row>
    <row r="2" spans="1:11" ht="18" customHeight="1" x14ac:dyDescent="0.3">
      <c r="A2" s="47" t="str">
        <f>"As of "&amp;TEXT(MAX(NAVAll!F:F),"d mmm yyyy")&amp;"  •  All KPIs and tables update automatically when transactions are added/deleted."</f>
        <v>As of 28 Jun 2026  •  All KPIs and tables update automatically when transactions are added/deleted.</v>
      </c>
      <c r="B2" s="47"/>
      <c r="C2" s="47"/>
      <c r="D2" s="47"/>
      <c r="E2" s="47"/>
      <c r="F2" s="47"/>
      <c r="G2" s="47"/>
      <c r="H2" s="47"/>
      <c r="I2" s="47"/>
      <c r="J2" s="47"/>
    </row>
    <row r="3" spans="1:11" x14ac:dyDescent="0.3">
      <c r="D3" s="39">
        <v>6857701.0213830993</v>
      </c>
      <c r="E3" s="41"/>
    </row>
    <row r="4" spans="1:11" ht="21.75" customHeight="1" x14ac:dyDescent="0.3">
      <c r="A4" s="50" t="s">
        <v>1</v>
      </c>
      <c r="B4" s="50"/>
      <c r="C4" s="50"/>
      <c r="D4" s="50"/>
      <c r="E4" s="50"/>
      <c r="F4" s="50"/>
      <c r="G4" s="50"/>
      <c r="H4" s="50"/>
      <c r="I4" s="50"/>
      <c r="J4" s="50"/>
      <c r="K4" s="50"/>
    </row>
    <row r="5" spans="1:11" ht="21.75" customHeight="1" x14ac:dyDescent="0.3">
      <c r="A5" s="48" t="s">
        <v>2</v>
      </c>
      <c r="B5" s="48"/>
      <c r="C5" s="48" t="s">
        <v>3</v>
      </c>
      <c r="D5" s="48"/>
      <c r="E5" s="48" t="s">
        <v>4</v>
      </c>
      <c r="F5" s="48"/>
      <c r="G5" s="49" t="s">
        <v>5</v>
      </c>
      <c r="H5" s="49"/>
      <c r="I5" s="49"/>
      <c r="J5" s="2" t="s">
        <v>6</v>
      </c>
      <c r="K5" s="2" t="s">
        <v>46908</v>
      </c>
    </row>
    <row r="6" spans="1:11" ht="36" customHeight="1" x14ac:dyDescent="0.3">
      <c r="A6" s="52">
        <f>SUM(MFwise[Net Invested])</f>
        <v>4409837.07</v>
      </c>
      <c r="B6" s="52"/>
      <c r="C6" s="52">
        <f>SUM(MFwise[Current Value])</f>
        <v>6847516.2994065993</v>
      </c>
      <c r="D6" s="52"/>
      <c r="E6" s="52">
        <f>SUM(MFwise[Gain/Loss])</f>
        <v>2632962.4394065989</v>
      </c>
      <c r="F6" s="52"/>
      <c r="G6" s="53">
        <f>IFERROR(SUM(MFwise[Gain/Loss])/SUM(MFwise[Net Invested]),0)</f>
        <v>0.59706569599103099</v>
      </c>
      <c r="H6" s="53"/>
      <c r="I6" s="53"/>
      <c r="J6" s="3">
        <f>SUMPRODUCT(--(MFwise[Net Units]&gt;0.01))</f>
        <v>23</v>
      </c>
      <c r="K6" s="33">
        <f ca="1">$I$87</f>
        <v>0.12432698607444764</v>
      </c>
    </row>
    <row r="7" spans="1:11" x14ac:dyDescent="0.3">
      <c r="D7" s="39">
        <v>1599887</v>
      </c>
    </row>
    <row r="8" spans="1:11" x14ac:dyDescent="0.3">
      <c r="D8" s="39">
        <v>1669183</v>
      </c>
      <c r="E8" s="40">
        <f>D8+D7+C6</f>
        <v>10116586.299406599</v>
      </c>
    </row>
    <row r="9" spans="1:11" ht="21.75" customHeight="1" x14ac:dyDescent="0.3">
      <c r="A9" s="50" t="s">
        <v>7</v>
      </c>
      <c r="B9" s="50"/>
      <c r="C9" s="50"/>
      <c r="D9" s="50"/>
      <c r="E9" s="50"/>
      <c r="F9" s="50"/>
      <c r="G9" s="50"/>
      <c r="H9" s="50"/>
      <c r="I9" s="50"/>
      <c r="J9" s="50"/>
      <c r="K9" s="50"/>
    </row>
    <row r="10" spans="1:11" ht="27.75" customHeight="1" x14ac:dyDescent="0.3">
      <c r="A10" s="4" t="s">
        <v>8</v>
      </c>
      <c r="B10" s="4" t="s">
        <v>9</v>
      </c>
      <c r="C10" s="4" t="s">
        <v>2</v>
      </c>
      <c r="D10" s="4" t="s">
        <v>10</v>
      </c>
      <c r="E10" s="4" t="s">
        <v>11</v>
      </c>
      <c r="F10" s="4" t="s">
        <v>3</v>
      </c>
      <c r="G10" s="4" t="s">
        <v>12</v>
      </c>
      <c r="H10" s="34" t="s">
        <v>46941</v>
      </c>
      <c r="I10" s="4" t="s">
        <v>13</v>
      </c>
      <c r="J10" s="4" t="s">
        <v>14</v>
      </c>
      <c r="K10" s="17" t="s">
        <v>46908</v>
      </c>
    </row>
    <row r="11" spans="1:11" x14ac:dyDescent="0.3">
      <c r="A11" s="1" t="s">
        <v>15</v>
      </c>
      <c r="B11" s="5">
        <f>SUMIFS(tICICIAshu[Signed Unit],tICICIAshu[Display Scheme],$A11)+SUMIFS(tManiqAshu[Signed Unit],tManiqAshu[Display Scheme],$A11)+SUMIFS(tManiqHars[Signed Unit],tManiqHars[Display Scheme],$A11)+SUMIFS(tZerodhAshu[Signed Unit],tZerodhAshu[Display Scheme],$A11)+SUMIFS(tZerodhHars[Signed Unit],tZerodhHars[Display Scheme],$A11)</f>
        <v>3475.8260000000009</v>
      </c>
      <c r="C11" s="6">
        <f>IF(B11&lt;0.01,0,SUMIFS(tICICIAshu[Signed Amount],tICICIAshu[Display Scheme],$A11)+SUMIFS(tManiqAshu[Signed Amount],tManiqAshu[Display Scheme],$A11)+SUMIFS(tManiqHars[Signed Amount],tManiqHars[Display Scheme],$A11)+SUMIFS(tZerodhAshu[Signed Amount],tZerodhAshu[Display Scheme],$A11)+SUMIFS(tZerodhHars[Signed Amount],tZerodhHars[Display Scheme],$A11))</f>
        <v>159992.32000000015</v>
      </c>
      <c r="D11" s="7">
        <f>IFERROR(IF(B11&lt;0.01,0,C11/B11),0)</f>
        <v>46.030014160662851</v>
      </c>
      <c r="E11" s="7">
        <f>IFERROR(VLOOKUP($A11,tNAV[[Display Scheme]:[Latest NAV]],3,FALSE()),0)</f>
        <v>63.59</v>
      </c>
      <c r="F11" s="6">
        <f t="shared" ref="F11:F41" si="0">B11*E11</f>
        <v>221027.77534000008</v>
      </c>
      <c r="G11" s="6">
        <f>F11-(SUMIFS(tICICIAshu[Signed Amount],tICICIAshu[Display Scheme],$A11)+SUMIFS(tManiqAshu[Signed Amount],tManiqAshu[Display Scheme],$A11)+SUMIFS(tManiqHars[Signed Amount],tManiqHars[Display Scheme],$A11)+SUMIFS(tZerodhAshu[Signed Amount],tZerodhAshu[Display Scheme],$A11)+SUMIFS(tZerodhHars[Signed Amount],tZerodhHars[Display Scheme],$A11))</f>
        <v>61035.455339999928</v>
      </c>
      <c r="H11" s="35" t="str">
        <f t="shared" ref="H11:H41" si="1">IF(B11&lt;0.01,"Realized","Unrealized")</f>
        <v>Unrealized</v>
      </c>
      <c r="I11" s="8">
        <f>IFERROR(G11/ABS(SUMIFS(tICICIAshu[Signed Amount],tICICIAshu[Display Scheme],$A11)+SUMIFS(tManiqAshu[Signed Amount],tManiqAshu[Display Scheme],$A11)+SUMIFS(tManiqHars[Signed Amount],tManiqHars[Display Scheme],$A11)+SUMIFS(tZerodhAshu[Signed Amount],tZerodhAshu[Display Scheme],$A11)+SUMIFS(tZerodhHars[Signed Amount],tZerodhHars[Display Scheme],$A11)),0)</f>
        <v>0.38148990739055394</v>
      </c>
      <c r="J11" s="1" t="str">
        <f t="shared" ref="J11:J41" si="2">IF(B11&lt;0.01,"Redeemed",IF(C11&lt;=0,"Active",IF(G11&gt;=0,"In Profit","In Loss")))</f>
        <v>In Profit</v>
      </c>
      <c r="K11" s="8" cm="1">
        <f t="array" aca="1" ref="K11" ca="1">IFERROR(IF(F11&lt;=0,"",XIRR(_xlfn.VSTACK(_xlfn._xlws.FILTER(-tAllCF[Signed Amount],tAllCF[Display Scheme]=$A11),F11),_xlfn.VSTACK(_xlfn._xlws.FILTER(tAllCF[Date],tAllCF[Display Scheme]=$A11),TODAY()))),"")</f>
        <v>0.13688293099403384</v>
      </c>
    </row>
    <row r="12" spans="1:11" x14ac:dyDescent="0.3">
      <c r="A12" s="1" t="s">
        <v>16</v>
      </c>
      <c r="B12" s="5">
        <f>SUMIFS(tICICIAshu[Signed Unit],tICICIAshu[Display Scheme],$A12)+SUMIFS(tManiqAshu[Signed Unit],tManiqAshu[Display Scheme],$A12)+SUMIFS(tManiqHars[Signed Unit],tManiqHars[Display Scheme],$A12)+SUMIFS(tZerodhAshu[Signed Unit],tZerodhAshu[Display Scheme],$A12)+SUMIFS(tZerodhHars[Signed Unit],tZerodhHars[Display Scheme],$A12)</f>
        <v>912.43200000000002</v>
      </c>
      <c r="C12" s="6">
        <f>IF(B12&lt;0.01,0,SUMIFS(tICICIAshu[Signed Amount],tICICIAshu[Display Scheme],$A12)+SUMIFS(tManiqAshu[Signed Amount],tManiqAshu[Display Scheme],$A12)+SUMIFS(tManiqHars[Signed Amount],tManiqHars[Display Scheme],$A12)+SUMIFS(tZerodhAshu[Signed Amount],tZerodhAshu[Display Scheme],$A12)+SUMIFS(tZerodhHars[Signed Amount],tZerodhHars[Display Scheme],$A12))</f>
        <v>64996.75</v>
      </c>
      <c r="D12" s="7">
        <f t="shared" ref="D12:D41" si="3">IFERROR(IF(B12&lt;0.01,0,C12/B12),0)</f>
        <v>71.234623511669909</v>
      </c>
      <c r="E12" s="7">
        <f>IFERROR(VLOOKUP($A12,tNAV[[Display Scheme]:[Latest NAV]],3,FALSE()),0)</f>
        <v>133.0035</v>
      </c>
      <c r="F12" s="6">
        <f t="shared" si="0"/>
        <v>121356.649512</v>
      </c>
      <c r="G12" s="6">
        <f>F12-(SUMIFS(tICICIAshu[Signed Amount],tICICIAshu[Display Scheme],$A12)+SUMIFS(tManiqAshu[Signed Amount],tManiqAshu[Display Scheme],$A12)+SUMIFS(tManiqHars[Signed Amount],tManiqHars[Display Scheme],$A12)+SUMIFS(tZerodhAshu[Signed Amount],tZerodhAshu[Display Scheme],$A12)+SUMIFS(tZerodhHars[Signed Amount],tZerodhHars[Display Scheme],$A12))</f>
        <v>56359.899512000004</v>
      </c>
      <c r="H12" s="35" t="str">
        <f t="shared" si="1"/>
        <v>Unrealized</v>
      </c>
      <c r="I12" s="8">
        <f>IFERROR(G12/ABS(SUMIFS(tICICIAshu[Signed Amount],tICICIAshu[Display Scheme],$A12)+SUMIFS(tManiqAshu[Signed Amount],tManiqAshu[Display Scheme],$A12)+SUMIFS(tManiqHars[Signed Amount],tManiqHars[Display Scheme],$A12)+SUMIFS(tZerodhAshu[Signed Amount],tZerodhAshu[Display Scheme],$A12)+SUMIFS(tZerodhHars[Signed Amount],tZerodhHars[Display Scheme],$A12)),0)</f>
        <v>0.86711873304434461</v>
      </c>
      <c r="J12" s="1" t="str">
        <f t="shared" si="2"/>
        <v>In Profit</v>
      </c>
      <c r="K12" s="8" cm="1">
        <f t="array" aca="1" ref="K12" ca="1">IFERROR(IF(F12&lt;=0,"",XIRR(_xlfn.VSTACK(_xlfn._xlws.FILTER(-tAllCF[Signed Amount],tAllCF[Display Scheme]=$A12),F12),_xlfn.VSTACK(_xlfn._xlws.FILTER(tAllCF[Date],tAllCF[Display Scheme]=$A12),TODAY()))),"")</f>
        <v>0.14765902161598213</v>
      </c>
    </row>
    <row r="13" spans="1:11" x14ac:dyDescent="0.3">
      <c r="A13" s="1" t="s">
        <v>17</v>
      </c>
      <c r="B13" s="5">
        <f>SUMIFS(tICICIAshu[Signed Unit],tICICIAshu[Display Scheme],$A13)+SUMIFS(tManiqAshu[Signed Unit],tManiqAshu[Display Scheme],$A13)+SUMIFS(tManiqHars[Signed Unit],tManiqHars[Display Scheme],$A13)+SUMIFS(tZerodhAshu[Signed Unit],tZerodhAshu[Display Scheme],$A13)+SUMIFS(tZerodhHars[Signed Unit],tZerodhHars[Display Scheme],$A13)</f>
        <v>5337.0450000000001</v>
      </c>
      <c r="C13" s="6">
        <f>IF(B13&lt;0.01,0,SUMIFS(tICICIAshu[Signed Amount],tICICIAshu[Display Scheme],$A13)+SUMIFS(tManiqAshu[Signed Amount],tManiqAshu[Display Scheme],$A13)+SUMIFS(tManiqHars[Signed Amount],tManiqHars[Display Scheme],$A13)+SUMIFS(tZerodhAshu[Signed Amount],tZerodhAshu[Display Scheme],$A13)+SUMIFS(tZerodhHars[Signed Amount],tZerodhHars[Display Scheme],$A13))</f>
        <v>792485.68000000017</v>
      </c>
      <c r="D13" s="7">
        <f t="shared" si="3"/>
        <v>148.48772682261441</v>
      </c>
      <c r="E13" s="7">
        <f>IFERROR(VLOOKUP($A13,tNAV[[Display Scheme]:[Latest NAV]],3,FALSE()),0)</f>
        <v>250.89</v>
      </c>
      <c r="F13" s="6">
        <f t="shared" si="0"/>
        <v>1339011.2200499999</v>
      </c>
      <c r="G13" s="6">
        <f>F13-(SUMIFS(tICICIAshu[Signed Amount],tICICIAshu[Display Scheme],$A13)+SUMIFS(tManiqAshu[Signed Amount],tManiqAshu[Display Scheme],$A13)+SUMIFS(tManiqHars[Signed Amount],tManiqHars[Display Scheme],$A13)+SUMIFS(tZerodhAshu[Signed Amount],tZerodhAshu[Display Scheme],$A13)+SUMIFS(tZerodhHars[Signed Amount],tZerodhHars[Display Scheme],$A13))</f>
        <v>546525.54004999972</v>
      </c>
      <c r="H13" s="35" t="str">
        <f t="shared" si="1"/>
        <v>Unrealized</v>
      </c>
      <c r="I13" s="8">
        <f>IFERROR(G13/ABS(SUMIFS(tICICIAshu[Signed Amount],tICICIAshu[Display Scheme],$A13)+SUMIFS(tManiqAshu[Signed Amount],tManiqAshu[Display Scheme],$A13)+SUMIFS(tManiqHars[Signed Amount],tManiqHars[Display Scheme],$A13)+SUMIFS(tZerodhAshu[Signed Amount],tZerodhAshu[Display Scheme],$A13)+SUMIFS(tZerodhHars[Signed Amount],tZerodhHars[Display Scheme],$A13)),0)</f>
        <v>0.68963459383896952</v>
      </c>
      <c r="J13" s="1" t="str">
        <f t="shared" si="2"/>
        <v>In Profit</v>
      </c>
      <c r="K13" s="8" cm="1">
        <f t="array" aca="1" ref="K13" ca="1">IFERROR(IF(F13&lt;=0,"",XIRR(_xlfn.VSTACK(_xlfn._xlws.FILTER(-tAllCF[Signed Amount],tAllCF[Display Scheme]=$A13),F13),_xlfn.VSTACK(_xlfn._xlws.FILTER(tAllCF[Date],tAllCF[Display Scheme]=$A13),TODAY()))),"")</f>
        <v>0.12094044089317321</v>
      </c>
    </row>
    <row r="14" spans="1:11" x14ac:dyDescent="0.3">
      <c r="A14" s="1" t="s">
        <v>18</v>
      </c>
      <c r="B14" s="5">
        <f>SUMIFS(tICICIAshu[Signed Unit],tICICIAshu[Display Scheme],$A14)+SUMIFS(tManiqAshu[Signed Unit],tManiqAshu[Display Scheme],$A14)+SUMIFS(tManiqHars[Signed Unit],tManiqHars[Display Scheme],$A14)+SUMIFS(tZerodhAshu[Signed Unit],tZerodhAshu[Display Scheme],$A14)+SUMIFS(tZerodhHars[Signed Unit],tZerodhHars[Display Scheme],$A14)</f>
        <v>1410.6980000000001</v>
      </c>
      <c r="C14" s="6">
        <f>IF(B14&lt;0.01,0,SUMIFS(tICICIAshu[Signed Amount],tICICIAshu[Display Scheme],$A14)+SUMIFS(tManiqAshu[Signed Amount],tManiqAshu[Display Scheme],$A14)+SUMIFS(tManiqHars[Signed Amount],tManiqHars[Display Scheme],$A14)+SUMIFS(tZerodhAshu[Signed Amount],tZerodhAshu[Display Scheme],$A14)+SUMIFS(tZerodhHars[Signed Amount],tZerodhHars[Display Scheme],$A14))</f>
        <v>60000</v>
      </c>
      <c r="D14" s="7">
        <f t="shared" si="3"/>
        <v>42.53213657352601</v>
      </c>
      <c r="E14" s="7">
        <f>IFERROR(VLOOKUP($A14,tNAV[[Display Scheme]:[Latest NAV]],3,FALSE()),0)</f>
        <v>61.15</v>
      </c>
      <c r="F14" s="6">
        <f t="shared" si="0"/>
        <v>86264.182700000005</v>
      </c>
      <c r="G14" s="6">
        <f>F14-(SUMIFS(tICICIAshu[Signed Amount],tICICIAshu[Display Scheme],$A14)+SUMIFS(tManiqAshu[Signed Amount],tManiqAshu[Display Scheme],$A14)+SUMIFS(tManiqHars[Signed Amount],tManiqHars[Display Scheme],$A14)+SUMIFS(tZerodhAshu[Signed Amount],tZerodhAshu[Display Scheme],$A14)+SUMIFS(tZerodhHars[Signed Amount],tZerodhHars[Display Scheme],$A14))</f>
        <v>26264.182700000005</v>
      </c>
      <c r="H14" s="35" t="str">
        <f t="shared" si="1"/>
        <v>Unrealized</v>
      </c>
      <c r="I14" s="8">
        <f>IFERROR(G14/ABS(SUMIFS(tICICIAshu[Signed Amount],tICICIAshu[Display Scheme],$A14)+SUMIFS(tManiqAshu[Signed Amount],tManiqAshu[Display Scheme],$A14)+SUMIFS(tManiqHars[Signed Amount],tManiqHars[Display Scheme],$A14)+SUMIFS(tZerodhAshu[Signed Amount],tZerodhAshu[Display Scheme],$A14)+SUMIFS(tZerodhHars[Signed Amount],tZerodhHars[Display Scheme],$A14)),0)</f>
        <v>0.4377363783333334</v>
      </c>
      <c r="J14" s="1" t="str">
        <f t="shared" si="2"/>
        <v>In Profit</v>
      </c>
      <c r="K14" s="8" cm="1">
        <f t="array" aca="1" ref="K14" ca="1">IFERROR(IF(F14&lt;=0,"",XIRR(_xlfn.VSTACK(_xlfn._xlws.FILTER(-tAllCF[Signed Amount],tAllCF[Display Scheme]=$A14),F14),_xlfn.VSTACK(_xlfn._xlws.FILTER(tAllCF[Date],tAllCF[Display Scheme]=$A14),TODAY()))),"")</f>
        <v>7.9373416304588315E-2</v>
      </c>
    </row>
    <row r="15" spans="1:11" x14ac:dyDescent="0.3">
      <c r="A15" s="1" t="s">
        <v>19</v>
      </c>
      <c r="B15" s="5">
        <f>SUMIFS(tICICIAshu[Signed Unit],tICICIAshu[Display Scheme],$A15)+SUMIFS(tManiqAshu[Signed Unit],tManiqAshu[Display Scheme],$A15)+SUMIFS(tManiqHars[Signed Unit],tManiqHars[Display Scheme],$A15)+SUMIFS(tZerodhAshu[Signed Unit],tZerodhAshu[Display Scheme],$A15)+SUMIFS(tZerodhHars[Signed Unit],tZerodhHars[Display Scheme],$A15)</f>
        <v>110.82299999999999</v>
      </c>
      <c r="C15" s="6">
        <f>IF(B15&lt;0.01,0,SUMIFS(tICICIAshu[Signed Amount],tICICIAshu[Display Scheme],$A15)+SUMIFS(tManiqAshu[Signed Amount],tManiqAshu[Display Scheme],$A15)+SUMIFS(tManiqHars[Signed Amount],tManiqHars[Display Scheme],$A15)+SUMIFS(tZerodhAshu[Signed Amount],tZerodhAshu[Display Scheme],$A15)+SUMIFS(tZerodhHars[Signed Amount],tZerodhHars[Display Scheme],$A15))</f>
        <v>249989.61</v>
      </c>
      <c r="D15" s="7">
        <f t="shared" si="3"/>
        <v>2255.7556644378874</v>
      </c>
      <c r="E15" s="7">
        <f>IFERROR(VLOOKUP($A15,tNAV[[Display Scheme]:[Latest NAV]],3,FALSE()),0)</f>
        <v>2215.087</v>
      </c>
      <c r="F15" s="6">
        <f t="shared" si="0"/>
        <v>245482.58660099999</v>
      </c>
      <c r="G15" s="6">
        <f>F15-(SUMIFS(tICICIAshu[Signed Amount],tICICIAshu[Display Scheme],$A15)+SUMIFS(tManiqAshu[Signed Amount],tManiqAshu[Display Scheme],$A15)+SUMIFS(tManiqHars[Signed Amount],tManiqHars[Display Scheme],$A15)+SUMIFS(tZerodhAshu[Signed Amount],tZerodhAshu[Display Scheme],$A15)+SUMIFS(tZerodhHars[Signed Amount],tZerodhHars[Display Scheme],$A15))</f>
        <v>-4507.0233989999979</v>
      </c>
      <c r="H15" s="35" t="str">
        <f t="shared" si="1"/>
        <v>Unrealized</v>
      </c>
      <c r="I15" s="8">
        <f>IFERROR(G15/ABS(SUMIFS(tICICIAshu[Signed Amount],tICICIAshu[Display Scheme],$A15)+SUMIFS(tManiqAshu[Signed Amount],tManiqAshu[Display Scheme],$A15)+SUMIFS(tManiqHars[Signed Amount],tManiqHars[Display Scheme],$A15)+SUMIFS(tZerodhAshu[Signed Amount],tZerodhAshu[Display Scheme],$A15)+SUMIFS(tZerodhHars[Signed Amount],tZerodhHars[Display Scheme],$A15)),0)</f>
        <v>-1.8028842874709867E-2</v>
      </c>
      <c r="J15" s="1" t="str">
        <f t="shared" si="2"/>
        <v>In Loss</v>
      </c>
      <c r="K15" s="8" cm="1">
        <f t="array" aca="1" ref="K15" ca="1">IFERROR(IF(F15&lt;=0,"",XIRR(_xlfn.VSTACK(_xlfn._xlws.FILTER(-tAllCF[Signed Amount],tAllCF[Display Scheme]=$A15),F15),_xlfn.VSTACK(_xlfn._xlws.FILTER(tAllCF[Date],tAllCF[Display Scheme]=$A15),TODAY()))),"")</f>
        <v>-2.9031786322593688E-2</v>
      </c>
    </row>
    <row r="16" spans="1:11" x14ac:dyDescent="0.3">
      <c r="A16" s="1" t="s">
        <v>20</v>
      </c>
      <c r="B16" s="5">
        <f>SUMIFS(tICICIAshu[Signed Unit],tICICIAshu[Display Scheme],$A16)+SUMIFS(tManiqAshu[Signed Unit],tManiqAshu[Display Scheme],$A16)+SUMIFS(tManiqHars[Signed Unit],tManiqHars[Display Scheme],$A16)+SUMIFS(tZerodhAshu[Signed Unit],tZerodhAshu[Display Scheme],$A16)+SUMIFS(tZerodhHars[Signed Unit],tZerodhHars[Display Scheme],$A16)</f>
        <v>4570.1120000000001</v>
      </c>
      <c r="C16" s="6">
        <f>IF(B16&lt;0.01,0,SUMIFS(tICICIAshu[Signed Amount],tICICIAshu[Display Scheme],$A16)+SUMIFS(tManiqAshu[Signed Amount],tManiqAshu[Display Scheme],$A16)+SUMIFS(tManiqHars[Signed Amount],tManiqHars[Display Scheme],$A16)+SUMIFS(tZerodhAshu[Signed Amount],tZerodhAshu[Display Scheme],$A16)+SUMIFS(tZerodhHars[Signed Amount],tZerodhHars[Display Scheme],$A16))</f>
        <v>199990.01</v>
      </c>
      <c r="D16" s="7">
        <f t="shared" si="3"/>
        <v>43.760417687794089</v>
      </c>
      <c r="E16" s="7">
        <f>IFERROR(VLOOKUP($A16,tNAV[[Display Scheme]:[Latest NAV]],3,FALSE()),0)</f>
        <v>43.279000000000003</v>
      </c>
      <c r="F16" s="6">
        <f t="shared" si="0"/>
        <v>197789.87724800003</v>
      </c>
      <c r="G16" s="6">
        <f>F16-(SUMIFS(tICICIAshu[Signed Amount],tICICIAshu[Display Scheme],$A16)+SUMIFS(tManiqAshu[Signed Amount],tManiqAshu[Display Scheme],$A16)+SUMIFS(tManiqHars[Signed Amount],tManiqHars[Display Scheme],$A16)+SUMIFS(tZerodhAshu[Signed Amount],tZerodhAshu[Display Scheme],$A16)+SUMIFS(tZerodhHars[Signed Amount],tZerodhHars[Display Scheme],$A16))</f>
        <v>-2200.1327519999759</v>
      </c>
      <c r="H16" s="35" t="str">
        <f t="shared" si="1"/>
        <v>Unrealized</v>
      </c>
      <c r="I16" s="8">
        <f>IFERROR(G16/ABS(SUMIFS(tICICIAshu[Signed Amount],tICICIAshu[Display Scheme],$A16)+SUMIFS(tManiqAshu[Signed Amount],tManiqAshu[Display Scheme],$A16)+SUMIFS(tManiqHars[Signed Amount],tManiqHars[Display Scheme],$A16)+SUMIFS(tZerodhAshu[Signed Amount],tZerodhAshu[Display Scheme],$A16)+SUMIFS(tZerodhHars[Signed Amount],tZerodhHars[Display Scheme],$A16)),0)</f>
        <v>-1.1001213270602746E-2</v>
      </c>
      <c r="J16" s="1" t="str">
        <f t="shared" si="2"/>
        <v>In Loss</v>
      </c>
      <c r="K16" s="8" cm="1">
        <f t="array" aca="1" ref="K16" ca="1">IFERROR(IF(F16&lt;=0,"",XIRR(_xlfn.VSTACK(_xlfn._xlws.FILTER(-tAllCF[Signed Amount],tAllCF[Display Scheme]=$A16),F16),_xlfn.VSTACK(_xlfn._xlws.FILTER(tAllCF[Date],tAllCF[Display Scheme]=$A16),TODAY()))),"")</f>
        <v>-2.1680173277854924E-2</v>
      </c>
    </row>
    <row r="17" spans="1:11" x14ac:dyDescent="0.3">
      <c r="A17" s="1" t="s">
        <v>21</v>
      </c>
      <c r="B17" s="5">
        <f>SUMIFS(tICICIAshu[Signed Unit],tICICIAshu[Display Scheme],$A17)+SUMIFS(tManiqAshu[Signed Unit],tManiqAshu[Display Scheme],$A17)+SUMIFS(tManiqHars[Signed Unit],tManiqHars[Display Scheme],$A17)+SUMIFS(tZerodhAshu[Signed Unit],tZerodhAshu[Display Scheme],$A17)+SUMIFS(tZerodhHars[Signed Unit],tZerodhHars[Display Scheme],$A17)</f>
        <v>2069.5219999999999</v>
      </c>
      <c r="C17" s="6">
        <f>IF(B17&lt;0.01,0,SUMIFS(tICICIAshu[Signed Amount],tICICIAshu[Display Scheme],$A17)+SUMIFS(tManiqAshu[Signed Amount],tManiqAshu[Display Scheme],$A17)+SUMIFS(tManiqHars[Signed Amount],tManiqHars[Display Scheme],$A17)+SUMIFS(tZerodhAshu[Signed Amount],tZerodhAshu[Display Scheme],$A17)+SUMIFS(tZerodhHars[Signed Amount],tZerodhHars[Display Scheme],$A17))</f>
        <v>90000</v>
      </c>
      <c r="D17" s="7">
        <f t="shared" si="3"/>
        <v>43.48830309607726</v>
      </c>
      <c r="E17" s="7">
        <f>IFERROR(VLOOKUP($A17,tNAV[[Display Scheme]:[Latest NAV]],3,FALSE()),0)</f>
        <v>204.864</v>
      </c>
      <c r="F17" s="6">
        <f t="shared" si="0"/>
        <v>423970.555008</v>
      </c>
      <c r="G17" s="6">
        <f>F17-(SUMIFS(tICICIAshu[Signed Amount],tICICIAshu[Display Scheme],$A17)+SUMIFS(tManiqAshu[Signed Amount],tManiqAshu[Display Scheme],$A17)+SUMIFS(tManiqHars[Signed Amount],tManiqHars[Display Scheme],$A17)+SUMIFS(tZerodhAshu[Signed Amount],tZerodhAshu[Display Scheme],$A17)+SUMIFS(tZerodhHars[Signed Amount],tZerodhHars[Display Scheme],$A17))</f>
        <v>333970.555008</v>
      </c>
      <c r="H17" s="35" t="str">
        <f t="shared" si="1"/>
        <v>Unrealized</v>
      </c>
      <c r="I17" s="8">
        <f>IFERROR(G17/ABS(SUMIFS(tICICIAshu[Signed Amount],tICICIAshu[Display Scheme],$A17)+SUMIFS(tManiqAshu[Signed Amount],tManiqAshu[Display Scheme],$A17)+SUMIFS(tManiqHars[Signed Amount],tManiqHars[Display Scheme],$A17)+SUMIFS(tZerodhAshu[Signed Amount],tZerodhAshu[Display Scheme],$A17)+SUMIFS(tZerodhHars[Signed Amount],tZerodhHars[Display Scheme],$A17)),0)</f>
        <v>3.7107839445333335</v>
      </c>
      <c r="J17" s="1" t="str">
        <f t="shared" si="2"/>
        <v>In Profit</v>
      </c>
      <c r="K17" s="8" cm="1">
        <f t="array" aca="1" ref="K17" ca="1">IFERROR(IF(F17&lt;=0,"",XIRR(_xlfn.VSTACK(_xlfn._xlws.FILTER(-tAllCF[Signed Amount],tAllCF[Display Scheme]=$A17),F17),_xlfn.VSTACK(_xlfn._xlws.FILTER(tAllCF[Date],tAllCF[Display Scheme]=$A17),TODAY()))),"")</f>
        <v>0.16650087237358097</v>
      </c>
    </row>
    <row r="18" spans="1:11" x14ac:dyDescent="0.3">
      <c r="A18" s="1" t="s">
        <v>22</v>
      </c>
      <c r="B18" s="5">
        <f>SUMIFS(tICICIAshu[Signed Unit],tICICIAshu[Display Scheme],$A18)+SUMIFS(tManiqAshu[Signed Unit],tManiqAshu[Display Scheme],$A18)+SUMIFS(tManiqHars[Signed Unit],tManiqHars[Display Scheme],$A18)+SUMIFS(tZerodhAshu[Signed Unit],tZerodhAshu[Display Scheme],$A18)+SUMIFS(tZerodhHars[Signed Unit],tZerodhHars[Display Scheme],$A18)</f>
        <v>2613.3119999999999</v>
      </c>
      <c r="C18" s="6">
        <f>IF(B18&lt;0.01,0,SUMIFS(tICICIAshu[Signed Amount],tICICIAshu[Display Scheme],$A18)+SUMIFS(tManiqAshu[Signed Amount],tManiqAshu[Display Scheme],$A18)+SUMIFS(tManiqHars[Signed Amount],tManiqHars[Display Scheme],$A18)+SUMIFS(tZerodhAshu[Signed Amount],tZerodhAshu[Display Scheme],$A18)+SUMIFS(tZerodhHars[Signed Amount],tZerodhHars[Display Scheme],$A18))</f>
        <v>129993.47</v>
      </c>
      <c r="D18" s="7">
        <f t="shared" si="3"/>
        <v>49.742805298410602</v>
      </c>
      <c r="E18" s="7">
        <f>IFERROR(VLOOKUP($A18,tNAV[[Display Scheme]:[Latest NAV]],3,FALSE()),0)</f>
        <v>35.653700000000001</v>
      </c>
      <c r="F18" s="6">
        <f t="shared" si="0"/>
        <v>93174.242054400005</v>
      </c>
      <c r="G18" s="6">
        <f>F18-(SUMIFS(tICICIAshu[Signed Amount],tICICIAshu[Display Scheme],$A18)+SUMIFS(tManiqAshu[Signed Amount],tManiqAshu[Display Scheme],$A18)+SUMIFS(tManiqHars[Signed Amount],tManiqHars[Display Scheme],$A18)+SUMIFS(tZerodhAshu[Signed Amount],tZerodhAshu[Display Scheme],$A18)+SUMIFS(tZerodhHars[Signed Amount],tZerodhHars[Display Scheme],$A18))</f>
        <v>-36819.227945599996</v>
      </c>
      <c r="H18" s="35" t="str">
        <f t="shared" si="1"/>
        <v>Unrealized</v>
      </c>
      <c r="I18" s="8">
        <f>IFERROR(G18/ABS(SUMIFS(tICICIAshu[Signed Amount],tICICIAshu[Display Scheme],$A18)+SUMIFS(tManiqAshu[Signed Amount],tManiqAshu[Display Scheme],$A18)+SUMIFS(tManiqHars[Signed Amount],tManiqHars[Display Scheme],$A18)+SUMIFS(tZerodhAshu[Signed Amount],tZerodhAshu[Display Scheme],$A18)+SUMIFS(tZerodhHars[Signed Amount],tZerodhHars[Display Scheme],$A18)),0)</f>
        <v>-0.28323905766651197</v>
      </c>
      <c r="J18" s="1" t="str">
        <f t="shared" si="2"/>
        <v>In Loss</v>
      </c>
      <c r="K18" s="8" cm="1">
        <f t="array" aca="1" ref="K18" ca="1">IFERROR(IF(F18&lt;=0,"",XIRR(_xlfn.VSTACK(_xlfn._xlws.FILTER(-tAllCF[Signed Amount],tAllCF[Display Scheme]=$A18),F18),_xlfn.VSTACK(_xlfn._xlws.FILTER(tAllCF[Date],tAllCF[Display Scheme]=$A18),TODAY()))),"")</f>
        <v>-0.54444951042532908</v>
      </c>
    </row>
    <row r="19" spans="1:11" x14ac:dyDescent="0.3">
      <c r="A19" s="1" t="s">
        <v>23</v>
      </c>
      <c r="B19" s="5">
        <f>SUMIFS(tICICIAshu[Signed Unit],tICICIAshu[Display Scheme],$A19)+SUMIFS(tManiqAshu[Signed Unit],tManiqAshu[Display Scheme],$A19)+SUMIFS(tManiqHars[Signed Unit],tManiqHars[Display Scheme],$A19)+SUMIFS(tZerodhAshu[Signed Unit],tZerodhAshu[Display Scheme],$A19)+SUMIFS(tZerodhHars[Signed Unit],tZerodhHars[Display Scheme],$A19)</f>
        <v>295.35900000000004</v>
      </c>
      <c r="C19" s="6">
        <f>IF(B19&lt;0.01,0,SUMIFS(tICICIAshu[Signed Amount],tICICIAshu[Display Scheme],$A19)+SUMIFS(tManiqAshu[Signed Amount],tManiqAshu[Display Scheme],$A19)+SUMIFS(tManiqHars[Signed Amount],tManiqHars[Display Scheme],$A19)+SUMIFS(tZerodhAshu[Signed Amount],tZerodhAshu[Display Scheme],$A19)+SUMIFS(tZerodhHars[Signed Amount],tZerodhHars[Display Scheme],$A19))</f>
        <v>24998.929999999997</v>
      </c>
      <c r="D19" s="7">
        <f t="shared" si="3"/>
        <v>84.639134070741008</v>
      </c>
      <c r="E19" s="7">
        <f>IFERROR(VLOOKUP($A19,tNAV[[Display Scheme]:[Latest NAV]],3,FALSE()),0)</f>
        <v>86.86</v>
      </c>
      <c r="F19" s="6">
        <f t="shared" si="0"/>
        <v>25654.882740000005</v>
      </c>
      <c r="G19" s="6">
        <f>F19-(SUMIFS(tICICIAshu[Signed Amount],tICICIAshu[Display Scheme],$A19)+SUMIFS(tManiqAshu[Signed Amount],tManiqAshu[Display Scheme],$A19)+SUMIFS(tManiqHars[Signed Amount],tManiqHars[Display Scheme],$A19)+SUMIFS(tZerodhAshu[Signed Amount],tZerodhAshu[Display Scheme],$A19)+SUMIFS(tZerodhHars[Signed Amount],tZerodhHars[Display Scheme],$A19))</f>
        <v>655.95274000000791</v>
      </c>
      <c r="H19" s="35" t="str">
        <f t="shared" si="1"/>
        <v>Unrealized</v>
      </c>
      <c r="I19" s="8">
        <f>IFERROR(G19/ABS(SUMIFS(tICICIAshu[Signed Amount],tICICIAshu[Display Scheme],$A19)+SUMIFS(tManiqAshu[Signed Amount],tManiqAshu[Display Scheme],$A19)+SUMIFS(tManiqHars[Signed Amount],tManiqHars[Display Scheme],$A19)+SUMIFS(tZerodhAshu[Signed Amount],tZerodhAshu[Display Scheme],$A19)+SUMIFS(tZerodhHars[Signed Amount],tZerodhHars[Display Scheme],$A19)),0)</f>
        <v>2.6239232639157277E-2</v>
      </c>
      <c r="J19" s="1" t="str">
        <f t="shared" si="2"/>
        <v>In Profit</v>
      </c>
      <c r="K19" s="8" cm="1">
        <f t="array" aca="1" ref="K19" ca="1">IFERROR(IF(F19&lt;=0,"",XIRR(_xlfn.VSTACK(_xlfn._xlws.FILTER(-tAllCF[Signed Amount],tAllCF[Display Scheme]=$A19),F19),_xlfn.VSTACK(_xlfn._xlws.FILTER(tAllCF[Date],tAllCF[Display Scheme]=$A19),TODAY()))),"")</f>
        <v>4.0666501760482792</v>
      </c>
    </row>
    <row r="20" spans="1:11" x14ac:dyDescent="0.3">
      <c r="A20" s="1" t="s">
        <v>24</v>
      </c>
      <c r="B20" s="5">
        <f>SUMIFS(tICICIAshu[Signed Unit],tICICIAshu[Display Scheme],$A20)+SUMIFS(tManiqAshu[Signed Unit],tManiqAshu[Display Scheme],$A20)+SUMIFS(tManiqHars[Signed Unit],tManiqHars[Display Scheme],$A20)+SUMIFS(tZerodhAshu[Signed Unit],tZerodhAshu[Display Scheme],$A20)+SUMIFS(tZerodhHars[Signed Unit],tZerodhHars[Display Scheme],$A20)</f>
        <v>2413.8670000000002</v>
      </c>
      <c r="C20" s="6">
        <f>IF(B20&lt;0.01,0,SUMIFS(tICICIAshu[Signed Amount],tICICIAshu[Display Scheme],$A20)+SUMIFS(tManiqAshu[Signed Amount],tManiqAshu[Display Scheme],$A20)+SUMIFS(tManiqHars[Signed Amount],tManiqHars[Display Scheme],$A20)+SUMIFS(tZerodhAshu[Signed Amount],tZerodhAshu[Display Scheme],$A20)+SUMIFS(tZerodhHars[Signed Amount],tZerodhHars[Display Scheme],$A20))</f>
        <v>149992.80000000013</v>
      </c>
      <c r="D20" s="7">
        <f t="shared" si="3"/>
        <v>62.137971976086554</v>
      </c>
      <c r="E20" s="7">
        <f>IFERROR(VLOOKUP($A20,tNAV[[Display Scheme]:[Latest NAV]],3,FALSE()),0)</f>
        <v>93.49</v>
      </c>
      <c r="F20" s="6">
        <f t="shared" si="0"/>
        <v>225672.42582999999</v>
      </c>
      <c r="G20" s="6">
        <f>F20-(SUMIFS(tICICIAshu[Signed Amount],tICICIAshu[Display Scheme],$A20)+SUMIFS(tManiqAshu[Signed Amount],tManiqAshu[Display Scheme],$A20)+SUMIFS(tManiqHars[Signed Amount],tManiqHars[Display Scheme],$A20)+SUMIFS(tZerodhAshu[Signed Amount],tZerodhAshu[Display Scheme],$A20)+SUMIFS(tZerodhHars[Signed Amount],tZerodhHars[Display Scheme],$A20))</f>
        <v>75679.625829999859</v>
      </c>
      <c r="H20" s="35" t="str">
        <f t="shared" si="1"/>
        <v>Unrealized</v>
      </c>
      <c r="I20" s="8">
        <f>IFERROR(G20/ABS(SUMIFS(tICICIAshu[Signed Amount],tICICIAshu[Display Scheme],$A20)+SUMIFS(tManiqAshu[Signed Amount],tManiqAshu[Display Scheme],$A20)+SUMIFS(tManiqHars[Signed Amount],tManiqHars[Display Scheme],$A20)+SUMIFS(tZerodhAshu[Signed Amount],tZerodhAshu[Display Scheme],$A20)+SUMIFS(tZerodhHars[Signed Amount],tZerodhHars[Display Scheme],$A20)),0)</f>
        <v>0.50455505750942575</v>
      </c>
      <c r="J20" s="1" t="str">
        <f t="shared" si="2"/>
        <v>In Profit</v>
      </c>
      <c r="K20" s="8" cm="1">
        <f t="array" aca="1" ref="K20" ca="1">IFERROR(IF(F20&lt;=0,"",XIRR(_xlfn.VSTACK(_xlfn._xlws.FILTER(-tAllCF[Signed Amount],tAllCF[Display Scheme]=$A20),F20),_xlfn.VSTACK(_xlfn._xlws.FILTER(tAllCF[Date],tAllCF[Display Scheme]=$A20),TODAY()))),"")</f>
        <v>0.1680143654346466</v>
      </c>
    </row>
    <row r="21" spans="1:11" x14ac:dyDescent="0.3">
      <c r="A21" s="1" t="s">
        <v>25</v>
      </c>
      <c r="B21" s="5">
        <f>SUMIFS(tICICIAshu[Signed Unit],tICICIAshu[Display Scheme],$A21)+SUMIFS(tManiqAshu[Signed Unit],tManiqAshu[Display Scheme],$A21)+SUMIFS(tManiqHars[Signed Unit],tManiqHars[Display Scheme],$A21)+SUMIFS(tZerodhAshu[Signed Unit],tZerodhAshu[Display Scheme],$A21)+SUMIFS(tZerodhHars[Signed Unit],tZerodhHars[Display Scheme],$A21)</f>
        <v>269.37300000000005</v>
      </c>
      <c r="C21" s="6">
        <f>IF(B21&lt;0.01,0,SUMIFS(tICICIAshu[Signed Amount],tICICIAshu[Display Scheme],$A21)+SUMIFS(tManiqAshu[Signed Amount],tManiqAshu[Display Scheme],$A21)+SUMIFS(tManiqHars[Signed Amount],tManiqHars[Display Scheme],$A21)+SUMIFS(tZerodhAshu[Signed Amount],tZerodhAshu[Display Scheme],$A21)+SUMIFS(tZerodhHars[Signed Amount],tZerodhHars[Display Scheme],$A21))</f>
        <v>64996.75</v>
      </c>
      <c r="D21" s="7">
        <f t="shared" si="3"/>
        <v>241.2890304521982</v>
      </c>
      <c r="E21" s="7">
        <f>IFERROR(VLOOKUP($A21,tNAV[[Display Scheme]:[Latest NAV]],3,FALSE()),0)</f>
        <v>462.41</v>
      </c>
      <c r="F21" s="6">
        <f t="shared" si="0"/>
        <v>124560.76893000003</v>
      </c>
      <c r="G21" s="6">
        <f>F21-(SUMIFS(tICICIAshu[Signed Amount],tICICIAshu[Display Scheme],$A21)+SUMIFS(tManiqAshu[Signed Amount],tManiqAshu[Display Scheme],$A21)+SUMIFS(tManiqHars[Signed Amount],tManiqHars[Display Scheme],$A21)+SUMIFS(tZerodhAshu[Signed Amount],tZerodhAshu[Display Scheme],$A21)+SUMIFS(tZerodhHars[Signed Amount],tZerodhHars[Display Scheme],$A21))</f>
        <v>59564.018930000035</v>
      </c>
      <c r="H21" s="35" t="str">
        <f t="shared" si="1"/>
        <v>Unrealized</v>
      </c>
      <c r="I21" s="8">
        <f>IFERROR(G21/ABS(SUMIFS(tICICIAshu[Signed Amount],tICICIAshu[Display Scheme],$A21)+SUMIFS(tManiqAshu[Signed Amount],tManiqAshu[Display Scheme],$A21)+SUMIFS(tManiqHars[Signed Amount],tManiqHars[Display Scheme],$A21)+SUMIFS(tZerodhAshu[Signed Amount],tZerodhAshu[Display Scheme],$A21)+SUMIFS(tZerodhHars[Signed Amount],tZerodhHars[Display Scheme],$A21)),0)</f>
        <v>0.91641534276713887</v>
      </c>
      <c r="J21" s="1" t="str">
        <f t="shared" si="2"/>
        <v>In Profit</v>
      </c>
      <c r="K21" s="8" cm="1">
        <f t="array" aca="1" ref="K21" ca="1">IFERROR(IF(F21&lt;=0,"",XIRR(_xlfn.VSTACK(_xlfn._xlws.FILTER(-tAllCF[Signed Amount],tAllCF[Display Scheme]=$A21),F21),_xlfn.VSTACK(_xlfn._xlws.FILTER(tAllCF[Date],tAllCF[Display Scheme]=$A21),TODAY()))),"")</f>
        <v>0.15426111817359928</v>
      </c>
    </row>
    <row r="22" spans="1:11" x14ac:dyDescent="0.3">
      <c r="A22" s="1" t="s">
        <v>26</v>
      </c>
      <c r="B22" s="5">
        <f>SUMIFS(tICICIAshu[Signed Unit],tICICIAshu[Display Scheme],$A22)+SUMIFS(tManiqAshu[Signed Unit],tManiqAshu[Display Scheme],$A22)+SUMIFS(tManiqHars[Signed Unit],tManiqHars[Display Scheme],$A22)+SUMIFS(tZerodhAshu[Signed Unit],tZerodhAshu[Display Scheme],$A22)+SUMIFS(tZerodhHars[Signed Unit],tZerodhHars[Display Scheme],$A22)</f>
        <v>2787.7759999999998</v>
      </c>
      <c r="C22" s="6">
        <f>IF(B22&lt;0.01,0,SUMIFS(tICICIAshu[Signed Amount],tICICIAshu[Display Scheme],$A22)+SUMIFS(tManiqAshu[Signed Amount],tManiqAshu[Display Scheme],$A22)+SUMIFS(tManiqHars[Signed Amount],tManiqHars[Display Scheme],$A22)+SUMIFS(tZerodhAshu[Signed Amount],tZerodhAshu[Display Scheme],$A22)+SUMIFS(tZerodhHars[Signed Amount],tZerodhHars[Display Scheme],$A22))</f>
        <v>99995.02</v>
      </c>
      <c r="D22" s="7">
        <f t="shared" si="3"/>
        <v>35.869101391216518</v>
      </c>
      <c r="E22" s="7">
        <f>IFERROR(VLOOKUP($A22,tNAV[[Display Scheme]:[Latest NAV]],3,FALSE()),0)</f>
        <v>36.785699999999999</v>
      </c>
      <c r="F22" s="6">
        <f t="shared" si="0"/>
        <v>102550.29160319999</v>
      </c>
      <c r="G22" s="6">
        <f>F22-(SUMIFS(tICICIAshu[Signed Amount],tICICIAshu[Display Scheme],$A22)+SUMIFS(tManiqAshu[Signed Amount],tManiqAshu[Display Scheme],$A22)+SUMIFS(tManiqHars[Signed Amount],tManiqHars[Display Scheme],$A22)+SUMIFS(tZerodhAshu[Signed Amount],tZerodhAshu[Display Scheme],$A22)+SUMIFS(tZerodhHars[Signed Amount],tZerodhHars[Display Scheme],$A22))</f>
        <v>2555.271603199988</v>
      </c>
      <c r="H22" s="35" t="str">
        <f t="shared" si="1"/>
        <v>Unrealized</v>
      </c>
      <c r="I22" s="8">
        <f>IFERROR(G22/ABS(SUMIFS(tICICIAshu[Signed Amount],tICICIAshu[Display Scheme],$A22)+SUMIFS(tManiqAshu[Signed Amount],tManiqAshu[Display Scheme],$A22)+SUMIFS(tManiqHars[Signed Amount],tManiqHars[Display Scheme],$A22)+SUMIFS(tZerodhAshu[Signed Amount],tZerodhAshu[Display Scheme],$A22)+SUMIFS(tZerodhHars[Signed Amount],tZerodhHars[Display Scheme],$A22)),0)</f>
        <v>2.5553988620633187E-2</v>
      </c>
      <c r="J22" s="1" t="str">
        <f t="shared" si="2"/>
        <v>In Profit</v>
      </c>
      <c r="K22" s="8" cm="1">
        <f t="array" aca="1" ref="K22" ca="1">IFERROR(IF(F22&lt;=0,"",XIRR(_xlfn.VSTACK(_xlfn._xlws.FILTER(-tAllCF[Signed Amount],tAllCF[Display Scheme]=$A22),F22),_xlfn.VSTACK(_xlfn._xlws.FILTER(tAllCF[Date],tAllCF[Display Scheme]=$A22),TODAY()))),"")</f>
        <v>6.4206972718238831E-2</v>
      </c>
    </row>
    <row r="23" spans="1:11" x14ac:dyDescent="0.3">
      <c r="A23" s="1" t="s">
        <v>27</v>
      </c>
      <c r="B23" s="5">
        <f>SUMIFS(tICICIAshu[Signed Unit],tICICIAshu[Display Scheme],$A23)+SUMIFS(tManiqAshu[Signed Unit],tManiqAshu[Display Scheme],$A23)+SUMIFS(tManiqHars[Signed Unit],tManiqHars[Display Scheme],$A23)+SUMIFS(tZerodhAshu[Signed Unit],tZerodhAshu[Display Scheme],$A23)+SUMIFS(tZerodhHars[Signed Unit],tZerodhHars[Display Scheme],$A23)</f>
        <v>1017.5740000000001</v>
      </c>
      <c r="C23" s="6">
        <f>IF(B23&lt;0.01,0,SUMIFS(tICICIAshu[Signed Amount],tICICIAshu[Display Scheme],$A23)+SUMIFS(tManiqAshu[Signed Amount],tManiqAshu[Display Scheme],$A23)+SUMIFS(tManiqHars[Signed Amount],tManiqHars[Display Scheme],$A23)+SUMIFS(tZerodhAshu[Signed Amount],tZerodhAshu[Display Scheme],$A23)+SUMIFS(tZerodhHars[Signed Amount],tZerodhHars[Display Scheme],$A23))</f>
        <v>99995.079999999987</v>
      </c>
      <c r="D23" s="7">
        <f t="shared" si="3"/>
        <v>98.268116127180903</v>
      </c>
      <c r="E23" s="7">
        <f>IFERROR(VLOOKUP($A23,tNAV[[Display Scheme]:[Latest NAV]],3,FALSE()),0)</f>
        <v>157.4</v>
      </c>
      <c r="F23" s="6">
        <f t="shared" si="0"/>
        <v>160166.14760000003</v>
      </c>
      <c r="G23" s="6">
        <f>F23-(SUMIFS(tICICIAshu[Signed Amount],tICICIAshu[Display Scheme],$A23)+SUMIFS(tManiqAshu[Signed Amount],tManiqAshu[Display Scheme],$A23)+SUMIFS(tManiqHars[Signed Amount],tManiqHars[Display Scheme],$A23)+SUMIFS(tZerodhAshu[Signed Amount],tZerodhAshu[Display Scheme],$A23)+SUMIFS(tZerodhHars[Signed Amount],tZerodhHars[Display Scheme],$A23))</f>
        <v>60171.067600000039</v>
      </c>
      <c r="H23" s="35" t="str">
        <f t="shared" si="1"/>
        <v>Unrealized</v>
      </c>
      <c r="I23" s="8">
        <f>IFERROR(G23/ABS(SUMIFS(tICICIAshu[Signed Amount],tICICIAshu[Display Scheme],$A23)+SUMIFS(tManiqAshu[Signed Amount],tManiqAshu[Display Scheme],$A23)+SUMIFS(tManiqHars[Signed Amount],tManiqHars[Display Scheme],$A23)+SUMIFS(tZerodhAshu[Signed Amount],tZerodhAshu[Display Scheme],$A23)+SUMIFS(tZerodhHars[Signed Amount],tZerodhHars[Display Scheme],$A23)),0)</f>
        <v>0.60174028162185622</v>
      </c>
      <c r="J23" s="1" t="str">
        <f t="shared" si="2"/>
        <v>In Profit</v>
      </c>
      <c r="K23" s="8" cm="1">
        <f t="array" aca="1" ref="K23" ca="1">IFERROR(IF(F23&lt;=0,"",XIRR(_xlfn.VSTACK(_xlfn._xlws.FILTER(-tAllCF[Signed Amount],tAllCF[Display Scheme]=$A23),F23),_xlfn.VSTACK(_xlfn._xlws.FILTER(tAllCF[Date],tAllCF[Display Scheme]=$A23),TODAY()))),"")</f>
        <v>0.14925648570060734</v>
      </c>
    </row>
    <row r="24" spans="1:11" hidden="1" x14ac:dyDescent="0.3">
      <c r="A24" s="1" t="s">
        <v>28</v>
      </c>
      <c r="B24" s="5">
        <f>SUMIFS(tICICIAshu[Signed Unit],tICICIAshu[Display Scheme],$A24)+SUMIFS(tManiqAshu[Signed Unit],tManiqAshu[Display Scheme],$A24)+SUMIFS(tManiqHars[Signed Unit],tManiqHars[Display Scheme],$A24)+SUMIFS(tZerodhAshu[Signed Unit],tZerodhAshu[Display Scheme],$A24)+SUMIFS(tZerodhHars[Signed Unit],tZerodhHars[Display Scheme],$A24)</f>
        <v>0</v>
      </c>
      <c r="C24" s="6">
        <f>IF(B24&lt;0.01,0,SUMIFS(tICICIAshu[Signed Amount],tICICIAshu[Display Scheme],$A24)+SUMIFS(tManiqAshu[Signed Amount],tManiqAshu[Display Scheme],$A24)+SUMIFS(tManiqHars[Signed Amount],tManiqHars[Display Scheme],$A24)+SUMIFS(tZerodhAshu[Signed Amount],tZerodhAshu[Display Scheme],$A24)+SUMIFS(tZerodhHars[Signed Amount],tZerodhHars[Display Scheme],$A24))</f>
        <v>0</v>
      </c>
      <c r="D24" s="7">
        <f t="shared" si="3"/>
        <v>0</v>
      </c>
      <c r="E24" s="7">
        <f>IFERROR(VLOOKUP($A24,tNAV[[Display Scheme]:[Latest NAV]],3,FALSE()),0)</f>
        <v>0</v>
      </c>
      <c r="F24" s="6">
        <f t="shared" si="0"/>
        <v>0</v>
      </c>
      <c r="G24" s="6">
        <f>F24-(SUMIFS(tICICIAshu[Signed Amount],tICICIAshu[Display Scheme],$A24)+SUMIFS(tManiqAshu[Signed Amount],tManiqAshu[Display Scheme],$A24)+SUMIFS(tManiqHars[Signed Amount],tManiqHars[Display Scheme],$A24)+SUMIFS(tZerodhAshu[Signed Amount],tZerodhAshu[Display Scheme],$A24)+SUMIFS(tZerodhHars[Signed Amount],tZerodhHars[Display Scheme],$A24))</f>
        <v>24452.929999999993</v>
      </c>
      <c r="H24" s="35" t="str">
        <f t="shared" si="1"/>
        <v>Realized</v>
      </c>
      <c r="I24" s="8">
        <f>IFERROR(G24/ABS(SUMIFS(tICICIAshu[Signed Amount],tICICIAshu[Display Scheme],$A24)+SUMIFS(tManiqAshu[Signed Amount],tManiqAshu[Display Scheme],$A24)+SUMIFS(tManiqHars[Signed Amount],tManiqHars[Display Scheme],$A24)+SUMIFS(tZerodhAshu[Signed Amount],tZerodhAshu[Display Scheme],$A24)+SUMIFS(tZerodhHars[Signed Amount],tZerodhHars[Display Scheme],$A24)),0)</f>
        <v>1</v>
      </c>
      <c r="J24" s="1" t="str">
        <f t="shared" si="2"/>
        <v>Redeemed</v>
      </c>
      <c r="K24" s="8" t="str" cm="1">
        <f t="array" aca="1" ref="K24" ca="1">IFERROR(IF(F24&lt;=0,"",XIRR(_xlfn.VSTACK(_xlfn._xlws.FILTER(-tAllCF[Signed Amount],tAllCF[Display Scheme]=$A24),F24),_xlfn.VSTACK(_xlfn._xlws.FILTER(tAllCF[Date],tAllCF[Display Scheme]=$A24),TODAY()))),"")</f>
        <v/>
      </c>
    </row>
    <row r="25" spans="1:11" x14ac:dyDescent="0.3">
      <c r="A25" s="1" t="s">
        <v>29</v>
      </c>
      <c r="B25" s="5">
        <f>SUMIFS(tICICIAshu[Signed Unit],tICICIAshu[Display Scheme],$A25)+SUMIFS(tManiqAshu[Signed Unit],tManiqAshu[Display Scheme],$A25)+SUMIFS(tManiqHars[Signed Unit],tManiqHars[Display Scheme],$A25)+SUMIFS(tZerodhAshu[Signed Unit],tZerodhAshu[Display Scheme],$A25)+SUMIFS(tZerodhHars[Signed Unit],tZerodhHars[Display Scheme],$A25)</f>
        <v>3294.2599999999993</v>
      </c>
      <c r="C25" s="6">
        <f>IF(B25&lt;0.01,0,SUMIFS(tICICIAshu[Signed Amount],tICICIAshu[Display Scheme],$A25)+SUMIFS(tManiqAshu[Signed Amount],tManiqAshu[Display Scheme],$A25)+SUMIFS(tManiqHars[Signed Amount],tManiqHars[Display Scheme],$A25)+SUMIFS(tZerodhAshu[Signed Amount],tZerodhAshu[Display Scheme],$A25)+SUMIFS(tZerodhHars[Signed Amount],tZerodhHars[Display Scheme],$A25))</f>
        <v>349000</v>
      </c>
      <c r="D25" s="7">
        <f t="shared" si="3"/>
        <v>105.9418503700376</v>
      </c>
      <c r="E25" s="7">
        <f>IFERROR(VLOOKUP($A25,tNAV[[Display Scheme]:[Latest NAV]],3,FALSE()),0)</f>
        <v>151.745</v>
      </c>
      <c r="F25" s="6">
        <f t="shared" si="0"/>
        <v>499887.48369999992</v>
      </c>
      <c r="G25" s="6">
        <f>F25-(SUMIFS(tICICIAshu[Signed Amount],tICICIAshu[Display Scheme],$A25)+SUMIFS(tManiqAshu[Signed Amount],tManiqAshu[Display Scheme],$A25)+SUMIFS(tManiqHars[Signed Amount],tManiqHars[Display Scheme],$A25)+SUMIFS(tZerodhAshu[Signed Amount],tZerodhAshu[Display Scheme],$A25)+SUMIFS(tZerodhHars[Signed Amount],tZerodhHars[Display Scheme],$A25))</f>
        <v>150887.48369999992</v>
      </c>
      <c r="H25" s="35" t="str">
        <f t="shared" si="1"/>
        <v>Unrealized</v>
      </c>
      <c r="I25" s="8">
        <f>IFERROR(G25/ABS(SUMIFS(tICICIAshu[Signed Amount],tICICIAshu[Display Scheme],$A25)+SUMIFS(tManiqAshu[Signed Amount],tManiqAshu[Display Scheme],$A25)+SUMIFS(tManiqHars[Signed Amount],tManiqHars[Display Scheme],$A25)+SUMIFS(tZerodhAshu[Signed Amount],tZerodhAshu[Display Scheme],$A25)+SUMIFS(tZerodhHars[Signed Amount],tZerodhHars[Display Scheme],$A25)),0)</f>
        <v>0.43234236017191957</v>
      </c>
      <c r="J25" s="1" t="str">
        <f t="shared" si="2"/>
        <v>In Profit</v>
      </c>
      <c r="K25" s="8" cm="1">
        <f t="array" aca="1" ref="K25" ca="1">IFERROR(IF(F25&lt;=0,"",XIRR(_xlfn.VSTACK(_xlfn._xlws.FILTER(-tAllCF[Signed Amount],tAllCF[Display Scheme]=$A25),F25),_xlfn.VSTACK(_xlfn._xlws.FILTER(tAllCF[Date],tAllCF[Display Scheme]=$A25),TODAY()))),"")</f>
        <v>0.14008961319923399</v>
      </c>
    </row>
    <row r="26" spans="1:11" x14ac:dyDescent="0.3">
      <c r="A26" s="1" t="s">
        <v>30</v>
      </c>
      <c r="B26" s="5">
        <f>SUMIFS(tICICIAshu[Signed Unit],tICICIAshu[Display Scheme],$A26)+SUMIFS(tManiqAshu[Signed Unit],tManiqAshu[Display Scheme],$A26)+SUMIFS(tManiqHars[Signed Unit],tManiqHars[Display Scheme],$A26)+SUMIFS(tZerodhAshu[Signed Unit],tZerodhAshu[Display Scheme],$A26)+SUMIFS(tZerodhHars[Signed Unit],tZerodhHars[Display Scheme],$A26)</f>
        <v>24998.75</v>
      </c>
      <c r="C26" s="6">
        <f>IF(B26&lt;0.01,0,SUMIFS(tICICIAshu[Signed Amount],tICICIAshu[Display Scheme],$A26)+SUMIFS(tManiqAshu[Signed Amount],tManiqAshu[Display Scheme],$A26)+SUMIFS(tManiqHars[Signed Amount],tManiqHars[Display Scheme],$A26)+SUMIFS(tZerodhAshu[Signed Amount],tZerodhAshu[Display Scheme],$A26)+SUMIFS(tZerodhHars[Signed Amount],tZerodhHars[Display Scheme],$A26))</f>
        <v>249987.5</v>
      </c>
      <c r="D26" s="7">
        <f t="shared" si="3"/>
        <v>10</v>
      </c>
      <c r="E26" s="7">
        <f>IFERROR(VLOOKUP($A26,tNAV[[Display Scheme]:[Latest NAV]],3,FALSE()),0)</f>
        <v>19.991</v>
      </c>
      <c r="F26" s="6">
        <f t="shared" si="0"/>
        <v>499750.01124999998</v>
      </c>
      <c r="G26" s="6">
        <f>F26-(SUMIFS(tICICIAshu[Signed Amount],tICICIAshu[Display Scheme],$A26)+SUMIFS(tManiqAshu[Signed Amount],tManiqAshu[Display Scheme],$A26)+SUMIFS(tManiqHars[Signed Amount],tManiqHars[Display Scheme],$A26)+SUMIFS(tZerodhAshu[Signed Amount],tZerodhAshu[Display Scheme],$A26)+SUMIFS(tZerodhHars[Signed Amount],tZerodhHars[Display Scheme],$A26))</f>
        <v>249762.51124999998</v>
      </c>
      <c r="H26" s="35" t="str">
        <f t="shared" si="1"/>
        <v>Unrealized</v>
      </c>
      <c r="I26" s="8">
        <f>IFERROR(G26/ABS(SUMIFS(tICICIAshu[Signed Amount],tICICIAshu[Display Scheme],$A26)+SUMIFS(tManiqAshu[Signed Amount],tManiqAshu[Display Scheme],$A26)+SUMIFS(tManiqHars[Signed Amount],tManiqHars[Display Scheme],$A26)+SUMIFS(tZerodhAshu[Signed Amount],tZerodhAshu[Display Scheme],$A26)+SUMIFS(tZerodhHars[Signed Amount],tZerodhHars[Display Scheme],$A26)),0)</f>
        <v>0.99909999999999988</v>
      </c>
      <c r="J26" s="1" t="str">
        <f t="shared" si="2"/>
        <v>In Profit</v>
      </c>
      <c r="K26" s="8" cm="1">
        <f t="array" aca="1" ref="K26" ca="1">IFERROR(IF(F26&lt;=0,"",XIRR(_xlfn.VSTACK(_xlfn._xlws.FILTER(-tAllCF[Signed Amount],tAllCF[Display Scheme]=$A26),F26),_xlfn.VSTACK(_xlfn._xlws.FILTER(tAllCF[Date],tAllCF[Display Scheme]=$A26),TODAY()))),"")</f>
        <v>0.15717108845710753</v>
      </c>
    </row>
    <row r="27" spans="1:11" hidden="1" x14ac:dyDescent="0.3">
      <c r="A27" s="1" t="s">
        <v>31</v>
      </c>
      <c r="B27" s="5">
        <f>SUMIFS(tICICIAshu[Signed Unit],tICICIAshu[Display Scheme],$A27)+SUMIFS(tManiqAshu[Signed Unit],tManiqAshu[Display Scheme],$A27)+SUMIFS(tManiqHars[Signed Unit],tManiqHars[Display Scheme],$A27)+SUMIFS(tZerodhAshu[Signed Unit],tZerodhAshu[Display Scheme],$A27)+SUMIFS(tZerodhHars[Signed Unit],tZerodhHars[Display Scheme],$A27)</f>
        <v>0</v>
      </c>
      <c r="C27" s="6">
        <f>IF(B27&lt;0.01,0,SUMIFS(tICICIAshu[Signed Amount],tICICIAshu[Display Scheme],$A27)+SUMIFS(tManiqAshu[Signed Amount],tManiqAshu[Display Scheme],$A27)+SUMIFS(tManiqHars[Signed Amount],tManiqHars[Display Scheme],$A27)+SUMIFS(tZerodhAshu[Signed Amount],tZerodhAshu[Display Scheme],$A27)+SUMIFS(tZerodhHars[Signed Amount],tZerodhHars[Display Scheme],$A27))</f>
        <v>0</v>
      </c>
      <c r="D27" s="7">
        <f t="shared" si="3"/>
        <v>0</v>
      </c>
      <c r="E27" s="7">
        <f>IFERROR(VLOOKUP($A27,tNAV[[Display Scheme]:[Latest NAV]],3,FALSE()),0)</f>
        <v>0</v>
      </c>
      <c r="F27" s="6">
        <f t="shared" si="0"/>
        <v>0</v>
      </c>
      <c r="G27" s="6">
        <f>F27-(SUMIFS(tICICIAshu[Signed Amount],tICICIAshu[Display Scheme],$A27)+SUMIFS(tManiqAshu[Signed Amount],tManiqAshu[Display Scheme],$A27)+SUMIFS(tManiqHars[Signed Amount],tManiqHars[Display Scheme],$A27)+SUMIFS(tZerodhAshu[Signed Amount],tZerodhAshu[Display Scheme],$A27)+SUMIFS(tZerodhHars[Signed Amount],tZerodhHars[Display Scheme],$A27))</f>
        <v>6280.0499999999993</v>
      </c>
      <c r="H27" s="35" t="str">
        <f t="shared" si="1"/>
        <v>Realized</v>
      </c>
      <c r="I27" s="8">
        <f>IFERROR(G27/ABS(SUMIFS(tICICIAshu[Signed Amount],tICICIAshu[Display Scheme],$A27)+SUMIFS(tManiqAshu[Signed Amount],tManiqAshu[Display Scheme],$A27)+SUMIFS(tManiqHars[Signed Amount],tManiqHars[Display Scheme],$A27)+SUMIFS(tZerodhAshu[Signed Amount],tZerodhAshu[Display Scheme],$A27)+SUMIFS(tZerodhHars[Signed Amount],tZerodhHars[Display Scheme],$A27)),0)</f>
        <v>1</v>
      </c>
      <c r="J27" s="1" t="str">
        <f t="shared" si="2"/>
        <v>Redeemed</v>
      </c>
      <c r="K27" s="8" t="str" cm="1">
        <f t="array" aca="1" ref="K27" ca="1">IFERROR(IF(F27&lt;=0,"",XIRR(_xlfn.VSTACK(_xlfn._xlws.FILTER(-tAllCF[Signed Amount],tAllCF[Display Scheme]=$A27),F27),_xlfn.VSTACK(_xlfn._xlws.FILTER(tAllCF[Date],tAllCF[Display Scheme]=$A27),TODAY()))),"")</f>
        <v/>
      </c>
    </row>
    <row r="28" spans="1:11" x14ac:dyDescent="0.3">
      <c r="A28" s="1" t="s">
        <v>32</v>
      </c>
      <c r="B28" s="5">
        <f>SUMIFS(tICICIAshu[Signed Unit],tICICIAshu[Display Scheme],$A28)+SUMIFS(tManiqAshu[Signed Unit],tManiqAshu[Display Scheme],$A28)+SUMIFS(tManiqHars[Signed Unit],tManiqHars[Display Scheme],$A28)+SUMIFS(tZerodhAshu[Signed Unit],tZerodhAshu[Display Scheme],$A28)+SUMIFS(tZerodhHars[Signed Unit],tZerodhHars[Display Scheme],$A28)</f>
        <v>49484.837</v>
      </c>
      <c r="C28" s="6">
        <f>IF(B28&lt;0.01,0,SUMIFS(tICICIAshu[Signed Amount],tICICIAshu[Display Scheme],$A28)+SUMIFS(tManiqAshu[Signed Amount],tManiqAshu[Display Scheme],$A28)+SUMIFS(tManiqHars[Signed Amount],tManiqHars[Display Scheme],$A28)+SUMIFS(tZerodhAshu[Signed Amount],tZerodhAshu[Display Scheme],$A28)+SUMIFS(tZerodhHars[Signed Amount],tZerodhHars[Display Scheme],$A28))</f>
        <v>499975</v>
      </c>
      <c r="D28" s="7">
        <f t="shared" si="3"/>
        <v>10.103600017920641</v>
      </c>
      <c r="E28" s="7">
        <f>IFERROR(VLOOKUP($A28,tNAV[[Display Scheme]:[Latest NAV]],3,FALSE()),0)</f>
        <v>15.755599999999999</v>
      </c>
      <c r="F28" s="6">
        <f t="shared" si="0"/>
        <v>779663.29783719999</v>
      </c>
      <c r="G28" s="6">
        <f>F28-(SUMIFS(tICICIAshu[Signed Amount],tICICIAshu[Display Scheme],$A28)+SUMIFS(tManiqAshu[Signed Amount],tManiqAshu[Display Scheme],$A28)+SUMIFS(tManiqHars[Signed Amount],tManiqHars[Display Scheme],$A28)+SUMIFS(tZerodhAshu[Signed Amount],tZerodhAshu[Display Scheme],$A28)+SUMIFS(tZerodhHars[Signed Amount],tZerodhHars[Display Scheme],$A28))</f>
        <v>279688.29783719999</v>
      </c>
      <c r="H28" s="35" t="str">
        <f t="shared" si="1"/>
        <v>Unrealized</v>
      </c>
      <c r="I28" s="8">
        <f>IFERROR(G28/ABS(SUMIFS(tICICIAshu[Signed Amount],tICICIAshu[Display Scheme],$A28)+SUMIFS(tManiqAshu[Signed Amount],tManiqAshu[Display Scheme],$A28)+SUMIFS(tManiqHars[Signed Amount],tManiqHars[Display Scheme],$A28)+SUMIFS(tZerodhAshu[Signed Amount],tZerodhAshu[Display Scheme],$A28)+SUMIFS(tZerodhHars[Signed Amount],tZerodhHars[Display Scheme],$A28)),0)</f>
        <v>0.55940456590269516</v>
      </c>
      <c r="J28" s="1" t="str">
        <f t="shared" si="2"/>
        <v>In Profit</v>
      </c>
      <c r="K28" s="8" cm="1">
        <f t="array" aca="1" ref="K28" ca="1">IFERROR(IF(F28&lt;=0,"",XIRR(_xlfn.VSTACK(_xlfn._xlws.FILTER(-tAllCF[Signed Amount],tAllCF[Display Scheme]=$A28),F28),_xlfn.VSTACK(_xlfn._xlws.FILTER(tAllCF[Date],tAllCF[Display Scheme]=$A28),TODAY()))),"")</f>
        <v>9.6809071302413952E-2</v>
      </c>
    </row>
    <row r="29" spans="1:11" x14ac:dyDescent="0.3">
      <c r="A29" s="1" t="s">
        <v>33</v>
      </c>
      <c r="B29" s="5">
        <f>SUMIFS(tICICIAshu[Signed Unit],tICICIAshu[Display Scheme],$A29)+SUMIFS(tManiqAshu[Signed Unit],tManiqAshu[Display Scheme],$A29)+SUMIFS(tManiqHars[Signed Unit],tManiqHars[Display Scheme],$A29)+SUMIFS(tZerodhAshu[Signed Unit],tZerodhAshu[Display Scheme],$A29)+SUMIFS(tZerodhHars[Signed Unit],tZerodhHars[Display Scheme],$A29)</f>
        <v>6614.4140000000016</v>
      </c>
      <c r="C29" s="6">
        <f>IF(B29&lt;0.01,0,SUMIFS(tICICIAshu[Signed Amount],tICICIAshu[Display Scheme],$A29)+SUMIFS(tManiqAshu[Signed Amount],tManiqAshu[Display Scheme],$A29)+SUMIFS(tManiqHars[Signed Amount],tManiqHars[Display Scheme],$A29)+SUMIFS(tZerodhAshu[Signed Amount],tZerodhAshu[Display Scheme],$A29)+SUMIFS(tZerodhHars[Signed Amount],tZerodhHars[Display Scheme],$A29))</f>
        <v>125993.69999999985</v>
      </c>
      <c r="D29" s="7">
        <f t="shared" si="3"/>
        <v>19.048354094557705</v>
      </c>
      <c r="E29" s="7">
        <f>IFERROR(VLOOKUP($A29,tNAV[[Display Scheme]:[Latest NAV]],3,FALSE()),0)</f>
        <v>26.952300000000001</v>
      </c>
      <c r="F29" s="6">
        <f t="shared" si="0"/>
        <v>178273.67045220005</v>
      </c>
      <c r="G29" s="6">
        <f>F29-(SUMIFS(tICICIAshu[Signed Amount],tICICIAshu[Display Scheme],$A29)+SUMIFS(tManiqAshu[Signed Amount],tManiqAshu[Display Scheme],$A29)+SUMIFS(tManiqHars[Signed Amount],tManiqHars[Display Scheme],$A29)+SUMIFS(tZerodhAshu[Signed Amount],tZerodhAshu[Display Scheme],$A29)+SUMIFS(tZerodhHars[Signed Amount],tZerodhHars[Display Scheme],$A29))</f>
        <v>52279.970452200199</v>
      </c>
      <c r="H29" s="35" t="str">
        <f t="shared" si="1"/>
        <v>Unrealized</v>
      </c>
      <c r="I29" s="8">
        <f>IFERROR(G29/ABS(SUMIFS(tICICIAshu[Signed Amount],tICICIAshu[Display Scheme],$A29)+SUMIFS(tManiqAshu[Signed Amount],tManiqAshu[Display Scheme],$A29)+SUMIFS(tManiqHars[Signed Amount],tManiqHars[Display Scheme],$A29)+SUMIFS(tZerodhAshu[Signed Amount],tZerodhAshu[Display Scheme],$A29)+SUMIFS(tZerodhHars[Signed Amount],tZerodhHars[Display Scheme],$A29)),0)</f>
        <v>0.41494114747166139</v>
      </c>
      <c r="J29" s="1" t="str">
        <f t="shared" si="2"/>
        <v>In Profit</v>
      </c>
      <c r="K29" s="8" cm="1">
        <f t="array" aca="1" ref="K29" ca="1">IFERROR(IF(F29&lt;=0,"",XIRR(_xlfn.VSTACK(_xlfn._xlws.FILTER(-tAllCF[Signed Amount],tAllCF[Display Scheme]=$A29),F29),_xlfn.VSTACK(_xlfn._xlws.FILTER(tAllCF[Date],tAllCF[Display Scheme]=$A29),TODAY()))),"")</f>
        <v>0.14693953394889836</v>
      </c>
    </row>
    <row r="30" spans="1:11" x14ac:dyDescent="0.3">
      <c r="A30" s="1" t="s">
        <v>34</v>
      </c>
      <c r="B30" s="5">
        <f>SUMIFS(tICICIAshu[Signed Unit],tICICIAshu[Display Scheme],$A30)+SUMIFS(tManiqAshu[Signed Unit],tManiqAshu[Display Scheme],$A30)+SUMIFS(tManiqHars[Signed Unit],tManiqHars[Display Scheme],$A30)+SUMIFS(tZerodhAshu[Signed Unit],tZerodhAshu[Display Scheme],$A30)+SUMIFS(tZerodhHars[Signed Unit],tZerodhHars[Display Scheme],$A30)</f>
        <v>15348.521000000001</v>
      </c>
      <c r="C30" s="6">
        <f>IF(B30&lt;0.01,0,SUMIFS(tICICIAshu[Signed Amount],tICICIAshu[Display Scheme],$A30)+SUMIFS(tManiqAshu[Signed Amount],tManiqAshu[Display Scheme],$A30)+SUMIFS(tManiqHars[Signed Amount],tManiqHars[Display Scheme],$A30)+SUMIFS(tZerodhAshu[Signed Amount],tZerodhAshu[Display Scheme],$A30)+SUMIFS(tZerodhHars[Signed Amount],tZerodhHars[Display Scheme],$A30))</f>
        <v>249987.5</v>
      </c>
      <c r="D30" s="7">
        <f t="shared" si="3"/>
        <v>16.287399939056016</v>
      </c>
      <c r="E30" s="7">
        <f>IFERROR(VLOOKUP($A30,tNAV[[Display Scheme]:[Latest NAV]],3,FALSE()),0)</f>
        <v>26.911100000000001</v>
      </c>
      <c r="F30" s="6">
        <f t="shared" si="0"/>
        <v>413045.58348310005</v>
      </c>
      <c r="G30" s="6">
        <f>F30-(SUMIFS(tICICIAshu[Signed Amount],tICICIAshu[Display Scheme],$A30)+SUMIFS(tManiqAshu[Signed Amount],tManiqAshu[Display Scheme],$A30)+SUMIFS(tManiqHars[Signed Amount],tManiqHars[Display Scheme],$A30)+SUMIFS(tZerodhAshu[Signed Amount],tZerodhAshu[Display Scheme],$A30)+SUMIFS(tZerodhHars[Signed Amount],tZerodhHars[Display Scheme],$A30))</f>
        <v>163058.08348310005</v>
      </c>
      <c r="H30" s="35" t="str">
        <f t="shared" si="1"/>
        <v>Unrealized</v>
      </c>
      <c r="I30" s="8">
        <f>IFERROR(G30/ABS(SUMIFS(tICICIAshu[Signed Amount],tICICIAshu[Display Scheme],$A30)+SUMIFS(tManiqAshu[Signed Amount],tManiqAshu[Display Scheme],$A30)+SUMIFS(tManiqHars[Signed Amount],tManiqHars[Display Scheme],$A30)+SUMIFS(tZerodhAshu[Signed Amount],tZerodhAshu[Display Scheme],$A30)+SUMIFS(tZerodhHars[Signed Amount],tZerodhHars[Display Scheme],$A30)),0)</f>
        <v>0.65226494717975925</v>
      </c>
      <c r="J30" s="1" t="str">
        <f t="shared" si="2"/>
        <v>In Profit</v>
      </c>
      <c r="K30" s="8" cm="1">
        <f t="array" aca="1" ref="K30" ca="1">IFERROR(IF(F30&lt;=0,"",XIRR(_xlfn.VSTACK(_xlfn._xlws.FILTER(-tAllCF[Signed Amount],tAllCF[Display Scheme]=$A30),F30),_xlfn.VSTACK(_xlfn._xlws.FILTER(tAllCF[Date],tAllCF[Display Scheme]=$A30),TODAY()))),"")</f>
        <v>0.11108325123786927</v>
      </c>
    </row>
    <row r="31" spans="1:11" x14ac:dyDescent="0.3">
      <c r="A31" s="1" t="s">
        <v>35</v>
      </c>
      <c r="B31" s="5">
        <f>SUMIFS(tICICIAshu[Signed Unit],tICICIAshu[Display Scheme],$A31)+SUMIFS(tManiqAshu[Signed Unit],tManiqAshu[Display Scheme],$A31)+SUMIFS(tManiqHars[Signed Unit],tManiqHars[Display Scheme],$A31)+SUMIFS(tZerodhAshu[Signed Unit],tZerodhAshu[Display Scheme],$A31)+SUMIFS(tZerodhHars[Signed Unit],tZerodhHars[Display Scheme],$A31)</f>
        <v>3837.2919999999999</v>
      </c>
      <c r="C31" s="6">
        <f>IF(B31&lt;0.01,0,SUMIFS(tICICIAshu[Signed Amount],tICICIAshu[Display Scheme],$A31)+SUMIFS(tManiqAshu[Signed Amount],tManiqAshu[Display Scheme],$A31)+SUMIFS(tManiqHars[Signed Amount],tManiqHars[Display Scheme],$A31)+SUMIFS(tZerodhAshu[Signed Amount],tZerodhAshu[Display Scheme],$A31)+SUMIFS(tZerodhHars[Signed Amount],tZerodhHars[Display Scheme],$A31))</f>
        <v>64996.75</v>
      </c>
      <c r="D31" s="7">
        <f t="shared" si="3"/>
        <v>16.938181926212547</v>
      </c>
      <c r="E31" s="7">
        <f>IFERROR(VLOOKUP($A31,tNAV[[Display Scheme]:[Latest NAV]],3,FALSE()),0)</f>
        <v>36.288499999999999</v>
      </c>
      <c r="F31" s="6">
        <f t="shared" si="0"/>
        <v>139249.57074199998</v>
      </c>
      <c r="G31" s="6">
        <f>F31-(SUMIFS(tICICIAshu[Signed Amount],tICICIAshu[Display Scheme],$A31)+SUMIFS(tManiqAshu[Signed Amount],tManiqAshu[Display Scheme],$A31)+SUMIFS(tManiqHars[Signed Amount],tManiqHars[Display Scheme],$A31)+SUMIFS(tZerodhAshu[Signed Amount],tZerodhAshu[Display Scheme],$A31)+SUMIFS(tZerodhHars[Signed Amount],tZerodhHars[Display Scheme],$A31))</f>
        <v>74252.820741999982</v>
      </c>
      <c r="H31" s="35" t="str">
        <f t="shared" si="1"/>
        <v>Unrealized</v>
      </c>
      <c r="I31" s="8">
        <f>IFERROR(G31/ABS(SUMIFS(tICICIAshu[Signed Amount],tICICIAshu[Display Scheme],$A31)+SUMIFS(tManiqAshu[Signed Amount],tManiqAshu[Display Scheme],$A31)+SUMIFS(tManiqHars[Signed Amount],tManiqHars[Display Scheme],$A31)+SUMIFS(tZerodhAshu[Signed Amount],tZerodhAshu[Display Scheme],$A31)+SUMIFS(tZerodhHars[Signed Amount],tZerodhHars[Display Scheme],$A31)),0)</f>
        <v>1.1424082087488987</v>
      </c>
      <c r="J31" s="1" t="str">
        <f t="shared" si="2"/>
        <v>In Profit</v>
      </c>
      <c r="K31" s="8" cm="1">
        <f t="array" aca="1" ref="K31" ca="1">IFERROR(IF(F31&lt;=0,"",XIRR(_xlfn.VSTACK(_xlfn._xlws.FILTER(-tAllCF[Signed Amount],tAllCF[Display Scheme]=$A31),F31),_xlfn.VSTACK(_xlfn._xlws.FILTER(tAllCF[Date],tAllCF[Display Scheme]=$A31),TODAY()))),"")</f>
        <v>0.1829210579395294</v>
      </c>
    </row>
    <row r="32" spans="1:11" x14ac:dyDescent="0.3">
      <c r="A32" s="1" t="s">
        <v>36</v>
      </c>
      <c r="B32" s="5">
        <f>SUMIFS(tICICIAshu[Signed Unit],tICICIAshu[Display Scheme],$A32)+SUMIFS(tManiqAshu[Signed Unit],tManiqAshu[Display Scheme],$A32)+SUMIFS(tManiqHars[Signed Unit],tManiqHars[Display Scheme],$A32)+SUMIFS(tZerodhAshu[Signed Unit],tZerodhAshu[Display Scheme],$A32)+SUMIFS(tZerodhHars[Signed Unit],tZerodhHars[Display Scheme],$A32)</f>
        <v>3621.7170000000001</v>
      </c>
      <c r="C32" s="6">
        <f>IF(B32&lt;0.01,0,SUMIFS(tICICIAshu[Signed Amount],tICICIAshu[Display Scheme],$A32)+SUMIFS(tManiqAshu[Signed Amount],tManiqAshu[Display Scheme],$A32)+SUMIFS(tManiqHars[Signed Amount],tManiqHars[Display Scheme],$A32)+SUMIFS(tZerodhAshu[Signed Amount],tZerodhAshu[Display Scheme],$A32)+SUMIFS(tZerodhHars[Signed Amount],tZerodhHars[Display Scheme],$A32))</f>
        <v>462477.64000000031</v>
      </c>
      <c r="D32" s="7">
        <f t="shared" si="3"/>
        <v>127.69568688000754</v>
      </c>
      <c r="E32" s="7">
        <f>IFERROR(VLOOKUP($A32,tNAV[[Display Scheme]:[Latest NAV]],3,FALSE()),0)</f>
        <v>154.52600000000001</v>
      </c>
      <c r="F32" s="6">
        <f t="shared" si="0"/>
        <v>559649.44114200003</v>
      </c>
      <c r="G32" s="6">
        <f>F32-(SUMIFS(tICICIAshu[Signed Amount],tICICIAshu[Display Scheme],$A32)+SUMIFS(tManiqAshu[Signed Amount],tManiqAshu[Display Scheme],$A32)+SUMIFS(tManiqHars[Signed Amount],tManiqHars[Display Scheme],$A32)+SUMIFS(tZerodhAshu[Signed Amount],tZerodhAshu[Display Scheme],$A32)+SUMIFS(tZerodhHars[Signed Amount],tZerodhHars[Display Scheme],$A32))</f>
        <v>97171.80114199972</v>
      </c>
      <c r="H32" s="35" t="str">
        <f t="shared" si="1"/>
        <v>Unrealized</v>
      </c>
      <c r="I32" s="8">
        <f>IFERROR(G32/ABS(SUMIFS(tICICIAshu[Signed Amount],tICICIAshu[Display Scheme],$A32)+SUMIFS(tManiqAshu[Signed Amount],tManiqAshu[Display Scheme],$A32)+SUMIFS(tManiqHars[Signed Amount],tManiqHars[Display Scheme],$A32)+SUMIFS(tZerodhAshu[Signed Amount],tZerodhAshu[Display Scheme],$A32)+SUMIFS(tZerodhHars[Signed Amount],tZerodhHars[Display Scheme],$A32)),0)</f>
        <v>0.21011134969033241</v>
      </c>
      <c r="J32" s="1" t="str">
        <f t="shared" si="2"/>
        <v>In Profit</v>
      </c>
      <c r="K32" s="8" cm="1">
        <f t="array" aca="1" ref="K32" ca="1">IFERROR(IF(F32&lt;=0,"",XIRR(_xlfn.VSTACK(_xlfn._xlws.FILTER(-tAllCF[Signed Amount],tAllCF[Display Scheme]=$A32),F32),_xlfn.VSTACK(_xlfn._xlws.FILTER(tAllCF[Date],tAllCF[Display Scheme]=$A32),TODAY()))),"")</f>
        <v>0.10681856274604798</v>
      </c>
    </row>
    <row r="33" spans="1:11" hidden="1" x14ac:dyDescent="0.3">
      <c r="A33" s="1" t="s">
        <v>37</v>
      </c>
      <c r="B33" s="5">
        <f>SUMIFS(tICICIAshu[Signed Unit],tICICIAshu[Display Scheme],$A33)+SUMIFS(tManiqAshu[Signed Unit],tManiqAshu[Display Scheme],$A33)+SUMIFS(tManiqHars[Signed Unit],tManiqHars[Display Scheme],$A33)+SUMIFS(tZerodhAshu[Signed Unit],tZerodhAshu[Display Scheme],$A33)+SUMIFS(tZerodhHars[Signed Unit],tZerodhHars[Display Scheme],$A33)</f>
        <v>0</v>
      </c>
      <c r="C33" s="6">
        <f>IF(B33&lt;0.01,0,SUMIFS(tICICIAshu[Signed Amount],tICICIAshu[Display Scheme],$A33)+SUMIFS(tManiqAshu[Signed Amount],tManiqAshu[Display Scheme],$A33)+SUMIFS(tManiqHars[Signed Amount],tManiqHars[Display Scheme],$A33)+SUMIFS(tZerodhAshu[Signed Amount],tZerodhAshu[Display Scheme],$A33)+SUMIFS(tZerodhHars[Signed Amount],tZerodhHars[Display Scheme],$A33))</f>
        <v>0</v>
      </c>
      <c r="D33" s="7">
        <f t="shared" si="3"/>
        <v>0</v>
      </c>
      <c r="E33" s="7">
        <f>IFERROR(VLOOKUP($A33,tNAV[[Display Scheme]:[Latest NAV]],3,FALSE()),0)</f>
        <v>131.2407</v>
      </c>
      <c r="F33" s="6">
        <f t="shared" si="0"/>
        <v>0</v>
      </c>
      <c r="G33" s="6">
        <f>F33-(SUMIFS(tICICIAshu[Signed Amount],tICICIAshu[Display Scheme],$A33)+SUMIFS(tManiqAshu[Signed Amount],tManiqAshu[Display Scheme],$A33)+SUMIFS(tManiqHars[Signed Amount],tManiqHars[Display Scheme],$A33)+SUMIFS(tZerodhAshu[Signed Amount],tZerodhAshu[Display Scheme],$A33)+SUMIFS(tZerodhHars[Signed Amount],tZerodhHars[Display Scheme],$A33))</f>
        <v>32834</v>
      </c>
      <c r="H33" s="35" t="str">
        <f t="shared" si="1"/>
        <v>Realized</v>
      </c>
      <c r="I33" s="8">
        <f>IFERROR(G33/ABS(SUMIFS(tICICIAshu[Signed Amount],tICICIAshu[Display Scheme],$A33)+SUMIFS(tManiqAshu[Signed Amount],tManiqAshu[Display Scheme],$A33)+SUMIFS(tManiqHars[Signed Amount],tManiqHars[Display Scheme],$A33)+SUMIFS(tZerodhAshu[Signed Amount],tZerodhAshu[Display Scheme],$A33)+SUMIFS(tZerodhHars[Signed Amount],tZerodhHars[Display Scheme],$A33)),0)</f>
        <v>1</v>
      </c>
      <c r="J33" s="1" t="str">
        <f t="shared" si="2"/>
        <v>Redeemed</v>
      </c>
      <c r="K33" s="8" t="str" cm="1">
        <f t="array" aca="1" ref="K33" ca="1">IFERROR(IF(F33&lt;=0,"",XIRR(_xlfn.VSTACK(_xlfn._xlws.FILTER(-tAllCF[Signed Amount],tAllCF[Display Scheme]=$A33),F33),_xlfn.VSTACK(_xlfn._xlws.FILTER(tAllCF[Date],tAllCF[Display Scheme]=$A33),TODAY()))),"")</f>
        <v/>
      </c>
    </row>
    <row r="34" spans="1:11" hidden="1" x14ac:dyDescent="0.3">
      <c r="A34" s="1" t="s">
        <v>38</v>
      </c>
      <c r="B34" s="5">
        <f>SUMIFS(tICICIAshu[Signed Unit],tICICIAshu[Display Scheme],$A34)+SUMIFS(tManiqAshu[Signed Unit],tManiqAshu[Display Scheme],$A34)+SUMIFS(tManiqHars[Signed Unit],tManiqHars[Display Scheme],$A34)+SUMIFS(tZerodhAshu[Signed Unit],tZerodhAshu[Display Scheme],$A34)+SUMIFS(tZerodhHars[Signed Unit],tZerodhHars[Display Scheme],$A34)</f>
        <v>0</v>
      </c>
      <c r="C34" s="6">
        <f>IF(B34&lt;0.01,0,SUMIFS(tICICIAshu[Signed Amount],tICICIAshu[Display Scheme],$A34)+SUMIFS(tManiqAshu[Signed Amount],tManiqAshu[Display Scheme],$A34)+SUMIFS(tManiqHars[Signed Amount],tManiqHars[Display Scheme],$A34)+SUMIFS(tZerodhAshu[Signed Amount],tZerodhAshu[Display Scheme],$A34)+SUMIFS(tZerodhHars[Signed Amount],tZerodhHars[Display Scheme],$A34))</f>
        <v>0</v>
      </c>
      <c r="D34" s="7">
        <f t="shared" si="3"/>
        <v>0</v>
      </c>
      <c r="E34" s="7">
        <f>IFERROR(VLOOKUP($A34,tNAV[[Display Scheme]:[Latest NAV]],3,FALSE()),0)</f>
        <v>0</v>
      </c>
      <c r="F34" s="6">
        <f t="shared" si="0"/>
        <v>0</v>
      </c>
      <c r="G34" s="6">
        <f>F34-(SUMIFS(tICICIAshu[Signed Amount],tICICIAshu[Display Scheme],$A34)+SUMIFS(tManiqAshu[Signed Amount],tManiqAshu[Display Scheme],$A34)+SUMIFS(tManiqHars[Signed Amount],tManiqHars[Display Scheme],$A34)+SUMIFS(tZerodhAshu[Signed Amount],tZerodhAshu[Display Scheme],$A34)+SUMIFS(tZerodhHars[Signed Amount],tZerodhHars[Display Scheme],$A34))</f>
        <v>6949.15</v>
      </c>
      <c r="H34" s="35" t="str">
        <f t="shared" si="1"/>
        <v>Realized</v>
      </c>
      <c r="I34" s="8">
        <f>IFERROR(G34/ABS(SUMIFS(tICICIAshu[Signed Amount],tICICIAshu[Display Scheme],$A34)+SUMIFS(tManiqAshu[Signed Amount],tManiqAshu[Display Scheme],$A34)+SUMIFS(tManiqHars[Signed Amount],tManiqHars[Display Scheme],$A34)+SUMIFS(tZerodhAshu[Signed Amount],tZerodhAshu[Display Scheme],$A34)+SUMIFS(tZerodhHars[Signed Amount],tZerodhHars[Display Scheme],$A34)),0)</f>
        <v>1</v>
      </c>
      <c r="J34" s="1" t="str">
        <f t="shared" si="2"/>
        <v>Redeemed</v>
      </c>
      <c r="K34" s="8" t="str" cm="1">
        <f t="array" aca="1" ref="K34" ca="1">IFERROR(IF(F34&lt;=0,"",XIRR(_xlfn.VSTACK(_xlfn._xlws.FILTER(-tAllCF[Signed Amount],tAllCF[Display Scheme]=$A34),F34),_xlfn.VSTACK(_xlfn._xlws.FILTER(tAllCF[Date],tAllCF[Display Scheme]=$A34),TODAY()))),"")</f>
        <v/>
      </c>
    </row>
    <row r="35" spans="1:11" hidden="1" x14ac:dyDescent="0.3">
      <c r="A35" s="1" t="s">
        <v>39</v>
      </c>
      <c r="B35" s="5">
        <f>SUMIFS(tICICIAshu[Signed Unit],tICICIAshu[Display Scheme],$A35)+SUMIFS(tManiqAshu[Signed Unit],tManiqAshu[Display Scheme],$A35)+SUMIFS(tManiqHars[Signed Unit],tManiqHars[Display Scheme],$A35)+SUMIFS(tZerodhAshu[Signed Unit],tZerodhAshu[Display Scheme],$A35)+SUMIFS(tZerodhHars[Signed Unit],tZerodhHars[Display Scheme],$A35)</f>
        <v>1.1368683772161603E-13</v>
      </c>
      <c r="C35" s="6">
        <f>IF(B35&lt;0.01,0,SUMIFS(tICICIAshu[Signed Amount],tICICIAshu[Display Scheme],$A35)+SUMIFS(tManiqAshu[Signed Amount],tManiqAshu[Display Scheme],$A35)+SUMIFS(tManiqHars[Signed Amount],tManiqHars[Display Scheme],$A35)+SUMIFS(tZerodhAshu[Signed Amount],tZerodhAshu[Display Scheme],$A35)+SUMIFS(tZerodhHars[Signed Amount],tZerodhHars[Display Scheme],$A35))</f>
        <v>0</v>
      </c>
      <c r="D35" s="7">
        <f t="shared" si="3"/>
        <v>0</v>
      </c>
      <c r="E35" s="7">
        <f>IFERROR(VLOOKUP($A35,tNAV[[Display Scheme]:[Latest NAV]],3,FALSE()),0)</f>
        <v>0</v>
      </c>
      <c r="F35" s="6">
        <f t="shared" si="0"/>
        <v>0</v>
      </c>
      <c r="G35" s="6">
        <f>F35-(SUMIFS(tICICIAshu[Signed Amount],tICICIAshu[Display Scheme],$A35)+SUMIFS(tManiqAshu[Signed Amount],tManiqAshu[Display Scheme],$A35)+SUMIFS(tManiqHars[Signed Amount],tManiqHars[Display Scheme],$A35)+SUMIFS(tZerodhAshu[Signed Amount],tZerodhAshu[Display Scheme],$A35)+SUMIFS(tZerodhHars[Signed Amount],tZerodhHars[Display Scheme],$A35))</f>
        <v>30042.859999999986</v>
      </c>
      <c r="H35" s="35" t="str">
        <f t="shared" si="1"/>
        <v>Realized</v>
      </c>
      <c r="I35" s="8">
        <f>IFERROR(G35/ABS(SUMIFS(tICICIAshu[Signed Amount],tICICIAshu[Display Scheme],$A35)+SUMIFS(tManiqAshu[Signed Amount],tManiqAshu[Display Scheme],$A35)+SUMIFS(tManiqHars[Signed Amount],tManiqHars[Display Scheme],$A35)+SUMIFS(tZerodhAshu[Signed Amount],tZerodhAshu[Display Scheme],$A35)+SUMIFS(tZerodhHars[Signed Amount],tZerodhHars[Display Scheme],$A35)),0)</f>
        <v>1</v>
      </c>
      <c r="J35" s="1" t="str">
        <f t="shared" si="2"/>
        <v>Redeemed</v>
      </c>
      <c r="K35" s="8" t="str" cm="1">
        <f t="array" aca="1" ref="K35" ca="1">IFERROR(IF(F35&lt;=0,"",XIRR(_xlfn.VSTACK(_xlfn._xlws.FILTER(-tAllCF[Signed Amount],tAllCF[Display Scheme]=$A35),F35),_xlfn.VSTACK(_xlfn._xlws.FILTER(tAllCF[Date],tAllCF[Display Scheme]=$A35),TODAY()))),"")</f>
        <v/>
      </c>
    </row>
    <row r="36" spans="1:11" hidden="1" x14ac:dyDescent="0.3">
      <c r="A36" s="1" t="s">
        <v>40</v>
      </c>
      <c r="B36" s="5">
        <f>SUMIFS(tICICIAshu[Signed Unit],tICICIAshu[Display Scheme],$A36)+SUMIFS(tManiqAshu[Signed Unit],tManiqAshu[Display Scheme],$A36)+SUMIFS(tManiqHars[Signed Unit],tManiqHars[Display Scheme],$A36)+SUMIFS(tZerodhAshu[Signed Unit],tZerodhAshu[Display Scheme],$A36)+SUMIFS(tZerodhHars[Signed Unit],tZerodhHars[Display Scheme],$A36)</f>
        <v>0</v>
      </c>
      <c r="C36" s="6">
        <f>IF(B36&lt;0.01,0,SUMIFS(tICICIAshu[Signed Amount],tICICIAshu[Display Scheme],$A36)+SUMIFS(tManiqAshu[Signed Amount],tManiqAshu[Display Scheme],$A36)+SUMIFS(tManiqHars[Signed Amount],tManiqHars[Display Scheme],$A36)+SUMIFS(tZerodhAshu[Signed Amount],tZerodhAshu[Display Scheme],$A36)+SUMIFS(tZerodhHars[Signed Amount],tZerodhHars[Display Scheme],$A36))</f>
        <v>0</v>
      </c>
      <c r="D36" s="7">
        <f t="shared" si="3"/>
        <v>0</v>
      </c>
      <c r="E36" s="7">
        <f>IFERROR(VLOOKUP($A36,tNAV[[Display Scheme]:[Latest NAV]],3,FALSE()),0)</f>
        <v>0</v>
      </c>
      <c r="F36" s="6">
        <f t="shared" si="0"/>
        <v>0</v>
      </c>
      <c r="G36" s="6">
        <f>F36-(SUMIFS(tICICIAshu[Signed Amount],tICICIAshu[Display Scheme],$A36)+SUMIFS(tManiqAshu[Signed Amount],tManiqAshu[Display Scheme],$A36)+SUMIFS(tManiqHars[Signed Amount],tManiqHars[Display Scheme],$A36)+SUMIFS(tZerodhAshu[Signed Amount],tZerodhAshu[Display Scheme],$A36)+SUMIFS(tZerodhHars[Signed Amount],tZerodhHars[Display Scheme],$A36))</f>
        <v>1837.37</v>
      </c>
      <c r="H36" s="35" t="str">
        <f t="shared" si="1"/>
        <v>Realized</v>
      </c>
      <c r="I36" s="8">
        <f>IFERROR(G36/ABS(SUMIFS(tICICIAshu[Signed Amount],tICICIAshu[Display Scheme],$A36)+SUMIFS(tManiqAshu[Signed Amount],tManiqAshu[Display Scheme],$A36)+SUMIFS(tManiqHars[Signed Amount],tManiqHars[Display Scheme],$A36)+SUMIFS(tZerodhAshu[Signed Amount],tZerodhAshu[Display Scheme],$A36)+SUMIFS(tZerodhHars[Signed Amount],tZerodhHars[Display Scheme],$A36)),0)</f>
        <v>1</v>
      </c>
      <c r="J36" s="1" t="str">
        <f t="shared" si="2"/>
        <v>Redeemed</v>
      </c>
      <c r="K36" s="8" t="str" cm="1">
        <f t="array" aca="1" ref="K36" ca="1">IFERROR(IF(F36&lt;=0,"",XIRR(_xlfn.VSTACK(_xlfn._xlws.FILTER(-tAllCF[Signed Amount],tAllCF[Display Scheme]=$A36),F36),_xlfn.VSTACK(_xlfn._xlws.FILTER(tAllCF[Date],tAllCF[Display Scheme]=$A36),TODAY()))),"")</f>
        <v/>
      </c>
    </row>
    <row r="37" spans="1:11" x14ac:dyDescent="0.3">
      <c r="A37" s="1" t="s">
        <v>41</v>
      </c>
      <c r="B37" s="5">
        <f>SUMIFS(tICICIAshu[Signed Unit],tICICIAshu[Display Scheme],$A37)+SUMIFS(tManiqAshu[Signed Unit],tManiqAshu[Display Scheme],$A37)+SUMIFS(tManiqHars[Signed Unit],tManiqHars[Display Scheme],$A37)+SUMIFS(tZerodhAshu[Signed Unit],tZerodhAshu[Display Scheme],$A37)+SUMIFS(tZerodhHars[Signed Unit],tZerodhHars[Display Scheme],$A37)</f>
        <v>74.826999999999998</v>
      </c>
      <c r="C37" s="6">
        <f>IF(B37&lt;0.01,0,SUMIFS(tICICIAshu[Signed Amount],tICICIAshu[Display Scheme],$A37)+SUMIFS(tManiqAshu[Signed Amount],tManiqAshu[Display Scheme],$A37)+SUMIFS(tManiqHars[Signed Amount],tManiqHars[Display Scheme],$A37)+SUMIFS(tZerodhAshu[Signed Amount],tZerodhAshu[Display Scheme],$A37)+SUMIFS(tZerodhHars[Signed Amount],tZerodhHars[Display Scheme],$A37))</f>
        <v>5000</v>
      </c>
      <c r="D37" s="7">
        <f t="shared" si="3"/>
        <v>66.820799978617345</v>
      </c>
      <c r="E37" s="7">
        <f>IFERROR(VLOOKUP($A37,tNAV[[Display Scheme]:[Latest NAV]],3,FALSE()),0)</f>
        <v>436.67860000000002</v>
      </c>
      <c r="F37" s="6">
        <f t="shared" si="0"/>
        <v>32675.3496022</v>
      </c>
      <c r="G37" s="6">
        <f>F37-(SUMIFS(tICICIAshu[Signed Amount],tICICIAshu[Display Scheme],$A37)+SUMIFS(tManiqAshu[Signed Amount],tManiqAshu[Display Scheme],$A37)+SUMIFS(tManiqHars[Signed Amount],tManiqHars[Display Scheme],$A37)+SUMIFS(tZerodhAshu[Signed Amount],tZerodhAshu[Display Scheme],$A37)+SUMIFS(tZerodhHars[Signed Amount],tZerodhHars[Display Scheme],$A37))</f>
        <v>27675.3496022</v>
      </c>
      <c r="H37" s="35" t="str">
        <f t="shared" si="1"/>
        <v>Unrealized</v>
      </c>
      <c r="I37" s="8">
        <f>IFERROR(G37/ABS(SUMIFS(tICICIAshu[Signed Amount],tICICIAshu[Display Scheme],$A37)+SUMIFS(tManiqAshu[Signed Amount],tManiqAshu[Display Scheme],$A37)+SUMIFS(tManiqHars[Signed Amount],tManiqHars[Display Scheme],$A37)+SUMIFS(tZerodhAshu[Signed Amount],tZerodhAshu[Display Scheme],$A37)+SUMIFS(tZerodhHars[Signed Amount],tZerodhHars[Display Scheme],$A37)),0)</f>
        <v>5.5350699204399998</v>
      </c>
      <c r="J37" s="1" t="str">
        <f t="shared" si="2"/>
        <v>In Profit</v>
      </c>
      <c r="K37" s="8" cm="1">
        <f t="array" aca="1" ref="K37" ca="1">IFERROR(IF(F37&lt;=0,"",XIRR(_xlfn.VSTACK(_xlfn._xlws.FILTER(-tAllCF[Signed Amount],tAllCF[Display Scheme]=$A37),F37),_xlfn.VSTACK(_xlfn._xlws.FILTER(tAllCF[Date],tAllCF[Display Scheme]=$A37),TODAY()))),"")</f>
        <v>0.10653882622718813</v>
      </c>
    </row>
    <row r="38" spans="1:11" x14ac:dyDescent="0.3">
      <c r="A38" s="1" t="s">
        <v>42</v>
      </c>
      <c r="B38" s="5">
        <f>SUMIFS(tICICIAshu[Signed Unit],tICICIAshu[Display Scheme],$A38)+SUMIFS(tManiqAshu[Signed Unit],tManiqAshu[Display Scheme],$A38)+SUMIFS(tManiqHars[Signed Unit],tManiqHars[Display Scheme],$A38)+SUMIFS(tZerodhAshu[Signed Unit],tZerodhAshu[Display Scheme],$A38)+SUMIFS(tZerodhHars[Signed Unit],tZerodhHars[Display Scheme],$A38)</f>
        <v>1525.8910000000001</v>
      </c>
      <c r="C38" s="6">
        <f>IF(B38&lt;0.01,0,SUMIFS(tICICIAshu[Signed Amount],tICICIAshu[Display Scheme],$A38)+SUMIFS(tManiqAshu[Signed Amount],tManiqAshu[Display Scheme],$A38)+SUMIFS(tManiqHars[Signed Amount],tManiqHars[Display Scheme],$A38)+SUMIFS(tZerodhAshu[Signed Amount],tZerodhAshu[Display Scheme],$A38)+SUMIFS(tZerodhHars[Signed Amount],tZerodhHars[Display Scheme],$A38))</f>
        <v>60000</v>
      </c>
      <c r="D38" s="7">
        <f t="shared" si="3"/>
        <v>39.321288348905654</v>
      </c>
      <c r="E38" s="7">
        <f>IFERROR(VLOOKUP($A38,tNAV[[Display Scheme]:[Latest NAV]],3,FALSE()),0)</f>
        <v>106.9365</v>
      </c>
      <c r="F38" s="6">
        <f t="shared" si="0"/>
        <v>163173.44292150001</v>
      </c>
      <c r="G38" s="6">
        <f>F38-(SUMIFS(tICICIAshu[Signed Amount],tICICIAshu[Display Scheme],$A38)+SUMIFS(tManiqAshu[Signed Amount],tManiqAshu[Display Scheme],$A38)+SUMIFS(tManiqHars[Signed Amount],tManiqHars[Display Scheme],$A38)+SUMIFS(tZerodhAshu[Signed Amount],tZerodhAshu[Display Scheme],$A38)+SUMIFS(tZerodhHars[Signed Amount],tZerodhHars[Display Scheme],$A38))</f>
        <v>103173.44292150001</v>
      </c>
      <c r="H38" s="35" t="str">
        <f t="shared" si="1"/>
        <v>Unrealized</v>
      </c>
      <c r="I38" s="8">
        <f>IFERROR(G38/ABS(SUMIFS(tICICIAshu[Signed Amount],tICICIAshu[Display Scheme],$A38)+SUMIFS(tManiqAshu[Signed Amount],tManiqAshu[Display Scheme],$A38)+SUMIFS(tManiqHars[Signed Amount],tManiqHars[Display Scheme],$A38)+SUMIFS(tZerodhAshu[Signed Amount],tZerodhAshu[Display Scheme],$A38)+SUMIFS(tZerodhHars[Signed Amount],tZerodhHars[Display Scheme],$A38)),0)</f>
        <v>1.7195573820250003</v>
      </c>
      <c r="J38" s="1" t="str">
        <f t="shared" si="2"/>
        <v>In Profit</v>
      </c>
      <c r="K38" s="8" cm="1">
        <f t="array" aca="1" ref="K38" ca="1">IFERROR(IF(F38&lt;=0,"",XIRR(_xlfn.VSTACK(_xlfn._xlws.FILTER(-tAllCF[Signed Amount],tAllCF[Display Scheme]=$A38),F38),_xlfn.VSTACK(_xlfn._xlws.FILTER(tAllCF[Date],tAllCF[Display Scheme]=$A38),TODAY()))),"")</f>
        <v>0.1133207619190216</v>
      </c>
    </row>
    <row r="39" spans="1:11" x14ac:dyDescent="0.3">
      <c r="A39" s="1" t="s">
        <v>43</v>
      </c>
      <c r="B39" s="5">
        <f>SUMIFS(tICICIAshu[Signed Unit],tICICIAshu[Display Scheme],$A39)+SUMIFS(tManiqAshu[Signed Unit],tManiqAshu[Display Scheme],$A39)+SUMIFS(tManiqHars[Signed Unit],tManiqHars[Display Scheme],$A39)+SUMIFS(tZerodhAshu[Signed Unit],tZerodhAshu[Display Scheme],$A39)+SUMIFS(tZerodhHars[Signed Unit],tZerodhHars[Display Scheme],$A39)</f>
        <v>1218.4220000000003</v>
      </c>
      <c r="C39" s="6">
        <f>IF(B39&lt;0.01,0,SUMIFS(tICICIAshu[Signed Amount],tICICIAshu[Display Scheme],$A39)+SUMIFS(tManiqAshu[Signed Amount],tManiqAshu[Display Scheme],$A39)+SUMIFS(tManiqHars[Signed Amount],tManiqHars[Display Scheme],$A39)+SUMIFS(tZerodhAshu[Signed Amount],tZerodhAshu[Display Scheme],$A39)+SUMIFS(tZerodhHars[Signed Amount],tZerodhHars[Display Scheme],$A39))</f>
        <v>154992.56000000014</v>
      </c>
      <c r="D39" s="7">
        <f t="shared" si="3"/>
        <v>127.20761772193879</v>
      </c>
      <c r="E39" s="7">
        <f>IFERROR(VLOOKUP($A39,tNAV[[Display Scheme]:[Latest NAV]],3,FALSE()),0)</f>
        <v>176.8409</v>
      </c>
      <c r="F39" s="6">
        <f t="shared" si="0"/>
        <v>215466.84305980004</v>
      </c>
      <c r="G39" s="6">
        <f>F39-(SUMIFS(tICICIAshu[Signed Amount],tICICIAshu[Display Scheme],$A39)+SUMIFS(tManiqAshu[Signed Amount],tManiqAshu[Display Scheme],$A39)+SUMIFS(tManiqHars[Signed Amount],tManiqHars[Display Scheme],$A39)+SUMIFS(tZerodhAshu[Signed Amount],tZerodhAshu[Display Scheme],$A39)+SUMIFS(tZerodhHars[Signed Amount],tZerodhHars[Display Scheme],$A39))</f>
        <v>60474.283059799898</v>
      </c>
      <c r="H39" s="35" t="str">
        <f t="shared" si="1"/>
        <v>Unrealized</v>
      </c>
      <c r="I39" s="8">
        <f>IFERROR(G39/ABS(SUMIFS(tICICIAshu[Signed Amount],tICICIAshu[Display Scheme],$A39)+SUMIFS(tManiqAshu[Signed Amount],tManiqAshu[Display Scheme],$A39)+SUMIFS(tManiqHars[Signed Amount],tManiqHars[Display Scheme],$A39)+SUMIFS(tZerodhAshu[Signed Amount],tZerodhAshu[Display Scheme],$A39)+SUMIFS(tZerodhHars[Signed Amount],tZerodhHars[Display Scheme],$A39)),0)</f>
        <v>0.39017539332081386</v>
      </c>
      <c r="J39" s="1" t="str">
        <f t="shared" si="2"/>
        <v>In Profit</v>
      </c>
      <c r="K39" s="8" cm="1">
        <f t="array" aca="1" ref="K39" ca="1">IFERROR(IF(F39&lt;=0,"",XIRR(_xlfn.VSTACK(_xlfn._xlws.FILTER(-tAllCF[Signed Amount],tAllCF[Display Scheme]=$A39),F39),_xlfn.VSTACK(_xlfn._xlws.FILTER(tAllCF[Date],tAllCF[Display Scheme]=$A39),TODAY()))),"")</f>
        <v>0.13629241585731508</v>
      </c>
    </row>
    <row r="40" spans="1:11" hidden="1" x14ac:dyDescent="0.3">
      <c r="A40" s="1" t="s">
        <v>44</v>
      </c>
      <c r="B40" s="5">
        <f>SUMIFS(tICICIAshu[Signed Unit],tICICIAshu[Display Scheme],$A40)+SUMIFS(tManiqAshu[Signed Unit],tManiqAshu[Display Scheme],$A40)+SUMIFS(tManiqHars[Signed Unit],tManiqHars[Display Scheme],$A40)+SUMIFS(tZerodhAshu[Signed Unit],tZerodhAshu[Display Scheme],$A40)+SUMIFS(tZerodhHars[Signed Unit],tZerodhHars[Display Scheme],$A40)</f>
        <v>0</v>
      </c>
      <c r="C40" s="6">
        <f>IF(B40&lt;0.01,0,SUMIFS(tICICIAshu[Signed Amount],tICICIAshu[Display Scheme],$A40)+SUMIFS(tManiqAshu[Signed Amount],tManiqAshu[Display Scheme],$A40)+SUMIFS(tManiqHars[Signed Amount],tManiqHars[Display Scheme],$A40)+SUMIFS(tZerodhAshu[Signed Amount],tZerodhAshu[Display Scheme],$A40)+SUMIFS(tZerodhHars[Signed Amount],tZerodhHars[Display Scheme],$A40))</f>
        <v>0</v>
      </c>
      <c r="D40" s="7">
        <f t="shared" si="3"/>
        <v>0</v>
      </c>
      <c r="E40" s="7">
        <f>IFERROR(VLOOKUP($A40,tNAV[[Display Scheme]:[Latest NAV]],3,FALSE()),0)</f>
        <v>0</v>
      </c>
      <c r="F40" s="6">
        <f t="shared" si="0"/>
        <v>0</v>
      </c>
      <c r="G40" s="6">
        <f>F40-(SUMIFS(tICICIAshu[Signed Amount],tICICIAshu[Display Scheme],$A40)+SUMIFS(tManiqAshu[Signed Amount],tManiqAshu[Display Scheme],$A40)+SUMIFS(tManiqHars[Signed Amount],tManiqHars[Display Scheme],$A40)+SUMIFS(tZerodhAshu[Signed Amount],tZerodhAshu[Display Scheme],$A40)+SUMIFS(tZerodhHars[Signed Amount],tZerodhHars[Display Scheme],$A40))</f>
        <v>23570.320000000007</v>
      </c>
      <c r="H40" s="35" t="str">
        <f t="shared" si="1"/>
        <v>Realized</v>
      </c>
      <c r="I40" s="8">
        <f>IFERROR(G40/ABS(SUMIFS(tICICIAshu[Signed Amount],tICICIAshu[Display Scheme],$A40)+SUMIFS(tManiqAshu[Signed Amount],tManiqAshu[Display Scheme],$A40)+SUMIFS(tManiqHars[Signed Amount],tManiqHars[Display Scheme],$A40)+SUMIFS(tZerodhAshu[Signed Amount],tZerodhAshu[Display Scheme],$A40)+SUMIFS(tZerodhHars[Signed Amount],tZerodhHars[Display Scheme],$A40)),0)</f>
        <v>1</v>
      </c>
      <c r="J40" s="1" t="str">
        <f t="shared" si="2"/>
        <v>Redeemed</v>
      </c>
      <c r="K40" s="8" t="str" cm="1">
        <f t="array" aca="1" ref="K40" ca="1">IFERROR(IF(F40&lt;=0,"",XIRR(_xlfn.VSTACK(_xlfn._xlws.FILTER(-tAllCF[Signed Amount],tAllCF[Display Scheme]=$A40),F40),_xlfn.VSTACK(_xlfn._xlws.FILTER(tAllCF[Date],tAllCF[Display Scheme]=$A40),TODAY()))),"")</f>
        <v/>
      </c>
    </row>
    <row r="41" spans="1:11" hidden="1" x14ac:dyDescent="0.3">
      <c r="A41" s="1" t="s">
        <v>45</v>
      </c>
      <c r="B41" s="5">
        <f>SUMIFS(tICICIAshu[Signed Unit],tICICIAshu[Display Scheme],$A41)+SUMIFS(tManiqAshu[Signed Unit],tManiqAshu[Display Scheme],$A41)+SUMIFS(tManiqHars[Signed Unit],tManiqHars[Display Scheme],$A41)+SUMIFS(tZerodhAshu[Signed Unit],tZerodhAshu[Display Scheme],$A41)+SUMIFS(tZerodhHars[Signed Unit],tZerodhHars[Display Scheme],$A41)</f>
        <v>0</v>
      </c>
      <c r="C41" s="6">
        <f>IF(B41&lt;0.01,0,SUMIFS(tICICIAshu[Signed Amount],tICICIAshu[Display Scheme],$A41)+SUMIFS(tManiqAshu[Signed Amount],tManiqAshu[Display Scheme],$A41)+SUMIFS(tManiqHars[Signed Amount],tManiqHars[Display Scheme],$A41)+SUMIFS(tZerodhAshu[Signed Amount],tZerodhAshu[Display Scheme],$A41)+SUMIFS(tZerodhHars[Signed Amount],tZerodhHars[Display Scheme],$A41))</f>
        <v>0</v>
      </c>
      <c r="D41" s="7">
        <f t="shared" si="3"/>
        <v>0</v>
      </c>
      <c r="E41" s="7">
        <f>IFERROR(VLOOKUP($A41,tNAV[[Display Scheme]:[Latest NAV]],3,FALSE()),0)</f>
        <v>0</v>
      </c>
      <c r="F41" s="6">
        <f t="shared" si="0"/>
        <v>0</v>
      </c>
      <c r="G41" s="6">
        <f>F41-(SUMIFS(tICICIAshu[Signed Amount],tICICIAshu[Display Scheme],$A41)+SUMIFS(tManiqAshu[Signed Amount],tManiqAshu[Display Scheme],$A41)+SUMIFS(tManiqHars[Signed Amount],tManiqHars[Display Scheme],$A41)+SUMIFS(tZerodhAshu[Signed Amount],tZerodhAshu[Display Scheme],$A41)+SUMIFS(tZerodhHars[Signed Amount],tZerodhHars[Display Scheme],$A41))</f>
        <v>69316.530000000028</v>
      </c>
      <c r="H41" s="35" t="str">
        <f t="shared" si="1"/>
        <v>Realized</v>
      </c>
      <c r="I41" s="8">
        <f>IFERROR(G41/ABS(SUMIFS(tICICIAshu[Signed Amount],tICICIAshu[Display Scheme],$A41)+SUMIFS(tManiqAshu[Signed Amount],tManiqAshu[Display Scheme],$A41)+SUMIFS(tManiqHars[Signed Amount],tManiqHars[Display Scheme],$A41)+SUMIFS(tZerodhAshu[Signed Amount],tZerodhAshu[Display Scheme],$A41)+SUMIFS(tZerodhHars[Signed Amount],tZerodhHars[Display Scheme],$A41)),0)</f>
        <v>1</v>
      </c>
      <c r="J41" s="1" t="str">
        <f t="shared" si="2"/>
        <v>Redeemed</v>
      </c>
      <c r="K41" s="8" t="str" cm="1">
        <f t="array" aca="1" ref="K41" ca="1">IFERROR(IF(F41&lt;=0,"",XIRR(_xlfn.VSTACK(_xlfn._xlws.FILTER(-tAllCF[Signed Amount],tAllCF[Display Scheme]=$A41),F41),_xlfn.VSTACK(_xlfn._xlws.FILTER(tAllCF[Date],tAllCF[Display Scheme]=$A41),TODAY()))),"")</f>
        <v/>
      </c>
    </row>
    <row r="42" spans="1:11" x14ac:dyDescent="0.3">
      <c r="A42" s="9" t="s">
        <v>46</v>
      </c>
      <c r="B42" s="10"/>
      <c r="C42" s="11">
        <f>SUBTOTAL(9,MFwise[Net Invested])</f>
        <v>4409837.07</v>
      </c>
      <c r="D42" s="10"/>
      <c r="E42" s="10"/>
      <c r="F42" s="11">
        <f>SUBTOTAL(9,MFwise[Current Value])</f>
        <v>6847516.2994065993</v>
      </c>
      <c r="G42" s="11">
        <f>SUBTOTAL(9,MFwise[Gain/Loss])</f>
        <v>2437679.2294065994</v>
      </c>
      <c r="H42" s="11"/>
      <c r="I42" s="12">
        <f>IFERROR(G42/C42,0)</f>
        <v>0.5527821528804463</v>
      </c>
      <c r="J42" s="10"/>
      <c r="K42" s="10"/>
    </row>
    <row r="45" spans="1:11" ht="21.75" customHeight="1" x14ac:dyDescent="0.3">
      <c r="A45" s="51" t="s">
        <v>47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11" ht="27.75" customHeight="1" x14ac:dyDescent="0.3">
      <c r="A46" s="26" t="s">
        <v>46909</v>
      </c>
      <c r="B46" s="26" t="s">
        <v>49</v>
      </c>
      <c r="C46" s="26" t="s">
        <v>50</v>
      </c>
      <c r="D46" s="26" t="s">
        <v>2</v>
      </c>
      <c r="E46" s="26" t="s">
        <v>3</v>
      </c>
      <c r="F46" s="26" t="s">
        <v>12</v>
      </c>
      <c r="G46" s="26" t="s">
        <v>13</v>
      </c>
      <c r="H46" s="36" t="s">
        <v>46941</v>
      </c>
      <c r="I46" s="26" t="s">
        <v>46908</v>
      </c>
      <c r="J46" s="26" t="s">
        <v>14</v>
      </c>
    </row>
    <row r="47" spans="1:11" x14ac:dyDescent="0.3">
      <c r="A47" s="27" t="s">
        <v>51</v>
      </c>
      <c r="B47" s="18">
        <f>COUNTA(tICICIAshu[Date])</f>
        <v>102</v>
      </c>
      <c r="C47" s="18" cm="1">
        <f t="array" ref="C47">SUMPRODUCT((COUNTIF(tICICIAshu[Display Scheme],tICICIAshu[Display Scheme])&gt;0)/COUNTIF(tICICIAshu[Display Scheme],tICICIAshu[Display Scheme]))</f>
        <v>9.9999999999999964</v>
      </c>
      <c r="D47" s="19">
        <f>SUM(tICICIAshu[Signed Amount])</f>
        <v>1016099.4299999999</v>
      </c>
      <c r="E47" s="19" cm="1">
        <f t="array" ref="E47">SUMPRODUCT(SUMIFS(tICICIAshu[Signed Unit],tICICIAshu[Display Scheme],MFwise[Display Scheme])*MFwise[Latest NAV])</f>
        <v>2092589.1778116999</v>
      </c>
      <c r="F47" s="19">
        <f t="shared" ref="F47:F87" si="4">E47-D47</f>
        <v>1076489.7478117</v>
      </c>
      <c r="G47" s="20">
        <f>IFERROR(F47/D47,0)</f>
        <v>1.0594334727770687</v>
      </c>
      <c r="H47" s="37"/>
      <c r="I47" s="20" cm="1">
        <f t="array" aca="1" ref="I47" ca="1">IFERROR(IF(E47&lt;=0,"",XIRR(_xlfn.VSTACK(-tICICIAshu[Signed Amount],E47),_xlfn.VSTACK(tICICIAshu[Date],TODAY()))),"")</f>
        <v>0.13134245276451115</v>
      </c>
      <c r="J47" s="30" t="str">
        <f>IF(F47&gt;=0,"In Profit","In Loss")</f>
        <v>In Profit</v>
      </c>
    </row>
    <row r="48" spans="1:11" outlineLevel="1" x14ac:dyDescent="0.3">
      <c r="A48" s="28" t="s">
        <v>46910</v>
      </c>
      <c r="B48" s="21">
        <f>COUNTIFS(tICICIAshu[Display Scheme],"Canara Robeco Large And Mid Cap Fund Growth")</f>
        <v>1</v>
      </c>
      <c r="C48" s="22"/>
      <c r="D48" s="23">
        <f>MAX(0,SUMIFS(tICICIAshu[Signed Amount],tICICIAshu[Display Scheme],"Canara Robeco Large And Mid Cap Fund Growth"))</f>
        <v>500000</v>
      </c>
      <c r="E48" s="23">
        <f>SUMIFS(tICICIAshu[Signed Unit],tICICIAshu[Display Scheme],"Canara Robeco Large And Mid Cap Fund Growth")*IFERROR(VLOOKUP("Canara Robeco Large And Mid Cap Fund Growth",tNAV[[Display Scheme]:[Latest NAV]],3,FALSE()),0)</f>
        <v>886618.16387999989</v>
      </c>
      <c r="F48" s="23">
        <f t="shared" si="4"/>
        <v>386618.16387999989</v>
      </c>
      <c r="G48" s="24">
        <f t="shared" ref="G48:G57" si="5">IF(E48&lt;0.01,"",IFERROR(F48/D48,0))</f>
        <v>0.77323632775999973</v>
      </c>
      <c r="H48" s="38" t="str">
        <f>IF(E48&lt;0.01,"Realized","Unrealized")</f>
        <v>Unrealized</v>
      </c>
      <c r="I48" s="24" cm="1">
        <f t="array" aca="1" ref="I48" ca="1">IFERROR(IF(E48&lt;=0,"",XIRR(_xlfn.VSTACK(_xlfn._xlws.FILTER(-tICICIAshu[Signed Amount],tICICIAshu[Display Scheme]="Canara Robeco Large And Mid Cap Fund Growth"),E48),_xlfn.VSTACK(_xlfn._xlws.FILTER(tICICIAshu[Date],tICICIAshu[Display Scheme]="Canara Robeco Large And Mid Cap Fund Growth"),TODAY()))),"")</f>
        <v>0.11992085576057432</v>
      </c>
      <c r="J48" s="31" t="str">
        <f t="shared" ref="J48:J57" si="6">IF(E48&lt;0.01,"Redeemed",IF(F48&gt;=0,"In Profit","In Loss"))</f>
        <v>In Profit</v>
      </c>
    </row>
    <row r="49" spans="1:10" outlineLevel="1" x14ac:dyDescent="0.3">
      <c r="A49" s="28" t="s">
        <v>46911</v>
      </c>
      <c r="B49" s="21">
        <f>COUNTIFS(tICICIAshu[Display Scheme],"Canara Robeco Large Cap Fund Regulargrowth")</f>
        <v>1</v>
      </c>
      <c r="C49" s="22"/>
      <c r="D49" s="23">
        <f>MAX(0,SUMIFS(tICICIAshu[Signed Amount],tICICIAshu[Display Scheme],"Canara Robeco Large Cap Fund Regulargrowth"))</f>
        <v>60000</v>
      </c>
      <c r="E49" s="23">
        <f>SUMIFS(tICICIAshu[Signed Unit],tICICIAshu[Display Scheme],"Canara Robeco Large Cap Fund Regulargrowth")*IFERROR(VLOOKUP("Canara Robeco Large Cap Fund Regulargrowth",tNAV[[Display Scheme]:[Latest NAV]],3,FALSE()),0)</f>
        <v>86264.182700000005</v>
      </c>
      <c r="F49" s="23">
        <f t="shared" si="4"/>
        <v>26264.182700000005</v>
      </c>
      <c r="G49" s="24">
        <f t="shared" si="5"/>
        <v>0.4377363783333334</v>
      </c>
      <c r="H49" s="38" t="str">
        <f t="shared" ref="H49:H86" si="7">IF(E49&lt;0.01,"Realized","Unrealized")</f>
        <v>Unrealized</v>
      </c>
      <c r="I49" s="24" cm="1">
        <f t="array" aca="1" ref="I49" ca="1">IFERROR(IF(E49&lt;=0,"",XIRR(_xlfn.VSTACK(_xlfn._xlws.FILTER(-tICICIAshu[Signed Amount],tICICIAshu[Display Scheme]="Canara Robeco Large Cap Fund Regulargrowth"),E49),_xlfn.VSTACK(_xlfn._xlws.FILTER(tICICIAshu[Date],tICICIAshu[Display Scheme]="Canara Robeco Large Cap Fund Regulargrowth"),TODAY()))),"")</f>
        <v>7.9373416304588315E-2</v>
      </c>
      <c r="J49" s="31" t="str">
        <f t="shared" si="6"/>
        <v>In Profit</v>
      </c>
    </row>
    <row r="50" spans="1:10" outlineLevel="1" x14ac:dyDescent="0.3">
      <c r="A50" s="28" t="s">
        <v>46912</v>
      </c>
      <c r="B50" s="21">
        <f>COUNTIFS(tICICIAshu[Display Scheme],"Hdfc Mid Cap Fund - Growth Option")</f>
        <v>16</v>
      </c>
      <c r="C50" s="22"/>
      <c r="D50" s="23">
        <f>MAX(0,SUMIFS(tICICIAshu[Signed Amount],tICICIAshu[Display Scheme],"Hdfc Mid Cap Fund - Growth Option"))</f>
        <v>90000</v>
      </c>
      <c r="E50" s="23">
        <f>SUMIFS(tICICIAshu[Signed Unit],tICICIAshu[Display Scheme],"Hdfc Mid Cap Fund - Growth Option")*IFERROR(VLOOKUP("Hdfc Mid Cap Fund - Growth Option",tNAV[[Display Scheme]:[Latest NAV]],3,FALSE()),0)</f>
        <v>423970.555008</v>
      </c>
      <c r="F50" s="23">
        <f t="shared" si="4"/>
        <v>333970.555008</v>
      </c>
      <c r="G50" s="24">
        <f t="shared" si="5"/>
        <v>3.7107839445333335</v>
      </c>
      <c r="H50" s="38" t="str">
        <f t="shared" si="7"/>
        <v>Unrealized</v>
      </c>
      <c r="I50" s="24" cm="1">
        <f t="array" aca="1" ref="I50" ca="1">IFERROR(IF(E50&lt;=0,"",XIRR(_xlfn.VSTACK(_xlfn._xlws.FILTER(-tICICIAshu[Signed Amount],tICICIAshu[Display Scheme]="Hdfc Mid Cap Fund - Growth Option"),E50),_xlfn.VSTACK(_xlfn._xlws.FILTER(tICICIAshu[Date],tICICIAshu[Display Scheme]="Hdfc Mid Cap Fund - Growth Option"),TODAY()))),"")</f>
        <v>0.16650087237358097</v>
      </c>
      <c r="J50" s="31" t="str">
        <f t="shared" si="6"/>
        <v>In Profit</v>
      </c>
    </row>
    <row r="51" spans="1:10" outlineLevel="1" x14ac:dyDescent="0.3">
      <c r="A51" s="28" t="s">
        <v>46913</v>
      </c>
      <c r="B51" s="21">
        <f>COUNTIFS(tICICIAshu[Display Scheme],"Kotak Contra Fund - Growth")</f>
        <v>63</v>
      </c>
      <c r="C51" s="22"/>
      <c r="D51" s="23">
        <f>MAX(0,SUMIFS(tICICIAshu[Signed Amount],tICICIAshu[Display Scheme],"Kotak Contra Fund - Growth"))</f>
        <v>349000</v>
      </c>
      <c r="E51" s="23">
        <f>SUMIFS(tICICIAshu[Signed Unit],tICICIAshu[Display Scheme],"Kotak Contra Fund - Growth")*IFERROR(VLOOKUP("Kotak Contra Fund - Growth",tNAV[[Display Scheme]:[Latest NAV]],3,FALSE()),0)</f>
        <v>499887.48369999992</v>
      </c>
      <c r="F51" s="23">
        <f t="shared" si="4"/>
        <v>150887.48369999992</v>
      </c>
      <c r="G51" s="24">
        <f t="shared" si="5"/>
        <v>0.43234236017191957</v>
      </c>
      <c r="H51" s="38" t="str">
        <f t="shared" si="7"/>
        <v>Unrealized</v>
      </c>
      <c r="I51" s="24" cm="1">
        <f t="array" aca="1" ref="I51" ca="1">IFERROR(IF(E51&lt;=0,"",XIRR(_xlfn.VSTACK(_xlfn._xlws.FILTER(-tICICIAshu[Signed Amount],tICICIAshu[Display Scheme]="Kotak Contra Fund - Growth"),E51),_xlfn.VSTACK(_xlfn._xlws.FILTER(tICICIAshu[Date],tICICIAshu[Display Scheme]="Kotak Contra Fund - Growth"),TODAY()))),"")</f>
        <v>0.14008961319923399</v>
      </c>
      <c r="J51" s="31" t="str">
        <f t="shared" si="6"/>
        <v>In Profit</v>
      </c>
    </row>
    <row r="52" spans="1:10" outlineLevel="1" x14ac:dyDescent="0.3">
      <c r="A52" s="28" t="s">
        <v>46914</v>
      </c>
      <c r="B52" s="21">
        <f>COUNTIFS(tICICIAshu[Display Scheme],"Lnt Flexicap Fund Regular Growth Option")</f>
        <v>2</v>
      </c>
      <c r="C52" s="22"/>
      <c r="D52" s="23">
        <f>MAX(0,SUMIFS(tICICIAshu[Signed Amount],tICICIAshu[Display Scheme],"Lnt Flexicap Fund Regular Growth Option"))</f>
        <v>0</v>
      </c>
      <c r="E52" s="23">
        <f>SUMIFS(tICICIAshu[Signed Unit],tICICIAshu[Display Scheme],"Lnt Flexicap Fund Regular Growth Option")*IFERROR(VLOOKUP("Lnt Flexicap Fund Regular Growth Option",tNAV[[Display Scheme]:[Latest NAV]],3,FALSE()),0)</f>
        <v>0</v>
      </c>
      <c r="F52" s="23">
        <f t="shared" si="4"/>
        <v>0</v>
      </c>
      <c r="G52" s="24" t="str">
        <f t="shared" si="5"/>
        <v/>
      </c>
      <c r="H52" s="38" t="str">
        <f t="shared" si="7"/>
        <v>Realized</v>
      </c>
      <c r="I52" s="24" t="str" cm="1">
        <f t="array" aca="1" ref="I52" ca="1">IFERROR(IF(E52&lt;=0,"",XIRR(_xlfn.VSTACK(_xlfn._xlws.FILTER(-tICICIAshu[Signed Amount],tICICIAshu[Display Scheme]="Lnt Flexicap Fund Regular Growth Option"),E52),_xlfn.VSTACK(_xlfn._xlws.FILTER(tICICIAshu[Date],tICICIAshu[Display Scheme]="Lnt Flexicap Fund Regular Growth Option"),TODAY()))),"")</f>
        <v/>
      </c>
      <c r="J52" s="31" t="str">
        <f t="shared" si="6"/>
        <v>Redeemed</v>
      </c>
    </row>
    <row r="53" spans="1:10" outlineLevel="1" x14ac:dyDescent="0.3">
      <c r="A53" s="28" t="s">
        <v>46915</v>
      </c>
      <c r="B53" s="21">
        <f>COUNTIFS(tICICIAshu[Display Scheme],"Nippon India Elss Tax Saver Fund - Growth Plan")</f>
        <v>2</v>
      </c>
      <c r="C53" s="22"/>
      <c r="D53" s="23">
        <f>MAX(0,SUMIFS(tICICIAshu[Signed Amount],tICICIAshu[Display Scheme],"Nippon India Elss Tax Saver Fund - Growth Plan"))</f>
        <v>0</v>
      </c>
      <c r="E53" s="23">
        <f>SUMIFS(tICICIAshu[Signed Unit],tICICIAshu[Display Scheme],"Nippon India Elss Tax Saver Fund - Growth Plan")*IFERROR(VLOOKUP("Nippon India Elss Tax Saver Fund - Growth Plan",tNAV[[Display Scheme]:[Latest NAV]],3,FALSE()),0)</f>
        <v>0</v>
      </c>
      <c r="F53" s="23">
        <f t="shared" si="4"/>
        <v>0</v>
      </c>
      <c r="G53" s="24" t="str">
        <f t="shared" si="5"/>
        <v/>
      </c>
      <c r="H53" s="38" t="str">
        <f t="shared" si="7"/>
        <v>Realized</v>
      </c>
      <c r="I53" s="24" t="str" cm="1">
        <f t="array" aca="1" ref="I53" ca="1">IFERROR(IF(E53&lt;=0,"",XIRR(_xlfn.VSTACK(_xlfn._xlws.FILTER(-tICICIAshu[Signed Amount],tICICIAshu[Display Scheme]="Nippon India Elss Tax Saver Fund - Growth Plan"),E53),_xlfn.VSTACK(_xlfn._xlws.FILTER(tICICIAshu[Date],tICICIAshu[Display Scheme]="Nippon India Elss Tax Saver Fund - Growth Plan"),TODAY()))),"")</f>
        <v/>
      </c>
      <c r="J53" s="31" t="str">
        <f t="shared" si="6"/>
        <v>Redeemed</v>
      </c>
    </row>
    <row r="54" spans="1:10" outlineLevel="1" x14ac:dyDescent="0.3">
      <c r="A54" s="28" t="s">
        <v>46916</v>
      </c>
      <c r="B54" s="21">
        <f>COUNTIFS(tICICIAshu[Display Scheme],"Nippon India Equity Linked Savings Fund Series - I Growth")</f>
        <v>2</v>
      </c>
      <c r="C54" s="22"/>
      <c r="D54" s="23">
        <f>MAX(0,SUMIFS(tICICIAshu[Signed Amount],tICICIAshu[Display Scheme],"Nippon India Equity Linked Savings Fund Series - I Growth"))</f>
        <v>0</v>
      </c>
      <c r="E54" s="23">
        <f>SUMIFS(tICICIAshu[Signed Unit],tICICIAshu[Display Scheme],"Nippon India Equity Linked Savings Fund Series - I Growth")*IFERROR(VLOOKUP("Nippon India Equity Linked Savings Fund Series - I Growth",tNAV[[Display Scheme]:[Latest NAV]],3,FALSE()),0)</f>
        <v>0</v>
      </c>
      <c r="F54" s="23">
        <f t="shared" si="4"/>
        <v>0</v>
      </c>
      <c r="G54" s="24" t="str">
        <f t="shared" si="5"/>
        <v/>
      </c>
      <c r="H54" s="38" t="str">
        <f t="shared" si="7"/>
        <v>Realized</v>
      </c>
      <c r="I54" s="24" t="str" cm="1">
        <f t="array" aca="1" ref="I54" ca="1">IFERROR(IF(E54&lt;=0,"",XIRR(_xlfn.VSTACK(_xlfn._xlws.FILTER(-tICICIAshu[Signed Amount],tICICIAshu[Display Scheme]="Nippon India Equity Linked Savings Fund Series - I Growth"),E54),_xlfn.VSTACK(_xlfn._xlws.FILTER(tICICIAshu[Date],tICICIAshu[Display Scheme]="Nippon India Equity Linked Savings Fund Series - I Growth"),TODAY()))),"")</f>
        <v/>
      </c>
      <c r="J54" s="31" t="str">
        <f t="shared" si="6"/>
        <v>Redeemed</v>
      </c>
    </row>
    <row r="55" spans="1:10" outlineLevel="1" x14ac:dyDescent="0.3">
      <c r="A55" s="28" t="s">
        <v>46917</v>
      </c>
      <c r="B55" s="21">
        <f>COUNTIFS(tICICIAshu[Display Scheme],"Sbi Contra Fund Regular Idcw")</f>
        <v>2</v>
      </c>
      <c r="C55" s="22"/>
      <c r="D55" s="23">
        <f>MAX(0,SUMIFS(tICICIAshu[Signed Amount],tICICIAshu[Display Scheme],"Sbi Contra Fund Regular Idcw"))</f>
        <v>0</v>
      </c>
      <c r="E55" s="23">
        <f>SUMIFS(tICICIAshu[Signed Unit],tICICIAshu[Display Scheme],"Sbi Contra Fund Regular Idcw")*IFERROR(VLOOKUP("Sbi Contra Fund Regular Idcw",tNAV[[Display Scheme]:[Latest NAV]],3,FALSE()),0)</f>
        <v>0</v>
      </c>
      <c r="F55" s="23">
        <f t="shared" si="4"/>
        <v>0</v>
      </c>
      <c r="G55" s="24" t="str">
        <f t="shared" si="5"/>
        <v/>
      </c>
      <c r="H55" s="38" t="str">
        <f t="shared" si="7"/>
        <v>Realized</v>
      </c>
      <c r="I55" s="24" t="str" cm="1">
        <f t="array" aca="1" ref="I55" ca="1">IFERROR(IF(E55&lt;=0,"",XIRR(_xlfn.VSTACK(_xlfn._xlws.FILTER(-tICICIAshu[Signed Amount],tICICIAshu[Display Scheme]="Sbi Contra Fund Regular Idcw"),E55),_xlfn.VSTACK(_xlfn._xlws.FILTER(tICICIAshu[Date],tICICIAshu[Display Scheme]="Sbi Contra Fund Regular Idcw"),TODAY()))),"")</f>
        <v/>
      </c>
      <c r="J55" s="31" t="str">
        <f t="shared" si="6"/>
        <v>Redeemed</v>
      </c>
    </row>
    <row r="56" spans="1:10" outlineLevel="1" x14ac:dyDescent="0.3">
      <c r="A56" s="28" t="s">
        <v>46918</v>
      </c>
      <c r="B56" s="21">
        <f>COUNTIFS(tICICIAshu[Display Scheme],"Sbi Elss Tax Saver Fund - Growth")</f>
        <v>1</v>
      </c>
      <c r="C56" s="22"/>
      <c r="D56" s="23">
        <f>MAX(0,SUMIFS(tICICIAshu[Signed Amount],tICICIAshu[Display Scheme],"Sbi Elss Tax Saver Fund - Growth"))</f>
        <v>5000</v>
      </c>
      <c r="E56" s="23">
        <f>SUMIFS(tICICIAshu[Signed Unit],tICICIAshu[Display Scheme],"Sbi Elss Tax Saver Fund - Growth")*IFERROR(VLOOKUP("Sbi Elss Tax Saver Fund - Growth",tNAV[[Display Scheme]:[Latest NAV]],3,FALSE()),0)</f>
        <v>32675.3496022</v>
      </c>
      <c r="F56" s="23">
        <f t="shared" si="4"/>
        <v>27675.3496022</v>
      </c>
      <c r="G56" s="24">
        <f t="shared" si="5"/>
        <v>5.5350699204399998</v>
      </c>
      <c r="H56" s="38" t="str">
        <f t="shared" si="7"/>
        <v>Unrealized</v>
      </c>
      <c r="I56" s="24" cm="1">
        <f t="array" aca="1" ref="I56" ca="1">IFERROR(IF(E56&lt;=0,"",XIRR(_xlfn.VSTACK(_xlfn._xlws.FILTER(-tICICIAshu[Signed Amount],tICICIAshu[Display Scheme]="Sbi Elss Tax Saver Fund - Growth"),E56),_xlfn.VSTACK(_xlfn._xlws.FILTER(tICICIAshu[Date],tICICIAshu[Display Scheme]="Sbi Elss Tax Saver Fund - Growth"),TODAY()))),"")</f>
        <v>0.10653882622718813</v>
      </c>
      <c r="J56" s="31" t="str">
        <f t="shared" si="6"/>
        <v>In Profit</v>
      </c>
    </row>
    <row r="57" spans="1:10" outlineLevel="1" x14ac:dyDescent="0.3">
      <c r="A57" s="28" t="s">
        <v>46919</v>
      </c>
      <c r="B57" s="21">
        <f>COUNTIFS(tICICIAshu[Display Scheme],"Sbi Flexicap Fund - Growth")</f>
        <v>12</v>
      </c>
      <c r="C57" s="22"/>
      <c r="D57" s="23">
        <f>MAX(0,SUMIFS(tICICIAshu[Signed Amount],tICICIAshu[Display Scheme],"Sbi Flexicap Fund - Growth"))</f>
        <v>60000</v>
      </c>
      <c r="E57" s="23">
        <f>SUMIFS(tICICIAshu[Signed Unit],tICICIAshu[Display Scheme],"Sbi Flexicap Fund - Growth")*IFERROR(VLOOKUP("Sbi Flexicap Fund - Growth",tNAV[[Display Scheme]:[Latest NAV]],3,FALSE()),0)</f>
        <v>163173.44292150001</v>
      </c>
      <c r="F57" s="23">
        <f t="shared" si="4"/>
        <v>103173.44292150001</v>
      </c>
      <c r="G57" s="24">
        <f t="shared" si="5"/>
        <v>1.7195573820250003</v>
      </c>
      <c r="H57" s="38" t="str">
        <f t="shared" si="7"/>
        <v>Unrealized</v>
      </c>
      <c r="I57" s="24" cm="1">
        <f t="array" aca="1" ref="I57" ca="1">IFERROR(IF(E57&lt;=0,"",XIRR(_xlfn.VSTACK(_xlfn._xlws.FILTER(-tICICIAshu[Signed Amount],tICICIAshu[Display Scheme]="Sbi Flexicap Fund - Growth"),E57),_xlfn.VSTACK(_xlfn._xlws.FILTER(tICICIAshu[Date],tICICIAshu[Display Scheme]="Sbi Flexicap Fund - Growth"),TODAY()))),"")</f>
        <v>0.1133207619190216</v>
      </c>
      <c r="J57" s="31" t="str">
        <f t="shared" si="6"/>
        <v>In Profit</v>
      </c>
    </row>
    <row r="58" spans="1:10" x14ac:dyDescent="0.3">
      <c r="A58" s="27" t="s">
        <v>52</v>
      </c>
      <c r="B58" s="18">
        <f>COUNTA(tManiqAshu[Date])</f>
        <v>191</v>
      </c>
      <c r="C58" s="18" cm="1">
        <f t="array" ref="C58">SUMPRODUCT((COUNTIF(tManiqAshu[Display Scheme],tManiqAshu[Display Scheme])&gt;0)/COUNTIF(tManiqAshu[Display Scheme],tManiqAshu[Display Scheme]))</f>
        <v>3.9999999999999938</v>
      </c>
      <c r="D58" s="19">
        <f>SUM(tManiqAshu[Signed Amount])</f>
        <v>943453.46000000183</v>
      </c>
      <c r="E58" s="19" cm="1">
        <f t="array" ref="E58">SUMPRODUCT(SUMIFS(tManiqAshu[Signed Unit],tManiqAshu[Display Scheme],MFwise[Display Scheme])*MFwise[Latest NAV])</f>
        <v>1392549.6536734002</v>
      </c>
      <c r="F58" s="19">
        <f t="shared" si="4"/>
        <v>449096.19367339835</v>
      </c>
      <c r="G58" s="25">
        <f>IFERROR(F58/D58,0)</f>
        <v>0.47601308672226128</v>
      </c>
      <c r="H58" s="25"/>
      <c r="I58" s="20" cm="1">
        <f t="array" aca="1" ref="I58" ca="1">IFERROR(IF(E58&lt;=0,"",XIRR(_xlfn.VSTACK(-tManiqAshu[Signed Amount],E58),_xlfn.VSTACK(tManiqAshu[Date],TODAY()))),"")</f>
        <v>0.10531805157661439</v>
      </c>
      <c r="J58" s="32" t="str">
        <f>IF(F58&gt;=0,"In Profit","In Loss")</f>
        <v>In Profit</v>
      </c>
    </row>
    <row r="59" spans="1:10" outlineLevel="1" x14ac:dyDescent="0.3">
      <c r="A59" s="28" t="s">
        <v>46920</v>
      </c>
      <c r="B59" s="21">
        <f>COUNTIFS(tManiqAshu[Display Scheme],"Aditya Birla Sun Life Banking And Financial Services Fund Growth")</f>
        <v>64</v>
      </c>
      <c r="C59" s="22"/>
      <c r="D59" s="23">
        <f>MAX(0,SUMIFS(tManiqAshu[Signed Amount],tManiqAshu[Display Scheme],"Aditya Birla Sun Life Banking And Financial Services Fund Growth"))</f>
        <v>159992.32000000015</v>
      </c>
      <c r="E59" s="23">
        <f>SUMIFS(tManiqAshu[Signed Unit],tManiqAshu[Display Scheme],"Aditya Birla Sun Life Banking And Financial Services Fund Growth")*IFERROR(VLOOKUP("Aditya Birla Sun Life Banking And Financial Services Fund Growth",tNAV[[Display Scheme]:[Latest NAV]],3,FALSE()),0)</f>
        <v>221027.77534000008</v>
      </c>
      <c r="F59" s="23">
        <f t="shared" si="4"/>
        <v>61035.455339999928</v>
      </c>
      <c r="G59" s="24">
        <f>IF(E59&lt;0.01,"",IFERROR(F59/D59,0))</f>
        <v>0.38148990739055394</v>
      </c>
      <c r="H59" s="38" t="str">
        <f t="shared" si="7"/>
        <v>Unrealized</v>
      </c>
      <c r="I59" s="24" cm="1">
        <f t="array" aca="1" ref="I59" ca="1">IFERROR(IF(E59&lt;=0,"",XIRR(_xlfn.VSTACK(_xlfn._xlws.FILTER(-tManiqAshu[Signed Amount],tManiqAshu[Display Scheme]="Aditya Birla Sun Life Banking And Financial Services Fund Growth"),E59),_xlfn.VSTACK(_xlfn._xlws.FILTER(tManiqAshu[Date],tManiqAshu[Display Scheme]="Aditya Birla Sun Life Banking And Financial Services Fund Growth"),TODAY()))),"")</f>
        <v>0.12381910681724548</v>
      </c>
      <c r="J59" s="31" t="str">
        <f>IF(E59&lt;0.01,"Redeemed",IF(F59&gt;=0,"In Profit","In Loss"))</f>
        <v>In Profit</v>
      </c>
    </row>
    <row r="60" spans="1:10" outlineLevel="1" x14ac:dyDescent="0.3">
      <c r="A60" s="28" t="s">
        <v>46921</v>
      </c>
      <c r="B60" s="21">
        <f>COUNTIFS(tManiqAshu[Display Scheme],"Mahindra Manulife Flexi Cap Fund Growth")</f>
        <v>1</v>
      </c>
      <c r="C60" s="22"/>
      <c r="D60" s="23">
        <f>MAX(0,SUMIFS(tManiqAshu[Signed Amount],tManiqAshu[Display Scheme],"Mahindra Manulife Flexi Cap Fund Growth"))</f>
        <v>499975</v>
      </c>
      <c r="E60" s="23">
        <f>SUMIFS(tManiqAshu[Signed Unit],tManiqAshu[Display Scheme],"Mahindra Manulife Flexi Cap Fund Growth")*IFERROR(VLOOKUP("Mahindra Manulife Flexi Cap Fund Growth",tNAV[[Display Scheme]:[Latest NAV]],3,FALSE()),0)</f>
        <v>779663.29783719999</v>
      </c>
      <c r="F60" s="23">
        <f t="shared" si="4"/>
        <v>279688.29783719999</v>
      </c>
      <c r="G60" s="24">
        <f>IF(E60&lt;0.01,"",IFERROR(F60/D60,0))</f>
        <v>0.55940456590269516</v>
      </c>
      <c r="H60" s="38" t="str">
        <f t="shared" si="7"/>
        <v>Unrealized</v>
      </c>
      <c r="I60" s="24" cm="1">
        <f t="array" aca="1" ref="I60" ca="1">IFERROR(IF(E60&lt;=0,"",XIRR(_xlfn.VSTACK(_xlfn._xlws.FILTER(-tManiqAshu[Signed Amount],tManiqAshu[Display Scheme]="Mahindra Manulife Flexi Cap Fund Growth"),E60),_xlfn.VSTACK(_xlfn._xlws.FILTER(tManiqAshu[Date],tManiqAshu[Display Scheme]="Mahindra Manulife Flexi Cap Fund Growth"),TODAY()))),"")</f>
        <v>9.6809071302413952E-2</v>
      </c>
      <c r="J60" s="31" t="str">
        <f>IF(E60&lt;0.01,"Redeemed",IF(F60&gt;=0,"In Profit","In Loss"))</f>
        <v>In Profit</v>
      </c>
    </row>
    <row r="61" spans="1:10" outlineLevel="1" x14ac:dyDescent="0.3">
      <c r="A61" s="28" t="s">
        <v>46922</v>
      </c>
      <c r="B61" s="21">
        <f>COUNTIFS(tManiqAshu[Display Scheme],"Mahindra Manulife Focused Fund Growth")</f>
        <v>63</v>
      </c>
      <c r="C61" s="22"/>
      <c r="D61" s="23">
        <f>MAX(0,SUMIFS(tManiqAshu[Signed Amount],tManiqAshu[Display Scheme],"Mahindra Manulife Focused Fund Growth"))</f>
        <v>125993.69999999985</v>
      </c>
      <c r="E61" s="23">
        <f>SUMIFS(tManiqAshu[Signed Unit],tManiqAshu[Display Scheme],"Mahindra Manulife Focused Fund Growth")*IFERROR(VLOOKUP("Mahindra Manulife Focused Fund Growth",tNAV[[Display Scheme]:[Latest NAV]],3,FALSE()),0)</f>
        <v>178273.67045220005</v>
      </c>
      <c r="F61" s="23">
        <f t="shared" si="4"/>
        <v>52279.970452200199</v>
      </c>
      <c r="G61" s="24">
        <f>IF(E61&lt;0.01,"",IFERROR(F61/D61,0))</f>
        <v>0.41494114747166139</v>
      </c>
      <c r="H61" s="38" t="str">
        <f t="shared" si="7"/>
        <v>Unrealized</v>
      </c>
      <c r="I61" s="24" cm="1">
        <f t="array" aca="1" ref="I61" ca="1">IFERROR(IF(E61&lt;=0,"",XIRR(_xlfn.VSTACK(_xlfn._xlws.FILTER(-tManiqAshu[Signed Amount],tManiqAshu[Display Scheme]="Mahindra Manulife Focused Fund Growth"),E61),_xlfn.VSTACK(_xlfn._xlws.FILTER(tManiqAshu[Date],tManiqAshu[Display Scheme]="Mahindra Manulife Focused Fund Growth"),TODAY()))),"")</f>
        <v>0.13388144373893743</v>
      </c>
      <c r="J61" s="31" t="str">
        <f>IF(E61&lt;0.01,"Redeemed",IF(F61&gt;=0,"In Profit","In Loss"))</f>
        <v>In Profit</v>
      </c>
    </row>
    <row r="62" spans="1:10" outlineLevel="1" x14ac:dyDescent="0.3">
      <c r="A62" s="28" t="s">
        <v>46923</v>
      </c>
      <c r="B62" s="21">
        <f>COUNTIFS(tManiqAshu[Display Scheme],"Mirae Asset Large And Mid Cap Fund Growth")</f>
        <v>63</v>
      </c>
      <c r="C62" s="22"/>
      <c r="D62" s="23">
        <f>MAX(0,SUMIFS(tManiqAshu[Signed Amount],tManiqAshu[Display Scheme],"Mirae Asset Large And Mid Cap Fund Growth"))</f>
        <v>157492.44000000015</v>
      </c>
      <c r="E62" s="23">
        <f>SUMIFS(tManiqAshu[Signed Unit],tManiqAshu[Display Scheme],"Mirae Asset Large And Mid Cap Fund Growth")*IFERROR(VLOOKUP("Mirae Asset Large And Mid Cap Fund Growth",tNAV[[Display Scheme]:[Latest NAV]],3,FALSE()),0)</f>
        <v>213584.91004400008</v>
      </c>
      <c r="F62" s="23">
        <f t="shared" si="4"/>
        <v>56092.470043999929</v>
      </c>
      <c r="G62" s="24">
        <f>IF(E62&lt;0.01,"",IFERROR(F62/D62,0))</f>
        <v>0.35615976261463644</v>
      </c>
      <c r="H62" s="38" t="str">
        <f t="shared" si="7"/>
        <v>Unrealized</v>
      </c>
      <c r="I62" s="24" cm="1">
        <f t="array" aca="1" ref="I62" ca="1">IFERROR(IF(E62&lt;=0,"",XIRR(_xlfn.VSTACK(_xlfn._xlws.FILTER(-tManiqAshu[Signed Amount],tManiqAshu[Display Scheme]="Mirae Asset Large And Mid Cap Fund Growth"),E62),_xlfn.VSTACK(_xlfn._xlws.FILTER(tManiqAshu[Date],tManiqAshu[Display Scheme]="Mirae Asset Large And Mid Cap Fund Growth"),TODAY()))),"")</f>
        <v>0.11738086342811585</v>
      </c>
      <c r="J62" s="31" t="str">
        <f>IF(E62&lt;0.01,"Redeemed",IF(F62&gt;=0,"In Profit","In Loss"))</f>
        <v>In Profit</v>
      </c>
    </row>
    <row r="63" spans="1:10" x14ac:dyDescent="0.3">
      <c r="A63" s="27" t="s">
        <v>53</v>
      </c>
      <c r="B63" s="18">
        <f>COUNTA(tManiqHars[Date])</f>
        <v>313</v>
      </c>
      <c r="C63" s="18" cm="1">
        <f t="array" ref="C63">SUMPRODUCT((COUNTIF(tManiqHars[Display Scheme],tManiqHars[Display Scheme])&gt;0)/COUNTIF(tManiqHars[Display Scheme],tManiqHars[Display Scheme]))</f>
        <v>13.000000000000009</v>
      </c>
      <c r="D63" s="19">
        <f>SUM(tManiqHars[Signed Amount])</f>
        <v>1300046.2099999976</v>
      </c>
      <c r="E63" s="19" cm="1">
        <f t="array" ref="E63">SUMPRODUCT(SUMIFS(tManiqHars[Signed Unit],tManiqHars[Display Scheme],MFwise[Display Scheme])*MFwise[Latest NAV])</f>
        <v>2403992.1105068997</v>
      </c>
      <c r="F63" s="19">
        <f t="shared" si="4"/>
        <v>1103945.900506902</v>
      </c>
      <c r="G63" s="25">
        <f>IFERROR(F63/D63,0)</f>
        <v>0.84915896990069606</v>
      </c>
      <c r="H63" s="25"/>
      <c r="I63" s="20" cm="1">
        <f t="array" aca="1" ref="I63" ca="1">IFERROR(IF(E63&lt;=0,"",XIRR(_xlfn.VSTACK(-tManiqHars[Signed Amount],E63),_xlfn.VSTACK(tManiqHars[Date],TODAY()))),"")</f>
        <v>0.11884239315986633</v>
      </c>
      <c r="J63" s="32" t="str">
        <f>IF(F63&gt;=0,"In Profit","In Loss")</f>
        <v>In Profit</v>
      </c>
    </row>
    <row r="64" spans="1:10" outlineLevel="1" x14ac:dyDescent="0.3">
      <c r="A64" s="28" t="s">
        <v>46924</v>
      </c>
      <c r="B64" s="21">
        <f>COUNTIFS(tManiqHars[Display Scheme],"Aditya Birla Sun Life Value Fund Growth")</f>
        <v>13</v>
      </c>
      <c r="C64" s="22"/>
      <c r="D64" s="23">
        <f>MAX(0,SUMIFS(tManiqHars[Signed Amount],tManiqHars[Display Scheme],"Aditya Birla Sun Life Value Fund Growth"))</f>
        <v>64996.75</v>
      </c>
      <c r="E64" s="23">
        <f>SUMIFS(tManiqHars[Signed Unit],tManiqHars[Display Scheme],"Aditya Birla Sun Life Value Fund Growth")*IFERROR(VLOOKUP("Aditya Birla Sun Life Value Fund Growth",tNAV[[Display Scheme]:[Latest NAV]],3,FALSE()),0)</f>
        <v>121356.649512</v>
      </c>
      <c r="F64" s="23">
        <f t="shared" si="4"/>
        <v>56359.899512000004</v>
      </c>
      <c r="G64" s="24">
        <f t="shared" ref="G64:G76" si="8">IF(E64&lt;0.01,"",IFERROR(F64/D64,0))</f>
        <v>0.86711873304434461</v>
      </c>
      <c r="H64" s="38" t="str">
        <f t="shared" si="7"/>
        <v>Unrealized</v>
      </c>
      <c r="I64" s="24" cm="1">
        <f t="array" aca="1" ref="I64" ca="1">IFERROR(IF(E64&lt;=0,"",XIRR(_xlfn.VSTACK(_xlfn._xlws.FILTER(-tManiqHars[Signed Amount],tManiqHars[Display Scheme]="Aditya Birla Sun Life Value Fund Growth"),E64),_xlfn.VSTACK(_xlfn._xlws.FILTER(tManiqHars[Date],tManiqHars[Display Scheme]="Aditya Birla Sun Life Value Fund Growth"),TODAY()))),"")</f>
        <v>0.14765902161598213</v>
      </c>
      <c r="J64" s="31" t="str">
        <f t="shared" ref="J64:J76" si="9">IF(E64&lt;0.01,"Redeemed",IF(F64&gt;=0,"In Profit","In Loss"))</f>
        <v>In Profit</v>
      </c>
    </row>
    <row r="65" spans="1:10" outlineLevel="1" x14ac:dyDescent="0.3">
      <c r="A65" s="28" t="s">
        <v>46910</v>
      </c>
      <c r="B65" s="21">
        <f>COUNTIFS(tManiqHars[Display Scheme],"Canara Robeco Large And Mid Cap Fund Growth")</f>
        <v>75</v>
      </c>
      <c r="C65" s="22"/>
      <c r="D65" s="23">
        <f>MAX(0,SUMIFS(tManiqHars[Signed Amount],tManiqHars[Display Scheme],"Canara Robeco Large And Mid Cap Fund Growth"))</f>
        <v>292485.68000000017</v>
      </c>
      <c r="E65" s="23">
        <f>SUMIFS(tManiqHars[Signed Unit],tManiqHars[Display Scheme],"Canara Robeco Large And Mid Cap Fund Growth")*IFERROR(VLOOKUP("Canara Robeco Large And Mid Cap Fund Growth",tNAV[[Display Scheme]:[Latest NAV]],3,FALSE()),0)</f>
        <v>452393.05617000005</v>
      </c>
      <c r="F65" s="23">
        <f t="shared" si="4"/>
        <v>159907.37616999989</v>
      </c>
      <c r="G65" s="24">
        <f t="shared" si="8"/>
        <v>0.54671865019169419</v>
      </c>
      <c r="H65" s="38" t="str">
        <f t="shared" si="7"/>
        <v>Unrealized</v>
      </c>
      <c r="I65" s="24" cm="1">
        <f t="array" aca="1" ref="I65" ca="1">IFERROR(IF(E65&lt;=0,"",XIRR(_xlfn.VSTACK(_xlfn._xlws.FILTER(-tManiqHars[Signed Amount],tManiqHars[Display Scheme]="Canara Robeco Large And Mid Cap Fund Growth"),E65),_xlfn.VSTACK(_xlfn._xlws.FILTER(tManiqHars[Date],tManiqHars[Display Scheme]="Canara Robeco Large And Mid Cap Fund Growth"),TODAY()))),"")</f>
        <v>0.11879910826683043</v>
      </c>
      <c r="J65" s="31" t="str">
        <f t="shared" si="9"/>
        <v>In Profit</v>
      </c>
    </row>
    <row r="66" spans="1:10" outlineLevel="1" x14ac:dyDescent="0.3">
      <c r="A66" s="28" t="s">
        <v>46925</v>
      </c>
      <c r="B66" s="21">
        <f>COUNTIFS(tManiqHars[Display Scheme],"Icici Prudential Focused Equity Fund Growth")</f>
        <v>60</v>
      </c>
      <c r="C66" s="22"/>
      <c r="D66" s="23">
        <f>MAX(0,SUMIFS(tManiqHars[Signed Amount],tManiqHars[Display Scheme],"Icici Prudential Focused Equity Fund Growth"))</f>
        <v>149992.80000000013</v>
      </c>
      <c r="E66" s="23">
        <f>SUMIFS(tManiqHars[Signed Unit],tManiqHars[Display Scheme],"Icici Prudential Focused Equity Fund Growth")*IFERROR(VLOOKUP("Icici Prudential Focused Equity Fund Growth",tNAV[[Display Scheme]:[Latest NAV]],3,FALSE()),0)</f>
        <v>225672.42582999999</v>
      </c>
      <c r="F66" s="23">
        <f t="shared" si="4"/>
        <v>75679.625829999859</v>
      </c>
      <c r="G66" s="24">
        <f t="shared" si="8"/>
        <v>0.50455505750942575</v>
      </c>
      <c r="H66" s="38" t="str">
        <f t="shared" si="7"/>
        <v>Unrealized</v>
      </c>
      <c r="I66" s="24" cm="1">
        <f t="array" aca="1" ref="I66" ca="1">IFERROR(IF(E66&lt;=0,"",XIRR(_xlfn.VSTACK(_xlfn._xlws.FILTER(-tManiqHars[Signed Amount],tManiqHars[Display Scheme]="Icici Prudential Focused Equity Fund Growth"),E66),_xlfn.VSTACK(_xlfn._xlws.FILTER(tManiqHars[Date],tManiqHars[Display Scheme]="Icici Prudential Focused Equity Fund Growth"),TODAY()))),"")</f>
        <v>0.15521805882453923</v>
      </c>
      <c r="J66" s="31" t="str">
        <f t="shared" si="9"/>
        <v>In Profit</v>
      </c>
    </row>
    <row r="67" spans="1:10" outlineLevel="1" x14ac:dyDescent="0.3">
      <c r="A67" s="28" t="s">
        <v>46926</v>
      </c>
      <c r="B67" s="21">
        <f>COUNTIFS(tManiqHars[Display Scheme],"Icici Prudential Value Fund Growth")</f>
        <v>13</v>
      </c>
      <c r="C67" s="22"/>
      <c r="D67" s="23">
        <f>MAX(0,SUMIFS(tManiqHars[Signed Amount],tManiqHars[Display Scheme],"Icici Prudential Value Fund Growth"))</f>
        <v>64996.75</v>
      </c>
      <c r="E67" s="23">
        <f>SUMIFS(tManiqHars[Signed Unit],tManiqHars[Display Scheme],"Icici Prudential Value Fund Growth")*IFERROR(VLOOKUP("Icici Prudential Value Fund Growth",tNAV[[Display Scheme]:[Latest NAV]],3,FALSE()),0)</f>
        <v>124560.76893000003</v>
      </c>
      <c r="F67" s="23">
        <f t="shared" si="4"/>
        <v>59564.018930000035</v>
      </c>
      <c r="G67" s="24">
        <f t="shared" si="8"/>
        <v>0.91641534276713887</v>
      </c>
      <c r="H67" s="38" t="str">
        <f t="shared" si="7"/>
        <v>Unrealized</v>
      </c>
      <c r="I67" s="24" cm="1">
        <f t="array" aca="1" ref="I67" ca="1">IFERROR(IF(E67&lt;=0,"",XIRR(_xlfn.VSTACK(_xlfn._xlws.FILTER(-tManiqHars[Signed Amount],tManiqHars[Display Scheme]="Icici Prudential Value Fund Growth"),E67),_xlfn.VSTACK(_xlfn._xlws.FILTER(tManiqHars[Date],tManiqHars[Display Scheme]="Icici Prudential Value Fund Growth"),TODAY()))),"")</f>
        <v>0.15426111817359928</v>
      </c>
      <c r="J67" s="31" t="str">
        <f t="shared" si="9"/>
        <v>In Profit</v>
      </c>
    </row>
    <row r="68" spans="1:10" outlineLevel="1" x14ac:dyDescent="0.3">
      <c r="A68" s="28" t="s">
        <v>46927</v>
      </c>
      <c r="B68" s="21">
        <f>COUNTIFS(tManiqHars[Display Scheme],"Invesco India Multicap Fund Growth")</f>
        <v>2</v>
      </c>
      <c r="C68" s="22"/>
      <c r="D68" s="23">
        <f>MAX(0,SUMIFS(tManiqHars[Signed Amount],tManiqHars[Display Scheme],"Invesco India Multicap Fund Growth"))</f>
        <v>0</v>
      </c>
      <c r="E68" s="23">
        <f>SUMIFS(tManiqHars[Signed Unit],tManiqHars[Display Scheme],"Invesco India Multicap Fund Growth")*IFERROR(VLOOKUP("Invesco India Multicap Fund Growth",tNAV[[Display Scheme]:[Latest NAV]],3,FALSE()),0)</f>
        <v>0</v>
      </c>
      <c r="F68" s="23">
        <f t="shared" si="4"/>
        <v>0</v>
      </c>
      <c r="G68" s="24" t="str">
        <f t="shared" si="8"/>
        <v/>
      </c>
      <c r="H68" s="38" t="str">
        <f t="shared" si="7"/>
        <v>Realized</v>
      </c>
      <c r="I68" s="24" t="str" cm="1">
        <f t="array" aca="1" ref="I68" ca="1">IFERROR(IF(E68&lt;=0,"",XIRR(_xlfn.VSTACK(_xlfn._xlws.FILTER(-tManiqHars[Signed Amount],tManiqHars[Display Scheme]="Invesco India Multicap Fund Growth"),E68),_xlfn.VSTACK(_xlfn._xlws.FILTER(tManiqHars[Date],tManiqHars[Display Scheme]="Invesco India Multicap Fund Growth"),TODAY()))),"")</f>
        <v/>
      </c>
      <c r="J68" s="31" t="str">
        <f t="shared" si="9"/>
        <v>Redeemed</v>
      </c>
    </row>
    <row r="69" spans="1:10" outlineLevel="1" x14ac:dyDescent="0.3">
      <c r="A69" s="28" t="s">
        <v>46928</v>
      </c>
      <c r="B69" s="21">
        <f>COUNTIFS(tManiqHars[Display Scheme],"Kotak Multicap Fund Growth")</f>
        <v>1</v>
      </c>
      <c r="C69" s="22"/>
      <c r="D69" s="23">
        <f>MAX(0,SUMIFS(tManiqHars[Signed Amount],tManiqHars[Display Scheme],"Kotak Multicap Fund Growth"))</f>
        <v>249987.5</v>
      </c>
      <c r="E69" s="23">
        <f>SUMIFS(tManiqHars[Signed Unit],tManiqHars[Display Scheme],"Kotak Multicap Fund Growth")*IFERROR(VLOOKUP("Kotak Multicap Fund Growth",tNAV[[Display Scheme]:[Latest NAV]],3,FALSE()),0)</f>
        <v>499750.01124999998</v>
      </c>
      <c r="F69" s="23">
        <f t="shared" si="4"/>
        <v>249762.51124999998</v>
      </c>
      <c r="G69" s="24">
        <f t="shared" si="8"/>
        <v>0.99909999999999988</v>
      </c>
      <c r="H69" s="38" t="str">
        <f t="shared" si="7"/>
        <v>Unrealized</v>
      </c>
      <c r="I69" s="24" cm="1">
        <f t="array" aca="1" ref="I69" ca="1">IFERROR(IF(E69&lt;=0,"",XIRR(_xlfn.VSTACK(_xlfn._xlws.FILTER(-tManiqHars[Signed Amount],tManiqHars[Display Scheme]="Kotak Multicap Fund Growth"),E69),_xlfn.VSTACK(_xlfn._xlws.FILTER(tManiqHars[Date],tManiqHars[Display Scheme]="Kotak Multicap Fund Growth"),TODAY()))),"")</f>
        <v>0.15717108845710753</v>
      </c>
      <c r="J69" s="31" t="str">
        <f t="shared" si="9"/>
        <v>In Profit</v>
      </c>
    </row>
    <row r="70" spans="1:10" outlineLevel="1" x14ac:dyDescent="0.3">
      <c r="A70" s="28" t="s">
        <v>46929</v>
      </c>
      <c r="B70" s="21">
        <f>COUNTIFS(tManiqHars[Display Scheme],"Mahindra Manulife Large And Mid Cap Fund Growth")</f>
        <v>1</v>
      </c>
      <c r="C70" s="22"/>
      <c r="D70" s="23">
        <f>MAX(0,SUMIFS(tManiqHars[Signed Amount],tManiqHars[Display Scheme],"Mahindra Manulife Large And Mid Cap Fund Growth"))</f>
        <v>249987.5</v>
      </c>
      <c r="E70" s="23">
        <f>SUMIFS(tManiqHars[Signed Unit],tManiqHars[Display Scheme],"Mahindra Manulife Large And Mid Cap Fund Growth")*IFERROR(VLOOKUP("Mahindra Manulife Large And Mid Cap Fund Growth",tNAV[[Display Scheme]:[Latest NAV]],3,FALSE()),0)</f>
        <v>413045.58348310005</v>
      </c>
      <c r="F70" s="23">
        <f t="shared" si="4"/>
        <v>163058.08348310005</v>
      </c>
      <c r="G70" s="24">
        <f t="shared" si="8"/>
        <v>0.65226494717975925</v>
      </c>
      <c r="H70" s="38" t="str">
        <f t="shared" si="7"/>
        <v>Unrealized</v>
      </c>
      <c r="I70" s="24" cm="1">
        <f t="array" aca="1" ref="I70" ca="1">IFERROR(IF(E70&lt;=0,"",XIRR(_xlfn.VSTACK(_xlfn._xlws.FILTER(-tManiqHars[Signed Amount],tManiqHars[Display Scheme]="Mahindra Manulife Large And Mid Cap Fund Growth"),E70),_xlfn.VSTACK(_xlfn._xlws.FILTER(tManiqHars[Date],tManiqHars[Display Scheme]="Mahindra Manulife Large And Mid Cap Fund Growth"),TODAY()))),"")</f>
        <v>0.11108325123786927</v>
      </c>
      <c r="J70" s="31" t="str">
        <f t="shared" si="9"/>
        <v>In Profit</v>
      </c>
    </row>
    <row r="71" spans="1:10" outlineLevel="1" x14ac:dyDescent="0.3">
      <c r="A71" s="28" t="s">
        <v>46930</v>
      </c>
      <c r="B71" s="21">
        <f>COUNTIFS(tManiqHars[Display Scheme],"Mahindra Manulife Mid Cap Fund Growth")</f>
        <v>13</v>
      </c>
      <c r="C71" s="22"/>
      <c r="D71" s="23">
        <f>MAX(0,SUMIFS(tManiqHars[Signed Amount],tManiqHars[Display Scheme],"Mahindra Manulife Mid Cap Fund Growth"))</f>
        <v>64996.75</v>
      </c>
      <c r="E71" s="23">
        <f>SUMIFS(tManiqHars[Signed Unit],tManiqHars[Display Scheme],"Mahindra Manulife Mid Cap Fund Growth")*IFERROR(VLOOKUP("Mahindra Manulife Mid Cap Fund Growth",tNAV[[Display Scheme]:[Latest NAV]],3,FALSE()),0)</f>
        <v>139249.57074199998</v>
      </c>
      <c r="F71" s="23">
        <f t="shared" si="4"/>
        <v>74252.820741999982</v>
      </c>
      <c r="G71" s="24">
        <f t="shared" si="8"/>
        <v>1.1424082087488987</v>
      </c>
      <c r="H71" s="38" t="str">
        <f t="shared" si="7"/>
        <v>Unrealized</v>
      </c>
      <c r="I71" s="24" cm="1">
        <f t="array" aca="1" ref="I71" ca="1">IFERROR(IF(E71&lt;=0,"",XIRR(_xlfn.VSTACK(_xlfn._xlws.FILTER(-tManiqHars[Signed Amount],tManiqHars[Display Scheme]="Mahindra Manulife Mid Cap Fund Growth"),E71),_xlfn.VSTACK(_xlfn._xlws.FILTER(tManiqHars[Date],tManiqHars[Display Scheme]="Mahindra Manulife Mid Cap Fund Growth"),TODAY()))),"")</f>
        <v>0.1829210579395294</v>
      </c>
      <c r="J71" s="31" t="str">
        <f t="shared" si="9"/>
        <v>In Profit</v>
      </c>
    </row>
    <row r="72" spans="1:10" outlineLevel="1" x14ac:dyDescent="0.3">
      <c r="A72" s="28" t="s">
        <v>46923</v>
      </c>
      <c r="B72" s="21">
        <f>COUNTIFS(tManiqHars[Display Scheme],"Mirae Asset Large And Mid Cap Fund Growth")</f>
        <v>62</v>
      </c>
      <c r="C72" s="22"/>
      <c r="D72" s="23">
        <f>MAX(0,SUMIFS(tManiqHars[Signed Amount],tManiqHars[Display Scheme],"Mirae Asset Large And Mid Cap Fund Growth"))</f>
        <v>154992.56000000014</v>
      </c>
      <c r="E72" s="23">
        <f>SUMIFS(tManiqHars[Signed Unit],tManiqHars[Display Scheme],"Mirae Asset Large And Mid Cap Fund Growth")*IFERROR(VLOOKUP("Mirae Asset Large And Mid Cap Fund Growth",tNAV[[Display Scheme]:[Latest NAV]],3,FALSE()),0)</f>
        <v>212497.20152999993</v>
      </c>
      <c r="F72" s="23">
        <f t="shared" si="4"/>
        <v>57504.64152999979</v>
      </c>
      <c r="G72" s="24">
        <f t="shared" si="8"/>
        <v>0.37101549603413053</v>
      </c>
      <c r="H72" s="38" t="str">
        <f t="shared" si="7"/>
        <v>Unrealized</v>
      </c>
      <c r="I72" s="24" cm="1">
        <f t="array" aca="1" ref="I72" ca="1">IFERROR(IF(E72&lt;=0,"",XIRR(_xlfn.VSTACK(_xlfn._xlws.FILTER(-tManiqHars[Signed Amount],tManiqHars[Display Scheme]="Mirae Asset Large And Mid Cap Fund Growth"),E72),_xlfn.VSTACK(_xlfn._xlws.FILTER(tManiqHars[Date],tManiqHars[Display Scheme]="Mirae Asset Large And Mid Cap Fund Growth"),TODAY()))),"")</f>
        <v>0.11792246699333189</v>
      </c>
      <c r="J72" s="31" t="str">
        <f t="shared" si="9"/>
        <v>In Profit</v>
      </c>
    </row>
    <row r="73" spans="1:10" outlineLevel="1" x14ac:dyDescent="0.3">
      <c r="A73" s="28" t="s">
        <v>46931</v>
      </c>
      <c r="B73" s="21">
        <f>COUNTIFS(tManiqHars[Display Scheme],"Principal Emerging Bluechip Fund Growth")</f>
        <v>4</v>
      </c>
      <c r="C73" s="22"/>
      <c r="D73" s="23">
        <f>MAX(0,SUMIFS(tManiqHars[Signed Amount],tManiqHars[Display Scheme],"Principal Emerging Bluechip Fund Growth"))</f>
        <v>0</v>
      </c>
      <c r="E73" s="23">
        <f>SUMIFS(tManiqHars[Signed Unit],tManiqHars[Display Scheme],"Principal Emerging Bluechip Fund Growth")*IFERROR(VLOOKUP("Principal Emerging Bluechip Fund Growth",tNAV[[Display Scheme]:[Latest NAV]],3,FALSE()),0)</f>
        <v>0</v>
      </c>
      <c r="F73" s="23">
        <f t="shared" si="4"/>
        <v>0</v>
      </c>
      <c r="G73" s="24" t="str">
        <f t="shared" si="8"/>
        <v/>
      </c>
      <c r="H73" s="38" t="str">
        <f t="shared" si="7"/>
        <v>Realized</v>
      </c>
      <c r="I73" s="24" t="str" cm="1">
        <f t="array" aca="1" ref="I73" ca="1">IFERROR(IF(E73&lt;=0,"",XIRR(_xlfn.VSTACK(_xlfn._xlws.FILTER(-tManiqHars[Signed Amount],tManiqHars[Display Scheme]="Principal Emerging Bluechip Fund Growth"),E73),_xlfn.VSTACK(_xlfn._xlws.FILTER(tManiqHars[Date],tManiqHars[Display Scheme]="Principal Emerging Bluechip Fund Growth"),TODAY()))),"")</f>
        <v/>
      </c>
      <c r="J73" s="31" t="str">
        <f t="shared" si="9"/>
        <v>Redeemed</v>
      </c>
    </row>
    <row r="74" spans="1:10" outlineLevel="1" x14ac:dyDescent="0.3">
      <c r="A74" s="28" t="s">
        <v>46932</v>
      </c>
      <c r="B74" s="21">
        <f>COUNTIFS(tManiqHars[Display Scheme],"Sbi Small Cap Fund Growth")</f>
        <v>62</v>
      </c>
      <c r="C74" s="22"/>
      <c r="D74" s="23">
        <f>MAX(0,SUMIFS(tManiqHars[Signed Amount],tManiqHars[Display Scheme],"Sbi Small Cap Fund Growth"))</f>
        <v>154992.56000000014</v>
      </c>
      <c r="E74" s="23">
        <f>SUMIFS(tManiqHars[Signed Unit],tManiqHars[Display Scheme],"Sbi Small Cap Fund Growth")*IFERROR(VLOOKUP("Sbi Small Cap Fund Growth",tNAV[[Display Scheme]:[Latest NAV]],3,FALSE()),0)</f>
        <v>215466.84305980004</v>
      </c>
      <c r="F74" s="23">
        <f t="shared" si="4"/>
        <v>60474.283059799898</v>
      </c>
      <c r="G74" s="24">
        <f t="shared" si="8"/>
        <v>0.39017539332081386</v>
      </c>
      <c r="H74" s="38" t="str">
        <f t="shared" si="7"/>
        <v>Unrealized</v>
      </c>
      <c r="I74" s="24" cm="1">
        <f t="array" aca="1" ref="I74" ca="1">IFERROR(IF(E74&lt;=0,"",XIRR(_xlfn.VSTACK(_xlfn._xlws.FILTER(-tManiqHars[Signed Amount],tManiqHars[Display Scheme]="Sbi Small Cap Fund Growth"),E74),_xlfn.VSTACK(_xlfn._xlws.FILTER(tManiqHars[Date],tManiqHars[Display Scheme]="Sbi Small Cap Fund Growth"),TODAY()))),"")</f>
        <v>0.12317422032356262</v>
      </c>
      <c r="J74" s="31" t="str">
        <f t="shared" si="9"/>
        <v>In Profit</v>
      </c>
    </row>
    <row r="75" spans="1:10" outlineLevel="1" x14ac:dyDescent="0.3">
      <c r="A75" s="28" t="s">
        <v>46933</v>
      </c>
      <c r="B75" s="21">
        <f>COUNTIFS(tManiqHars[Display Scheme],"Sundaram Large And Mid Cap Fund Growth")</f>
        <v>4</v>
      </c>
      <c r="C75" s="22"/>
      <c r="D75" s="23">
        <f>MAX(0,SUMIFS(tManiqHars[Signed Amount],tManiqHars[Display Scheme],"Sundaram Large And Mid Cap Fund Growth"))</f>
        <v>0</v>
      </c>
      <c r="E75" s="23">
        <f>SUMIFS(tManiqHars[Signed Unit],tManiqHars[Display Scheme],"Sundaram Large And Mid Cap Fund Growth")*IFERROR(VLOOKUP("Sundaram Large And Mid Cap Fund Growth",tNAV[[Display Scheme]:[Latest NAV]],3,FALSE()),0)</f>
        <v>0</v>
      </c>
      <c r="F75" s="23">
        <f t="shared" si="4"/>
        <v>0</v>
      </c>
      <c r="G75" s="24" t="str">
        <f t="shared" si="8"/>
        <v/>
      </c>
      <c r="H75" s="38" t="str">
        <f t="shared" si="7"/>
        <v>Realized</v>
      </c>
      <c r="I75" s="24" t="str" cm="1">
        <f t="array" aca="1" ref="I75" ca="1">IFERROR(IF(E75&lt;=0,"",XIRR(_xlfn.VSTACK(_xlfn._xlws.FILTER(-tManiqHars[Signed Amount],tManiqHars[Display Scheme]="Sundaram Large And Mid Cap Fund Growth"),E75),_xlfn.VSTACK(_xlfn._xlws.FILTER(tManiqHars[Date],tManiqHars[Display Scheme]="Sundaram Large And Mid Cap Fund Growth"),TODAY()))),"")</f>
        <v/>
      </c>
      <c r="J75" s="31" t="str">
        <f t="shared" si="9"/>
        <v>Redeemed</v>
      </c>
    </row>
    <row r="76" spans="1:10" outlineLevel="1" x14ac:dyDescent="0.3">
      <c r="A76" s="28" t="s">
        <v>46934</v>
      </c>
      <c r="B76" s="21">
        <f>COUNTIFS(tManiqHars[Display Scheme],"Uti Focused Fund Growth")</f>
        <v>3</v>
      </c>
      <c r="C76" s="22"/>
      <c r="D76" s="23">
        <f>MAX(0,SUMIFS(tManiqHars[Signed Amount],tManiqHars[Display Scheme],"Uti Focused Fund Growth"))</f>
        <v>0</v>
      </c>
      <c r="E76" s="23">
        <f>SUMIFS(tManiqHars[Signed Unit],tManiqHars[Display Scheme],"Uti Focused Fund Growth")*IFERROR(VLOOKUP("Uti Focused Fund Growth",tNAV[[Display Scheme]:[Latest NAV]],3,FALSE()),0)</f>
        <v>0</v>
      </c>
      <c r="F76" s="23">
        <f t="shared" si="4"/>
        <v>0</v>
      </c>
      <c r="G76" s="24" t="str">
        <f t="shared" si="8"/>
        <v/>
      </c>
      <c r="H76" s="38" t="str">
        <f t="shared" si="7"/>
        <v>Realized</v>
      </c>
      <c r="I76" s="24" t="str" cm="1">
        <f t="array" aca="1" ref="I76" ca="1">IFERROR(IF(E76&lt;=0,"",XIRR(_xlfn.VSTACK(_xlfn._xlws.FILTER(-tManiqHars[Signed Amount],tManiqHars[Display Scheme]="Uti Focused Fund Growth"),E76),_xlfn.VSTACK(_xlfn._xlws.FILTER(tManiqHars[Date],tManiqHars[Display Scheme]="Uti Focused Fund Growth"),TODAY()))),"")</f>
        <v/>
      </c>
      <c r="J76" s="31" t="str">
        <f t="shared" si="9"/>
        <v>Redeemed</v>
      </c>
    </row>
    <row r="77" spans="1:10" x14ac:dyDescent="0.3">
      <c r="A77" s="27" t="s">
        <v>54</v>
      </c>
      <c r="B77" s="18">
        <f>COUNTA(tZerodhAshu[Date])</f>
        <v>6</v>
      </c>
      <c r="C77" s="18" cm="1">
        <f t="array" ref="C77">SUMPRODUCT((COUNTIF(tZerodhAshu[Display Scheme],tZerodhAshu[Display Scheme])&gt;0)/COUNTIF(tZerodhAshu[Display Scheme],tZerodhAshu[Display Scheme]))</f>
        <v>3</v>
      </c>
      <c r="D77" s="19">
        <f>SUM(tZerodhAshu[Signed Amount])</f>
        <v>299985.23</v>
      </c>
      <c r="E77" s="19" cm="1">
        <f t="array" ref="E77">SUMPRODUCT(SUMIFS(tZerodhAshu[Signed Unit],tZerodhAshu[Display Scheme],MFwise[Display Scheme])*MFwise[Latest NAV])</f>
        <v>349560.444196</v>
      </c>
      <c r="F77" s="19">
        <f t="shared" si="4"/>
        <v>49575.214196000015</v>
      </c>
      <c r="G77" s="25">
        <f>IFERROR(F77/D77,0)</f>
        <v>0.16525885023072642</v>
      </c>
      <c r="H77" s="25"/>
      <c r="I77" s="20" cm="1">
        <f t="array" aca="1" ref="I77" ca="1">IFERROR(IF(E77&lt;=0,"",XIRR(_xlfn.VSTACK(-tZerodhAshu[Signed Amount],E77),_xlfn.VSTACK(tZerodhAshu[Date],TODAY()))),"")</f>
        <v>9.9623614549636835E-2</v>
      </c>
      <c r="J77" s="32" t="str">
        <f>IF(F77&gt;=0,"In Profit","In Loss")</f>
        <v>In Profit</v>
      </c>
    </row>
    <row r="78" spans="1:10" outlineLevel="1" x14ac:dyDescent="0.3">
      <c r="A78" s="28" t="s">
        <v>46935</v>
      </c>
      <c r="B78" s="21">
        <f>COUNTIFS(tZerodhAshu[Display Scheme],"Hdfc Gold Etf Fund Of Fund Direct Growth Option")</f>
        <v>1</v>
      </c>
      <c r="C78" s="22"/>
      <c r="D78" s="23">
        <f>MAX(0,SUMIFS(tZerodhAshu[Signed Amount],tZerodhAshu[Display Scheme],"Hdfc Gold Etf Fund Of Fund Direct Growth Option"))</f>
        <v>49997.51</v>
      </c>
      <c r="E78" s="23">
        <f>SUMIFS(tZerodhAshu[Signed Unit],tZerodhAshu[Display Scheme],"Hdfc Gold Etf Fund Of Fund Direct Growth Option")*IFERROR(VLOOKUP("Hdfc Gold Etf Fund Of Fund Direct Growth Option",tNAV[[Display Scheme]:[Latest NAV]],3,FALSE()),0)</f>
        <v>55826.967028000006</v>
      </c>
      <c r="F78" s="23">
        <f t="shared" si="4"/>
        <v>5829.4570280000044</v>
      </c>
      <c r="G78" s="24">
        <f>IF(E78&lt;0.01,"",IFERROR(F78/D78,0))</f>
        <v>0.11659494698836011</v>
      </c>
      <c r="H78" s="38" t="str">
        <f t="shared" si="7"/>
        <v>Unrealized</v>
      </c>
      <c r="I78" s="24" cm="1">
        <f t="array" aca="1" ref="I78" ca="1">IFERROR(IF(E78&lt;=0,"",XIRR(_xlfn.VSTACK(_xlfn._xlws.FILTER(-tZerodhAshu[Signed Amount],tZerodhAshu[Display Scheme]="Hdfc Gold Etf Fund Of Fund Direct Growth Option"),E78),_xlfn.VSTACK(_xlfn._xlws.FILTER(tZerodhAshu[Date],tZerodhAshu[Display Scheme]="Hdfc Gold Etf Fund Of Fund Direct Growth Option"),TODAY()))),"")</f>
        <v>0.19402341246604918</v>
      </c>
      <c r="J78" s="31" t="str">
        <f>IF(E78&lt;0.01,"Redeemed",IF(F78&gt;=0,"In Profit","In Loss"))</f>
        <v>In Profit</v>
      </c>
    </row>
    <row r="79" spans="1:10" outlineLevel="1" x14ac:dyDescent="0.3">
      <c r="A79" s="28" t="s">
        <v>46936</v>
      </c>
      <c r="B79" s="21">
        <f>COUNTIFS(tZerodhAshu[Display Scheme],"Invesco India Contra Fund - Direct Plan")</f>
        <v>2</v>
      </c>
      <c r="C79" s="22"/>
      <c r="D79" s="23">
        <f>MAX(0,SUMIFS(tZerodhAshu[Signed Amount],tZerodhAshu[Display Scheme],"Invesco India Contra Fund - Direct Plan"))</f>
        <v>99995.079999999987</v>
      </c>
      <c r="E79" s="23">
        <f>SUMIFS(tZerodhAshu[Signed Unit],tZerodhAshu[Display Scheme],"Invesco India Contra Fund - Direct Plan")*IFERROR(VLOOKUP("Invesco India Contra Fund - Direct Plan",tNAV[[Display Scheme]:[Latest NAV]],3,FALSE()),0)</f>
        <v>160166.14760000003</v>
      </c>
      <c r="F79" s="23">
        <f t="shared" si="4"/>
        <v>60171.067600000039</v>
      </c>
      <c r="G79" s="24">
        <f>IF(E79&lt;0.01,"",IFERROR(F79/D79,0))</f>
        <v>0.60174028162185622</v>
      </c>
      <c r="H79" s="38" t="str">
        <f t="shared" si="7"/>
        <v>Unrealized</v>
      </c>
      <c r="I79" s="24" cm="1">
        <f t="array" aca="1" ref="I79" ca="1">IFERROR(IF(E79&lt;=0,"",XIRR(_xlfn.VSTACK(_xlfn._xlws.FILTER(-tZerodhAshu[Signed Amount],tZerodhAshu[Display Scheme]="Invesco India Contra Fund - Direct Plan"),E79),_xlfn.VSTACK(_xlfn._xlws.FILTER(tZerodhAshu[Date],tZerodhAshu[Display Scheme]="Invesco India Contra Fund - Direct Plan"),TODAY()))),"")</f>
        <v>0.14925648570060734</v>
      </c>
      <c r="J79" s="31" t="str">
        <f>IF(E79&lt;0.01,"Redeemed",IF(F79&gt;=0,"In Profit","In Loss"))</f>
        <v>In Profit</v>
      </c>
    </row>
    <row r="80" spans="1:10" outlineLevel="1" x14ac:dyDescent="0.3">
      <c r="A80" s="28" t="s">
        <v>46923</v>
      </c>
      <c r="B80" s="21">
        <f>COUNTIFS(tZerodhAshu[Display Scheme],"Mirae Asset Large And Mid Cap Fund Growth")</f>
        <v>3</v>
      </c>
      <c r="C80" s="22"/>
      <c r="D80" s="23">
        <f>MAX(0,SUMIFS(tZerodhAshu[Signed Amount],tZerodhAshu[Display Scheme],"Mirae Asset Large And Mid Cap Fund Growth"))</f>
        <v>149992.64000000001</v>
      </c>
      <c r="E80" s="23">
        <f>SUMIFS(tZerodhAshu[Signed Unit],tZerodhAshu[Display Scheme],"Mirae Asset Large And Mid Cap Fund Growth")*IFERROR(VLOOKUP("Mirae Asset Large And Mid Cap Fund Growth",tNAV[[Display Scheme]:[Latest NAV]],3,FALSE()),0)</f>
        <v>133567.32956799999</v>
      </c>
      <c r="F80" s="23">
        <f t="shared" si="4"/>
        <v>-16425.310432000028</v>
      </c>
      <c r="G80" s="24">
        <f>IF(E80&lt;0.01,"",IFERROR(F80/D80,0))</f>
        <v>-0.1095074427118559</v>
      </c>
      <c r="H80" s="38" t="str">
        <f t="shared" si="7"/>
        <v>Unrealized</v>
      </c>
      <c r="I80" s="24" cm="1">
        <f t="array" aca="1" ref="I80" ca="1">IFERROR(IF(E80&lt;=0,"",XIRR(_xlfn.VSTACK(_xlfn._xlws.FILTER(-tZerodhAshu[Signed Amount],tZerodhAshu[Display Scheme]="Mirae Asset Large And Mid Cap Fund Growth"),E80),_xlfn.VSTACK(_xlfn._xlws.FILTER(tZerodhAshu[Date],tZerodhAshu[Display Scheme]="Mirae Asset Large And Mid Cap Fund Growth"),TODAY()))),"")</f>
        <v>-0.15871938578784464</v>
      </c>
      <c r="J80" s="31" t="str">
        <f>IF(E80&lt;0.01,"Redeemed",IF(F80&gt;=0,"In Profit","In Loss"))</f>
        <v>In Loss</v>
      </c>
    </row>
    <row r="81" spans="1:10" x14ac:dyDescent="0.3">
      <c r="A81" s="27" t="s">
        <v>55</v>
      </c>
      <c r="B81" s="18">
        <f>COUNTA(tZerodhHars[Date])</f>
        <v>20</v>
      </c>
      <c r="C81" s="18" cm="1">
        <f t="array" ref="C81">SUMPRODUCT((COUNTIF(tZerodhHars[Display Scheme],tZerodhHars[Display Scheme])&gt;0)/COUNTIF(tZerodhHars[Display Scheme],tZerodhHars[Display Scheme]))</f>
        <v>4.9999999999999982</v>
      </c>
      <c r="D81" s="19">
        <f>SUM(tZerodhHars[Signed Amount])</f>
        <v>654969.53000000014</v>
      </c>
      <c r="E81" s="19" cm="1">
        <f t="array" ref="E81">SUMPRODUCT(SUMIFS(tZerodhHars[Signed Unit],tZerodhHars[Display Scheme],MFwise[Display Scheme])*MFwise[Latest NAV])</f>
        <v>608824.91321860009</v>
      </c>
      <c r="F81" s="19">
        <f t="shared" si="4"/>
        <v>-46144.616781400051</v>
      </c>
      <c r="G81" s="25">
        <f>IFERROR(F81/D81,0)</f>
        <v>-7.0453074025290982E-2</v>
      </c>
      <c r="H81" s="25"/>
      <c r="I81" s="20" cm="1">
        <f t="array" aca="1" ref="I81" ca="1">IFERROR(IF(E81&lt;=0,"",XIRR(_xlfn.VSTACK(-tZerodhHars[Signed Amount],E81),_xlfn.VSTACK(tZerodhHars[Date],TODAY()))),"")</f>
        <v>2.9802322387695314E-9</v>
      </c>
      <c r="J81" s="32" t="str">
        <f>IF(F81&gt;=0,"In Profit","In Loss")</f>
        <v>In Loss</v>
      </c>
    </row>
    <row r="82" spans="1:10" outlineLevel="1" x14ac:dyDescent="0.3">
      <c r="A82" s="28" t="s">
        <v>46937</v>
      </c>
      <c r="B82" s="21">
        <f>COUNTIFS(tZerodhHars[Display Scheme],"Hdfc Flexicap Fund Direct Growth Option")</f>
        <v>2</v>
      </c>
      <c r="C82" s="22"/>
      <c r="D82" s="23">
        <f>MAX(0,SUMIFS(tZerodhHars[Signed Amount],tZerodhHars[Display Scheme],"Hdfc Flexicap Fund Direct Growth Option"))</f>
        <v>249989.61</v>
      </c>
      <c r="E82" s="23">
        <f>SUMIFS(tZerodhHars[Signed Unit],tZerodhHars[Display Scheme],"Hdfc Flexicap Fund Direct Growth Option")*IFERROR(VLOOKUP("Hdfc Flexicap Fund Direct Growth Option",tNAV[[Display Scheme]:[Latest NAV]],3,FALSE()),0)</f>
        <v>245482.58660099999</v>
      </c>
      <c r="F82" s="23">
        <f t="shared" si="4"/>
        <v>-4507.0233989999979</v>
      </c>
      <c r="G82" s="24">
        <f>IF(E82&lt;0.01,"",IFERROR(F82/D82,0))</f>
        <v>-1.8028842874709867E-2</v>
      </c>
      <c r="H82" s="38" t="str">
        <f t="shared" si="7"/>
        <v>Unrealized</v>
      </c>
      <c r="I82" s="24" cm="1">
        <f t="array" aca="1" ref="I82" ca="1">IFERROR(IF(E82&lt;=0,"",XIRR(_xlfn.VSTACK(_xlfn._xlws.FILTER(-tZerodhHars[Signed Amount],tZerodhHars[Display Scheme]="Hdfc Flexicap Fund Direct Growth Option"),E82),_xlfn.VSTACK(_xlfn._xlws.FILTER(tZerodhHars[Date],tZerodhHars[Display Scheme]="Hdfc Flexicap Fund Direct Growth Option"),TODAY()))),"")</f>
        <v>-2.9031786322593688E-2</v>
      </c>
      <c r="J82" s="31" t="str">
        <f>IF(E82&lt;0.01,"Redeemed",IF(F82&gt;=0,"In Profit","In Loss"))</f>
        <v>In Loss</v>
      </c>
    </row>
    <row r="83" spans="1:10" outlineLevel="1" x14ac:dyDescent="0.3">
      <c r="A83" s="28" t="s">
        <v>46935</v>
      </c>
      <c r="B83" s="21">
        <f>COUNTIFS(tZerodhHars[Display Scheme],"Hdfc Gold Etf Fund Of Fund Direct Growth Option")</f>
        <v>3</v>
      </c>
      <c r="C83" s="22"/>
      <c r="D83" s="23">
        <f>MAX(0,SUMIFS(tZerodhHars[Signed Amount],tZerodhHars[Display Scheme],"Hdfc Gold Etf Fund Of Fund Direct Growth Option"))</f>
        <v>149992.5</v>
      </c>
      <c r="E83" s="23">
        <f>SUMIFS(tZerodhHars[Signed Unit],tZerodhHars[Display Scheme],"Hdfc Gold Etf Fund Of Fund Direct Growth Option")*IFERROR(VLOOKUP("Hdfc Gold Etf Fund Of Fund Direct Growth Option",tNAV[[Display Scheme]:[Latest NAV]],3,FALSE()),0)</f>
        <v>141962.91021999999</v>
      </c>
      <c r="F83" s="23">
        <f t="shared" si="4"/>
        <v>-8029.5897800000093</v>
      </c>
      <c r="G83" s="24">
        <f>IF(E83&lt;0.01,"",IFERROR(F83/D83,0))</f>
        <v>-5.353327519709325E-2</v>
      </c>
      <c r="H83" s="38" t="str">
        <f t="shared" si="7"/>
        <v>Unrealized</v>
      </c>
      <c r="I83" s="24" cm="1">
        <f t="array" aca="1" ref="I83" ca="1">IFERROR(IF(E83&lt;=0,"",XIRR(_xlfn.VSTACK(_xlfn._xlws.FILTER(-tZerodhHars[Signed Amount],tZerodhHars[Display Scheme]="Hdfc Gold Etf Fund Of Fund Direct Growth Option"),E83),_xlfn.VSTACK(_xlfn._xlws.FILTER(tZerodhHars[Date],tZerodhHars[Display Scheme]="Hdfc Gold Etf Fund Of Fund Direct Growth Option"),TODAY()))),"")</f>
        <v>-0.11150356866419314</v>
      </c>
      <c r="J83" s="31" t="str">
        <f>IF(E83&lt;0.01,"Redeemed",IF(F83&gt;=0,"In Profit","In Loss"))</f>
        <v>In Loss</v>
      </c>
    </row>
    <row r="84" spans="1:10" outlineLevel="1" x14ac:dyDescent="0.3">
      <c r="A84" s="28" t="s">
        <v>46938</v>
      </c>
      <c r="B84" s="21">
        <f>COUNTIFS(tZerodhHars[Display Scheme],"Hdfc Silver Etf Fund Of Fund Direct Growth")</f>
        <v>4</v>
      </c>
      <c r="C84" s="22"/>
      <c r="D84" s="23">
        <f>MAX(0,SUMIFS(tZerodhHars[Signed Amount],tZerodhHars[Display Scheme],"Hdfc Silver Etf Fund Of Fund Direct Growth"))</f>
        <v>129993.47</v>
      </c>
      <c r="E84" s="23">
        <f>SUMIFS(tZerodhHars[Signed Unit],tZerodhHars[Display Scheme],"Hdfc Silver Etf Fund Of Fund Direct Growth")*IFERROR(VLOOKUP("Hdfc Silver Etf Fund Of Fund Direct Growth",tNAV[[Display Scheme]:[Latest NAV]],3,FALSE()),0)</f>
        <v>93174.242054400005</v>
      </c>
      <c r="F84" s="23">
        <f t="shared" si="4"/>
        <v>-36819.227945599996</v>
      </c>
      <c r="G84" s="24">
        <f>IF(E84&lt;0.01,"",IFERROR(F84/D84,0))</f>
        <v>-0.28323905766651197</v>
      </c>
      <c r="H84" s="38" t="str">
        <f t="shared" si="7"/>
        <v>Unrealized</v>
      </c>
      <c r="I84" s="24" cm="1">
        <f t="array" aca="1" ref="I84" ca="1">IFERROR(IF(E84&lt;=0,"",XIRR(_xlfn.VSTACK(_xlfn._xlws.FILTER(-tZerodhHars[Signed Amount],tZerodhHars[Display Scheme]="Hdfc Silver Etf Fund Of Fund Direct Growth"),E84),_xlfn.VSTACK(_xlfn._xlws.FILTER(tZerodhHars[Date],tZerodhHars[Display Scheme]="Hdfc Silver Etf Fund Of Fund Direct Growth"),TODAY()))),"")</f>
        <v>-0.54444951042532908</v>
      </c>
      <c r="J84" s="31" t="str">
        <f>IF(E84&lt;0.01,"Redeemed",IF(F84&gt;=0,"In Profit","In Loss"))</f>
        <v>In Loss</v>
      </c>
    </row>
    <row r="85" spans="1:10" outlineLevel="1" x14ac:dyDescent="0.3">
      <c r="A85" s="28" t="s">
        <v>46939</v>
      </c>
      <c r="B85" s="21">
        <f>COUNTIFS(tZerodhHars[Display Scheme],"Icici Prudential Balanced Advantage Fund Direct Growth")</f>
        <v>9</v>
      </c>
      <c r="C85" s="22"/>
      <c r="D85" s="23">
        <f>MAX(0,SUMIFS(tZerodhHars[Signed Amount],tZerodhHars[Display Scheme],"Icici Prudential Balanced Advantage Fund Direct Growth"))</f>
        <v>24998.929999999997</v>
      </c>
      <c r="E85" s="23">
        <f>SUMIFS(tZerodhHars[Signed Unit],tZerodhHars[Display Scheme],"Icici Prudential Balanced Advantage Fund Direct Growth")*IFERROR(VLOOKUP("Icici Prudential Balanced Advantage Fund Direct Growth",tNAV[[Display Scheme]:[Latest NAV]],3,FALSE()),0)</f>
        <v>25654.882740000005</v>
      </c>
      <c r="F85" s="23">
        <f t="shared" si="4"/>
        <v>655.95274000000791</v>
      </c>
      <c r="G85" s="24">
        <f>IF(E85&lt;0.01,"",IFERROR(F85/D85,0))</f>
        <v>2.6239232639157277E-2</v>
      </c>
      <c r="H85" s="38" t="str">
        <f t="shared" si="7"/>
        <v>Unrealized</v>
      </c>
      <c r="I85" s="24" cm="1">
        <f t="array" aca="1" ref="I85" ca="1">IFERROR(IF(E85&lt;=0,"",XIRR(_xlfn.VSTACK(_xlfn._xlws.FILTER(-tZerodhHars[Signed Amount],tZerodhHars[Display Scheme]="Icici Prudential Balanced Advantage Fund Direct Growth"),E85),_xlfn.VSTACK(_xlfn._xlws.FILTER(tZerodhHars[Date],tZerodhHars[Display Scheme]="Icici Prudential Balanced Advantage Fund Direct Growth"),TODAY()))),"")</f>
        <v>0.11313738226890563</v>
      </c>
      <c r="J85" s="31" t="str">
        <f>IF(E85&lt;0.01,"Redeemed",IF(F85&gt;=0,"In Profit","In Loss"))</f>
        <v>In Profit</v>
      </c>
    </row>
    <row r="86" spans="1:10" outlineLevel="1" x14ac:dyDescent="0.3">
      <c r="A86" s="28" t="s">
        <v>46940</v>
      </c>
      <c r="B86" s="21">
        <f>COUNTIFS(tZerodhHars[Display Scheme],"Invesco India Arbitrage Fund - Direct Plan Growth")</f>
        <v>2</v>
      </c>
      <c r="C86" s="22"/>
      <c r="D86" s="23">
        <f>MAX(0,SUMIFS(tZerodhHars[Signed Amount],tZerodhHars[Display Scheme],"Invesco India Arbitrage Fund - Direct Plan Growth"))</f>
        <v>99995.02</v>
      </c>
      <c r="E86" s="23">
        <f>SUMIFS(tZerodhHars[Signed Unit],tZerodhHars[Display Scheme],"Invesco India Arbitrage Fund - Direct Plan Growth")*IFERROR(VLOOKUP("Invesco India Arbitrage Fund - Direct Plan Growth",tNAV[[Display Scheme]:[Latest NAV]],3,FALSE()),0)</f>
        <v>102550.29160319999</v>
      </c>
      <c r="F86" s="23">
        <f t="shared" si="4"/>
        <v>2555.271603199988</v>
      </c>
      <c r="G86" s="24">
        <f>IF(E86&lt;0.01,"",IFERROR(F86/D86,0))</f>
        <v>2.5553988620633187E-2</v>
      </c>
      <c r="H86" s="38" t="str">
        <f t="shared" si="7"/>
        <v>Unrealized</v>
      </c>
      <c r="I86" s="24" cm="1">
        <f t="array" aca="1" ref="I86" ca="1">IFERROR(IF(E86&lt;=0,"",XIRR(_xlfn.VSTACK(_xlfn._xlws.FILTER(-tZerodhHars[Signed Amount],tZerodhHars[Display Scheme]="Invesco India Arbitrage Fund - Direct Plan Growth"),E86),_xlfn.VSTACK(_xlfn._xlws.FILTER(tZerodhHars[Date],tZerodhHars[Display Scheme]="Invesco India Arbitrage Fund - Direct Plan Growth"),TODAY()))),"")</f>
        <v>6.4206972718238831E-2</v>
      </c>
      <c r="J86" s="31" t="str">
        <f>IF(E86&lt;0.01,"Redeemed",IF(F86&gt;=0,"In Profit","In Loss"))</f>
        <v>In Profit</v>
      </c>
    </row>
    <row r="87" spans="1:10" x14ac:dyDescent="0.3">
      <c r="A87" s="29" t="s">
        <v>46</v>
      </c>
      <c r="B87" s="18">
        <f>SUM(B47:B86)/2</f>
        <v>632</v>
      </c>
      <c r="C87" s="18">
        <f>COUNTA(MFwise[Display Scheme])</f>
        <v>31</v>
      </c>
      <c r="D87" s="19">
        <f>D47+D58+D63+D77+D81</f>
        <v>4214553.8599999994</v>
      </c>
      <c r="E87" s="19">
        <f>E47+E58+E63+E77+E81</f>
        <v>6847516.2994065993</v>
      </c>
      <c r="F87" s="19">
        <f t="shared" si="4"/>
        <v>2632962.4394065998</v>
      </c>
      <c r="G87" s="25">
        <f>IFERROR(F87/D87,0)</f>
        <v>0.62473099807688781</v>
      </c>
      <c r="H87" s="25"/>
      <c r="I87" s="20" cm="1">
        <f t="array" aca="1" ref="I87" ca="1">IFERROR(XIRR(_xlfn.VSTACK(-tAllCF[Signed Amount],E87),_xlfn.VSTACK(tAllCF[Date],TODAY())),"")</f>
        <v>0.12432698607444764</v>
      </c>
      <c r="J87" s="32" t="str">
        <f>IF(F87&gt;=0,"In Profit","In Loss")</f>
        <v>In Profit</v>
      </c>
    </row>
  </sheetData>
  <mergeCells count="13">
    <mergeCell ref="A45:J45"/>
    <mergeCell ref="A6:B6"/>
    <mergeCell ref="C6:D6"/>
    <mergeCell ref="E6:F6"/>
    <mergeCell ref="G6:I6"/>
    <mergeCell ref="A9:K9"/>
    <mergeCell ref="A1:J1"/>
    <mergeCell ref="A2:J2"/>
    <mergeCell ref="A5:B5"/>
    <mergeCell ref="C5:D5"/>
    <mergeCell ref="E5:F5"/>
    <mergeCell ref="G5:I5"/>
    <mergeCell ref="A4:K4"/>
  </mergeCells>
  <conditionalFormatting sqref="G11:H41">
    <cfRule type="cellIs" dxfId="6" priority="4" operator="lessThan">
      <formula>0</formula>
    </cfRule>
    <cfRule type="cellIs" dxfId="5" priority="5" operator="greaterThan">
      <formula>0</formula>
    </cfRule>
  </conditionalFormatting>
  <conditionalFormatting sqref="I11:I41">
    <cfRule type="cellIs" dxfId="4" priority="6" operator="lessThan">
      <formula>0</formula>
    </cfRule>
    <cfRule type="cellIs" dxfId="3" priority="7" operator="greaterThan">
      <formula>0</formula>
    </cfRule>
  </conditionalFormatting>
  <conditionalFormatting sqref="K11:K41">
    <cfRule type="cellIs" dxfId="2" priority="1" operator="lessThan">
      <formula>0</formula>
    </cfRule>
    <cfRule type="cellIs" dxfId="1" priority="2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zoomScaleNormal="100" workbookViewId="0">
      <pane ySplit="4" topLeftCell="A20" activePane="bottomLeft" state="frozen"/>
      <selection pane="bottomLeft" activeCell="C33" sqref="C33"/>
    </sheetView>
  </sheetViews>
  <sheetFormatPr defaultColWidth="8.6640625" defaultRowHeight="14.4" x14ac:dyDescent="0.3"/>
  <cols>
    <col min="1" max="1" width="62" customWidth="1"/>
    <col min="2" max="2" width="26" customWidth="1"/>
    <col min="3" max="3" width="14" customWidth="1"/>
    <col min="4" max="4" width="16" customWidth="1"/>
    <col min="5" max="5" width="32" customWidth="1"/>
    <col min="6" max="6" width="16.88671875" bestFit="1" customWidth="1"/>
    <col min="7" max="7" width="15.88671875" bestFit="1" customWidth="1"/>
  </cols>
  <sheetData>
    <row r="1" spans="1:7" ht="27.75" customHeight="1" x14ac:dyDescent="0.45">
      <c r="A1" s="46" t="s">
        <v>65</v>
      </c>
      <c r="B1" s="46"/>
      <c r="C1" s="46"/>
      <c r="D1" s="46"/>
      <c r="E1" s="46"/>
    </row>
    <row r="2" spans="1:7" ht="30" customHeight="1" x14ac:dyDescent="0.3">
      <c r="A2" s="47" t="s">
        <v>66</v>
      </c>
      <c r="B2" s="47"/>
      <c r="C2" s="47"/>
      <c r="D2" s="47"/>
      <c r="E2" s="47"/>
    </row>
    <row r="4" spans="1:7" ht="27.75" customHeight="1" x14ac:dyDescent="0.3">
      <c r="A4" s="4" t="s">
        <v>8</v>
      </c>
      <c r="B4" s="4" t="s">
        <v>67</v>
      </c>
      <c r="C4" s="4" t="s">
        <v>11</v>
      </c>
      <c r="D4" s="4" t="s">
        <v>68</v>
      </c>
      <c r="E4" s="4" t="s">
        <v>69</v>
      </c>
      <c r="F4" s="4" t="s">
        <v>791</v>
      </c>
      <c r="G4" s="4" t="s">
        <v>46903</v>
      </c>
    </row>
    <row r="5" spans="1:7" x14ac:dyDescent="0.3">
      <c r="A5" s="1" t="s">
        <v>15</v>
      </c>
      <c r="B5" s="1" t="s">
        <v>70</v>
      </c>
      <c r="C5" s="7">
        <f>IF(F5="",0,IFERROR(VLOOKUP(F5,NAVAll!$A:$E,5,FALSE),0))</f>
        <v>63.59</v>
      </c>
      <c r="D5" s="1" t="str">
        <f>IF(F5="","Redeemed",IF(ISNUMBER(VLOOKUP(F5,NAVAll!$A:$E,5,FALSE)),"NAVAll","Last txn NAV"))</f>
        <v>NAVAll</v>
      </c>
      <c r="E5" s="1"/>
      <c r="F5" t="s">
        <v>42452</v>
      </c>
    </row>
    <row r="6" spans="1:7" x14ac:dyDescent="0.3">
      <c r="A6" s="1" t="s">
        <v>16</v>
      </c>
      <c r="B6" s="1" t="s">
        <v>71</v>
      </c>
      <c r="C6" s="7">
        <f>IF(F6="",0,IFERROR(VLOOKUP(F6,NAVAll!$A:$E,5,FALSE),0))</f>
        <v>133.0035</v>
      </c>
      <c r="D6" s="1" t="str">
        <f>IF(F6="","Redeemed",IF(ISNUMBER(VLOOKUP(F6,NAVAll!$A:$E,5,FALSE)),"NAVAll","Last txn NAV"))</f>
        <v>NAVAll</v>
      </c>
      <c r="E6" s="1"/>
      <c r="F6" t="s">
        <v>41287</v>
      </c>
    </row>
    <row r="7" spans="1:7" x14ac:dyDescent="0.3">
      <c r="A7" s="1" t="s">
        <v>17</v>
      </c>
      <c r="B7" s="1" t="s">
        <v>72</v>
      </c>
      <c r="C7" s="7">
        <f>IF(F7="",0,IFERROR(VLOOKUP(F7,NAVAll!$A:$E,5,FALSE),0))</f>
        <v>250.89</v>
      </c>
      <c r="D7" s="1" t="str">
        <f>IF(F7="","Redeemed",IF(ISNUMBER(VLOOKUP(F7,NAVAll!$A:$E,5,FALSE)),"NAVAll","Last txn NAV"))</f>
        <v>NAVAll</v>
      </c>
      <c r="E7" s="1"/>
      <c r="F7" t="s">
        <v>42991</v>
      </c>
    </row>
    <row r="8" spans="1:7" x14ac:dyDescent="0.3">
      <c r="A8" s="1" t="s">
        <v>18</v>
      </c>
      <c r="B8" s="1" t="s">
        <v>73</v>
      </c>
      <c r="C8" s="7">
        <f>IF(F8="",0,IFERROR(VLOOKUP(F8,NAVAll!$A:$E,5,FALSE),0))</f>
        <v>61.15</v>
      </c>
      <c r="D8" s="1" t="str">
        <f>IF(F8="","Redeemed",IF(ISNUMBER(VLOOKUP(F8,NAVAll!$A:$E,5,FALSE)),"NAVAll","Last txn NAV"))</f>
        <v>NAVAll</v>
      </c>
      <c r="E8" s="1"/>
      <c r="F8" t="s">
        <v>42855</v>
      </c>
    </row>
    <row r="9" spans="1:7" x14ac:dyDescent="0.3">
      <c r="A9" s="1" t="s">
        <v>19</v>
      </c>
      <c r="B9" s="1" t="s">
        <v>74</v>
      </c>
      <c r="C9" s="7">
        <f>IF(F9="",0,IFERROR(VLOOKUP(F9,NAVAll!$A:$E,5,FALSE),0))</f>
        <v>2215.087</v>
      </c>
      <c r="D9" s="1" t="str">
        <f>IF(F9="","Redeemed",IF(ISNUMBER(VLOOKUP(F9,NAVAll!$A:$E,5,FALSE)),"NAVAll","Last txn NAV"))</f>
        <v>NAVAll</v>
      </c>
      <c r="E9" s="1"/>
      <c r="F9" t="s">
        <v>43274</v>
      </c>
    </row>
    <row r="10" spans="1:7" x14ac:dyDescent="0.3">
      <c r="A10" s="1" t="s">
        <v>20</v>
      </c>
      <c r="B10" s="1" t="s">
        <v>75</v>
      </c>
      <c r="C10" s="7">
        <f>IF(F10="",0,IFERROR(VLOOKUP(F10,NAVAll!$A:$E,5,FALSE),0))</f>
        <v>43.279000000000003</v>
      </c>
      <c r="D10" s="1" t="str">
        <f>IF(F10="","Redeemed",IF(ISNUMBER(VLOOKUP(F10,NAVAll!$A:$E,5,FALSE)),"NAVAll","Last txn NAV"))</f>
        <v>NAVAll</v>
      </c>
      <c r="E10" s="1"/>
      <c r="F10" t="s">
        <v>39766</v>
      </c>
    </row>
    <row r="11" spans="1:7" x14ac:dyDescent="0.3">
      <c r="A11" s="1" t="s">
        <v>21</v>
      </c>
      <c r="B11" s="1" t="s">
        <v>76</v>
      </c>
      <c r="C11" s="7">
        <f>IF(F11="",0,IFERROR(VLOOKUP(F11,NAVAll!$A:$E,5,FALSE),0))</f>
        <v>204.864</v>
      </c>
      <c r="D11" s="1" t="str">
        <f>IF(F11="","Redeemed",IF(ISNUMBER(VLOOKUP(F11,NAVAll!$A:$E,5,FALSE)),"NAVAll","Last txn NAV"))</f>
        <v>NAVAll</v>
      </c>
      <c r="E11" s="1"/>
      <c r="F11" t="s">
        <v>42680</v>
      </c>
    </row>
    <row r="12" spans="1:7" x14ac:dyDescent="0.3">
      <c r="A12" s="1" t="s">
        <v>22</v>
      </c>
      <c r="B12" s="1" t="s">
        <v>77</v>
      </c>
      <c r="C12" s="7">
        <f>IF(F12="",0,IFERROR(VLOOKUP(F12,NAVAll!$A:$E,5,FALSE),0))</f>
        <v>35.653700000000001</v>
      </c>
      <c r="D12" s="1" t="str">
        <f>IF(F12="","Redeemed",IF(ISNUMBER(VLOOKUP(F12,NAVAll!$A:$E,5,FALSE)),"NAVAll","Last txn NAV"))</f>
        <v>NAVAll</v>
      </c>
      <c r="E12" s="1"/>
      <c r="F12" t="s">
        <v>39751</v>
      </c>
    </row>
    <row r="13" spans="1:7" x14ac:dyDescent="0.3">
      <c r="A13" s="1" t="s">
        <v>23</v>
      </c>
      <c r="B13" s="1" t="s">
        <v>78</v>
      </c>
      <c r="C13" s="7">
        <f>IF(F13="",0,IFERROR(VLOOKUP(F13,NAVAll!$A:$E,5,FALSE),0))</f>
        <v>86.86</v>
      </c>
      <c r="D13" s="1" t="str">
        <f>IF(F13="","Redeemed",IF(ISNUMBER(VLOOKUP(F13,NAVAll!$A:$E,5,FALSE)),"NAVAll","Last txn NAV"))</f>
        <v>NAVAll</v>
      </c>
      <c r="E13" s="1"/>
      <c r="F13" t="s">
        <v>40589</v>
      </c>
    </row>
    <row r="14" spans="1:7" x14ac:dyDescent="0.3">
      <c r="A14" s="1" t="s">
        <v>24</v>
      </c>
      <c r="B14" s="1" t="s">
        <v>79</v>
      </c>
      <c r="C14" s="7">
        <f>IF(F14="",0,IFERROR(VLOOKUP(F14,NAVAll!$A:$E,5,FALSE),0))</f>
        <v>93.49</v>
      </c>
      <c r="D14" s="1" t="str">
        <f>IF(F14="","Redeemed",IF(ISNUMBER(VLOOKUP(F14,NAVAll!$A:$E,5,FALSE)),"NAVAll","Last txn NAV"))</f>
        <v>NAVAll</v>
      </c>
      <c r="E14" s="1"/>
      <c r="F14" t="s">
        <v>43094</v>
      </c>
    </row>
    <row r="15" spans="1:7" x14ac:dyDescent="0.3">
      <c r="A15" s="1" t="s">
        <v>25</v>
      </c>
      <c r="B15" s="1" t="s">
        <v>80</v>
      </c>
      <c r="C15" s="7">
        <f>IF(F15="",0,IFERROR(VLOOKUP(F15,NAVAll!$A:$E,5,FALSE),0))</f>
        <v>462.41</v>
      </c>
      <c r="D15" s="1" t="str">
        <f>IF(F15="","Redeemed",IF(ISNUMBER(VLOOKUP(F15,NAVAll!$A:$E,5,FALSE)),"NAVAll","Last txn NAV"))</f>
        <v>NAVAll</v>
      </c>
      <c r="E15" s="1"/>
      <c r="F15" t="s">
        <v>41241</v>
      </c>
    </row>
    <row r="16" spans="1:7" x14ac:dyDescent="0.3">
      <c r="A16" s="1" t="s">
        <v>26</v>
      </c>
      <c r="B16" s="1" t="s">
        <v>81</v>
      </c>
      <c r="C16" s="7">
        <f>IF(F16="",0,IFERROR(VLOOKUP(F16,NAVAll!$A:$E,5,FALSE),0))</f>
        <v>36.785699999999999</v>
      </c>
      <c r="D16" s="1" t="str">
        <f>IF(F16="","Redeemed",IF(ISNUMBER(VLOOKUP(F16,NAVAll!$A:$E,5,FALSE)),"NAVAll","Last txn NAV"))</f>
        <v>NAVAll</v>
      </c>
      <c r="E16" s="1"/>
      <c r="F16" t="s">
        <v>40903</v>
      </c>
    </row>
    <row r="17" spans="1:7" x14ac:dyDescent="0.3">
      <c r="A17" s="1" t="s">
        <v>27</v>
      </c>
      <c r="B17" s="1" t="s">
        <v>82</v>
      </c>
      <c r="C17" s="7">
        <f>IF(F17="",0,IFERROR(VLOOKUP(F17,NAVAll!$A:$E,5,FALSE),0))</f>
        <v>157.4</v>
      </c>
      <c r="D17" s="1" t="str">
        <f>IF(F17="","Redeemed",IF(ISNUMBER(VLOOKUP(F17,NAVAll!$A:$E,5,FALSE)),"NAVAll","Last txn NAV"))</f>
        <v>NAVAll</v>
      </c>
      <c r="E17" s="1"/>
      <c r="F17" t="s">
        <v>43585</v>
      </c>
    </row>
    <row r="18" spans="1:7" x14ac:dyDescent="0.3">
      <c r="A18" s="1" t="s">
        <v>28</v>
      </c>
      <c r="B18" s="1" t="s">
        <v>83</v>
      </c>
      <c r="C18" s="7">
        <f>IF(F18="",0,IFERROR(VLOOKUP(F18,NAVAll!$A:$E,5,FALSE),0))</f>
        <v>0</v>
      </c>
      <c r="D18" s="1" t="str">
        <f>IF(F18="","Redeemed",IF(ISNUMBER(VLOOKUP(F18,NAVAll!$A:$E,5,FALSE)),"NAVAll","Last txn NAV"))</f>
        <v>Redeemed</v>
      </c>
      <c r="E18" s="1"/>
      <c r="G18" t="s">
        <v>46904</v>
      </c>
    </row>
    <row r="19" spans="1:7" x14ac:dyDescent="0.3">
      <c r="A19" s="1" t="s">
        <v>29</v>
      </c>
      <c r="B19" s="1" t="s">
        <v>84</v>
      </c>
      <c r="C19" s="7">
        <f>IF(F19="",0,IFERROR(VLOOKUP(F19,NAVAll!$A:$E,5,FALSE),0))</f>
        <v>151.745</v>
      </c>
      <c r="D19" s="1" t="str">
        <f>IF(F19="","Redeemed",IF(ISNUMBER(VLOOKUP(F19,NAVAll!$A:$E,5,FALSE)),"NAVAll","Last txn NAV"))</f>
        <v>NAVAll</v>
      </c>
      <c r="E19" s="1"/>
      <c r="F19" s="15" t="s">
        <v>43579</v>
      </c>
    </row>
    <row r="20" spans="1:7" x14ac:dyDescent="0.3">
      <c r="A20" s="1" t="s">
        <v>30</v>
      </c>
      <c r="B20" s="1" t="s">
        <v>85</v>
      </c>
      <c r="C20" s="7">
        <f>IF(F20="",0,IFERROR(VLOOKUP(F20,NAVAll!$A:$E,5,FALSE),0))</f>
        <v>19.991</v>
      </c>
      <c r="D20" s="1" t="str">
        <f>IF(F20="","Redeemed",IF(ISNUMBER(VLOOKUP(F20,NAVAll!$A:$E,5,FALSE)),"NAVAll","Last txn NAV"))</f>
        <v>NAVAll</v>
      </c>
      <c r="E20" s="1"/>
      <c r="F20" s="15" t="s">
        <v>42519</v>
      </c>
    </row>
    <row r="21" spans="1:7" x14ac:dyDescent="0.3">
      <c r="A21" s="1" t="s">
        <v>31</v>
      </c>
      <c r="B21" s="1" t="s">
        <v>86</v>
      </c>
      <c r="C21" s="7">
        <f>IF(F21="",0,IFERROR(VLOOKUP(F21,NAVAll!$A:$E,5,FALSE),0))</f>
        <v>0</v>
      </c>
      <c r="D21" s="1" t="str">
        <f>IF(F21="","Redeemed",IF(ISNUMBER(VLOOKUP(F21,NAVAll!$A:$E,5,FALSE)),"NAVAll","Last txn NAV"))</f>
        <v>Redeemed</v>
      </c>
      <c r="E21" s="1"/>
      <c r="G21" t="s">
        <v>46904</v>
      </c>
    </row>
    <row r="22" spans="1:7" x14ac:dyDescent="0.3">
      <c r="A22" s="1" t="s">
        <v>32</v>
      </c>
      <c r="B22" s="1" t="s">
        <v>87</v>
      </c>
      <c r="C22" s="7">
        <f>IF(F22="",0,IFERROR(VLOOKUP(F22,NAVAll!$A:$E,5,FALSE),0))</f>
        <v>15.755599999999999</v>
      </c>
      <c r="D22" s="1" t="str">
        <f>IF(F22="","Redeemed",IF(ISNUMBER(VLOOKUP(F22,NAVAll!$A:$E,5,FALSE)),"NAVAll","Last txn NAV"))</f>
        <v>NAVAll</v>
      </c>
      <c r="E22" s="1"/>
      <c r="F22" t="s">
        <v>43235</v>
      </c>
    </row>
    <row r="23" spans="1:7" x14ac:dyDescent="0.3">
      <c r="A23" s="1" t="s">
        <v>33</v>
      </c>
      <c r="B23" s="1" t="s">
        <v>88</v>
      </c>
      <c r="C23" s="7">
        <f>IF(F23="",0,IFERROR(VLOOKUP(F23,NAVAll!$A:$E,5,FALSE),0))</f>
        <v>26.952300000000001</v>
      </c>
      <c r="D23" s="1" t="str">
        <f>IF(F23="","Redeemed",IF(ISNUMBER(VLOOKUP(F23,NAVAll!$A:$E,5,FALSE)),"NAVAll","Last txn NAV"))</f>
        <v>NAVAll</v>
      </c>
      <c r="E23" s="1"/>
      <c r="F23" t="s">
        <v>43070</v>
      </c>
    </row>
    <row r="24" spans="1:7" x14ac:dyDescent="0.3">
      <c r="A24" s="1" t="s">
        <v>34</v>
      </c>
      <c r="B24" s="1" t="s">
        <v>89</v>
      </c>
      <c r="C24" s="7">
        <f>IF(F24="",0,IFERROR(VLOOKUP(F24,NAVAll!$A:$E,5,FALSE),0))</f>
        <v>26.911100000000001</v>
      </c>
      <c r="D24" s="1" t="str">
        <f>IF(F24="","Redeemed",IF(ISNUMBER(VLOOKUP(F24,NAVAll!$A:$E,5,FALSE)),"NAVAll","Last txn NAV"))</f>
        <v>NAVAll</v>
      </c>
      <c r="E24" s="1"/>
      <c r="F24" t="s">
        <v>42939</v>
      </c>
    </row>
    <row r="25" spans="1:7" x14ac:dyDescent="0.3">
      <c r="A25" s="1" t="s">
        <v>35</v>
      </c>
      <c r="B25" s="1" t="s">
        <v>90</v>
      </c>
      <c r="C25" s="7">
        <f>IF(F25="",0,IFERROR(VLOOKUP(F25,NAVAll!$A:$E,5,FALSE),0))</f>
        <v>36.288499999999999</v>
      </c>
      <c r="D25" s="1" t="str">
        <f>IF(F25="","Redeemed",IF(ISNUMBER(VLOOKUP(F25,NAVAll!$A:$E,5,FALSE)),"NAVAll","Last txn NAV"))</f>
        <v>NAVAll</v>
      </c>
      <c r="E25" s="1"/>
      <c r="F25" t="s">
        <v>42643</v>
      </c>
    </row>
    <row r="26" spans="1:7" x14ac:dyDescent="0.3">
      <c r="A26" s="1" t="s">
        <v>36</v>
      </c>
      <c r="B26" s="1" t="s">
        <v>91</v>
      </c>
      <c r="C26" s="7">
        <f>IF(F26="",0,IFERROR(VLOOKUP(F26,NAVAll!$A:$E,5,FALSE),0))</f>
        <v>154.52600000000001</v>
      </c>
      <c r="D26" s="1" t="str">
        <f>IF(F26="","Redeemed",IF(ISNUMBER(VLOOKUP(F26,NAVAll!$A:$E,5,FALSE)),"NAVAll","Last txn NAV"))</f>
        <v>NAVAll</v>
      </c>
      <c r="E26" s="1"/>
      <c r="F26" s="15" t="s">
        <v>42935</v>
      </c>
    </row>
    <row r="27" spans="1:7" x14ac:dyDescent="0.3">
      <c r="A27" s="1" t="s">
        <v>37</v>
      </c>
      <c r="B27" s="1" t="s">
        <v>92</v>
      </c>
      <c r="C27" s="7">
        <f>IF(F27="",0,IFERROR(VLOOKUP(F27,NAVAll!$A:$E,5,FALSE),0))</f>
        <v>131.2407</v>
      </c>
      <c r="D27" s="1" t="str">
        <f>IF(F27="","Redeemed",IF(ISNUMBER(VLOOKUP(F27,NAVAll!$A:$E,5,FALSE)),"NAVAll","Last txn NAV"))</f>
        <v>NAVAll</v>
      </c>
      <c r="E27" s="1"/>
      <c r="F27" t="s">
        <v>43378</v>
      </c>
      <c r="G27" t="s">
        <v>46904</v>
      </c>
    </row>
    <row r="28" spans="1:7" x14ac:dyDescent="0.3">
      <c r="A28" s="1" t="s">
        <v>38</v>
      </c>
      <c r="B28" s="1" t="s">
        <v>93</v>
      </c>
      <c r="C28" s="7">
        <f>IF(F28="",0,IFERROR(VLOOKUP(F28,NAVAll!$A:$E,5,FALSE),0))</f>
        <v>0</v>
      </c>
      <c r="D28" s="1" t="str">
        <f>IF(F28="","Redeemed",IF(ISNUMBER(VLOOKUP(F28,NAVAll!$A:$E,5,FALSE)),"NAVAll","Last txn NAV"))</f>
        <v>Redeemed</v>
      </c>
      <c r="E28" s="1"/>
      <c r="G28" t="s">
        <v>46904</v>
      </c>
    </row>
    <row r="29" spans="1:7" x14ac:dyDescent="0.3">
      <c r="A29" s="1" t="s">
        <v>39</v>
      </c>
      <c r="B29" s="1" t="s">
        <v>94</v>
      </c>
      <c r="C29" s="7">
        <f>IF(F29="",0,IFERROR(VLOOKUP(F29,NAVAll!$A:$E,5,FALSE),0))</f>
        <v>0</v>
      </c>
      <c r="D29" s="1" t="str">
        <f>IF(F29="","Redeemed",IF(ISNUMBER(VLOOKUP(F29,NAVAll!$A:$E,5,FALSE)),"NAVAll","Last txn NAV"))</f>
        <v>Redeemed</v>
      </c>
      <c r="E29" s="1"/>
      <c r="G29" t="s">
        <v>46904</v>
      </c>
    </row>
    <row r="30" spans="1:7" x14ac:dyDescent="0.3">
      <c r="A30" s="1" t="s">
        <v>40</v>
      </c>
      <c r="B30" s="1" t="s">
        <v>95</v>
      </c>
      <c r="C30" s="7">
        <f>IF(F30="",0,IFERROR(VLOOKUP(F30,NAVAll!$A:$E,5,FALSE),0))</f>
        <v>0</v>
      </c>
      <c r="D30" s="1" t="str">
        <f>IF(F30="","Redeemed",IF(ISNUMBER(VLOOKUP(F30,NAVAll!$A:$E,5,FALSE)),"NAVAll","Last txn NAV"))</f>
        <v>Redeemed</v>
      </c>
      <c r="E30" s="1"/>
      <c r="G30" t="s">
        <v>46904</v>
      </c>
    </row>
    <row r="31" spans="1:7" x14ac:dyDescent="0.3">
      <c r="A31" s="1" t="s">
        <v>41</v>
      </c>
      <c r="B31" s="1" t="s">
        <v>96</v>
      </c>
      <c r="C31" s="7">
        <f>IF(F31="",0,IFERROR(VLOOKUP(F31,NAVAll!$A:$E,5,FALSE),0))</f>
        <v>436.67860000000002</v>
      </c>
      <c r="D31" s="1" t="str">
        <f>IF(F31="","Redeemed",IF(ISNUMBER(VLOOKUP(F31,NAVAll!$A:$E,5,FALSE)),"NAVAll","Last txn NAV"))</f>
        <v>NAVAll</v>
      </c>
      <c r="E31" s="1"/>
      <c r="F31" t="s">
        <v>43354</v>
      </c>
    </row>
    <row r="32" spans="1:7" x14ac:dyDescent="0.3">
      <c r="A32" s="1" t="s">
        <v>42</v>
      </c>
      <c r="B32" s="1" t="s">
        <v>97</v>
      </c>
      <c r="C32" s="7">
        <f>IF(F32="",0,IFERROR(VLOOKUP(F32,NAVAll!$A:$E,5,FALSE),0))</f>
        <v>106.9365</v>
      </c>
      <c r="D32" s="1" t="str">
        <f>IF(F32="","Redeemed",IF(ISNUMBER(VLOOKUP(F32,NAVAll!$A:$E,5,FALSE)),"NAVAll","Last txn NAV"))</f>
        <v>NAVAll</v>
      </c>
      <c r="E32" s="1"/>
      <c r="F32" t="s">
        <v>43184</v>
      </c>
    </row>
    <row r="33" spans="1:7" x14ac:dyDescent="0.3">
      <c r="A33" s="1" t="s">
        <v>43</v>
      </c>
      <c r="B33" s="1" t="s">
        <v>98</v>
      </c>
      <c r="C33" s="7">
        <f>IF(F33="",0,IFERROR(VLOOKUP(F33,NAVAll!$A:$E,5,FALSE),0))</f>
        <v>176.8409</v>
      </c>
      <c r="D33" s="1" t="str">
        <f>IF(F33="","Redeemed",IF(ISNUMBER(VLOOKUP(F33,NAVAll!$A:$E,5,FALSE)),"NAVAll","Last txn NAV"))</f>
        <v>NAVAll</v>
      </c>
      <c r="E33" s="1"/>
      <c r="F33" t="s">
        <v>41318</v>
      </c>
    </row>
    <row r="34" spans="1:7" x14ac:dyDescent="0.3">
      <c r="A34" s="1" t="s">
        <v>44</v>
      </c>
      <c r="B34" s="1" t="s">
        <v>99</v>
      </c>
      <c r="C34" s="7">
        <f>IF(F34="",0,IFERROR(VLOOKUP(F34,NAVAll!$A:$E,5,FALSE),0))</f>
        <v>0</v>
      </c>
      <c r="D34" s="1" t="str">
        <f>IF(F34="","Redeemed",IF(ISNUMBER(VLOOKUP(F34,NAVAll!$A:$E,5,FALSE)),"NAVAll","Last txn NAV"))</f>
        <v>Redeemed</v>
      </c>
      <c r="E34" s="1"/>
      <c r="G34" t="s">
        <v>46904</v>
      </c>
    </row>
    <row r="35" spans="1:7" x14ac:dyDescent="0.3">
      <c r="A35" s="1" t="s">
        <v>45</v>
      </c>
      <c r="B35" s="1" t="s">
        <v>100</v>
      </c>
      <c r="C35" s="7">
        <f>IF(F35="",0,IFERROR(VLOOKUP(F35,NAVAll!$A:$E,5,FALSE),0))</f>
        <v>0</v>
      </c>
      <c r="D35" s="1" t="str">
        <f>IF(F35="","Redeemed",IF(ISNUMBER(VLOOKUP(F35,NAVAll!$A:$E,5,FALSE)),"NAVAll","Last txn NAV"))</f>
        <v>Redeemed</v>
      </c>
      <c r="E35" s="1"/>
      <c r="G35" t="s">
        <v>46904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zoomScaleNormal="100" workbookViewId="0">
      <pane ySplit="4" topLeftCell="A5" activePane="bottomLeft" state="frozen"/>
      <selection pane="bottomLeft" activeCell="A4" sqref="A4"/>
    </sheetView>
  </sheetViews>
  <sheetFormatPr defaultColWidth="8.6640625" defaultRowHeight="14.4" x14ac:dyDescent="0.3"/>
  <cols>
    <col min="1" max="1" width="56" customWidth="1"/>
    <col min="2" max="2" width="28" customWidth="1"/>
    <col min="3" max="3" width="56" customWidth="1"/>
  </cols>
  <sheetData>
    <row r="1" spans="1:3" ht="27.75" customHeight="1" x14ac:dyDescent="0.45">
      <c r="A1" s="46" t="s">
        <v>101</v>
      </c>
      <c r="B1" s="46"/>
      <c r="C1" s="46"/>
    </row>
    <row r="2" spans="1:3" ht="30" customHeight="1" x14ac:dyDescent="0.3">
      <c r="A2" s="47" t="s">
        <v>102</v>
      </c>
      <c r="B2" s="47"/>
      <c r="C2" s="47"/>
    </row>
    <row r="4" spans="1:3" ht="27.75" customHeight="1" x14ac:dyDescent="0.3">
      <c r="A4" s="4" t="s">
        <v>103</v>
      </c>
      <c r="B4" s="4" t="s">
        <v>67</v>
      </c>
      <c r="C4" s="4" t="s">
        <v>8</v>
      </c>
    </row>
    <row r="5" spans="1:3" x14ac:dyDescent="0.3">
      <c r="A5" s="1" t="s">
        <v>104</v>
      </c>
      <c r="B5" s="1" t="s">
        <v>70</v>
      </c>
      <c r="C5" s="1" t="s">
        <v>15</v>
      </c>
    </row>
    <row r="6" spans="1:3" x14ac:dyDescent="0.3">
      <c r="A6" s="1" t="s">
        <v>16</v>
      </c>
      <c r="B6" s="1" t="s">
        <v>71</v>
      </c>
      <c r="C6" s="1" t="s">
        <v>16</v>
      </c>
    </row>
    <row r="7" spans="1:3" x14ac:dyDescent="0.3">
      <c r="A7" s="1" t="s">
        <v>105</v>
      </c>
      <c r="B7" s="1" t="s">
        <v>72</v>
      </c>
      <c r="C7" s="1" t="s">
        <v>17</v>
      </c>
    </row>
    <row r="8" spans="1:3" x14ac:dyDescent="0.3">
      <c r="A8" s="1" t="s">
        <v>106</v>
      </c>
      <c r="B8" s="1" t="s">
        <v>72</v>
      </c>
      <c r="C8" s="1" t="s">
        <v>17</v>
      </c>
    </row>
    <row r="9" spans="1:3" x14ac:dyDescent="0.3">
      <c r="A9" s="1" t="s">
        <v>18</v>
      </c>
      <c r="B9" s="1" t="s">
        <v>73</v>
      </c>
      <c r="C9" s="1" t="s">
        <v>18</v>
      </c>
    </row>
    <row r="10" spans="1:3" x14ac:dyDescent="0.3">
      <c r="A10" s="1" t="s">
        <v>107</v>
      </c>
      <c r="B10" s="1" t="s">
        <v>74</v>
      </c>
      <c r="C10" s="1" t="s">
        <v>19</v>
      </c>
    </row>
    <row r="11" spans="1:3" x14ac:dyDescent="0.3">
      <c r="A11" s="1" t="s">
        <v>108</v>
      </c>
      <c r="B11" s="1" t="s">
        <v>75</v>
      </c>
      <c r="C11" s="1" t="s">
        <v>20</v>
      </c>
    </row>
    <row r="12" spans="1:3" x14ac:dyDescent="0.3">
      <c r="A12" s="1" t="s">
        <v>109</v>
      </c>
      <c r="B12" s="1" t="s">
        <v>76</v>
      </c>
      <c r="C12" s="1" t="s">
        <v>21</v>
      </c>
    </row>
    <row r="13" spans="1:3" x14ac:dyDescent="0.3">
      <c r="A13" s="1" t="s">
        <v>22</v>
      </c>
      <c r="B13" s="1" t="s">
        <v>77</v>
      </c>
      <c r="C13" s="1" t="s">
        <v>22</v>
      </c>
    </row>
    <row r="14" spans="1:3" x14ac:dyDescent="0.3">
      <c r="A14" s="1" t="s">
        <v>110</v>
      </c>
      <c r="B14" s="1" t="s">
        <v>78</v>
      </c>
      <c r="C14" s="1" t="s">
        <v>23</v>
      </c>
    </row>
    <row r="15" spans="1:3" x14ac:dyDescent="0.3">
      <c r="A15" s="1" t="s">
        <v>111</v>
      </c>
      <c r="B15" s="1" t="s">
        <v>79</v>
      </c>
      <c r="C15" s="1" t="s">
        <v>24</v>
      </c>
    </row>
    <row r="16" spans="1:3" x14ac:dyDescent="0.3">
      <c r="A16" s="1" t="s">
        <v>112</v>
      </c>
      <c r="B16" s="1" t="s">
        <v>80</v>
      </c>
      <c r="C16" s="1" t="s">
        <v>25</v>
      </c>
    </row>
    <row r="17" spans="1:3" x14ac:dyDescent="0.3">
      <c r="A17" s="1" t="s">
        <v>26</v>
      </c>
      <c r="B17" s="1" t="s">
        <v>81</v>
      </c>
      <c r="C17" s="1" t="s">
        <v>26</v>
      </c>
    </row>
    <row r="18" spans="1:3" x14ac:dyDescent="0.3">
      <c r="A18" s="1" t="s">
        <v>27</v>
      </c>
      <c r="B18" s="1" t="s">
        <v>82</v>
      </c>
      <c r="C18" s="1" t="s">
        <v>27</v>
      </c>
    </row>
    <row r="19" spans="1:3" x14ac:dyDescent="0.3">
      <c r="A19" s="1" t="s">
        <v>28</v>
      </c>
      <c r="B19" s="1" t="s">
        <v>83</v>
      </c>
      <c r="C19" s="1" t="s">
        <v>28</v>
      </c>
    </row>
    <row r="20" spans="1:3" x14ac:dyDescent="0.3">
      <c r="A20" s="1" t="s">
        <v>29</v>
      </c>
      <c r="B20" s="1" t="s">
        <v>84</v>
      </c>
      <c r="C20" s="1" t="s">
        <v>29</v>
      </c>
    </row>
    <row r="21" spans="1:3" x14ac:dyDescent="0.3">
      <c r="A21" s="1" t="s">
        <v>30</v>
      </c>
      <c r="B21" s="1" t="s">
        <v>85</v>
      </c>
      <c r="C21" s="1" t="s">
        <v>30</v>
      </c>
    </row>
    <row r="22" spans="1:3" x14ac:dyDescent="0.3">
      <c r="A22" s="1" t="s">
        <v>113</v>
      </c>
      <c r="B22" s="1" t="s">
        <v>86</v>
      </c>
      <c r="C22" s="1" t="s">
        <v>31</v>
      </c>
    </row>
    <row r="23" spans="1:3" x14ac:dyDescent="0.3">
      <c r="A23" s="1" t="s">
        <v>32</v>
      </c>
      <c r="B23" s="1" t="s">
        <v>87</v>
      </c>
      <c r="C23" s="1" t="s">
        <v>32</v>
      </c>
    </row>
    <row r="24" spans="1:3" x14ac:dyDescent="0.3">
      <c r="A24" s="1" t="s">
        <v>33</v>
      </c>
      <c r="B24" s="1" t="s">
        <v>88</v>
      </c>
      <c r="C24" s="1" t="s">
        <v>33</v>
      </c>
    </row>
    <row r="25" spans="1:3" x14ac:dyDescent="0.3">
      <c r="A25" s="1" t="s">
        <v>114</v>
      </c>
      <c r="B25" s="1" t="s">
        <v>89</v>
      </c>
      <c r="C25" s="1" t="s">
        <v>34</v>
      </c>
    </row>
    <row r="26" spans="1:3" x14ac:dyDescent="0.3">
      <c r="A26" s="1" t="s">
        <v>35</v>
      </c>
      <c r="B26" s="1" t="s">
        <v>90</v>
      </c>
      <c r="C26" s="1" t="s">
        <v>35</v>
      </c>
    </row>
    <row r="27" spans="1:3" x14ac:dyDescent="0.3">
      <c r="A27" s="1" t="s">
        <v>115</v>
      </c>
      <c r="B27" s="1" t="s">
        <v>91</v>
      </c>
      <c r="C27" s="1" t="s">
        <v>36</v>
      </c>
    </row>
    <row r="28" spans="1:3" x14ac:dyDescent="0.3">
      <c r="A28" s="1" t="s">
        <v>116</v>
      </c>
      <c r="B28" s="1" t="s">
        <v>91</v>
      </c>
      <c r="C28" s="1" t="s">
        <v>36</v>
      </c>
    </row>
    <row r="29" spans="1:3" x14ac:dyDescent="0.3">
      <c r="A29" s="1" t="s">
        <v>37</v>
      </c>
      <c r="B29" s="1" t="s">
        <v>92</v>
      </c>
      <c r="C29" s="1" t="s">
        <v>37</v>
      </c>
    </row>
    <row r="30" spans="1:3" x14ac:dyDescent="0.3">
      <c r="A30" s="1" t="s">
        <v>117</v>
      </c>
      <c r="B30" s="1" t="s">
        <v>93</v>
      </c>
      <c r="C30" s="1" t="s">
        <v>38</v>
      </c>
    </row>
    <row r="31" spans="1:3" x14ac:dyDescent="0.3">
      <c r="A31" s="1" t="s">
        <v>39</v>
      </c>
      <c r="B31" s="1" t="s">
        <v>94</v>
      </c>
      <c r="C31" s="1" t="s">
        <v>39</v>
      </c>
    </row>
    <row r="32" spans="1:3" x14ac:dyDescent="0.3">
      <c r="A32" s="1" t="s">
        <v>118</v>
      </c>
      <c r="B32" s="1" t="s">
        <v>95</v>
      </c>
      <c r="C32" s="1" t="s">
        <v>40</v>
      </c>
    </row>
    <row r="33" spans="1:3" x14ac:dyDescent="0.3">
      <c r="A33" s="1" t="s">
        <v>119</v>
      </c>
      <c r="B33" s="1" t="s">
        <v>96</v>
      </c>
      <c r="C33" s="1" t="s">
        <v>41</v>
      </c>
    </row>
    <row r="34" spans="1:3" x14ac:dyDescent="0.3">
      <c r="A34" s="1" t="s">
        <v>120</v>
      </c>
      <c r="B34" s="1" t="s">
        <v>97</v>
      </c>
      <c r="C34" s="1" t="s">
        <v>42</v>
      </c>
    </row>
    <row r="35" spans="1:3" x14ac:dyDescent="0.3">
      <c r="A35" s="1" t="s">
        <v>121</v>
      </c>
      <c r="B35" s="1" t="s">
        <v>98</v>
      </c>
      <c r="C35" s="1" t="s">
        <v>43</v>
      </c>
    </row>
    <row r="36" spans="1:3" x14ac:dyDescent="0.3">
      <c r="A36" s="1" t="s">
        <v>122</v>
      </c>
      <c r="B36" s="1" t="s">
        <v>99</v>
      </c>
      <c r="C36" s="1" t="s">
        <v>44</v>
      </c>
    </row>
    <row r="37" spans="1:3" x14ac:dyDescent="0.3">
      <c r="A37" s="1" t="s">
        <v>123</v>
      </c>
      <c r="B37" s="1" t="s">
        <v>100</v>
      </c>
      <c r="C37" s="1" t="s">
        <v>45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6"/>
  <sheetViews>
    <sheetView topLeftCell="D1" zoomScaleNormal="100" workbookViewId="0">
      <pane ySplit="4" topLeftCell="A5" activePane="bottomLeft" state="frozen"/>
      <selection pane="bottomLeft" activeCell="M5" sqref="M5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8" customWidth="1"/>
    <col min="4" max="4" width="22" customWidth="1"/>
    <col min="5" max="6" width="38" customWidth="1"/>
    <col min="7" max="11" width="14" customWidth="1"/>
    <col min="12" max="12" width="16" customWidth="1"/>
    <col min="13" max="13" width="12" customWidth="1"/>
  </cols>
  <sheetData>
    <row r="1" spans="1:13" ht="27.75" customHeight="1" x14ac:dyDescent="0.3">
      <c r="A1" s="54" t="s">
        <v>124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18" customHeight="1" x14ac:dyDescent="0.3">
      <c r="A2" s="47" t="s">
        <v>125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4" spans="1:13" ht="27.75" customHeight="1" x14ac:dyDescent="0.3">
      <c r="A4" s="4" t="s">
        <v>126</v>
      </c>
      <c r="B4" s="4" t="s">
        <v>127</v>
      </c>
      <c r="C4" s="4" t="s">
        <v>128</v>
      </c>
      <c r="D4" s="4" t="s">
        <v>129</v>
      </c>
      <c r="E4" s="4" t="s">
        <v>130</v>
      </c>
      <c r="F4" s="4" t="s">
        <v>8</v>
      </c>
      <c r="G4" s="4" t="s">
        <v>131</v>
      </c>
      <c r="H4" s="4" t="s">
        <v>132</v>
      </c>
      <c r="I4" s="4" t="s">
        <v>133</v>
      </c>
      <c r="J4" s="4" t="s">
        <v>134</v>
      </c>
      <c r="K4" s="4" t="s">
        <v>135</v>
      </c>
      <c r="L4" s="4" t="s">
        <v>136</v>
      </c>
      <c r="M4" s="4" t="s">
        <v>14</v>
      </c>
    </row>
    <row r="5" spans="1:13" ht="27.6" x14ac:dyDescent="0.3">
      <c r="A5" s="13">
        <v>46192</v>
      </c>
      <c r="B5" s="1" t="s">
        <v>47197</v>
      </c>
      <c r="C5" s="14" t="s">
        <v>138</v>
      </c>
      <c r="D5" s="1" t="s">
        <v>139</v>
      </c>
      <c r="E5" s="1" t="s">
        <v>29</v>
      </c>
      <c r="F5" s="1" t="s">
        <v>29</v>
      </c>
      <c r="G5" s="1" t="s">
        <v>140</v>
      </c>
      <c r="H5" s="7">
        <v>152.096</v>
      </c>
      <c r="I5" s="6">
        <v>6000</v>
      </c>
      <c r="J5" s="5">
        <v>39.447000000000003</v>
      </c>
      <c r="K5" s="5">
        <v>39.447000000000003</v>
      </c>
      <c r="L5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6000</v>
      </c>
      <c r="M5" s="1" t="s">
        <v>141</v>
      </c>
    </row>
    <row r="6" spans="1:13" ht="27.6" x14ac:dyDescent="0.3">
      <c r="A6" s="13">
        <v>46161</v>
      </c>
      <c r="B6" s="1" t="s">
        <v>47198</v>
      </c>
      <c r="C6" s="14" t="s">
        <v>138</v>
      </c>
      <c r="D6" s="1" t="s">
        <v>139</v>
      </c>
      <c r="E6" s="1" t="s">
        <v>29</v>
      </c>
      <c r="F6" s="1" t="s">
        <v>29</v>
      </c>
      <c r="G6" s="1" t="s">
        <v>140</v>
      </c>
      <c r="H6" s="7">
        <v>146.33000000000001</v>
      </c>
      <c r="I6" s="6">
        <v>6000</v>
      </c>
      <c r="J6" s="5">
        <v>41.000999999999998</v>
      </c>
      <c r="K6" s="5">
        <v>41.000999999999998</v>
      </c>
      <c r="L6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6000</v>
      </c>
      <c r="M6" s="1" t="s">
        <v>141</v>
      </c>
    </row>
    <row r="7" spans="1:13" ht="27.6" x14ac:dyDescent="0.3">
      <c r="A7" s="13">
        <v>46131</v>
      </c>
      <c r="B7" s="1" t="s">
        <v>137</v>
      </c>
      <c r="C7" s="14" t="s">
        <v>138</v>
      </c>
      <c r="D7" s="1" t="s">
        <v>139</v>
      </c>
      <c r="E7" s="1" t="s">
        <v>29</v>
      </c>
      <c r="F7" s="1" t="s">
        <v>29</v>
      </c>
      <c r="G7" s="1" t="s">
        <v>140</v>
      </c>
      <c r="H7" s="7">
        <v>149.797</v>
      </c>
      <c r="I7" s="6">
        <v>6000</v>
      </c>
      <c r="J7" s="5">
        <v>40.052</v>
      </c>
      <c r="K7" s="5">
        <f t="shared" ref="K7:K38" si="0">IF(OR(EXACT(C7,"Redemption"),EXACT(C7,"Redeem"),EXACT(C7,"Switch Out"),EXACT(C7,"sell"),EXACT(C7,"Sell")),-J7,J7)</f>
        <v>40.052</v>
      </c>
      <c r="L7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6000</v>
      </c>
      <c r="M7" s="1" t="s">
        <v>141</v>
      </c>
    </row>
    <row r="8" spans="1:13" ht="27.6" x14ac:dyDescent="0.3">
      <c r="A8" s="13">
        <v>46100</v>
      </c>
      <c r="B8" s="1" t="s">
        <v>142</v>
      </c>
      <c r="C8" s="14" t="s">
        <v>138</v>
      </c>
      <c r="D8" s="1" t="s">
        <v>139</v>
      </c>
      <c r="E8" s="1" t="s">
        <v>29</v>
      </c>
      <c r="F8" s="1" t="s">
        <v>29</v>
      </c>
      <c r="G8" s="1" t="s">
        <v>140</v>
      </c>
      <c r="H8" s="7">
        <v>140.88200000000001</v>
      </c>
      <c r="I8" s="6">
        <v>6000</v>
      </c>
      <c r="J8" s="5">
        <v>42.587000000000003</v>
      </c>
      <c r="K8" s="5">
        <f t="shared" si="0"/>
        <v>42.587000000000003</v>
      </c>
      <c r="L8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6000</v>
      </c>
      <c r="M8" s="1" t="s">
        <v>141</v>
      </c>
    </row>
    <row r="9" spans="1:13" ht="27.6" x14ac:dyDescent="0.3">
      <c r="A9" s="13">
        <v>46072</v>
      </c>
      <c r="B9" s="1" t="s">
        <v>143</v>
      </c>
      <c r="C9" s="14" t="s">
        <v>138</v>
      </c>
      <c r="D9" s="1" t="s">
        <v>139</v>
      </c>
      <c r="E9" s="1" t="s">
        <v>29</v>
      </c>
      <c r="F9" s="1" t="s">
        <v>29</v>
      </c>
      <c r="G9" s="1" t="s">
        <v>140</v>
      </c>
      <c r="H9" s="7">
        <v>155.095</v>
      </c>
      <c r="I9" s="6">
        <v>6000</v>
      </c>
      <c r="J9" s="5">
        <v>38.683999999999997</v>
      </c>
      <c r="K9" s="5">
        <f t="shared" si="0"/>
        <v>38.683999999999997</v>
      </c>
      <c r="L9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6000</v>
      </c>
      <c r="M9" s="1" t="s">
        <v>141</v>
      </c>
    </row>
    <row r="10" spans="1:13" ht="27.6" x14ac:dyDescent="0.3">
      <c r="A10" s="13">
        <v>46041</v>
      </c>
      <c r="B10" s="1" t="s">
        <v>144</v>
      </c>
      <c r="C10" s="14" t="s">
        <v>138</v>
      </c>
      <c r="D10" s="1" t="s">
        <v>139</v>
      </c>
      <c r="E10" s="1" t="s">
        <v>29</v>
      </c>
      <c r="F10" s="1" t="s">
        <v>29</v>
      </c>
      <c r="G10" s="1" t="s">
        <v>140</v>
      </c>
      <c r="H10" s="7">
        <v>154.768</v>
      </c>
      <c r="I10" s="6">
        <v>5500</v>
      </c>
      <c r="J10" s="5">
        <v>35.534999999999997</v>
      </c>
      <c r="K10" s="5">
        <f t="shared" si="0"/>
        <v>35.534999999999997</v>
      </c>
      <c r="L10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10" s="1" t="s">
        <v>141</v>
      </c>
    </row>
    <row r="11" spans="1:13" ht="27.6" x14ac:dyDescent="0.3">
      <c r="A11" s="13">
        <v>46010</v>
      </c>
      <c r="B11" s="1" t="s">
        <v>145</v>
      </c>
      <c r="C11" s="14" t="s">
        <v>138</v>
      </c>
      <c r="D11" s="1" t="s">
        <v>139</v>
      </c>
      <c r="E11" s="1" t="s">
        <v>29</v>
      </c>
      <c r="F11" s="1" t="s">
        <v>29</v>
      </c>
      <c r="G11" s="1" t="s">
        <v>140</v>
      </c>
      <c r="H11" s="7">
        <v>155.17400000000001</v>
      </c>
      <c r="I11" s="6">
        <v>5500</v>
      </c>
      <c r="J11" s="5">
        <v>35.442</v>
      </c>
      <c r="K11" s="5">
        <f t="shared" si="0"/>
        <v>35.442</v>
      </c>
      <c r="L11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11" s="1" t="s">
        <v>141</v>
      </c>
    </row>
    <row r="12" spans="1:13" ht="27.6" x14ac:dyDescent="0.3">
      <c r="A12" s="13">
        <v>45980</v>
      </c>
      <c r="B12" s="1" t="s">
        <v>146</v>
      </c>
      <c r="C12" s="14" t="s">
        <v>138</v>
      </c>
      <c r="D12" s="1" t="s">
        <v>139</v>
      </c>
      <c r="E12" s="1" t="s">
        <v>29</v>
      </c>
      <c r="F12" s="1" t="s">
        <v>29</v>
      </c>
      <c r="G12" s="1" t="s">
        <v>140</v>
      </c>
      <c r="H12" s="7">
        <v>155.38800000000001</v>
      </c>
      <c r="I12" s="6">
        <v>5500</v>
      </c>
      <c r="J12" s="5">
        <v>35.393999999999998</v>
      </c>
      <c r="K12" s="5">
        <f t="shared" si="0"/>
        <v>35.393999999999998</v>
      </c>
      <c r="L12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12" s="1" t="s">
        <v>141</v>
      </c>
    </row>
    <row r="13" spans="1:13" ht="27.6" x14ac:dyDescent="0.3">
      <c r="A13" s="13">
        <v>45949</v>
      </c>
      <c r="B13" s="1" t="s">
        <v>147</v>
      </c>
      <c r="C13" s="14" t="s">
        <v>138</v>
      </c>
      <c r="D13" s="1" t="s">
        <v>139</v>
      </c>
      <c r="E13" s="1" t="s">
        <v>29</v>
      </c>
      <c r="F13" s="1" t="s">
        <v>29</v>
      </c>
      <c r="G13" s="1" t="s">
        <v>140</v>
      </c>
      <c r="H13" s="7">
        <v>155.261</v>
      </c>
      <c r="I13" s="6">
        <v>5500</v>
      </c>
      <c r="J13" s="5">
        <v>35.421999999999997</v>
      </c>
      <c r="K13" s="5">
        <f t="shared" si="0"/>
        <v>35.421999999999997</v>
      </c>
      <c r="L13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13" s="1" t="s">
        <v>141</v>
      </c>
    </row>
    <row r="14" spans="1:13" ht="27.6" x14ac:dyDescent="0.3">
      <c r="A14" s="13">
        <v>45919</v>
      </c>
      <c r="B14" s="1" t="s">
        <v>148</v>
      </c>
      <c r="C14" s="14" t="s">
        <v>138</v>
      </c>
      <c r="D14" s="1" t="s">
        <v>139</v>
      </c>
      <c r="E14" s="1" t="s">
        <v>29</v>
      </c>
      <c r="F14" s="1" t="s">
        <v>29</v>
      </c>
      <c r="G14" s="1" t="s">
        <v>140</v>
      </c>
      <c r="H14" s="7">
        <v>153.84399999999999</v>
      </c>
      <c r="I14" s="6">
        <v>5500</v>
      </c>
      <c r="J14" s="5">
        <v>35.749000000000002</v>
      </c>
      <c r="K14" s="5">
        <f t="shared" si="0"/>
        <v>35.749000000000002</v>
      </c>
      <c r="L14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14" s="1" t="s">
        <v>141</v>
      </c>
    </row>
    <row r="15" spans="1:13" ht="27.6" x14ac:dyDescent="0.3">
      <c r="A15" s="13">
        <v>45888</v>
      </c>
      <c r="B15" s="1" t="s">
        <v>149</v>
      </c>
      <c r="C15" s="14" t="s">
        <v>138</v>
      </c>
      <c r="D15" s="1" t="s">
        <v>139</v>
      </c>
      <c r="E15" s="1" t="s">
        <v>29</v>
      </c>
      <c r="F15" s="1" t="s">
        <v>29</v>
      </c>
      <c r="G15" s="1" t="s">
        <v>140</v>
      </c>
      <c r="H15" s="7">
        <v>150.76499999999999</v>
      </c>
      <c r="I15" s="6">
        <v>5500</v>
      </c>
      <c r="J15" s="5">
        <v>36.478999999999999</v>
      </c>
      <c r="K15" s="5">
        <f t="shared" si="0"/>
        <v>36.478999999999999</v>
      </c>
      <c r="L15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15" s="1" t="s">
        <v>141</v>
      </c>
    </row>
    <row r="16" spans="1:13" ht="27.6" x14ac:dyDescent="0.3">
      <c r="A16" s="13">
        <v>45857</v>
      </c>
      <c r="B16" s="1" t="s">
        <v>150</v>
      </c>
      <c r="C16" s="14" t="s">
        <v>138</v>
      </c>
      <c r="D16" s="1" t="s">
        <v>139</v>
      </c>
      <c r="E16" s="1" t="s">
        <v>29</v>
      </c>
      <c r="F16" s="1" t="s">
        <v>29</v>
      </c>
      <c r="G16" s="1" t="s">
        <v>140</v>
      </c>
      <c r="H16" s="7">
        <v>151.21899999999999</v>
      </c>
      <c r="I16" s="6">
        <v>5500</v>
      </c>
      <c r="J16" s="5">
        <v>36.369</v>
      </c>
      <c r="K16" s="5">
        <f t="shared" si="0"/>
        <v>36.369</v>
      </c>
      <c r="L16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16" s="1" t="s">
        <v>141</v>
      </c>
    </row>
    <row r="17" spans="1:13" ht="27.6" x14ac:dyDescent="0.3">
      <c r="A17" s="13">
        <v>45827</v>
      </c>
      <c r="B17" s="1" t="s">
        <v>151</v>
      </c>
      <c r="C17" s="14" t="s">
        <v>138</v>
      </c>
      <c r="D17" s="1" t="s">
        <v>139</v>
      </c>
      <c r="E17" s="1" t="s">
        <v>29</v>
      </c>
      <c r="F17" s="1" t="s">
        <v>29</v>
      </c>
      <c r="G17" s="1" t="s">
        <v>140</v>
      </c>
      <c r="H17" s="7">
        <v>146.33699999999999</v>
      </c>
      <c r="I17" s="6">
        <v>5500</v>
      </c>
      <c r="J17" s="5">
        <v>37.582999999999998</v>
      </c>
      <c r="K17" s="5">
        <f t="shared" si="0"/>
        <v>37.582999999999998</v>
      </c>
      <c r="L17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17" s="1" t="s">
        <v>141</v>
      </c>
    </row>
    <row r="18" spans="1:13" ht="27.6" x14ac:dyDescent="0.3">
      <c r="A18" s="13">
        <v>45796</v>
      </c>
      <c r="B18" s="1" t="s">
        <v>152</v>
      </c>
      <c r="C18" s="14" t="s">
        <v>138</v>
      </c>
      <c r="D18" s="1" t="s">
        <v>139</v>
      </c>
      <c r="E18" s="1" t="s">
        <v>29</v>
      </c>
      <c r="F18" s="1" t="s">
        <v>29</v>
      </c>
      <c r="G18" s="1" t="s">
        <v>140</v>
      </c>
      <c r="H18" s="7">
        <v>145.792</v>
      </c>
      <c r="I18" s="6">
        <v>5500</v>
      </c>
      <c r="J18" s="5">
        <v>37.722999999999999</v>
      </c>
      <c r="K18" s="5">
        <f t="shared" si="0"/>
        <v>37.722999999999999</v>
      </c>
      <c r="L18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18" s="1" t="s">
        <v>141</v>
      </c>
    </row>
    <row r="19" spans="1:13" ht="27.6" x14ac:dyDescent="0.3">
      <c r="A19" s="13">
        <v>45766</v>
      </c>
      <c r="B19" s="1" t="s">
        <v>153</v>
      </c>
      <c r="C19" s="14" t="s">
        <v>138</v>
      </c>
      <c r="D19" s="1" t="s">
        <v>139</v>
      </c>
      <c r="E19" s="1" t="s">
        <v>29</v>
      </c>
      <c r="F19" s="1" t="s">
        <v>29</v>
      </c>
      <c r="G19" s="1" t="s">
        <v>140</v>
      </c>
      <c r="H19" s="7">
        <v>141.00299999999999</v>
      </c>
      <c r="I19" s="6">
        <v>5500</v>
      </c>
      <c r="J19" s="5">
        <v>39.003999999999998</v>
      </c>
      <c r="K19" s="5">
        <f t="shared" si="0"/>
        <v>39.003999999999998</v>
      </c>
      <c r="L19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19" s="1" t="s">
        <v>141</v>
      </c>
    </row>
    <row r="20" spans="1:13" ht="27.6" x14ac:dyDescent="0.3">
      <c r="A20" s="13">
        <v>45735</v>
      </c>
      <c r="B20" s="1" t="s">
        <v>154</v>
      </c>
      <c r="C20" s="14" t="s">
        <v>138</v>
      </c>
      <c r="D20" s="1" t="s">
        <v>139</v>
      </c>
      <c r="E20" s="1" t="s">
        <v>29</v>
      </c>
      <c r="F20" s="1" t="s">
        <v>29</v>
      </c>
      <c r="G20" s="1" t="s">
        <v>140</v>
      </c>
      <c r="H20" s="7">
        <v>133.66999999999999</v>
      </c>
      <c r="I20" s="6">
        <v>5500</v>
      </c>
      <c r="J20" s="5">
        <v>41.143999999999998</v>
      </c>
      <c r="K20" s="5">
        <f t="shared" si="0"/>
        <v>41.143999999999998</v>
      </c>
      <c r="L20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20" s="1" t="s">
        <v>141</v>
      </c>
    </row>
    <row r="21" spans="1:13" ht="27.6" x14ac:dyDescent="0.3">
      <c r="A21" s="13">
        <v>45707</v>
      </c>
      <c r="B21" s="1" t="s">
        <v>155</v>
      </c>
      <c r="C21" s="14" t="s">
        <v>138</v>
      </c>
      <c r="D21" s="1" t="s">
        <v>139</v>
      </c>
      <c r="E21" s="1" t="s">
        <v>29</v>
      </c>
      <c r="F21" s="1" t="s">
        <v>29</v>
      </c>
      <c r="G21" s="1" t="s">
        <v>140</v>
      </c>
      <c r="H21" s="7">
        <v>133.05000000000001</v>
      </c>
      <c r="I21" s="6">
        <v>5500</v>
      </c>
      <c r="J21" s="5">
        <v>41.335999999999999</v>
      </c>
      <c r="K21" s="5">
        <f t="shared" si="0"/>
        <v>41.335999999999999</v>
      </c>
      <c r="L21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21" s="1" t="s">
        <v>141</v>
      </c>
    </row>
    <row r="22" spans="1:13" ht="27.6" x14ac:dyDescent="0.3">
      <c r="A22" s="13">
        <v>45676</v>
      </c>
      <c r="B22" s="1" t="s">
        <v>156</v>
      </c>
      <c r="C22" s="14" t="s">
        <v>138</v>
      </c>
      <c r="D22" s="1" t="s">
        <v>139</v>
      </c>
      <c r="E22" s="1" t="s">
        <v>29</v>
      </c>
      <c r="F22" s="1" t="s">
        <v>29</v>
      </c>
      <c r="G22" s="1" t="s">
        <v>140</v>
      </c>
      <c r="H22" s="7">
        <v>140.928</v>
      </c>
      <c r="I22" s="6">
        <v>5500</v>
      </c>
      <c r="J22" s="5">
        <v>39.024999999999999</v>
      </c>
      <c r="K22" s="5">
        <f t="shared" si="0"/>
        <v>39.024999999999999</v>
      </c>
      <c r="L22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22" s="1" t="s">
        <v>141</v>
      </c>
    </row>
    <row r="23" spans="1:13" ht="27.6" x14ac:dyDescent="0.3">
      <c r="A23" s="13">
        <v>45645</v>
      </c>
      <c r="B23" s="1" t="s">
        <v>157</v>
      </c>
      <c r="C23" s="14" t="s">
        <v>138</v>
      </c>
      <c r="D23" s="1" t="s">
        <v>139</v>
      </c>
      <c r="E23" s="1" t="s">
        <v>29</v>
      </c>
      <c r="F23" s="1" t="s">
        <v>29</v>
      </c>
      <c r="G23" s="1" t="s">
        <v>140</v>
      </c>
      <c r="H23" s="7">
        <v>148.91</v>
      </c>
      <c r="I23" s="6">
        <v>5500</v>
      </c>
      <c r="J23" s="5">
        <v>36.933</v>
      </c>
      <c r="K23" s="5">
        <f t="shared" si="0"/>
        <v>36.933</v>
      </c>
      <c r="L23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23" s="1" t="s">
        <v>141</v>
      </c>
    </row>
    <row r="24" spans="1:13" ht="27.6" x14ac:dyDescent="0.3">
      <c r="A24" s="13">
        <v>45615</v>
      </c>
      <c r="B24" s="1" t="s">
        <v>158</v>
      </c>
      <c r="C24" s="14" t="s">
        <v>138</v>
      </c>
      <c r="D24" s="1" t="s">
        <v>139</v>
      </c>
      <c r="E24" s="1" t="s">
        <v>29</v>
      </c>
      <c r="F24" s="1" t="s">
        <v>29</v>
      </c>
      <c r="G24" s="1" t="s">
        <v>140</v>
      </c>
      <c r="H24" s="7">
        <v>143.785</v>
      </c>
      <c r="I24" s="6">
        <v>5500</v>
      </c>
      <c r="J24" s="5">
        <v>38.25</v>
      </c>
      <c r="K24" s="5">
        <f t="shared" si="0"/>
        <v>38.25</v>
      </c>
      <c r="L24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24" s="1" t="s">
        <v>141</v>
      </c>
    </row>
    <row r="25" spans="1:13" ht="27.6" x14ac:dyDescent="0.3">
      <c r="A25" s="13">
        <v>45584</v>
      </c>
      <c r="B25" s="1" t="s">
        <v>159</v>
      </c>
      <c r="C25" s="14" t="s">
        <v>138</v>
      </c>
      <c r="D25" s="1" t="s">
        <v>139</v>
      </c>
      <c r="E25" s="1" t="s">
        <v>29</v>
      </c>
      <c r="F25" s="1" t="s">
        <v>29</v>
      </c>
      <c r="G25" s="1" t="s">
        <v>140</v>
      </c>
      <c r="H25" s="7">
        <v>151.27000000000001</v>
      </c>
      <c r="I25" s="6">
        <v>5500</v>
      </c>
      <c r="J25" s="5">
        <v>36.356999999999999</v>
      </c>
      <c r="K25" s="5">
        <f t="shared" si="0"/>
        <v>36.356999999999999</v>
      </c>
      <c r="L25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25" s="1" t="s">
        <v>141</v>
      </c>
    </row>
    <row r="26" spans="1:13" ht="27.6" x14ac:dyDescent="0.3">
      <c r="A26" s="13">
        <v>45554</v>
      </c>
      <c r="B26" s="1" t="s">
        <v>160</v>
      </c>
      <c r="C26" s="14" t="s">
        <v>138</v>
      </c>
      <c r="D26" s="1" t="s">
        <v>139</v>
      </c>
      <c r="E26" s="1" t="s">
        <v>29</v>
      </c>
      <c r="F26" s="1" t="s">
        <v>29</v>
      </c>
      <c r="G26" s="1" t="s">
        <v>140</v>
      </c>
      <c r="H26" s="7">
        <v>154.87899999999999</v>
      </c>
      <c r="I26" s="6">
        <v>5500</v>
      </c>
      <c r="J26" s="5">
        <v>35.51</v>
      </c>
      <c r="K26" s="5">
        <f t="shared" si="0"/>
        <v>35.51</v>
      </c>
      <c r="L26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26" s="1" t="s">
        <v>141</v>
      </c>
    </row>
    <row r="27" spans="1:13" ht="27.6" x14ac:dyDescent="0.3">
      <c r="A27" s="13">
        <v>45523</v>
      </c>
      <c r="B27" s="1" t="s">
        <v>161</v>
      </c>
      <c r="C27" s="14" t="s">
        <v>138</v>
      </c>
      <c r="D27" s="1" t="s">
        <v>139</v>
      </c>
      <c r="E27" s="1" t="s">
        <v>29</v>
      </c>
      <c r="F27" s="1" t="s">
        <v>29</v>
      </c>
      <c r="G27" s="1" t="s">
        <v>140</v>
      </c>
      <c r="H27" s="7">
        <v>149.96299999999999</v>
      </c>
      <c r="I27" s="6">
        <v>5500</v>
      </c>
      <c r="J27" s="5">
        <v>36.673999999999999</v>
      </c>
      <c r="K27" s="5">
        <f t="shared" si="0"/>
        <v>36.673999999999999</v>
      </c>
      <c r="L27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27" s="1" t="s">
        <v>141</v>
      </c>
    </row>
    <row r="28" spans="1:13" ht="27.6" x14ac:dyDescent="0.3">
      <c r="A28" s="13">
        <v>45492</v>
      </c>
      <c r="B28" s="1" t="s">
        <v>162</v>
      </c>
      <c r="C28" s="14" t="s">
        <v>138</v>
      </c>
      <c r="D28" s="1" t="s">
        <v>139</v>
      </c>
      <c r="E28" s="1" t="s">
        <v>29</v>
      </c>
      <c r="F28" s="1" t="s">
        <v>29</v>
      </c>
      <c r="G28" s="1" t="s">
        <v>140</v>
      </c>
      <c r="H28" s="7">
        <v>148.47399999999999</v>
      </c>
      <c r="I28" s="6">
        <v>5500</v>
      </c>
      <c r="J28" s="5">
        <v>37.042000000000002</v>
      </c>
      <c r="K28" s="5">
        <f t="shared" si="0"/>
        <v>37.042000000000002</v>
      </c>
      <c r="L28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28" s="1" t="s">
        <v>141</v>
      </c>
    </row>
    <row r="29" spans="1:13" ht="27.6" x14ac:dyDescent="0.3">
      <c r="A29" s="13">
        <v>45462</v>
      </c>
      <c r="B29" s="1" t="s">
        <v>163</v>
      </c>
      <c r="C29" s="14" t="s">
        <v>138</v>
      </c>
      <c r="D29" s="1" t="s">
        <v>139</v>
      </c>
      <c r="E29" s="1" t="s">
        <v>29</v>
      </c>
      <c r="F29" s="1" t="s">
        <v>29</v>
      </c>
      <c r="G29" s="1" t="s">
        <v>140</v>
      </c>
      <c r="H29" s="7">
        <v>144.72300000000001</v>
      </c>
      <c r="I29" s="6">
        <v>5500</v>
      </c>
      <c r="J29" s="5">
        <v>38.002000000000002</v>
      </c>
      <c r="K29" s="5">
        <f t="shared" si="0"/>
        <v>38.002000000000002</v>
      </c>
      <c r="L29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29" s="1" t="s">
        <v>141</v>
      </c>
    </row>
    <row r="30" spans="1:13" ht="27.6" x14ac:dyDescent="0.3">
      <c r="A30" s="13">
        <v>45431</v>
      </c>
      <c r="B30" s="1" t="s">
        <v>164</v>
      </c>
      <c r="C30" s="14" t="s">
        <v>138</v>
      </c>
      <c r="D30" s="1" t="s">
        <v>139</v>
      </c>
      <c r="E30" s="1" t="s">
        <v>29</v>
      </c>
      <c r="F30" s="1" t="s">
        <v>29</v>
      </c>
      <c r="G30" s="1" t="s">
        <v>140</v>
      </c>
      <c r="H30" s="7">
        <v>136.41800000000001</v>
      </c>
      <c r="I30" s="6">
        <v>5500</v>
      </c>
      <c r="J30" s="5">
        <v>40.314999999999998</v>
      </c>
      <c r="K30" s="5">
        <f t="shared" si="0"/>
        <v>40.314999999999998</v>
      </c>
      <c r="L30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30" s="1" t="s">
        <v>141</v>
      </c>
    </row>
    <row r="31" spans="1:13" ht="27.6" x14ac:dyDescent="0.3">
      <c r="A31" s="13">
        <v>45401</v>
      </c>
      <c r="B31" s="1" t="s">
        <v>165</v>
      </c>
      <c r="C31" s="14" t="s">
        <v>138</v>
      </c>
      <c r="D31" s="1" t="s">
        <v>139</v>
      </c>
      <c r="E31" s="1" t="s">
        <v>29</v>
      </c>
      <c r="F31" s="1" t="s">
        <v>29</v>
      </c>
      <c r="G31" s="1" t="s">
        <v>140</v>
      </c>
      <c r="H31" s="7">
        <v>129.4</v>
      </c>
      <c r="I31" s="6">
        <v>5500</v>
      </c>
      <c r="J31" s="5">
        <v>42.502000000000002</v>
      </c>
      <c r="K31" s="5">
        <f t="shared" si="0"/>
        <v>42.502000000000002</v>
      </c>
      <c r="L31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31" s="1" t="s">
        <v>141</v>
      </c>
    </row>
    <row r="32" spans="1:13" ht="27.6" x14ac:dyDescent="0.3">
      <c r="A32" s="13">
        <v>45370</v>
      </c>
      <c r="B32" s="1" t="s">
        <v>166</v>
      </c>
      <c r="C32" s="14" t="s">
        <v>138</v>
      </c>
      <c r="D32" s="1" t="s">
        <v>139</v>
      </c>
      <c r="E32" s="1" t="s">
        <v>29</v>
      </c>
      <c r="F32" s="1" t="s">
        <v>29</v>
      </c>
      <c r="G32" s="1" t="s">
        <v>140</v>
      </c>
      <c r="H32" s="7">
        <v>123.312</v>
      </c>
      <c r="I32" s="6">
        <v>5500</v>
      </c>
      <c r="J32" s="5">
        <v>44.6</v>
      </c>
      <c r="K32" s="5">
        <f t="shared" si="0"/>
        <v>44.6</v>
      </c>
      <c r="L32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32" s="1" t="s">
        <v>141</v>
      </c>
    </row>
    <row r="33" spans="1:13" ht="27.6" x14ac:dyDescent="0.3">
      <c r="A33" s="13">
        <v>45341</v>
      </c>
      <c r="B33" s="1" t="s">
        <v>167</v>
      </c>
      <c r="C33" s="14" t="s">
        <v>138</v>
      </c>
      <c r="D33" s="1" t="s">
        <v>139</v>
      </c>
      <c r="E33" s="1" t="s">
        <v>29</v>
      </c>
      <c r="F33" s="1" t="s">
        <v>29</v>
      </c>
      <c r="G33" s="1" t="s">
        <v>140</v>
      </c>
      <c r="H33" s="7">
        <v>128.124</v>
      </c>
      <c r="I33" s="6">
        <v>5500</v>
      </c>
      <c r="J33" s="5">
        <v>42.924999999999997</v>
      </c>
      <c r="K33" s="5">
        <f t="shared" si="0"/>
        <v>42.924999999999997</v>
      </c>
      <c r="L33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33" s="1" t="s">
        <v>141</v>
      </c>
    </row>
    <row r="34" spans="1:13" ht="27.6" x14ac:dyDescent="0.3">
      <c r="A34" s="13">
        <v>45310</v>
      </c>
      <c r="B34" s="1" t="s">
        <v>168</v>
      </c>
      <c r="C34" s="14" t="s">
        <v>138</v>
      </c>
      <c r="D34" s="1" t="s">
        <v>139</v>
      </c>
      <c r="E34" s="1" t="s">
        <v>29</v>
      </c>
      <c r="F34" s="1" t="s">
        <v>29</v>
      </c>
      <c r="G34" s="1" t="s">
        <v>140</v>
      </c>
      <c r="H34" s="7">
        <v>122.389</v>
      </c>
      <c r="I34" s="6">
        <v>5500</v>
      </c>
      <c r="J34" s="5">
        <v>44.936</v>
      </c>
      <c r="K34" s="5">
        <f t="shared" si="0"/>
        <v>44.936</v>
      </c>
      <c r="L34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34" s="1" t="s">
        <v>141</v>
      </c>
    </row>
    <row r="35" spans="1:13" ht="27.6" x14ac:dyDescent="0.3">
      <c r="A35" s="13">
        <v>45279</v>
      </c>
      <c r="B35" s="1" t="s">
        <v>169</v>
      </c>
      <c r="C35" s="14" t="s">
        <v>138</v>
      </c>
      <c r="D35" s="1" t="s">
        <v>139</v>
      </c>
      <c r="E35" s="1" t="s">
        <v>29</v>
      </c>
      <c r="F35" s="1" t="s">
        <v>29</v>
      </c>
      <c r="G35" s="1" t="s">
        <v>140</v>
      </c>
      <c r="H35" s="7">
        <v>117.53400000000001</v>
      </c>
      <c r="I35" s="6">
        <v>5500</v>
      </c>
      <c r="J35" s="5">
        <v>46.792999999999999</v>
      </c>
      <c r="K35" s="5">
        <f t="shared" si="0"/>
        <v>46.792999999999999</v>
      </c>
      <c r="L35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35" s="1" t="s">
        <v>141</v>
      </c>
    </row>
    <row r="36" spans="1:13" ht="27.6" x14ac:dyDescent="0.3">
      <c r="A36" s="13">
        <v>45249</v>
      </c>
      <c r="B36" s="1" t="s">
        <v>170</v>
      </c>
      <c r="C36" s="14" t="s">
        <v>138</v>
      </c>
      <c r="D36" s="1" t="s">
        <v>139</v>
      </c>
      <c r="E36" s="1" t="s">
        <v>29</v>
      </c>
      <c r="F36" s="1" t="s">
        <v>29</v>
      </c>
      <c r="G36" s="1" t="s">
        <v>140</v>
      </c>
      <c r="H36" s="7">
        <v>106.94199999999999</v>
      </c>
      <c r="I36" s="6">
        <v>5500</v>
      </c>
      <c r="J36" s="5">
        <v>51.427</v>
      </c>
      <c r="K36" s="5">
        <f t="shared" si="0"/>
        <v>51.427</v>
      </c>
      <c r="L36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36" s="1" t="s">
        <v>141</v>
      </c>
    </row>
    <row r="37" spans="1:13" ht="27.6" x14ac:dyDescent="0.3">
      <c r="A37" s="13">
        <v>45218</v>
      </c>
      <c r="B37" s="1" t="s">
        <v>171</v>
      </c>
      <c r="C37" s="14" t="s">
        <v>138</v>
      </c>
      <c r="D37" s="1" t="s">
        <v>139</v>
      </c>
      <c r="E37" s="1" t="s">
        <v>29</v>
      </c>
      <c r="F37" s="1" t="s">
        <v>29</v>
      </c>
      <c r="G37" s="1" t="s">
        <v>140</v>
      </c>
      <c r="H37" s="7">
        <v>103.276</v>
      </c>
      <c r="I37" s="6">
        <v>5500</v>
      </c>
      <c r="J37" s="5">
        <v>53.253</v>
      </c>
      <c r="K37" s="5">
        <f t="shared" si="0"/>
        <v>53.253</v>
      </c>
      <c r="L37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37" s="1" t="s">
        <v>141</v>
      </c>
    </row>
    <row r="38" spans="1:13" ht="27.6" x14ac:dyDescent="0.3">
      <c r="A38" s="13">
        <v>45188</v>
      </c>
      <c r="B38" s="1" t="s">
        <v>172</v>
      </c>
      <c r="C38" s="14" t="s">
        <v>138</v>
      </c>
      <c r="D38" s="1" t="s">
        <v>139</v>
      </c>
      <c r="E38" s="1" t="s">
        <v>29</v>
      </c>
      <c r="F38" s="1" t="s">
        <v>29</v>
      </c>
      <c r="G38" s="1" t="s">
        <v>140</v>
      </c>
      <c r="H38" s="7">
        <v>103.03100000000001</v>
      </c>
      <c r="I38" s="6">
        <v>5500</v>
      </c>
      <c r="J38" s="5">
        <v>53.378999999999998</v>
      </c>
      <c r="K38" s="5">
        <f t="shared" si="0"/>
        <v>53.378999999999998</v>
      </c>
      <c r="L38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38" s="1" t="s">
        <v>141</v>
      </c>
    </row>
    <row r="39" spans="1:13" ht="27.6" x14ac:dyDescent="0.3">
      <c r="A39" s="13">
        <v>45157</v>
      </c>
      <c r="B39" s="1" t="s">
        <v>173</v>
      </c>
      <c r="C39" s="14" t="s">
        <v>138</v>
      </c>
      <c r="D39" s="1" t="s">
        <v>139</v>
      </c>
      <c r="E39" s="1" t="s">
        <v>29</v>
      </c>
      <c r="F39" s="1" t="s">
        <v>29</v>
      </c>
      <c r="G39" s="1" t="s">
        <v>140</v>
      </c>
      <c r="H39" s="7">
        <v>99.194000000000003</v>
      </c>
      <c r="I39" s="6">
        <v>5500</v>
      </c>
      <c r="J39" s="5">
        <v>55.444000000000003</v>
      </c>
      <c r="K39" s="5">
        <f t="shared" ref="K39:K70" si="1">IF(OR(EXACT(C39,"Redemption"),EXACT(C39,"Redeem"),EXACT(C39,"Switch Out"),EXACT(C39,"sell"),EXACT(C39,"Sell")),-J39,J39)</f>
        <v>55.444000000000003</v>
      </c>
      <c r="L39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39" s="1" t="s">
        <v>141</v>
      </c>
    </row>
    <row r="40" spans="1:13" ht="27.6" x14ac:dyDescent="0.3">
      <c r="A40" s="13">
        <v>45126</v>
      </c>
      <c r="B40" s="1" t="s">
        <v>174</v>
      </c>
      <c r="C40" s="14" t="s">
        <v>138</v>
      </c>
      <c r="D40" s="1" t="s">
        <v>139</v>
      </c>
      <c r="E40" s="1" t="s">
        <v>29</v>
      </c>
      <c r="F40" s="1" t="s">
        <v>29</v>
      </c>
      <c r="G40" s="1" t="s">
        <v>140</v>
      </c>
      <c r="H40" s="7">
        <v>99.069000000000003</v>
      </c>
      <c r="I40" s="6">
        <v>5500</v>
      </c>
      <c r="J40" s="5">
        <v>55.514000000000003</v>
      </c>
      <c r="K40" s="5">
        <f t="shared" si="1"/>
        <v>55.514000000000003</v>
      </c>
      <c r="L40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40" s="1" t="s">
        <v>141</v>
      </c>
    </row>
    <row r="41" spans="1:13" ht="27.6" x14ac:dyDescent="0.3">
      <c r="A41" s="13">
        <v>45096</v>
      </c>
      <c r="B41" s="1" t="s">
        <v>175</v>
      </c>
      <c r="C41" s="14" t="s">
        <v>138</v>
      </c>
      <c r="D41" s="1" t="s">
        <v>139</v>
      </c>
      <c r="E41" s="1" t="s">
        <v>29</v>
      </c>
      <c r="F41" s="1" t="s">
        <v>29</v>
      </c>
      <c r="G41" s="1" t="s">
        <v>140</v>
      </c>
      <c r="H41" s="7">
        <v>94.262</v>
      </c>
      <c r="I41" s="6">
        <v>5500</v>
      </c>
      <c r="J41" s="5">
        <v>58.344999999999999</v>
      </c>
      <c r="K41" s="5">
        <f t="shared" si="1"/>
        <v>58.344999999999999</v>
      </c>
      <c r="L41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41" s="1" t="s">
        <v>141</v>
      </c>
    </row>
    <row r="42" spans="1:13" ht="27.6" x14ac:dyDescent="0.3">
      <c r="A42" s="13">
        <v>45065</v>
      </c>
      <c r="B42" s="1" t="s">
        <v>176</v>
      </c>
      <c r="C42" s="14" t="s">
        <v>138</v>
      </c>
      <c r="D42" s="1" t="s">
        <v>139</v>
      </c>
      <c r="E42" s="1" t="s">
        <v>29</v>
      </c>
      <c r="F42" s="1" t="s">
        <v>29</v>
      </c>
      <c r="G42" s="1" t="s">
        <v>140</v>
      </c>
      <c r="H42" s="7">
        <v>89.924000000000007</v>
      </c>
      <c r="I42" s="6">
        <v>5500</v>
      </c>
      <c r="J42" s="5">
        <v>61.16</v>
      </c>
      <c r="K42" s="5">
        <f t="shared" si="1"/>
        <v>61.16</v>
      </c>
      <c r="L42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42" s="1" t="s">
        <v>141</v>
      </c>
    </row>
    <row r="43" spans="1:13" ht="27.6" x14ac:dyDescent="0.3">
      <c r="A43" s="13">
        <v>45035</v>
      </c>
      <c r="B43" s="1" t="s">
        <v>177</v>
      </c>
      <c r="C43" s="14" t="s">
        <v>138</v>
      </c>
      <c r="D43" s="1" t="s">
        <v>139</v>
      </c>
      <c r="E43" s="1" t="s">
        <v>29</v>
      </c>
      <c r="F43" s="1" t="s">
        <v>29</v>
      </c>
      <c r="G43" s="1" t="s">
        <v>140</v>
      </c>
      <c r="H43" s="7">
        <v>86.989000000000004</v>
      </c>
      <c r="I43" s="6">
        <v>5500</v>
      </c>
      <c r="J43" s="5">
        <v>63.222999999999999</v>
      </c>
      <c r="K43" s="5">
        <f t="shared" si="1"/>
        <v>63.222999999999999</v>
      </c>
      <c r="L43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43" s="1" t="s">
        <v>141</v>
      </c>
    </row>
    <row r="44" spans="1:13" ht="27.6" x14ac:dyDescent="0.3">
      <c r="A44" s="13">
        <v>45004</v>
      </c>
      <c r="B44" s="1" t="s">
        <v>178</v>
      </c>
      <c r="C44" s="14" t="s">
        <v>138</v>
      </c>
      <c r="D44" s="1" t="s">
        <v>139</v>
      </c>
      <c r="E44" s="1" t="s">
        <v>29</v>
      </c>
      <c r="F44" s="1" t="s">
        <v>29</v>
      </c>
      <c r="G44" s="1" t="s">
        <v>140</v>
      </c>
      <c r="H44" s="7">
        <v>84.927000000000007</v>
      </c>
      <c r="I44" s="6">
        <v>5500</v>
      </c>
      <c r="J44" s="5">
        <v>64.757999999999996</v>
      </c>
      <c r="K44" s="5">
        <f t="shared" si="1"/>
        <v>64.757999999999996</v>
      </c>
      <c r="L44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44" s="1" t="s">
        <v>141</v>
      </c>
    </row>
    <row r="45" spans="1:13" ht="27.6" x14ac:dyDescent="0.3">
      <c r="A45" s="13">
        <v>44976</v>
      </c>
      <c r="B45" s="1" t="s">
        <v>179</v>
      </c>
      <c r="C45" s="14" t="s">
        <v>138</v>
      </c>
      <c r="D45" s="1" t="s">
        <v>139</v>
      </c>
      <c r="E45" s="1" t="s">
        <v>29</v>
      </c>
      <c r="F45" s="1" t="s">
        <v>29</v>
      </c>
      <c r="G45" s="1" t="s">
        <v>140</v>
      </c>
      <c r="H45" s="7">
        <v>87.966999999999999</v>
      </c>
      <c r="I45" s="6">
        <v>5500</v>
      </c>
      <c r="J45" s="5">
        <v>62.52</v>
      </c>
      <c r="K45" s="5">
        <f t="shared" si="1"/>
        <v>62.52</v>
      </c>
      <c r="L45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45" s="1" t="s">
        <v>141</v>
      </c>
    </row>
    <row r="46" spans="1:13" ht="27.6" x14ac:dyDescent="0.3">
      <c r="A46" s="13">
        <v>44945</v>
      </c>
      <c r="B46" s="1" t="s">
        <v>180</v>
      </c>
      <c r="C46" s="14" t="s">
        <v>138</v>
      </c>
      <c r="D46" s="1" t="s">
        <v>139</v>
      </c>
      <c r="E46" s="1" t="s">
        <v>29</v>
      </c>
      <c r="F46" s="1" t="s">
        <v>29</v>
      </c>
      <c r="G46" s="1" t="s">
        <v>140</v>
      </c>
      <c r="H46" s="7">
        <v>89.225999999999999</v>
      </c>
      <c r="I46" s="6">
        <v>5500</v>
      </c>
      <c r="J46" s="5">
        <v>61.637999999999998</v>
      </c>
      <c r="K46" s="5">
        <f t="shared" si="1"/>
        <v>61.637999999999998</v>
      </c>
      <c r="L46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46" s="1" t="s">
        <v>141</v>
      </c>
    </row>
    <row r="47" spans="1:13" ht="27.6" x14ac:dyDescent="0.3">
      <c r="A47" s="13">
        <v>44914</v>
      </c>
      <c r="B47" s="1" t="s">
        <v>181</v>
      </c>
      <c r="C47" s="14" t="s">
        <v>138</v>
      </c>
      <c r="D47" s="1" t="s">
        <v>139</v>
      </c>
      <c r="E47" s="1" t="s">
        <v>29</v>
      </c>
      <c r="F47" s="1" t="s">
        <v>29</v>
      </c>
      <c r="G47" s="1" t="s">
        <v>140</v>
      </c>
      <c r="H47" s="7">
        <v>89.989000000000004</v>
      </c>
      <c r="I47" s="6">
        <v>5500</v>
      </c>
      <c r="J47" s="5">
        <v>61.116</v>
      </c>
      <c r="K47" s="5">
        <f t="shared" si="1"/>
        <v>61.116</v>
      </c>
      <c r="L47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47" s="1" t="s">
        <v>141</v>
      </c>
    </row>
    <row r="48" spans="1:13" ht="27.6" x14ac:dyDescent="0.3">
      <c r="A48" s="13">
        <v>44884</v>
      </c>
      <c r="B48" s="1" t="s">
        <v>182</v>
      </c>
      <c r="C48" s="14" t="s">
        <v>138</v>
      </c>
      <c r="D48" s="1" t="s">
        <v>139</v>
      </c>
      <c r="E48" s="1" t="s">
        <v>29</v>
      </c>
      <c r="F48" s="1" t="s">
        <v>29</v>
      </c>
      <c r="G48" s="1" t="s">
        <v>140</v>
      </c>
      <c r="H48" s="7">
        <v>87.207999999999998</v>
      </c>
      <c r="I48" s="6">
        <v>5500</v>
      </c>
      <c r="J48" s="5">
        <v>63.064999999999998</v>
      </c>
      <c r="K48" s="5">
        <f t="shared" si="1"/>
        <v>63.064999999999998</v>
      </c>
      <c r="L48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48" s="1" t="s">
        <v>141</v>
      </c>
    </row>
    <row r="49" spans="1:13" ht="27.6" x14ac:dyDescent="0.3">
      <c r="A49" s="13">
        <v>44853</v>
      </c>
      <c r="B49" s="1" t="s">
        <v>183</v>
      </c>
      <c r="C49" s="14" t="s">
        <v>138</v>
      </c>
      <c r="D49" s="1" t="s">
        <v>139</v>
      </c>
      <c r="E49" s="1" t="s">
        <v>29</v>
      </c>
      <c r="F49" s="1" t="s">
        <v>29</v>
      </c>
      <c r="G49" s="1" t="s">
        <v>140</v>
      </c>
      <c r="H49" s="7">
        <v>84.641999999999996</v>
      </c>
      <c r="I49" s="6">
        <v>5500</v>
      </c>
      <c r="J49" s="5">
        <v>64.975999999999999</v>
      </c>
      <c r="K49" s="5">
        <f t="shared" si="1"/>
        <v>64.975999999999999</v>
      </c>
      <c r="L49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49" s="1" t="s">
        <v>141</v>
      </c>
    </row>
    <row r="50" spans="1:13" ht="27.6" x14ac:dyDescent="0.3">
      <c r="A50" s="13">
        <v>44823</v>
      </c>
      <c r="B50" s="1" t="s">
        <v>184</v>
      </c>
      <c r="C50" s="14" t="s">
        <v>138</v>
      </c>
      <c r="D50" s="1" t="s">
        <v>139</v>
      </c>
      <c r="E50" s="1" t="s">
        <v>29</v>
      </c>
      <c r="F50" s="1" t="s">
        <v>29</v>
      </c>
      <c r="G50" s="1" t="s">
        <v>140</v>
      </c>
      <c r="H50" s="7">
        <v>85.44</v>
      </c>
      <c r="I50" s="6">
        <v>5500</v>
      </c>
      <c r="J50" s="5">
        <v>64.369</v>
      </c>
      <c r="K50" s="5">
        <f t="shared" si="1"/>
        <v>64.369</v>
      </c>
      <c r="L50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50" s="1" t="s">
        <v>141</v>
      </c>
    </row>
    <row r="51" spans="1:13" ht="27.6" x14ac:dyDescent="0.3">
      <c r="A51" s="13">
        <v>44792</v>
      </c>
      <c r="B51" s="1" t="s">
        <v>185</v>
      </c>
      <c r="C51" s="14" t="s">
        <v>138</v>
      </c>
      <c r="D51" s="1" t="s">
        <v>139</v>
      </c>
      <c r="E51" s="1" t="s">
        <v>29</v>
      </c>
      <c r="F51" s="1" t="s">
        <v>29</v>
      </c>
      <c r="G51" s="1" t="s">
        <v>140</v>
      </c>
      <c r="H51" s="7">
        <v>84.653999999999996</v>
      </c>
      <c r="I51" s="6">
        <v>5500</v>
      </c>
      <c r="J51" s="5">
        <v>64.966999999999999</v>
      </c>
      <c r="K51" s="5">
        <f t="shared" si="1"/>
        <v>64.966999999999999</v>
      </c>
      <c r="L51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51" s="1" t="s">
        <v>141</v>
      </c>
    </row>
    <row r="52" spans="1:13" ht="27.6" x14ac:dyDescent="0.3">
      <c r="A52" s="13">
        <v>44761</v>
      </c>
      <c r="B52" s="1" t="s">
        <v>186</v>
      </c>
      <c r="C52" s="14" t="s">
        <v>138</v>
      </c>
      <c r="D52" s="1" t="s">
        <v>139</v>
      </c>
      <c r="E52" s="1" t="s">
        <v>29</v>
      </c>
      <c r="F52" s="1" t="s">
        <v>29</v>
      </c>
      <c r="G52" s="1" t="s">
        <v>140</v>
      </c>
      <c r="H52" s="7">
        <v>79.007999999999996</v>
      </c>
      <c r="I52" s="6">
        <v>5500</v>
      </c>
      <c r="J52" s="5">
        <v>69.61</v>
      </c>
      <c r="K52" s="5">
        <f t="shared" si="1"/>
        <v>69.61</v>
      </c>
      <c r="L52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52" s="1" t="s">
        <v>141</v>
      </c>
    </row>
    <row r="53" spans="1:13" ht="27.6" x14ac:dyDescent="0.3">
      <c r="A53" s="13">
        <v>44731</v>
      </c>
      <c r="B53" s="1" t="s">
        <v>187</v>
      </c>
      <c r="C53" s="14" t="s">
        <v>138</v>
      </c>
      <c r="D53" s="1" t="s">
        <v>139</v>
      </c>
      <c r="E53" s="1" t="s">
        <v>29</v>
      </c>
      <c r="F53" s="1" t="s">
        <v>29</v>
      </c>
      <c r="G53" s="1" t="s">
        <v>140</v>
      </c>
      <c r="H53" s="7">
        <v>72.504999999999995</v>
      </c>
      <c r="I53" s="6">
        <v>5500</v>
      </c>
      <c r="J53" s="5">
        <v>75.852999999999994</v>
      </c>
      <c r="K53" s="5">
        <f t="shared" si="1"/>
        <v>75.852999999999994</v>
      </c>
      <c r="L53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53" s="1" t="s">
        <v>141</v>
      </c>
    </row>
    <row r="54" spans="1:13" ht="27.6" x14ac:dyDescent="0.3">
      <c r="A54" s="13">
        <v>44700</v>
      </c>
      <c r="B54" s="1" t="s">
        <v>188</v>
      </c>
      <c r="C54" s="14" t="s">
        <v>138</v>
      </c>
      <c r="D54" s="1" t="s">
        <v>139</v>
      </c>
      <c r="E54" s="1" t="s">
        <v>29</v>
      </c>
      <c r="F54" s="1" t="s">
        <v>29</v>
      </c>
      <c r="G54" s="1" t="s">
        <v>140</v>
      </c>
      <c r="H54" s="7">
        <v>75.292000000000002</v>
      </c>
      <c r="I54" s="6">
        <v>5500</v>
      </c>
      <c r="J54" s="5">
        <v>73.045000000000002</v>
      </c>
      <c r="K54" s="5">
        <f t="shared" si="1"/>
        <v>73.045000000000002</v>
      </c>
      <c r="L54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54" s="1" t="s">
        <v>141</v>
      </c>
    </row>
    <row r="55" spans="1:13" ht="27.6" x14ac:dyDescent="0.3">
      <c r="A55" s="13">
        <v>44670</v>
      </c>
      <c r="B55" s="1" t="s">
        <v>189</v>
      </c>
      <c r="C55" s="14" t="s">
        <v>138</v>
      </c>
      <c r="D55" s="1" t="s">
        <v>139</v>
      </c>
      <c r="E55" s="1" t="s">
        <v>29</v>
      </c>
      <c r="F55" s="1" t="s">
        <v>29</v>
      </c>
      <c r="G55" s="1" t="s">
        <v>140</v>
      </c>
      <c r="H55" s="7">
        <v>82.093999999999994</v>
      </c>
      <c r="I55" s="6">
        <v>5500</v>
      </c>
      <c r="J55" s="5">
        <v>66.992999999999995</v>
      </c>
      <c r="K55" s="5">
        <f t="shared" si="1"/>
        <v>66.992999999999995</v>
      </c>
      <c r="L55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55" s="1" t="s">
        <v>141</v>
      </c>
    </row>
    <row r="56" spans="1:13" ht="27.6" x14ac:dyDescent="0.3">
      <c r="A56" s="13">
        <v>44639</v>
      </c>
      <c r="B56" s="1" t="s">
        <v>190</v>
      </c>
      <c r="C56" s="14" t="s">
        <v>138</v>
      </c>
      <c r="D56" s="1" t="s">
        <v>139</v>
      </c>
      <c r="E56" s="1" t="s">
        <v>29</v>
      </c>
      <c r="F56" s="1" t="s">
        <v>29</v>
      </c>
      <c r="G56" s="1" t="s">
        <v>140</v>
      </c>
      <c r="H56" s="7">
        <v>80.623000000000005</v>
      </c>
      <c r="I56" s="6">
        <v>5500</v>
      </c>
      <c r="J56" s="5">
        <v>68.215000000000003</v>
      </c>
      <c r="K56" s="5">
        <f t="shared" si="1"/>
        <v>68.215000000000003</v>
      </c>
      <c r="L56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56" s="1" t="s">
        <v>141</v>
      </c>
    </row>
    <row r="57" spans="1:13" ht="27.6" x14ac:dyDescent="0.3">
      <c r="A57" s="13">
        <v>44611</v>
      </c>
      <c r="B57" s="1" t="s">
        <v>191</v>
      </c>
      <c r="C57" s="14" t="s">
        <v>138</v>
      </c>
      <c r="D57" s="1" t="s">
        <v>139</v>
      </c>
      <c r="E57" s="1" t="s">
        <v>29</v>
      </c>
      <c r="F57" s="1" t="s">
        <v>29</v>
      </c>
      <c r="G57" s="1" t="s">
        <v>140</v>
      </c>
      <c r="H57" s="7">
        <v>81.700999999999993</v>
      </c>
      <c r="I57" s="6">
        <v>5500</v>
      </c>
      <c r="J57" s="5">
        <v>67.314999999999998</v>
      </c>
      <c r="K57" s="5">
        <f t="shared" si="1"/>
        <v>67.314999999999998</v>
      </c>
      <c r="L57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57" s="1" t="s">
        <v>141</v>
      </c>
    </row>
    <row r="58" spans="1:13" ht="27.6" x14ac:dyDescent="0.3">
      <c r="A58" s="13">
        <v>44580</v>
      </c>
      <c r="B58" s="1" t="s">
        <v>192</v>
      </c>
      <c r="C58" s="14" t="s">
        <v>138</v>
      </c>
      <c r="D58" s="1" t="s">
        <v>139</v>
      </c>
      <c r="E58" s="1" t="s">
        <v>29</v>
      </c>
      <c r="F58" s="1" t="s">
        <v>29</v>
      </c>
      <c r="G58" s="1" t="s">
        <v>140</v>
      </c>
      <c r="H58" s="7">
        <v>85.518000000000001</v>
      </c>
      <c r="I58" s="6">
        <v>5500</v>
      </c>
      <c r="J58" s="5">
        <v>64.311000000000007</v>
      </c>
      <c r="K58" s="5">
        <f t="shared" si="1"/>
        <v>64.311000000000007</v>
      </c>
      <c r="L58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58" s="1" t="s">
        <v>141</v>
      </c>
    </row>
    <row r="59" spans="1:13" ht="27.6" x14ac:dyDescent="0.3">
      <c r="A59" s="13">
        <v>44549</v>
      </c>
      <c r="B59" s="1" t="s">
        <v>193</v>
      </c>
      <c r="C59" s="14" t="s">
        <v>138</v>
      </c>
      <c r="D59" s="1" t="s">
        <v>139</v>
      </c>
      <c r="E59" s="1" t="s">
        <v>29</v>
      </c>
      <c r="F59" s="1" t="s">
        <v>29</v>
      </c>
      <c r="G59" s="1" t="s">
        <v>140</v>
      </c>
      <c r="H59" s="7">
        <v>78.659000000000006</v>
      </c>
      <c r="I59" s="6">
        <v>5500</v>
      </c>
      <c r="J59" s="5">
        <v>69.918999999999997</v>
      </c>
      <c r="K59" s="5">
        <f t="shared" si="1"/>
        <v>69.918999999999997</v>
      </c>
      <c r="L59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59" s="1" t="s">
        <v>141</v>
      </c>
    </row>
    <row r="60" spans="1:13" ht="27.6" x14ac:dyDescent="0.3">
      <c r="A60" s="13">
        <v>44519</v>
      </c>
      <c r="B60" s="1" t="s">
        <v>194</v>
      </c>
      <c r="C60" s="14" t="s">
        <v>138</v>
      </c>
      <c r="D60" s="1" t="s">
        <v>139</v>
      </c>
      <c r="E60" s="1" t="s">
        <v>29</v>
      </c>
      <c r="F60" s="1" t="s">
        <v>29</v>
      </c>
      <c r="G60" s="1" t="s">
        <v>140</v>
      </c>
      <c r="H60" s="7">
        <v>82.328999999999994</v>
      </c>
      <c r="I60" s="6">
        <v>5500</v>
      </c>
      <c r="J60" s="5">
        <v>66.802000000000007</v>
      </c>
      <c r="K60" s="5">
        <f t="shared" si="1"/>
        <v>66.802000000000007</v>
      </c>
      <c r="L60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60" s="1" t="s">
        <v>141</v>
      </c>
    </row>
    <row r="61" spans="1:13" ht="27.6" x14ac:dyDescent="0.3">
      <c r="A61" s="13">
        <v>44488</v>
      </c>
      <c r="B61" s="1" t="s">
        <v>195</v>
      </c>
      <c r="C61" s="14" t="s">
        <v>138</v>
      </c>
      <c r="D61" s="1" t="s">
        <v>139</v>
      </c>
      <c r="E61" s="1" t="s">
        <v>29</v>
      </c>
      <c r="F61" s="1" t="s">
        <v>29</v>
      </c>
      <c r="G61" s="1" t="s">
        <v>140</v>
      </c>
      <c r="H61" s="7">
        <v>86.826999999999998</v>
      </c>
      <c r="I61" s="6">
        <v>5500</v>
      </c>
      <c r="J61" s="5">
        <v>63.341000000000001</v>
      </c>
      <c r="K61" s="5">
        <f t="shared" si="1"/>
        <v>63.341000000000001</v>
      </c>
      <c r="L61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61" s="1" t="s">
        <v>141</v>
      </c>
    </row>
    <row r="62" spans="1:13" ht="41.4" x14ac:dyDescent="0.3">
      <c r="A62" s="13">
        <v>44465</v>
      </c>
      <c r="B62" s="1" t="s">
        <v>196</v>
      </c>
      <c r="C62" s="14" t="s">
        <v>138</v>
      </c>
      <c r="D62" s="1" t="s">
        <v>197</v>
      </c>
      <c r="E62" s="1" t="s">
        <v>18</v>
      </c>
      <c r="F62" s="1" t="s">
        <v>18</v>
      </c>
      <c r="G62" s="1" t="s">
        <v>198</v>
      </c>
      <c r="H62" s="7">
        <v>42.53</v>
      </c>
      <c r="I62" s="6">
        <v>60000</v>
      </c>
      <c r="J62" s="5">
        <v>1410.6980000000001</v>
      </c>
      <c r="K62" s="5">
        <f t="shared" si="1"/>
        <v>1410.6980000000001</v>
      </c>
      <c r="L62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60000</v>
      </c>
      <c r="M62" s="1" t="s">
        <v>141</v>
      </c>
    </row>
    <row r="63" spans="1:13" ht="27.6" x14ac:dyDescent="0.3">
      <c r="A63" s="13">
        <v>44458</v>
      </c>
      <c r="B63" s="1" t="s">
        <v>199</v>
      </c>
      <c r="C63" s="14" t="s">
        <v>138</v>
      </c>
      <c r="D63" s="1" t="s">
        <v>139</v>
      </c>
      <c r="E63" s="1" t="s">
        <v>29</v>
      </c>
      <c r="F63" s="1" t="s">
        <v>29</v>
      </c>
      <c r="G63" s="1" t="s">
        <v>140</v>
      </c>
      <c r="H63" s="7">
        <v>81.983999999999995</v>
      </c>
      <c r="I63" s="6">
        <v>5500</v>
      </c>
      <c r="J63" s="5">
        <v>67.082999999999998</v>
      </c>
      <c r="K63" s="5">
        <f t="shared" si="1"/>
        <v>67.082999999999998</v>
      </c>
      <c r="L63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63" s="1" t="s">
        <v>141</v>
      </c>
    </row>
    <row r="64" spans="1:13" ht="27.6" x14ac:dyDescent="0.3">
      <c r="A64" s="13">
        <v>44427</v>
      </c>
      <c r="B64" s="1" t="s">
        <v>200</v>
      </c>
      <c r="C64" s="14" t="s">
        <v>138</v>
      </c>
      <c r="D64" s="1" t="s">
        <v>139</v>
      </c>
      <c r="E64" s="1" t="s">
        <v>29</v>
      </c>
      <c r="F64" s="1" t="s">
        <v>29</v>
      </c>
      <c r="G64" s="1" t="s">
        <v>140</v>
      </c>
      <c r="H64" s="7">
        <v>78.176000000000002</v>
      </c>
      <c r="I64" s="6">
        <v>5500</v>
      </c>
      <c r="J64" s="5">
        <v>70.350999999999999</v>
      </c>
      <c r="K64" s="5">
        <f t="shared" si="1"/>
        <v>70.350999999999999</v>
      </c>
      <c r="L64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64" s="1" t="s">
        <v>141</v>
      </c>
    </row>
    <row r="65" spans="1:13" ht="27.6" x14ac:dyDescent="0.3">
      <c r="A65" s="13">
        <v>44396</v>
      </c>
      <c r="B65" s="1" t="s">
        <v>201</v>
      </c>
      <c r="C65" s="14" t="s">
        <v>138</v>
      </c>
      <c r="D65" s="1" t="s">
        <v>139</v>
      </c>
      <c r="E65" s="1" t="s">
        <v>29</v>
      </c>
      <c r="F65" s="1" t="s">
        <v>29</v>
      </c>
      <c r="G65" s="1" t="s">
        <v>140</v>
      </c>
      <c r="H65" s="7">
        <v>76.697000000000003</v>
      </c>
      <c r="I65" s="6">
        <v>5500</v>
      </c>
      <c r="J65" s="5">
        <v>71.706999999999994</v>
      </c>
      <c r="K65" s="5">
        <f t="shared" si="1"/>
        <v>71.706999999999994</v>
      </c>
      <c r="L65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65" s="1" t="s">
        <v>141</v>
      </c>
    </row>
    <row r="66" spans="1:13" ht="27.6" x14ac:dyDescent="0.3">
      <c r="A66" s="13">
        <v>44366</v>
      </c>
      <c r="B66" s="1" t="s">
        <v>202</v>
      </c>
      <c r="C66" s="14" t="s">
        <v>138</v>
      </c>
      <c r="D66" s="1" t="s">
        <v>139</v>
      </c>
      <c r="E66" s="1" t="s">
        <v>29</v>
      </c>
      <c r="F66" s="1" t="s">
        <v>29</v>
      </c>
      <c r="G66" s="1" t="s">
        <v>140</v>
      </c>
      <c r="H66" s="7">
        <v>74.998000000000005</v>
      </c>
      <c r="I66" s="6">
        <v>5500</v>
      </c>
      <c r="J66" s="5">
        <v>73.331999999999994</v>
      </c>
      <c r="K66" s="5">
        <f t="shared" si="1"/>
        <v>73.331999999999994</v>
      </c>
      <c r="L66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66" s="1" t="s">
        <v>141</v>
      </c>
    </row>
    <row r="67" spans="1:13" ht="41.4" x14ac:dyDescent="0.3">
      <c r="A67" s="13">
        <v>44354</v>
      </c>
      <c r="B67" s="1" t="s">
        <v>203</v>
      </c>
      <c r="C67" s="14" t="s">
        <v>138</v>
      </c>
      <c r="D67" s="1" t="s">
        <v>197</v>
      </c>
      <c r="E67" s="1" t="s">
        <v>105</v>
      </c>
      <c r="F67" s="1" t="s">
        <v>17</v>
      </c>
      <c r="G67" s="1" t="s">
        <v>198</v>
      </c>
      <c r="H67" s="7">
        <v>141.47999999999999</v>
      </c>
      <c r="I67" s="6">
        <v>500000</v>
      </c>
      <c r="J67" s="5">
        <v>3533.8919999999998</v>
      </c>
      <c r="K67" s="5">
        <f t="shared" si="1"/>
        <v>3533.8919999999998</v>
      </c>
      <c r="L67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500000</v>
      </c>
      <c r="M67" s="1" t="s">
        <v>141</v>
      </c>
    </row>
    <row r="68" spans="1:13" ht="27.6" x14ac:dyDescent="0.3">
      <c r="A68" s="13">
        <v>44335</v>
      </c>
      <c r="B68" s="1" t="s">
        <v>204</v>
      </c>
      <c r="C68" s="14" t="s">
        <v>138</v>
      </c>
      <c r="D68" s="1" t="s">
        <v>139</v>
      </c>
      <c r="E68" s="1" t="s">
        <v>29</v>
      </c>
      <c r="F68" s="1" t="s">
        <v>29</v>
      </c>
      <c r="G68" s="1" t="s">
        <v>140</v>
      </c>
      <c r="H68" s="7">
        <v>71.23</v>
      </c>
      <c r="I68" s="6">
        <v>5500</v>
      </c>
      <c r="J68" s="5">
        <v>77.210999999999999</v>
      </c>
      <c r="K68" s="5">
        <f t="shared" si="1"/>
        <v>77.210999999999999</v>
      </c>
      <c r="L68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68" s="1" t="s">
        <v>141</v>
      </c>
    </row>
    <row r="69" spans="1:13" ht="27.6" x14ac:dyDescent="0.3">
      <c r="A69" s="13">
        <v>44305</v>
      </c>
      <c r="B69" s="1" t="s">
        <v>205</v>
      </c>
      <c r="C69" s="14" t="s">
        <v>138</v>
      </c>
      <c r="D69" s="1" t="s">
        <v>139</v>
      </c>
      <c r="E69" s="1" t="s">
        <v>29</v>
      </c>
      <c r="F69" s="1" t="s">
        <v>29</v>
      </c>
      <c r="G69" s="1" t="s">
        <v>140</v>
      </c>
      <c r="H69" s="7">
        <v>67.727999999999994</v>
      </c>
      <c r="I69" s="6">
        <v>5500</v>
      </c>
      <c r="J69" s="5">
        <v>81.203000000000003</v>
      </c>
      <c r="K69" s="5">
        <f t="shared" si="1"/>
        <v>81.203000000000003</v>
      </c>
      <c r="L69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5500</v>
      </c>
      <c r="M69" s="1" t="s">
        <v>141</v>
      </c>
    </row>
    <row r="70" spans="1:13" ht="27.6" x14ac:dyDescent="0.3">
      <c r="A70" s="13">
        <v>44276</v>
      </c>
      <c r="B70" s="1" t="s">
        <v>206</v>
      </c>
      <c r="C70" s="14" t="s">
        <v>207</v>
      </c>
      <c r="D70" s="1" t="s">
        <v>208</v>
      </c>
      <c r="E70" s="1" t="s">
        <v>37</v>
      </c>
      <c r="F70" s="1" t="s">
        <v>37</v>
      </c>
      <c r="G70" s="1" t="s">
        <v>209</v>
      </c>
      <c r="H70" s="7">
        <v>62.439300000000003</v>
      </c>
      <c r="I70" s="6">
        <v>47834</v>
      </c>
      <c r="J70" s="5">
        <v>766.08799999999997</v>
      </c>
      <c r="K70" s="5">
        <f t="shared" si="1"/>
        <v>-766.08799999999997</v>
      </c>
      <c r="L70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-47834</v>
      </c>
      <c r="M70" s="1" t="s">
        <v>141</v>
      </c>
    </row>
    <row r="71" spans="1:13" ht="27.6" x14ac:dyDescent="0.3">
      <c r="A71" s="13">
        <v>43110</v>
      </c>
      <c r="B71" s="1" t="s">
        <v>210</v>
      </c>
      <c r="C71" s="14" t="s">
        <v>138</v>
      </c>
      <c r="D71" s="1" t="s">
        <v>211</v>
      </c>
      <c r="E71" s="1" t="s">
        <v>109</v>
      </c>
      <c r="F71" s="1" t="s">
        <v>21</v>
      </c>
      <c r="G71" s="1" t="s">
        <v>212</v>
      </c>
      <c r="H71" s="7">
        <v>61.2</v>
      </c>
      <c r="I71" s="6">
        <v>5000</v>
      </c>
      <c r="J71" s="5">
        <v>81.698999999999998</v>
      </c>
      <c r="K71" s="5">
        <f t="shared" ref="K71:K102" si="2">IF(OR(EXACT(C71,"Redemption"),EXACT(C71,"Redeem"),EXACT(C71,"Switch Out"),EXACT(C71,"sell"),EXACT(C71,"Sell")),-J71,J71)</f>
        <v>81.698999999999998</v>
      </c>
      <c r="L71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71" s="1" t="s">
        <v>141</v>
      </c>
    </row>
    <row r="72" spans="1:13" ht="27.6" x14ac:dyDescent="0.3">
      <c r="A72" s="13">
        <v>43079</v>
      </c>
      <c r="B72" s="1" t="s">
        <v>213</v>
      </c>
      <c r="C72" s="14" t="s">
        <v>138</v>
      </c>
      <c r="D72" s="1" t="s">
        <v>211</v>
      </c>
      <c r="E72" s="1" t="s">
        <v>109</v>
      </c>
      <c r="F72" s="1" t="s">
        <v>21</v>
      </c>
      <c r="G72" s="1" t="s">
        <v>212</v>
      </c>
      <c r="H72" s="7">
        <v>57.801000000000002</v>
      </c>
      <c r="I72" s="6">
        <v>5000</v>
      </c>
      <c r="J72" s="5">
        <v>86.504000000000005</v>
      </c>
      <c r="K72" s="5">
        <f t="shared" si="2"/>
        <v>86.504000000000005</v>
      </c>
      <c r="L72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72" s="1" t="s">
        <v>141</v>
      </c>
    </row>
    <row r="73" spans="1:13" ht="27.6" x14ac:dyDescent="0.3">
      <c r="A73" s="13">
        <v>43049</v>
      </c>
      <c r="B73" s="1" t="s">
        <v>214</v>
      </c>
      <c r="C73" s="14" t="s">
        <v>138</v>
      </c>
      <c r="D73" s="1" t="s">
        <v>211</v>
      </c>
      <c r="E73" s="1" t="s">
        <v>109</v>
      </c>
      <c r="F73" s="1" t="s">
        <v>21</v>
      </c>
      <c r="G73" s="1" t="s">
        <v>212</v>
      </c>
      <c r="H73" s="7">
        <v>56.99</v>
      </c>
      <c r="I73" s="6">
        <v>5000</v>
      </c>
      <c r="J73" s="5">
        <v>87.734999999999999</v>
      </c>
      <c r="K73" s="5">
        <f t="shared" si="2"/>
        <v>87.734999999999999</v>
      </c>
      <c r="L73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73" s="1" t="s">
        <v>141</v>
      </c>
    </row>
    <row r="74" spans="1:13" ht="27.6" x14ac:dyDescent="0.3">
      <c r="A74" s="13">
        <v>43018</v>
      </c>
      <c r="B74" s="1" t="s">
        <v>215</v>
      </c>
      <c r="C74" s="14" t="s">
        <v>138</v>
      </c>
      <c r="D74" s="1" t="s">
        <v>211</v>
      </c>
      <c r="E74" s="1" t="s">
        <v>109</v>
      </c>
      <c r="F74" s="1" t="s">
        <v>21</v>
      </c>
      <c r="G74" s="1" t="s">
        <v>212</v>
      </c>
      <c r="H74" s="7">
        <v>54.43</v>
      </c>
      <c r="I74" s="6">
        <v>5000</v>
      </c>
      <c r="J74" s="5">
        <v>91.861000000000004</v>
      </c>
      <c r="K74" s="5">
        <f t="shared" si="2"/>
        <v>91.861000000000004</v>
      </c>
      <c r="L74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74" s="1" t="s">
        <v>141</v>
      </c>
    </row>
    <row r="75" spans="1:13" ht="27.6" x14ac:dyDescent="0.3">
      <c r="A75" s="13">
        <v>42988</v>
      </c>
      <c r="B75" s="1" t="s">
        <v>216</v>
      </c>
      <c r="C75" s="14" t="s">
        <v>138</v>
      </c>
      <c r="D75" s="1" t="s">
        <v>211</v>
      </c>
      <c r="E75" s="1" t="s">
        <v>109</v>
      </c>
      <c r="F75" s="1" t="s">
        <v>21</v>
      </c>
      <c r="G75" s="1" t="s">
        <v>212</v>
      </c>
      <c r="H75" s="7">
        <v>53.79</v>
      </c>
      <c r="I75" s="6">
        <v>5000</v>
      </c>
      <c r="J75" s="5">
        <v>92.953999999999994</v>
      </c>
      <c r="K75" s="5">
        <f t="shared" si="2"/>
        <v>92.953999999999994</v>
      </c>
      <c r="L75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75" s="1" t="s">
        <v>141</v>
      </c>
    </row>
    <row r="76" spans="1:13" ht="27.6" x14ac:dyDescent="0.3">
      <c r="A76" s="13">
        <v>42967</v>
      </c>
      <c r="B76" s="1" t="s">
        <v>217</v>
      </c>
      <c r="C76" s="14" t="s">
        <v>138</v>
      </c>
      <c r="D76" s="1" t="s">
        <v>218</v>
      </c>
      <c r="E76" s="1" t="s">
        <v>120</v>
      </c>
      <c r="F76" s="1" t="s">
        <v>42</v>
      </c>
      <c r="G76" s="1" t="s">
        <v>219</v>
      </c>
      <c r="H76" s="7">
        <v>43.682000000000002</v>
      </c>
      <c r="I76" s="6">
        <v>5000</v>
      </c>
      <c r="J76" s="5">
        <v>114.464</v>
      </c>
      <c r="K76" s="5">
        <f t="shared" si="2"/>
        <v>114.464</v>
      </c>
      <c r="L76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76" s="1" t="s">
        <v>141</v>
      </c>
    </row>
    <row r="77" spans="1:13" ht="27.6" x14ac:dyDescent="0.3">
      <c r="A77" s="13">
        <v>42957</v>
      </c>
      <c r="B77" s="1" t="s">
        <v>220</v>
      </c>
      <c r="C77" s="14" t="s">
        <v>138</v>
      </c>
      <c r="D77" s="1" t="s">
        <v>211</v>
      </c>
      <c r="E77" s="1" t="s">
        <v>109</v>
      </c>
      <c r="F77" s="1" t="s">
        <v>21</v>
      </c>
      <c r="G77" s="1" t="s">
        <v>212</v>
      </c>
      <c r="H77" s="7">
        <v>51.444000000000003</v>
      </c>
      <c r="I77" s="6">
        <v>5000</v>
      </c>
      <c r="J77" s="5">
        <v>97.192999999999998</v>
      </c>
      <c r="K77" s="5">
        <f t="shared" si="2"/>
        <v>97.192999999999998</v>
      </c>
      <c r="L77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77" s="1" t="s">
        <v>141</v>
      </c>
    </row>
    <row r="78" spans="1:13" ht="27.6" x14ac:dyDescent="0.3">
      <c r="A78" s="13">
        <v>42936</v>
      </c>
      <c r="B78" s="1" t="s">
        <v>221</v>
      </c>
      <c r="C78" s="14" t="s">
        <v>138</v>
      </c>
      <c r="D78" s="1" t="s">
        <v>218</v>
      </c>
      <c r="E78" s="1" t="s">
        <v>120</v>
      </c>
      <c r="F78" s="1" t="s">
        <v>42</v>
      </c>
      <c r="G78" s="1" t="s">
        <v>219</v>
      </c>
      <c r="H78" s="7">
        <v>43.596400000000003</v>
      </c>
      <c r="I78" s="6">
        <v>5000</v>
      </c>
      <c r="J78" s="5">
        <v>114.688</v>
      </c>
      <c r="K78" s="5">
        <f t="shared" si="2"/>
        <v>114.688</v>
      </c>
      <c r="L78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78" s="1" t="s">
        <v>141</v>
      </c>
    </row>
    <row r="79" spans="1:13" ht="27.6" x14ac:dyDescent="0.3">
      <c r="A79" s="13">
        <v>42926</v>
      </c>
      <c r="B79" s="1" t="s">
        <v>222</v>
      </c>
      <c r="C79" s="14" t="s">
        <v>138</v>
      </c>
      <c r="D79" s="1" t="s">
        <v>211</v>
      </c>
      <c r="E79" s="1" t="s">
        <v>109</v>
      </c>
      <c r="F79" s="1" t="s">
        <v>21</v>
      </c>
      <c r="G79" s="1" t="s">
        <v>212</v>
      </c>
      <c r="H79" s="7">
        <v>53.201999999999998</v>
      </c>
      <c r="I79" s="6">
        <v>5000</v>
      </c>
      <c r="J79" s="5">
        <v>93.980999999999995</v>
      </c>
      <c r="K79" s="5">
        <f t="shared" si="2"/>
        <v>93.980999999999995</v>
      </c>
      <c r="L79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79" s="1" t="s">
        <v>141</v>
      </c>
    </row>
    <row r="80" spans="1:13" ht="27.6" x14ac:dyDescent="0.3">
      <c r="A80" s="13">
        <v>42906</v>
      </c>
      <c r="B80" s="1" t="s">
        <v>223</v>
      </c>
      <c r="C80" s="14" t="s">
        <v>138</v>
      </c>
      <c r="D80" s="1" t="s">
        <v>218</v>
      </c>
      <c r="E80" s="1" t="s">
        <v>120</v>
      </c>
      <c r="F80" s="1" t="s">
        <v>42</v>
      </c>
      <c r="G80" s="1" t="s">
        <v>219</v>
      </c>
      <c r="H80" s="7">
        <v>42.950400000000002</v>
      </c>
      <c r="I80" s="6">
        <v>5000</v>
      </c>
      <c r="J80" s="5">
        <v>116.413</v>
      </c>
      <c r="K80" s="5">
        <f t="shared" si="2"/>
        <v>116.413</v>
      </c>
      <c r="L80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80" s="1" t="s">
        <v>141</v>
      </c>
    </row>
    <row r="81" spans="1:13" ht="27.6" x14ac:dyDescent="0.3">
      <c r="A81" s="13">
        <v>42896</v>
      </c>
      <c r="B81" s="1" t="s">
        <v>224</v>
      </c>
      <c r="C81" s="14" t="s">
        <v>138</v>
      </c>
      <c r="D81" s="1" t="s">
        <v>211</v>
      </c>
      <c r="E81" s="1" t="s">
        <v>109</v>
      </c>
      <c r="F81" s="1" t="s">
        <v>21</v>
      </c>
      <c r="G81" s="1" t="s">
        <v>212</v>
      </c>
      <c r="H81" s="7">
        <v>51.853000000000002</v>
      </c>
      <c r="I81" s="6">
        <v>5000</v>
      </c>
      <c r="J81" s="5">
        <v>96.426000000000002</v>
      </c>
      <c r="K81" s="5">
        <f t="shared" si="2"/>
        <v>96.426000000000002</v>
      </c>
      <c r="L81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81" s="1" t="s">
        <v>141</v>
      </c>
    </row>
    <row r="82" spans="1:13" ht="27.6" x14ac:dyDescent="0.3">
      <c r="A82" s="13">
        <v>42875</v>
      </c>
      <c r="B82" s="1" t="s">
        <v>225</v>
      </c>
      <c r="C82" s="14" t="s">
        <v>138</v>
      </c>
      <c r="D82" s="1" t="s">
        <v>218</v>
      </c>
      <c r="E82" s="1" t="s">
        <v>120</v>
      </c>
      <c r="F82" s="1" t="s">
        <v>42</v>
      </c>
      <c r="G82" s="1" t="s">
        <v>219</v>
      </c>
      <c r="H82" s="7">
        <v>41.489600000000003</v>
      </c>
      <c r="I82" s="6">
        <v>5000</v>
      </c>
      <c r="J82" s="5">
        <v>120.512</v>
      </c>
      <c r="K82" s="5">
        <f t="shared" si="2"/>
        <v>120.512</v>
      </c>
      <c r="L82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82" s="1" t="s">
        <v>141</v>
      </c>
    </row>
    <row r="83" spans="1:13" ht="27.6" x14ac:dyDescent="0.3">
      <c r="A83" s="13">
        <v>42845</v>
      </c>
      <c r="B83" s="1" t="s">
        <v>226</v>
      </c>
      <c r="C83" s="14" t="s">
        <v>138</v>
      </c>
      <c r="D83" s="1" t="s">
        <v>218</v>
      </c>
      <c r="E83" s="1" t="s">
        <v>120</v>
      </c>
      <c r="F83" s="1" t="s">
        <v>42</v>
      </c>
      <c r="G83" s="1" t="s">
        <v>219</v>
      </c>
      <c r="H83" s="7">
        <v>41.198900000000002</v>
      </c>
      <c r="I83" s="6">
        <v>5000</v>
      </c>
      <c r="J83" s="5">
        <v>121.36199999999999</v>
      </c>
      <c r="K83" s="5">
        <f t="shared" si="2"/>
        <v>121.36199999999999</v>
      </c>
      <c r="L83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83" s="1" t="s">
        <v>141</v>
      </c>
    </row>
    <row r="84" spans="1:13" ht="27.6" x14ac:dyDescent="0.3">
      <c r="A84" s="13">
        <v>42814</v>
      </c>
      <c r="B84" s="1" t="s">
        <v>227</v>
      </c>
      <c r="C84" s="14" t="s">
        <v>138</v>
      </c>
      <c r="D84" s="1" t="s">
        <v>218</v>
      </c>
      <c r="E84" s="1" t="s">
        <v>120</v>
      </c>
      <c r="F84" s="1" t="s">
        <v>42</v>
      </c>
      <c r="G84" s="1" t="s">
        <v>219</v>
      </c>
      <c r="H84" s="7">
        <v>40.001199999999997</v>
      </c>
      <c r="I84" s="6">
        <v>5000</v>
      </c>
      <c r="J84" s="5">
        <v>124.996</v>
      </c>
      <c r="K84" s="5">
        <f t="shared" si="2"/>
        <v>124.996</v>
      </c>
      <c r="L84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84" s="1" t="s">
        <v>141</v>
      </c>
    </row>
    <row r="85" spans="1:13" ht="27.6" x14ac:dyDescent="0.3">
      <c r="A85" s="13">
        <v>42786</v>
      </c>
      <c r="B85" s="1" t="s">
        <v>228</v>
      </c>
      <c r="C85" s="14" t="s">
        <v>138</v>
      </c>
      <c r="D85" s="1" t="s">
        <v>218</v>
      </c>
      <c r="E85" s="1" t="s">
        <v>120</v>
      </c>
      <c r="F85" s="1" t="s">
        <v>42</v>
      </c>
      <c r="G85" s="1" t="s">
        <v>219</v>
      </c>
      <c r="H85" s="7">
        <v>39.351599999999998</v>
      </c>
      <c r="I85" s="6">
        <v>5000</v>
      </c>
      <c r="J85" s="5">
        <v>127.06</v>
      </c>
      <c r="K85" s="5">
        <f t="shared" si="2"/>
        <v>127.06</v>
      </c>
      <c r="L85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85" s="1" t="s">
        <v>141</v>
      </c>
    </row>
    <row r="86" spans="1:13" ht="27.6" x14ac:dyDescent="0.3">
      <c r="A86" s="13">
        <v>42755</v>
      </c>
      <c r="B86" s="1" t="s">
        <v>229</v>
      </c>
      <c r="C86" s="14" t="s">
        <v>138</v>
      </c>
      <c r="D86" s="1" t="s">
        <v>218</v>
      </c>
      <c r="E86" s="1" t="s">
        <v>120</v>
      </c>
      <c r="F86" s="1" t="s">
        <v>42</v>
      </c>
      <c r="G86" s="1" t="s">
        <v>219</v>
      </c>
      <c r="H86" s="7">
        <v>36.675899999999999</v>
      </c>
      <c r="I86" s="6">
        <v>5000</v>
      </c>
      <c r="J86" s="5">
        <v>136.32900000000001</v>
      </c>
      <c r="K86" s="5">
        <f t="shared" si="2"/>
        <v>136.32900000000001</v>
      </c>
      <c r="L86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86" s="1" t="s">
        <v>141</v>
      </c>
    </row>
    <row r="87" spans="1:13" ht="27.6" x14ac:dyDescent="0.3">
      <c r="A87" s="13">
        <v>42724</v>
      </c>
      <c r="B87" s="1" t="s">
        <v>230</v>
      </c>
      <c r="C87" s="14" t="s">
        <v>138</v>
      </c>
      <c r="D87" s="1" t="s">
        <v>218</v>
      </c>
      <c r="E87" s="1" t="s">
        <v>120</v>
      </c>
      <c r="F87" s="1" t="s">
        <v>42</v>
      </c>
      <c r="G87" s="1" t="s">
        <v>219</v>
      </c>
      <c r="H87" s="7">
        <v>35.157499999999999</v>
      </c>
      <c r="I87" s="6">
        <v>5000</v>
      </c>
      <c r="J87" s="5">
        <v>142.21700000000001</v>
      </c>
      <c r="K87" s="5">
        <f t="shared" si="2"/>
        <v>142.21700000000001</v>
      </c>
      <c r="L87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87" s="1" t="s">
        <v>141</v>
      </c>
    </row>
    <row r="88" spans="1:13" ht="27.6" x14ac:dyDescent="0.3">
      <c r="A88" s="13">
        <v>42694</v>
      </c>
      <c r="B88" s="1" t="s">
        <v>231</v>
      </c>
      <c r="C88" s="14" t="s">
        <v>138</v>
      </c>
      <c r="D88" s="1" t="s">
        <v>218</v>
      </c>
      <c r="E88" s="1" t="s">
        <v>120</v>
      </c>
      <c r="F88" s="1" t="s">
        <v>42</v>
      </c>
      <c r="G88" s="1" t="s">
        <v>219</v>
      </c>
      <c r="H88" s="7">
        <v>34.565300000000001</v>
      </c>
      <c r="I88" s="6">
        <v>5000</v>
      </c>
      <c r="J88" s="5">
        <v>144.654</v>
      </c>
      <c r="K88" s="5">
        <f t="shared" si="2"/>
        <v>144.654</v>
      </c>
      <c r="L88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88" s="1" t="s">
        <v>141</v>
      </c>
    </row>
    <row r="89" spans="1:13" ht="27.6" x14ac:dyDescent="0.3">
      <c r="A89" s="13">
        <v>42663</v>
      </c>
      <c r="B89" s="1" t="s">
        <v>232</v>
      </c>
      <c r="C89" s="14" t="s">
        <v>138</v>
      </c>
      <c r="D89" s="1" t="s">
        <v>218</v>
      </c>
      <c r="E89" s="1" t="s">
        <v>120</v>
      </c>
      <c r="F89" s="1" t="s">
        <v>42</v>
      </c>
      <c r="G89" s="1" t="s">
        <v>219</v>
      </c>
      <c r="H89" s="7">
        <v>38.459800000000001</v>
      </c>
      <c r="I89" s="6">
        <v>5000</v>
      </c>
      <c r="J89" s="5">
        <v>130.006</v>
      </c>
      <c r="K89" s="5">
        <f t="shared" si="2"/>
        <v>130.006</v>
      </c>
      <c r="L89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89" s="1" t="s">
        <v>141</v>
      </c>
    </row>
    <row r="90" spans="1:13" ht="27.6" x14ac:dyDescent="0.3">
      <c r="A90" s="13">
        <v>42633</v>
      </c>
      <c r="B90" s="1" t="s">
        <v>233</v>
      </c>
      <c r="C90" s="14" t="s">
        <v>138</v>
      </c>
      <c r="D90" s="1" t="s">
        <v>218</v>
      </c>
      <c r="E90" s="1" t="s">
        <v>120</v>
      </c>
      <c r="F90" s="1" t="s">
        <v>42</v>
      </c>
      <c r="G90" s="1" t="s">
        <v>219</v>
      </c>
      <c r="H90" s="7">
        <v>37.540399999999998</v>
      </c>
      <c r="I90" s="6">
        <v>5000</v>
      </c>
      <c r="J90" s="5">
        <v>133.19</v>
      </c>
      <c r="K90" s="5">
        <f t="shared" si="2"/>
        <v>133.19</v>
      </c>
      <c r="L90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90" s="1" t="s">
        <v>141</v>
      </c>
    </row>
    <row r="91" spans="1:13" ht="27.6" x14ac:dyDescent="0.3">
      <c r="A91" s="13">
        <v>42526</v>
      </c>
      <c r="B91" s="1" t="s">
        <v>234</v>
      </c>
      <c r="C91" s="14" t="s">
        <v>207</v>
      </c>
      <c r="D91" s="1" t="s">
        <v>208</v>
      </c>
      <c r="E91" s="1" t="s">
        <v>117</v>
      </c>
      <c r="F91" s="1" t="s">
        <v>38</v>
      </c>
      <c r="G91" s="1" t="s">
        <v>209</v>
      </c>
      <c r="H91" s="7">
        <v>23.898299999999999</v>
      </c>
      <c r="I91" s="6">
        <v>11949.15</v>
      </c>
      <c r="J91" s="5">
        <v>500</v>
      </c>
      <c r="K91" s="5">
        <f t="shared" si="2"/>
        <v>-500</v>
      </c>
      <c r="L91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-11949.15</v>
      </c>
      <c r="M91" s="1" t="s">
        <v>141</v>
      </c>
    </row>
    <row r="92" spans="1:13" ht="27.6" x14ac:dyDescent="0.3">
      <c r="A92" s="13">
        <v>42526</v>
      </c>
      <c r="B92" s="1" t="s">
        <v>235</v>
      </c>
      <c r="C92" s="14" t="s">
        <v>138</v>
      </c>
      <c r="D92" s="1" t="s">
        <v>211</v>
      </c>
      <c r="E92" s="1" t="s">
        <v>109</v>
      </c>
      <c r="F92" s="1" t="s">
        <v>21</v>
      </c>
      <c r="G92" s="1" t="s">
        <v>212</v>
      </c>
      <c r="H92" s="7">
        <v>38.689</v>
      </c>
      <c r="I92" s="6">
        <v>5000</v>
      </c>
      <c r="J92" s="5">
        <v>129.23599999999999</v>
      </c>
      <c r="K92" s="5">
        <f t="shared" si="2"/>
        <v>129.23599999999999</v>
      </c>
      <c r="L92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92" s="1" t="s">
        <v>141</v>
      </c>
    </row>
    <row r="93" spans="1:13" ht="27.6" x14ac:dyDescent="0.3">
      <c r="A93" s="13">
        <v>42353</v>
      </c>
      <c r="B93" s="1" t="s">
        <v>236</v>
      </c>
      <c r="C93" s="14" t="s">
        <v>138</v>
      </c>
      <c r="D93" s="1" t="s">
        <v>211</v>
      </c>
      <c r="E93" s="1" t="s">
        <v>109</v>
      </c>
      <c r="F93" s="1" t="s">
        <v>21</v>
      </c>
      <c r="G93" s="1" t="s">
        <v>212</v>
      </c>
      <c r="H93" s="7">
        <v>36.789000000000001</v>
      </c>
      <c r="I93" s="6">
        <v>5000</v>
      </c>
      <c r="J93" s="5">
        <v>135.91</v>
      </c>
      <c r="K93" s="5">
        <f t="shared" si="2"/>
        <v>135.91</v>
      </c>
      <c r="L93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93" s="1" t="s">
        <v>141</v>
      </c>
    </row>
    <row r="94" spans="1:13" ht="27.6" x14ac:dyDescent="0.3">
      <c r="A94" s="13">
        <v>42323</v>
      </c>
      <c r="B94" s="1" t="s">
        <v>237</v>
      </c>
      <c r="C94" s="14" t="s">
        <v>138</v>
      </c>
      <c r="D94" s="1" t="s">
        <v>211</v>
      </c>
      <c r="E94" s="1" t="s">
        <v>109</v>
      </c>
      <c r="F94" s="1" t="s">
        <v>21</v>
      </c>
      <c r="G94" s="1" t="s">
        <v>212</v>
      </c>
      <c r="H94" s="7">
        <v>36.988999999999997</v>
      </c>
      <c r="I94" s="6">
        <v>5000</v>
      </c>
      <c r="J94" s="5">
        <v>135.17500000000001</v>
      </c>
      <c r="K94" s="5">
        <f t="shared" si="2"/>
        <v>135.17500000000001</v>
      </c>
      <c r="L94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94" s="1" t="s">
        <v>141</v>
      </c>
    </row>
    <row r="95" spans="1:13" ht="27.6" x14ac:dyDescent="0.3">
      <c r="A95" s="13">
        <v>42292</v>
      </c>
      <c r="B95" s="1" t="s">
        <v>238</v>
      </c>
      <c r="C95" s="14" t="s">
        <v>138</v>
      </c>
      <c r="D95" s="1" t="s">
        <v>211</v>
      </c>
      <c r="E95" s="1" t="s">
        <v>109</v>
      </c>
      <c r="F95" s="1" t="s">
        <v>21</v>
      </c>
      <c r="G95" s="1" t="s">
        <v>212</v>
      </c>
      <c r="H95" s="7">
        <v>37.904000000000003</v>
      </c>
      <c r="I95" s="6">
        <v>5000</v>
      </c>
      <c r="J95" s="5">
        <v>131.91200000000001</v>
      </c>
      <c r="K95" s="5">
        <f t="shared" si="2"/>
        <v>131.91200000000001</v>
      </c>
      <c r="L95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95" s="1" t="s">
        <v>141</v>
      </c>
    </row>
    <row r="96" spans="1:13" ht="27.6" x14ac:dyDescent="0.3">
      <c r="A96" s="13">
        <v>42262</v>
      </c>
      <c r="B96" s="1" t="s">
        <v>239</v>
      </c>
      <c r="C96" s="14" t="s">
        <v>138</v>
      </c>
      <c r="D96" s="1" t="s">
        <v>211</v>
      </c>
      <c r="E96" s="1" t="s">
        <v>109</v>
      </c>
      <c r="F96" s="1" t="s">
        <v>21</v>
      </c>
      <c r="G96" s="1" t="s">
        <v>212</v>
      </c>
      <c r="H96" s="7">
        <v>36.805999999999997</v>
      </c>
      <c r="I96" s="6">
        <v>5000</v>
      </c>
      <c r="J96" s="5">
        <v>135.84700000000001</v>
      </c>
      <c r="K96" s="5">
        <f t="shared" si="2"/>
        <v>135.84700000000001</v>
      </c>
      <c r="L96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96" s="1" t="s">
        <v>141</v>
      </c>
    </row>
    <row r="97" spans="1:13" ht="27.6" x14ac:dyDescent="0.3">
      <c r="A97" s="13">
        <v>42231</v>
      </c>
      <c r="B97" s="1" t="s">
        <v>240</v>
      </c>
      <c r="C97" s="14" t="s">
        <v>138</v>
      </c>
      <c r="D97" s="1" t="s">
        <v>211</v>
      </c>
      <c r="E97" s="1" t="s">
        <v>109</v>
      </c>
      <c r="F97" s="1" t="s">
        <v>21</v>
      </c>
      <c r="G97" s="1" t="s">
        <v>212</v>
      </c>
      <c r="H97" s="7">
        <v>39.938000000000002</v>
      </c>
      <c r="I97" s="6">
        <v>5000</v>
      </c>
      <c r="J97" s="5">
        <v>125.194</v>
      </c>
      <c r="K97" s="5">
        <f t="shared" si="2"/>
        <v>125.194</v>
      </c>
      <c r="L97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97" s="1" t="s">
        <v>141</v>
      </c>
    </row>
    <row r="98" spans="1:13" ht="27.6" x14ac:dyDescent="0.3">
      <c r="A98" s="13">
        <v>42200</v>
      </c>
      <c r="B98" s="1" t="s">
        <v>241</v>
      </c>
      <c r="C98" s="14" t="s">
        <v>138</v>
      </c>
      <c r="D98" s="1" t="s">
        <v>211</v>
      </c>
      <c r="E98" s="1" t="s">
        <v>109</v>
      </c>
      <c r="F98" s="1" t="s">
        <v>21</v>
      </c>
      <c r="G98" s="1" t="s">
        <v>212</v>
      </c>
      <c r="H98" s="7">
        <v>38.213000000000001</v>
      </c>
      <c r="I98" s="6">
        <v>5000</v>
      </c>
      <c r="J98" s="5">
        <v>130.846</v>
      </c>
      <c r="K98" s="5">
        <f t="shared" si="2"/>
        <v>130.846</v>
      </c>
      <c r="L98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98" s="1" t="s">
        <v>141</v>
      </c>
    </row>
    <row r="99" spans="1:13" ht="27.6" x14ac:dyDescent="0.3">
      <c r="A99" s="13">
        <v>41977</v>
      </c>
      <c r="B99" s="1" t="s">
        <v>242</v>
      </c>
      <c r="C99" s="14" t="s">
        <v>138</v>
      </c>
      <c r="D99" s="1" t="s">
        <v>211</v>
      </c>
      <c r="E99" s="1" t="s">
        <v>109</v>
      </c>
      <c r="F99" s="1" t="s">
        <v>21</v>
      </c>
      <c r="G99" s="1" t="s">
        <v>212</v>
      </c>
      <c r="H99" s="7">
        <v>35.966999999999999</v>
      </c>
      <c r="I99" s="6">
        <v>15000</v>
      </c>
      <c r="J99" s="5">
        <v>417.04899999999998</v>
      </c>
      <c r="K99" s="5">
        <f t="shared" si="2"/>
        <v>417.04899999999998</v>
      </c>
      <c r="L99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15000</v>
      </c>
      <c r="M99" s="1" t="s">
        <v>141</v>
      </c>
    </row>
    <row r="100" spans="1:13" ht="27.6" x14ac:dyDescent="0.3">
      <c r="A100" s="13">
        <v>39453</v>
      </c>
      <c r="B100" s="1" t="s">
        <v>243</v>
      </c>
      <c r="C100" s="14" t="s">
        <v>138</v>
      </c>
      <c r="D100" s="1" t="s">
        <v>208</v>
      </c>
      <c r="E100" s="1" t="s">
        <v>117</v>
      </c>
      <c r="F100" s="1" t="s">
        <v>38</v>
      </c>
      <c r="G100" s="1" t="s">
        <v>209</v>
      </c>
      <c r="H100" s="7">
        <v>10</v>
      </c>
      <c r="I100" s="6">
        <v>5000</v>
      </c>
      <c r="J100" s="5">
        <v>500</v>
      </c>
      <c r="K100" s="5">
        <f t="shared" si="2"/>
        <v>500</v>
      </c>
      <c r="L100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100" s="1" t="s">
        <v>141</v>
      </c>
    </row>
    <row r="101" spans="1:13" ht="27.6" x14ac:dyDescent="0.3">
      <c r="A101" s="13">
        <v>39432</v>
      </c>
      <c r="B101" s="1" t="s">
        <v>244</v>
      </c>
      <c r="C101" s="14" t="s">
        <v>138</v>
      </c>
      <c r="D101" s="1" t="s">
        <v>218</v>
      </c>
      <c r="E101" s="1" t="s">
        <v>119</v>
      </c>
      <c r="F101" s="1" t="s">
        <v>41</v>
      </c>
      <c r="G101" s="1" t="s">
        <v>219</v>
      </c>
      <c r="H101" s="7">
        <v>66.820400000000006</v>
      </c>
      <c r="I101" s="6">
        <v>5000</v>
      </c>
      <c r="J101" s="5">
        <v>74.826999999999998</v>
      </c>
      <c r="K101" s="5">
        <f t="shared" si="2"/>
        <v>74.826999999999998</v>
      </c>
      <c r="L101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101" s="1" t="s">
        <v>141</v>
      </c>
    </row>
    <row r="102" spans="1:13" ht="27.6" x14ac:dyDescent="0.3">
      <c r="A102" s="13">
        <v>39425</v>
      </c>
      <c r="B102" s="1" t="s">
        <v>245</v>
      </c>
      <c r="C102" s="14" t="s">
        <v>207</v>
      </c>
      <c r="D102" s="1" t="s">
        <v>246</v>
      </c>
      <c r="E102" s="1" t="s">
        <v>113</v>
      </c>
      <c r="F102" s="1" t="s">
        <v>31</v>
      </c>
      <c r="G102" s="1" t="s">
        <v>247</v>
      </c>
      <c r="H102" s="7">
        <v>31.053999999999998</v>
      </c>
      <c r="I102" s="6">
        <v>11280.05</v>
      </c>
      <c r="J102" s="5">
        <v>363.24</v>
      </c>
      <c r="K102" s="5">
        <f t="shared" si="2"/>
        <v>-363.24</v>
      </c>
      <c r="L102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-11280.05</v>
      </c>
      <c r="M102" s="1" t="s">
        <v>141</v>
      </c>
    </row>
    <row r="103" spans="1:13" ht="27.6" x14ac:dyDescent="0.3">
      <c r="A103" s="13">
        <v>39405</v>
      </c>
      <c r="B103" s="1" t="s">
        <v>248</v>
      </c>
      <c r="C103" s="14" t="s">
        <v>138</v>
      </c>
      <c r="D103" s="1" t="s">
        <v>208</v>
      </c>
      <c r="E103" s="1" t="s">
        <v>37</v>
      </c>
      <c r="F103" s="1" t="s">
        <v>37</v>
      </c>
      <c r="G103" s="1" t="s">
        <v>209</v>
      </c>
      <c r="H103" s="7">
        <v>19.579999999999998</v>
      </c>
      <c r="I103" s="6">
        <v>15000</v>
      </c>
      <c r="J103" s="5">
        <v>766.08799999999997</v>
      </c>
      <c r="K103" s="5">
        <f t="shared" ref="K103:K106" si="3">IF(OR(EXACT(C103,"Redemption"),EXACT(C103,"Redeem"),EXACT(C103,"Switch Out"),EXACT(C103,"sell"),EXACT(C103,"Sell")),-J103,J103)</f>
        <v>766.08799999999997</v>
      </c>
      <c r="L103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15000</v>
      </c>
      <c r="M103" s="1" t="s">
        <v>141</v>
      </c>
    </row>
    <row r="104" spans="1:13" ht="27.6" x14ac:dyDescent="0.3">
      <c r="A104" s="13">
        <v>39305</v>
      </c>
      <c r="B104" s="1" t="s">
        <v>249</v>
      </c>
      <c r="C104" s="14" t="s">
        <v>207</v>
      </c>
      <c r="D104" s="1" t="s">
        <v>218</v>
      </c>
      <c r="E104" s="1" t="s">
        <v>118</v>
      </c>
      <c r="F104" s="1" t="s">
        <v>40</v>
      </c>
      <c r="G104" s="1" t="s">
        <v>219</v>
      </c>
      <c r="H104" s="7">
        <v>28.17</v>
      </c>
      <c r="I104" s="6">
        <v>6837.37</v>
      </c>
      <c r="J104" s="5">
        <v>242.71799999999999</v>
      </c>
      <c r="K104" s="5">
        <f t="shared" si="3"/>
        <v>-242.71799999999999</v>
      </c>
      <c r="L104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-6837.37</v>
      </c>
      <c r="M104" s="1" t="s">
        <v>141</v>
      </c>
    </row>
    <row r="105" spans="1:13" ht="27.6" x14ac:dyDescent="0.3">
      <c r="A105" s="13">
        <v>38624</v>
      </c>
      <c r="B105" s="1" t="s">
        <v>250</v>
      </c>
      <c r="C105" s="14" t="s">
        <v>138</v>
      </c>
      <c r="D105" s="1" t="s">
        <v>218</v>
      </c>
      <c r="E105" s="1" t="s">
        <v>118</v>
      </c>
      <c r="F105" s="1" t="s">
        <v>40</v>
      </c>
      <c r="G105" s="1" t="s">
        <v>219</v>
      </c>
      <c r="H105" s="7">
        <v>20.6</v>
      </c>
      <c r="I105" s="6">
        <v>5000</v>
      </c>
      <c r="J105" s="5">
        <v>242.71799999999999</v>
      </c>
      <c r="K105" s="5">
        <f t="shared" si="3"/>
        <v>242.71799999999999</v>
      </c>
      <c r="L105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105" s="1" t="s">
        <v>141</v>
      </c>
    </row>
    <row r="106" spans="1:13" ht="27.6" x14ac:dyDescent="0.3">
      <c r="A106" s="13">
        <v>38623</v>
      </c>
      <c r="B106" s="1" t="s">
        <v>251</v>
      </c>
      <c r="C106" s="14" t="s">
        <v>138</v>
      </c>
      <c r="D106" s="1" t="s">
        <v>246</v>
      </c>
      <c r="E106" s="1" t="s">
        <v>113</v>
      </c>
      <c r="F106" s="1" t="s">
        <v>31</v>
      </c>
      <c r="G106" s="1" t="s">
        <v>247</v>
      </c>
      <c r="H106" s="7">
        <v>13.765000000000001</v>
      </c>
      <c r="I106" s="6">
        <v>5000</v>
      </c>
      <c r="J106" s="5">
        <v>363.24</v>
      </c>
      <c r="K106" s="5">
        <f t="shared" si="3"/>
        <v>363.24</v>
      </c>
      <c r="L106" s="6">
        <f>IF(EXACT(tICICIAshu[[#This Row],[Transaction Type]],"Initial Purchase Pre-Rejection"),0,IF(OR(EXACT(tICICIAshu[[#This Row],[Transaction Type]],"Redemption"),EXACT(tICICIAshu[[#This Row],[Transaction Type]],"Redeem"),EXACT(tICICIAshu[[#This Row],[Transaction Type]],"Switch Out"),EXACT(tICICIAshu[[#This Row],[Transaction Type]],"sell"),EXACT(tICICIAshu[[#This Row],[Transaction Type]],"Sell")),-tICICIAshu[[#This Row],[Amount]],tICICIAshu[[#This Row],[Amount]]))</f>
        <v>5000</v>
      </c>
      <c r="M106" s="1" t="s">
        <v>141</v>
      </c>
    </row>
  </sheetData>
  <mergeCells count="2">
    <mergeCell ref="A1:M1"/>
    <mergeCell ref="A2:M2"/>
  </mergeCells>
  <phoneticPr fontId="16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5"/>
  <sheetViews>
    <sheetView topLeftCell="D1" zoomScaleNormal="100" workbookViewId="0">
      <pane ySplit="4" topLeftCell="A179" activePane="bottomLeft" state="frozen"/>
      <selection pane="bottomLeft" activeCell="H195" sqref="H195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8" customWidth="1"/>
    <col min="4" max="4" width="22" customWidth="1"/>
    <col min="5" max="6" width="38" customWidth="1"/>
    <col min="7" max="11" width="14" customWidth="1"/>
    <col min="12" max="12" width="16" customWidth="1"/>
    <col min="13" max="13" width="12" customWidth="1"/>
  </cols>
  <sheetData>
    <row r="1" spans="1:13" ht="27.75" customHeight="1" x14ac:dyDescent="0.3">
      <c r="A1" s="54" t="s">
        <v>252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18" customHeight="1" x14ac:dyDescent="0.3">
      <c r="A2" s="47" t="s">
        <v>253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4" spans="1:13" ht="27.75" customHeight="1" x14ac:dyDescent="0.3">
      <c r="A4" s="4" t="s">
        <v>126</v>
      </c>
      <c r="B4" s="4" t="s">
        <v>127</v>
      </c>
      <c r="C4" s="4" t="s">
        <v>128</v>
      </c>
      <c r="D4" s="4" t="s">
        <v>129</v>
      </c>
      <c r="E4" s="4" t="s">
        <v>130</v>
      </c>
      <c r="F4" s="4" t="s">
        <v>8</v>
      </c>
      <c r="G4" s="4" t="s">
        <v>131</v>
      </c>
      <c r="H4" s="4" t="s">
        <v>132</v>
      </c>
      <c r="I4" s="4" t="s">
        <v>133</v>
      </c>
      <c r="J4" s="4" t="s">
        <v>134</v>
      </c>
      <c r="K4" s="4" t="s">
        <v>135</v>
      </c>
      <c r="L4" s="4" t="s">
        <v>136</v>
      </c>
      <c r="M4" s="4" t="s">
        <v>14</v>
      </c>
    </row>
    <row r="5" spans="1:13" ht="27.6" x14ac:dyDescent="0.3">
      <c r="A5" s="13">
        <v>44264</v>
      </c>
      <c r="B5" s="1" t="s">
        <v>437</v>
      </c>
      <c r="C5" s="14" t="s">
        <v>255</v>
      </c>
      <c r="D5" s="1" t="s">
        <v>258</v>
      </c>
      <c r="E5" s="1" t="s">
        <v>104</v>
      </c>
      <c r="F5" s="1" t="s">
        <v>15</v>
      </c>
      <c r="G5" s="1"/>
      <c r="H5" s="7">
        <v>35.06</v>
      </c>
      <c r="I5" s="6">
        <v>2499.88</v>
      </c>
      <c r="J5" s="5">
        <v>71.302999999999997</v>
      </c>
      <c r="K5" s="5">
        <f t="shared" ref="K5:K36" si="0">IF(OR(EXACT(C5,"Redemption"),EXACT(C5,"Redeem"),EXACT(C5,"Switch Out"),EXACT(C5,"sell"),EXACT(C5,"Sell")),-J5,J5)</f>
        <v>71.302999999999997</v>
      </c>
      <c r="L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5" s="1" t="s">
        <v>141</v>
      </c>
    </row>
    <row r="6" spans="1:13" ht="27.6" x14ac:dyDescent="0.3">
      <c r="A6" s="13">
        <v>44264</v>
      </c>
      <c r="B6" s="1" t="s">
        <v>438</v>
      </c>
      <c r="C6" s="14" t="s">
        <v>255</v>
      </c>
      <c r="D6" s="1" t="s">
        <v>256</v>
      </c>
      <c r="E6" s="1" t="s">
        <v>116</v>
      </c>
      <c r="F6" s="1" t="s">
        <v>36</v>
      </c>
      <c r="G6" s="1"/>
      <c r="H6" s="7">
        <v>79.870999999999995</v>
      </c>
      <c r="I6" s="6">
        <v>2499.88</v>
      </c>
      <c r="J6" s="5">
        <v>31.298999999999999</v>
      </c>
      <c r="K6" s="5">
        <f t="shared" si="0"/>
        <v>31.298999999999999</v>
      </c>
      <c r="L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6" s="1" t="s">
        <v>141</v>
      </c>
    </row>
    <row r="7" spans="1:13" x14ac:dyDescent="0.3">
      <c r="A7" s="13">
        <v>44264</v>
      </c>
      <c r="B7" s="1" t="s">
        <v>439</v>
      </c>
      <c r="C7" s="14" t="s">
        <v>255</v>
      </c>
      <c r="D7" s="1" t="s">
        <v>260</v>
      </c>
      <c r="E7" s="1" t="s">
        <v>33</v>
      </c>
      <c r="F7" s="1" t="s">
        <v>33</v>
      </c>
      <c r="G7" s="1"/>
      <c r="H7" s="7">
        <v>12.236499999999999</v>
      </c>
      <c r="I7" s="6">
        <v>1999.9</v>
      </c>
      <c r="J7" s="5">
        <v>163.43700000000001</v>
      </c>
      <c r="K7" s="5">
        <f t="shared" si="0"/>
        <v>163.43700000000001</v>
      </c>
      <c r="L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7" s="1" t="s">
        <v>141</v>
      </c>
    </row>
    <row r="8" spans="1:13" x14ac:dyDescent="0.3">
      <c r="A8" s="13">
        <v>44313</v>
      </c>
      <c r="B8" s="1" t="s">
        <v>434</v>
      </c>
      <c r="C8" s="14" t="s">
        <v>255</v>
      </c>
      <c r="D8" s="1" t="s">
        <v>260</v>
      </c>
      <c r="E8" s="1" t="s">
        <v>33</v>
      </c>
      <c r="F8" s="1" t="s">
        <v>33</v>
      </c>
      <c r="G8" s="1"/>
      <c r="H8" s="7">
        <v>12.1898</v>
      </c>
      <c r="I8" s="6">
        <v>1999.9</v>
      </c>
      <c r="J8" s="5">
        <v>164.06299999999999</v>
      </c>
      <c r="K8" s="5">
        <f t="shared" si="0"/>
        <v>164.06299999999999</v>
      </c>
      <c r="L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8" s="1" t="s">
        <v>141</v>
      </c>
    </row>
    <row r="9" spans="1:13" ht="27.6" x14ac:dyDescent="0.3">
      <c r="A9" s="13">
        <v>44313</v>
      </c>
      <c r="B9" s="1" t="s">
        <v>435</v>
      </c>
      <c r="C9" s="14" t="s">
        <v>255</v>
      </c>
      <c r="D9" s="1" t="s">
        <v>256</v>
      </c>
      <c r="E9" s="1" t="s">
        <v>116</v>
      </c>
      <c r="F9" s="1" t="s">
        <v>36</v>
      </c>
      <c r="G9" s="1"/>
      <c r="H9" s="7">
        <v>79.349999999999994</v>
      </c>
      <c r="I9" s="6">
        <v>2499.88</v>
      </c>
      <c r="J9" s="5">
        <v>31.504000000000001</v>
      </c>
      <c r="K9" s="5">
        <f t="shared" si="0"/>
        <v>31.504000000000001</v>
      </c>
      <c r="L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9" s="1" t="s">
        <v>141</v>
      </c>
    </row>
    <row r="10" spans="1:13" ht="27.6" x14ac:dyDescent="0.3">
      <c r="A10" s="13">
        <v>44313</v>
      </c>
      <c r="B10" s="1" t="s">
        <v>436</v>
      </c>
      <c r="C10" s="14" t="s">
        <v>255</v>
      </c>
      <c r="D10" s="1" t="s">
        <v>258</v>
      </c>
      <c r="E10" s="1" t="s">
        <v>104</v>
      </c>
      <c r="F10" s="1" t="s">
        <v>15</v>
      </c>
      <c r="G10" s="1"/>
      <c r="H10" s="7">
        <v>32.75</v>
      </c>
      <c r="I10" s="6">
        <v>2499.88</v>
      </c>
      <c r="J10" s="5">
        <v>76.331999999999994</v>
      </c>
      <c r="K10" s="5">
        <f t="shared" si="0"/>
        <v>76.331999999999994</v>
      </c>
      <c r="L1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0" s="1" t="s">
        <v>141</v>
      </c>
    </row>
    <row r="11" spans="1:13" x14ac:dyDescent="0.3">
      <c r="A11" s="13">
        <v>44342</v>
      </c>
      <c r="B11" s="1" t="s">
        <v>431</v>
      </c>
      <c r="C11" s="14" t="s">
        <v>255</v>
      </c>
      <c r="D11" s="1" t="s">
        <v>260</v>
      </c>
      <c r="E11" s="1" t="s">
        <v>33</v>
      </c>
      <c r="F11" s="1" t="s">
        <v>33</v>
      </c>
      <c r="G11" s="1"/>
      <c r="H11" s="7">
        <v>12.8726</v>
      </c>
      <c r="I11" s="6">
        <v>1999.9</v>
      </c>
      <c r="J11" s="5">
        <v>155.36099999999999</v>
      </c>
      <c r="K11" s="5">
        <f t="shared" si="0"/>
        <v>155.36099999999999</v>
      </c>
      <c r="L1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1" s="1" t="s">
        <v>141</v>
      </c>
    </row>
    <row r="12" spans="1:13" ht="27.6" x14ac:dyDescent="0.3">
      <c r="A12" s="13">
        <v>44342</v>
      </c>
      <c r="B12" s="1" t="s">
        <v>432</v>
      </c>
      <c r="C12" s="14" t="s">
        <v>255</v>
      </c>
      <c r="D12" s="1" t="s">
        <v>256</v>
      </c>
      <c r="E12" s="1" t="s">
        <v>116</v>
      </c>
      <c r="F12" s="1" t="s">
        <v>36</v>
      </c>
      <c r="G12" s="1"/>
      <c r="H12" s="7">
        <v>84.134</v>
      </c>
      <c r="I12" s="6">
        <v>2499.88</v>
      </c>
      <c r="J12" s="5">
        <v>29.713000000000001</v>
      </c>
      <c r="K12" s="5">
        <f t="shared" si="0"/>
        <v>29.713000000000001</v>
      </c>
      <c r="L1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2" s="1" t="s">
        <v>141</v>
      </c>
    </row>
    <row r="13" spans="1:13" ht="27.6" x14ac:dyDescent="0.3">
      <c r="A13" s="13">
        <v>44342</v>
      </c>
      <c r="B13" s="1" t="s">
        <v>433</v>
      </c>
      <c r="C13" s="14" t="s">
        <v>255</v>
      </c>
      <c r="D13" s="1" t="s">
        <v>258</v>
      </c>
      <c r="E13" s="1" t="s">
        <v>104</v>
      </c>
      <c r="F13" s="1" t="s">
        <v>15</v>
      </c>
      <c r="G13" s="1"/>
      <c r="H13" s="7">
        <v>35.36</v>
      </c>
      <c r="I13" s="6">
        <v>2499.88</v>
      </c>
      <c r="J13" s="5">
        <v>70.697999999999993</v>
      </c>
      <c r="K13" s="5">
        <f t="shared" si="0"/>
        <v>70.697999999999993</v>
      </c>
      <c r="L1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3" s="1" t="s">
        <v>141</v>
      </c>
    </row>
    <row r="14" spans="1:13" ht="27.6" x14ac:dyDescent="0.3">
      <c r="A14" s="13">
        <v>44372</v>
      </c>
      <c r="B14" s="1" t="s">
        <v>428</v>
      </c>
      <c r="C14" s="14" t="s">
        <v>255</v>
      </c>
      <c r="D14" s="1" t="s">
        <v>258</v>
      </c>
      <c r="E14" s="1" t="s">
        <v>104</v>
      </c>
      <c r="F14" s="1" t="s">
        <v>15</v>
      </c>
      <c r="G14" s="1"/>
      <c r="H14" s="7">
        <v>36.340000000000003</v>
      </c>
      <c r="I14" s="6">
        <v>2499.88</v>
      </c>
      <c r="J14" s="5">
        <v>68.790999999999997</v>
      </c>
      <c r="K14" s="5">
        <f t="shared" si="0"/>
        <v>68.790999999999997</v>
      </c>
      <c r="L1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4" s="1" t="s">
        <v>141</v>
      </c>
    </row>
    <row r="15" spans="1:13" x14ac:dyDescent="0.3">
      <c r="A15" s="13">
        <v>44372</v>
      </c>
      <c r="B15" s="1" t="s">
        <v>429</v>
      </c>
      <c r="C15" s="14" t="s">
        <v>255</v>
      </c>
      <c r="D15" s="1" t="s">
        <v>260</v>
      </c>
      <c r="E15" s="1" t="s">
        <v>33</v>
      </c>
      <c r="F15" s="1" t="s">
        <v>33</v>
      </c>
      <c r="G15" s="1"/>
      <c r="H15" s="7">
        <v>13.5215</v>
      </c>
      <c r="I15" s="6">
        <v>1999.9</v>
      </c>
      <c r="J15" s="5">
        <v>147.905</v>
      </c>
      <c r="K15" s="5">
        <f t="shared" si="0"/>
        <v>147.905</v>
      </c>
      <c r="L1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5" s="1" t="s">
        <v>141</v>
      </c>
    </row>
    <row r="16" spans="1:13" ht="27.6" x14ac:dyDescent="0.3">
      <c r="A16" s="13">
        <v>44372</v>
      </c>
      <c r="B16" s="1" t="s">
        <v>430</v>
      </c>
      <c r="C16" s="14" t="s">
        <v>255</v>
      </c>
      <c r="D16" s="1" t="s">
        <v>256</v>
      </c>
      <c r="E16" s="1" t="s">
        <v>116</v>
      </c>
      <c r="F16" s="1" t="s">
        <v>36</v>
      </c>
      <c r="G16" s="1"/>
      <c r="H16" s="7">
        <v>87.8</v>
      </c>
      <c r="I16" s="6">
        <v>2499.88</v>
      </c>
      <c r="J16" s="5">
        <v>28.472000000000001</v>
      </c>
      <c r="K16" s="5">
        <f t="shared" si="0"/>
        <v>28.472000000000001</v>
      </c>
      <c r="L1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6" s="1" t="s">
        <v>141</v>
      </c>
    </row>
    <row r="17" spans="1:13" ht="27.6" x14ac:dyDescent="0.3">
      <c r="A17" s="13">
        <v>44403</v>
      </c>
      <c r="B17" s="1" t="s">
        <v>425</v>
      </c>
      <c r="C17" s="14" t="s">
        <v>255</v>
      </c>
      <c r="D17" s="1" t="s">
        <v>258</v>
      </c>
      <c r="E17" s="1" t="s">
        <v>104</v>
      </c>
      <c r="F17" s="1" t="s">
        <v>15</v>
      </c>
      <c r="G17" s="1"/>
      <c r="H17" s="7">
        <v>36.58</v>
      </c>
      <c r="I17" s="6">
        <v>2499.88</v>
      </c>
      <c r="J17" s="5">
        <v>68.34</v>
      </c>
      <c r="K17" s="5">
        <f t="shared" si="0"/>
        <v>68.34</v>
      </c>
      <c r="L1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7" s="1" t="s">
        <v>141</v>
      </c>
    </row>
    <row r="18" spans="1:13" x14ac:dyDescent="0.3">
      <c r="A18" s="13">
        <v>44403</v>
      </c>
      <c r="B18" s="1" t="s">
        <v>426</v>
      </c>
      <c r="C18" s="14" t="s">
        <v>255</v>
      </c>
      <c r="D18" s="1" t="s">
        <v>260</v>
      </c>
      <c r="E18" s="1" t="s">
        <v>33</v>
      </c>
      <c r="F18" s="1" t="s">
        <v>33</v>
      </c>
      <c r="G18" s="1"/>
      <c r="H18" s="7">
        <v>13.7803</v>
      </c>
      <c r="I18" s="6">
        <v>1999.9</v>
      </c>
      <c r="J18" s="5">
        <v>145.12700000000001</v>
      </c>
      <c r="K18" s="5">
        <f t="shared" si="0"/>
        <v>145.12700000000001</v>
      </c>
      <c r="L1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8" s="1" t="s">
        <v>141</v>
      </c>
    </row>
    <row r="19" spans="1:13" ht="27.6" x14ac:dyDescent="0.3">
      <c r="A19" s="13">
        <v>44403</v>
      </c>
      <c r="B19" s="1" t="s">
        <v>427</v>
      </c>
      <c r="C19" s="14" t="s">
        <v>255</v>
      </c>
      <c r="D19" s="1" t="s">
        <v>256</v>
      </c>
      <c r="E19" s="1" t="s">
        <v>116</v>
      </c>
      <c r="F19" s="1" t="s">
        <v>36</v>
      </c>
      <c r="G19" s="1"/>
      <c r="H19" s="7">
        <v>90.322999999999993</v>
      </c>
      <c r="I19" s="6">
        <v>2499.88</v>
      </c>
      <c r="J19" s="5">
        <v>27.677</v>
      </c>
      <c r="K19" s="5">
        <f t="shared" si="0"/>
        <v>27.677</v>
      </c>
      <c r="L1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9" s="1" t="s">
        <v>141</v>
      </c>
    </row>
    <row r="20" spans="1:13" ht="27.6" x14ac:dyDescent="0.3">
      <c r="A20" s="13">
        <v>44433</v>
      </c>
      <c r="B20" s="1" t="s">
        <v>422</v>
      </c>
      <c r="C20" s="14" t="s">
        <v>255</v>
      </c>
      <c r="D20" s="1" t="s">
        <v>258</v>
      </c>
      <c r="E20" s="1" t="s">
        <v>104</v>
      </c>
      <c r="F20" s="1" t="s">
        <v>15</v>
      </c>
      <c r="G20" s="1"/>
      <c r="H20" s="7">
        <v>37.4</v>
      </c>
      <c r="I20" s="6">
        <v>2499.88</v>
      </c>
      <c r="J20" s="5">
        <v>66.841999999999999</v>
      </c>
      <c r="K20" s="5">
        <f t="shared" si="0"/>
        <v>66.841999999999999</v>
      </c>
      <c r="L2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20" s="1" t="s">
        <v>141</v>
      </c>
    </row>
    <row r="21" spans="1:13" ht="27.6" x14ac:dyDescent="0.3">
      <c r="A21" s="13">
        <v>44433</v>
      </c>
      <c r="B21" s="1" t="s">
        <v>423</v>
      </c>
      <c r="C21" s="14" t="s">
        <v>255</v>
      </c>
      <c r="D21" s="1" t="s">
        <v>256</v>
      </c>
      <c r="E21" s="1" t="s">
        <v>116</v>
      </c>
      <c r="F21" s="1" t="s">
        <v>36</v>
      </c>
      <c r="G21" s="1"/>
      <c r="H21" s="7">
        <v>91.980999999999995</v>
      </c>
      <c r="I21" s="6">
        <v>2499.88</v>
      </c>
      <c r="J21" s="5">
        <v>27.178000000000001</v>
      </c>
      <c r="K21" s="5">
        <f t="shared" si="0"/>
        <v>27.178000000000001</v>
      </c>
      <c r="L2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21" s="1" t="s">
        <v>141</v>
      </c>
    </row>
    <row r="22" spans="1:13" x14ac:dyDescent="0.3">
      <c r="A22" s="13">
        <v>44433</v>
      </c>
      <c r="B22" s="1" t="s">
        <v>424</v>
      </c>
      <c r="C22" s="14" t="s">
        <v>255</v>
      </c>
      <c r="D22" s="1" t="s">
        <v>260</v>
      </c>
      <c r="E22" s="1" t="s">
        <v>33</v>
      </c>
      <c r="F22" s="1" t="s">
        <v>33</v>
      </c>
      <c r="G22" s="1"/>
      <c r="H22" s="7">
        <v>14.2591</v>
      </c>
      <c r="I22" s="6">
        <v>1999.9</v>
      </c>
      <c r="J22" s="5">
        <v>140.25399999999999</v>
      </c>
      <c r="K22" s="5">
        <f t="shared" si="0"/>
        <v>140.25399999999999</v>
      </c>
      <c r="L2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22" s="1" t="s">
        <v>141</v>
      </c>
    </row>
    <row r="23" spans="1:13" x14ac:dyDescent="0.3">
      <c r="A23" s="13">
        <v>44445</v>
      </c>
      <c r="B23" s="1" t="s">
        <v>421</v>
      </c>
      <c r="C23" s="14" t="s">
        <v>138</v>
      </c>
      <c r="D23" s="1" t="s">
        <v>260</v>
      </c>
      <c r="E23" s="1" t="s">
        <v>32</v>
      </c>
      <c r="F23" s="1" t="s">
        <v>32</v>
      </c>
      <c r="G23" s="1"/>
      <c r="H23" s="7">
        <v>10.1036</v>
      </c>
      <c r="I23" s="6">
        <v>499975</v>
      </c>
      <c r="J23" s="5">
        <v>49484.837</v>
      </c>
      <c r="K23" s="5">
        <f t="shared" si="0"/>
        <v>49484.837</v>
      </c>
      <c r="L2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499975</v>
      </c>
      <c r="M23" s="1" t="s">
        <v>141</v>
      </c>
    </row>
    <row r="24" spans="1:13" ht="27.6" x14ac:dyDescent="0.3">
      <c r="A24" s="13">
        <v>44466</v>
      </c>
      <c r="B24" s="1" t="s">
        <v>418</v>
      </c>
      <c r="C24" s="14" t="s">
        <v>255</v>
      </c>
      <c r="D24" s="1" t="s">
        <v>258</v>
      </c>
      <c r="E24" s="1" t="s">
        <v>104</v>
      </c>
      <c r="F24" s="1" t="s">
        <v>15</v>
      </c>
      <c r="G24" s="1"/>
      <c r="H24" s="7">
        <v>40.08</v>
      </c>
      <c r="I24" s="6">
        <v>2499.88</v>
      </c>
      <c r="J24" s="5">
        <v>62.372</v>
      </c>
      <c r="K24" s="5">
        <f t="shared" si="0"/>
        <v>62.372</v>
      </c>
      <c r="L2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24" s="1" t="s">
        <v>141</v>
      </c>
    </row>
    <row r="25" spans="1:13" x14ac:dyDescent="0.3">
      <c r="A25" s="13">
        <v>44466</v>
      </c>
      <c r="B25" s="1" t="s">
        <v>419</v>
      </c>
      <c r="C25" s="14" t="s">
        <v>255</v>
      </c>
      <c r="D25" s="1" t="s">
        <v>260</v>
      </c>
      <c r="E25" s="1" t="s">
        <v>33</v>
      </c>
      <c r="F25" s="1" t="s">
        <v>33</v>
      </c>
      <c r="G25" s="1"/>
      <c r="H25" s="7">
        <v>15.316800000000001</v>
      </c>
      <c r="I25" s="6">
        <v>1999.9</v>
      </c>
      <c r="J25" s="5">
        <v>130.56899999999999</v>
      </c>
      <c r="K25" s="5">
        <f t="shared" si="0"/>
        <v>130.56899999999999</v>
      </c>
      <c r="L2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25" s="1" t="s">
        <v>141</v>
      </c>
    </row>
    <row r="26" spans="1:13" ht="27.6" x14ac:dyDescent="0.3">
      <c r="A26" s="13">
        <v>44466</v>
      </c>
      <c r="B26" s="1" t="s">
        <v>420</v>
      </c>
      <c r="C26" s="14" t="s">
        <v>255</v>
      </c>
      <c r="D26" s="1" t="s">
        <v>256</v>
      </c>
      <c r="E26" s="1" t="s">
        <v>116</v>
      </c>
      <c r="F26" s="1" t="s">
        <v>36</v>
      </c>
      <c r="G26" s="1"/>
      <c r="H26" s="7">
        <v>98.293000000000006</v>
      </c>
      <c r="I26" s="6">
        <v>2499.88</v>
      </c>
      <c r="J26" s="5">
        <v>25.433</v>
      </c>
      <c r="K26" s="5">
        <f t="shared" si="0"/>
        <v>25.433</v>
      </c>
      <c r="L2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26" s="1" t="s">
        <v>141</v>
      </c>
    </row>
    <row r="27" spans="1:13" ht="27.6" x14ac:dyDescent="0.3">
      <c r="A27" s="13">
        <v>44495</v>
      </c>
      <c r="B27" s="1" t="s">
        <v>415</v>
      </c>
      <c r="C27" s="14" t="s">
        <v>255</v>
      </c>
      <c r="D27" s="1" t="s">
        <v>256</v>
      </c>
      <c r="E27" s="1" t="s">
        <v>116</v>
      </c>
      <c r="F27" s="1" t="s">
        <v>36</v>
      </c>
      <c r="G27" s="1"/>
      <c r="H27" s="7">
        <v>100.801</v>
      </c>
      <c r="I27" s="6">
        <v>2499.88</v>
      </c>
      <c r="J27" s="5">
        <v>24.8</v>
      </c>
      <c r="K27" s="5">
        <f t="shared" si="0"/>
        <v>24.8</v>
      </c>
      <c r="L2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27" s="1" t="s">
        <v>141</v>
      </c>
    </row>
    <row r="28" spans="1:13" ht="27.6" x14ac:dyDescent="0.3">
      <c r="A28" s="13">
        <v>44495</v>
      </c>
      <c r="B28" s="1" t="s">
        <v>416</v>
      </c>
      <c r="C28" s="14" t="s">
        <v>255</v>
      </c>
      <c r="D28" s="1" t="s">
        <v>258</v>
      </c>
      <c r="E28" s="1" t="s">
        <v>104</v>
      </c>
      <c r="F28" s="1" t="s">
        <v>15</v>
      </c>
      <c r="G28" s="1"/>
      <c r="H28" s="7">
        <v>41.77</v>
      </c>
      <c r="I28" s="6">
        <v>2499.88</v>
      </c>
      <c r="J28" s="5">
        <v>59.848999999999997</v>
      </c>
      <c r="K28" s="5">
        <f t="shared" si="0"/>
        <v>59.848999999999997</v>
      </c>
      <c r="L2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28" s="1" t="s">
        <v>141</v>
      </c>
    </row>
    <row r="29" spans="1:13" x14ac:dyDescent="0.3">
      <c r="A29" s="13">
        <v>44495</v>
      </c>
      <c r="B29" s="1" t="s">
        <v>417</v>
      </c>
      <c r="C29" s="14" t="s">
        <v>255</v>
      </c>
      <c r="D29" s="1" t="s">
        <v>260</v>
      </c>
      <c r="E29" s="1" t="s">
        <v>33</v>
      </c>
      <c r="F29" s="1" t="s">
        <v>33</v>
      </c>
      <c r="G29" s="1"/>
      <c r="H29" s="7">
        <v>15.690799999999999</v>
      </c>
      <c r="I29" s="6">
        <v>1999.9</v>
      </c>
      <c r="J29" s="5">
        <v>127.45699999999999</v>
      </c>
      <c r="K29" s="5">
        <f t="shared" si="0"/>
        <v>127.45699999999999</v>
      </c>
      <c r="L2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29" s="1" t="s">
        <v>141</v>
      </c>
    </row>
    <row r="30" spans="1:13" x14ac:dyDescent="0.3">
      <c r="A30" s="13">
        <v>44525</v>
      </c>
      <c r="B30" s="1" t="s">
        <v>412</v>
      </c>
      <c r="C30" s="14" t="s">
        <v>255</v>
      </c>
      <c r="D30" s="1" t="s">
        <v>260</v>
      </c>
      <c r="E30" s="1" t="s">
        <v>33</v>
      </c>
      <c r="F30" s="1" t="s">
        <v>33</v>
      </c>
      <c r="G30" s="1"/>
      <c r="H30" s="7">
        <v>15.261200000000001</v>
      </c>
      <c r="I30" s="6">
        <v>1999.9</v>
      </c>
      <c r="J30" s="5">
        <v>131.04499999999999</v>
      </c>
      <c r="K30" s="5">
        <f t="shared" si="0"/>
        <v>131.04499999999999</v>
      </c>
      <c r="L3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30" s="1" t="s">
        <v>141</v>
      </c>
    </row>
    <row r="31" spans="1:13" ht="27.6" x14ac:dyDescent="0.3">
      <c r="A31" s="13">
        <v>44525</v>
      </c>
      <c r="B31" s="1" t="s">
        <v>413</v>
      </c>
      <c r="C31" s="14" t="s">
        <v>255</v>
      </c>
      <c r="D31" s="1" t="s">
        <v>256</v>
      </c>
      <c r="E31" s="1" t="s">
        <v>116</v>
      </c>
      <c r="F31" s="1" t="s">
        <v>36</v>
      </c>
      <c r="G31" s="1"/>
      <c r="H31" s="7">
        <v>98.893000000000001</v>
      </c>
      <c r="I31" s="6">
        <v>2499.88</v>
      </c>
      <c r="J31" s="5">
        <v>25.279</v>
      </c>
      <c r="K31" s="5">
        <f t="shared" si="0"/>
        <v>25.279</v>
      </c>
      <c r="L3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31" s="1" t="s">
        <v>141</v>
      </c>
    </row>
    <row r="32" spans="1:13" ht="27.6" x14ac:dyDescent="0.3">
      <c r="A32" s="13">
        <v>44525</v>
      </c>
      <c r="B32" s="1" t="s">
        <v>414</v>
      </c>
      <c r="C32" s="14" t="s">
        <v>255</v>
      </c>
      <c r="D32" s="1" t="s">
        <v>258</v>
      </c>
      <c r="E32" s="1" t="s">
        <v>104</v>
      </c>
      <c r="F32" s="1" t="s">
        <v>15</v>
      </c>
      <c r="G32" s="1"/>
      <c r="H32" s="7">
        <v>39.29</v>
      </c>
      <c r="I32" s="6">
        <v>2499.88</v>
      </c>
      <c r="J32" s="5">
        <v>63.625999999999998</v>
      </c>
      <c r="K32" s="5">
        <f t="shared" si="0"/>
        <v>63.625999999999998</v>
      </c>
      <c r="L3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32" s="1" t="s">
        <v>141</v>
      </c>
    </row>
    <row r="33" spans="1:13" x14ac:dyDescent="0.3">
      <c r="A33" s="13">
        <v>44557</v>
      </c>
      <c r="B33" s="1" t="s">
        <v>409</v>
      </c>
      <c r="C33" s="14" t="s">
        <v>255</v>
      </c>
      <c r="D33" s="1" t="s">
        <v>260</v>
      </c>
      <c r="E33" s="1" t="s">
        <v>33</v>
      </c>
      <c r="F33" s="1" t="s">
        <v>33</v>
      </c>
      <c r="G33" s="1"/>
      <c r="H33" s="7">
        <v>14.7761</v>
      </c>
      <c r="I33" s="6">
        <v>1999.9</v>
      </c>
      <c r="J33" s="5">
        <v>135.34700000000001</v>
      </c>
      <c r="K33" s="5">
        <f t="shared" si="0"/>
        <v>135.34700000000001</v>
      </c>
      <c r="L3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33" s="1" t="s">
        <v>141</v>
      </c>
    </row>
    <row r="34" spans="1:13" ht="27.6" x14ac:dyDescent="0.3">
      <c r="A34" s="13">
        <v>44557</v>
      </c>
      <c r="B34" s="1" t="s">
        <v>410</v>
      </c>
      <c r="C34" s="14" t="s">
        <v>255</v>
      </c>
      <c r="D34" s="1" t="s">
        <v>256</v>
      </c>
      <c r="E34" s="1" t="s">
        <v>116</v>
      </c>
      <c r="F34" s="1" t="s">
        <v>36</v>
      </c>
      <c r="G34" s="1"/>
      <c r="H34" s="7">
        <v>96.210999999999999</v>
      </c>
      <c r="I34" s="6">
        <v>2499.88</v>
      </c>
      <c r="J34" s="5">
        <v>25.983000000000001</v>
      </c>
      <c r="K34" s="5">
        <f t="shared" si="0"/>
        <v>25.983000000000001</v>
      </c>
      <c r="L3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34" s="1" t="s">
        <v>141</v>
      </c>
    </row>
    <row r="35" spans="1:13" ht="27.6" x14ac:dyDescent="0.3">
      <c r="A35" s="13">
        <v>44557</v>
      </c>
      <c r="B35" s="1" t="s">
        <v>411</v>
      </c>
      <c r="C35" s="14" t="s">
        <v>255</v>
      </c>
      <c r="D35" s="1" t="s">
        <v>258</v>
      </c>
      <c r="E35" s="1" t="s">
        <v>104</v>
      </c>
      <c r="F35" s="1" t="s">
        <v>15</v>
      </c>
      <c r="G35" s="1"/>
      <c r="H35" s="7">
        <v>36.590000000000003</v>
      </c>
      <c r="I35" s="6">
        <v>2499.88</v>
      </c>
      <c r="J35" s="5">
        <v>68.320999999999998</v>
      </c>
      <c r="K35" s="5">
        <f t="shared" si="0"/>
        <v>68.320999999999998</v>
      </c>
      <c r="L3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35" s="1" t="s">
        <v>141</v>
      </c>
    </row>
    <row r="36" spans="1:13" ht="27.6" x14ac:dyDescent="0.3">
      <c r="A36" s="13">
        <v>44586</v>
      </c>
      <c r="B36" s="1" t="s">
        <v>406</v>
      </c>
      <c r="C36" s="14" t="s">
        <v>255</v>
      </c>
      <c r="D36" s="1" t="s">
        <v>258</v>
      </c>
      <c r="E36" s="1" t="s">
        <v>104</v>
      </c>
      <c r="F36" s="1" t="s">
        <v>15</v>
      </c>
      <c r="G36" s="1"/>
      <c r="H36" s="7">
        <v>38.47</v>
      </c>
      <c r="I36" s="6">
        <v>2499.88</v>
      </c>
      <c r="J36" s="5">
        <v>64.983000000000004</v>
      </c>
      <c r="K36" s="5">
        <f t="shared" si="0"/>
        <v>64.983000000000004</v>
      </c>
      <c r="L3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36" s="1" t="s">
        <v>141</v>
      </c>
    </row>
    <row r="37" spans="1:13" x14ac:dyDescent="0.3">
      <c r="A37" s="13">
        <v>44586</v>
      </c>
      <c r="B37" s="1" t="s">
        <v>407</v>
      </c>
      <c r="C37" s="14" t="s">
        <v>255</v>
      </c>
      <c r="D37" s="1" t="s">
        <v>260</v>
      </c>
      <c r="E37" s="1" t="s">
        <v>33</v>
      </c>
      <c r="F37" s="1" t="s">
        <v>33</v>
      </c>
      <c r="G37" s="1"/>
      <c r="H37" s="7">
        <v>15.1479</v>
      </c>
      <c r="I37" s="6">
        <v>1999.9</v>
      </c>
      <c r="J37" s="5">
        <v>132.02500000000001</v>
      </c>
      <c r="K37" s="5">
        <f t="shared" ref="K37:K68" si="1">IF(OR(EXACT(C37,"Redemption"),EXACT(C37,"Redeem"),EXACT(C37,"Switch Out"),EXACT(C37,"sell"),EXACT(C37,"Sell")),-J37,J37)</f>
        <v>132.02500000000001</v>
      </c>
      <c r="L3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37" s="1" t="s">
        <v>141</v>
      </c>
    </row>
    <row r="38" spans="1:13" ht="27.6" x14ac:dyDescent="0.3">
      <c r="A38" s="13">
        <v>44586</v>
      </c>
      <c r="B38" s="1" t="s">
        <v>408</v>
      </c>
      <c r="C38" s="14" t="s">
        <v>255</v>
      </c>
      <c r="D38" s="1" t="s">
        <v>256</v>
      </c>
      <c r="E38" s="1" t="s">
        <v>116</v>
      </c>
      <c r="F38" s="1" t="s">
        <v>36</v>
      </c>
      <c r="G38" s="1"/>
      <c r="H38" s="7">
        <v>97.45</v>
      </c>
      <c r="I38" s="6">
        <v>2499.88</v>
      </c>
      <c r="J38" s="5">
        <v>25.652999999999999</v>
      </c>
      <c r="K38" s="5">
        <f t="shared" si="1"/>
        <v>25.652999999999999</v>
      </c>
      <c r="L3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38" s="1" t="s">
        <v>141</v>
      </c>
    </row>
    <row r="39" spans="1:13" ht="27.6" x14ac:dyDescent="0.3">
      <c r="A39" s="13">
        <v>44617</v>
      </c>
      <c r="B39" s="1" t="s">
        <v>403</v>
      </c>
      <c r="C39" s="14" t="s">
        <v>255</v>
      </c>
      <c r="D39" s="1" t="s">
        <v>256</v>
      </c>
      <c r="E39" s="1" t="s">
        <v>116</v>
      </c>
      <c r="F39" s="1" t="s">
        <v>36</v>
      </c>
      <c r="G39" s="1"/>
      <c r="H39" s="7">
        <v>91.451999999999998</v>
      </c>
      <c r="I39" s="6">
        <v>2499.88</v>
      </c>
      <c r="J39" s="5">
        <v>27.335000000000001</v>
      </c>
      <c r="K39" s="5">
        <f t="shared" si="1"/>
        <v>27.335000000000001</v>
      </c>
      <c r="L3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39" s="1" t="s">
        <v>141</v>
      </c>
    </row>
    <row r="40" spans="1:13" x14ac:dyDescent="0.3">
      <c r="A40" s="13">
        <v>44617</v>
      </c>
      <c r="B40" s="1" t="s">
        <v>404</v>
      </c>
      <c r="C40" s="14" t="s">
        <v>255</v>
      </c>
      <c r="D40" s="1" t="s">
        <v>260</v>
      </c>
      <c r="E40" s="1" t="s">
        <v>33</v>
      </c>
      <c r="F40" s="1" t="s">
        <v>33</v>
      </c>
      <c r="G40" s="1"/>
      <c r="H40" s="7">
        <v>14.4899</v>
      </c>
      <c r="I40" s="6">
        <v>1999.9</v>
      </c>
      <c r="J40" s="5">
        <v>138.02000000000001</v>
      </c>
      <c r="K40" s="5">
        <f t="shared" si="1"/>
        <v>138.02000000000001</v>
      </c>
      <c r="L4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40" s="1" t="s">
        <v>141</v>
      </c>
    </row>
    <row r="41" spans="1:13" ht="27.6" x14ac:dyDescent="0.3">
      <c r="A41" s="13">
        <v>44617</v>
      </c>
      <c r="B41" s="1" t="s">
        <v>405</v>
      </c>
      <c r="C41" s="14" t="s">
        <v>255</v>
      </c>
      <c r="D41" s="1" t="s">
        <v>258</v>
      </c>
      <c r="E41" s="1" t="s">
        <v>104</v>
      </c>
      <c r="F41" s="1" t="s">
        <v>15</v>
      </c>
      <c r="G41" s="1"/>
      <c r="H41" s="7">
        <v>36.35</v>
      </c>
      <c r="I41" s="6">
        <v>2499.88</v>
      </c>
      <c r="J41" s="5">
        <v>68.772000000000006</v>
      </c>
      <c r="K41" s="5">
        <f t="shared" si="1"/>
        <v>68.772000000000006</v>
      </c>
      <c r="L4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41" s="1" t="s">
        <v>141</v>
      </c>
    </row>
    <row r="42" spans="1:13" x14ac:dyDescent="0.3">
      <c r="A42" s="13">
        <v>44645</v>
      </c>
      <c r="B42" s="1" t="s">
        <v>400</v>
      </c>
      <c r="C42" s="14" t="s">
        <v>255</v>
      </c>
      <c r="D42" s="1" t="s">
        <v>260</v>
      </c>
      <c r="E42" s="1" t="s">
        <v>33</v>
      </c>
      <c r="F42" s="1" t="s">
        <v>33</v>
      </c>
      <c r="G42" s="1"/>
      <c r="H42" s="7">
        <v>15.0557</v>
      </c>
      <c r="I42" s="6">
        <v>1999.9</v>
      </c>
      <c r="J42" s="5">
        <v>132.833</v>
      </c>
      <c r="K42" s="5">
        <f t="shared" si="1"/>
        <v>132.833</v>
      </c>
      <c r="L4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42" s="1" t="s">
        <v>141</v>
      </c>
    </row>
    <row r="43" spans="1:13" ht="27.6" x14ac:dyDescent="0.3">
      <c r="A43" s="13">
        <v>44645</v>
      </c>
      <c r="B43" s="1" t="s">
        <v>401</v>
      </c>
      <c r="C43" s="14" t="s">
        <v>255</v>
      </c>
      <c r="D43" s="1" t="s">
        <v>256</v>
      </c>
      <c r="E43" s="1" t="s">
        <v>116</v>
      </c>
      <c r="F43" s="1" t="s">
        <v>36</v>
      </c>
      <c r="G43" s="1"/>
      <c r="H43" s="7">
        <v>93.313999999999993</v>
      </c>
      <c r="I43" s="6">
        <v>2499.88</v>
      </c>
      <c r="J43" s="5">
        <v>26.79</v>
      </c>
      <c r="K43" s="5">
        <f t="shared" si="1"/>
        <v>26.79</v>
      </c>
      <c r="L4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43" s="1" t="s">
        <v>141</v>
      </c>
    </row>
    <row r="44" spans="1:13" ht="27.6" x14ac:dyDescent="0.3">
      <c r="A44" s="13">
        <v>44645</v>
      </c>
      <c r="B44" s="1" t="s">
        <v>402</v>
      </c>
      <c r="C44" s="14" t="s">
        <v>255</v>
      </c>
      <c r="D44" s="1" t="s">
        <v>258</v>
      </c>
      <c r="E44" s="1" t="s">
        <v>104</v>
      </c>
      <c r="F44" s="1" t="s">
        <v>15</v>
      </c>
      <c r="G44" s="1"/>
      <c r="H44" s="7">
        <v>35.96</v>
      </c>
      <c r="I44" s="6">
        <v>2499.88</v>
      </c>
      <c r="J44" s="5">
        <v>69.518000000000001</v>
      </c>
      <c r="K44" s="5">
        <f t="shared" si="1"/>
        <v>69.518000000000001</v>
      </c>
      <c r="L4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44" s="1" t="s">
        <v>141</v>
      </c>
    </row>
    <row r="45" spans="1:13" ht="27.6" x14ac:dyDescent="0.3">
      <c r="A45" s="13">
        <v>44676</v>
      </c>
      <c r="B45" s="1" t="s">
        <v>397</v>
      </c>
      <c r="C45" s="14" t="s">
        <v>255</v>
      </c>
      <c r="D45" s="1" t="s">
        <v>258</v>
      </c>
      <c r="E45" s="1" t="s">
        <v>104</v>
      </c>
      <c r="F45" s="1" t="s">
        <v>15</v>
      </c>
      <c r="G45" s="1"/>
      <c r="H45" s="7">
        <v>36.68</v>
      </c>
      <c r="I45" s="6">
        <v>2499.88</v>
      </c>
      <c r="J45" s="5">
        <v>68.153999999999996</v>
      </c>
      <c r="K45" s="5">
        <f t="shared" si="1"/>
        <v>68.153999999999996</v>
      </c>
      <c r="L4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45" s="1" t="s">
        <v>141</v>
      </c>
    </row>
    <row r="46" spans="1:13" ht="27.6" x14ac:dyDescent="0.3">
      <c r="A46" s="13">
        <v>44676</v>
      </c>
      <c r="B46" s="1" t="s">
        <v>398</v>
      </c>
      <c r="C46" s="14" t="s">
        <v>255</v>
      </c>
      <c r="D46" s="1" t="s">
        <v>256</v>
      </c>
      <c r="E46" s="1" t="s">
        <v>116</v>
      </c>
      <c r="F46" s="1" t="s">
        <v>36</v>
      </c>
      <c r="G46" s="1"/>
      <c r="H46" s="7">
        <v>93.643000000000001</v>
      </c>
      <c r="I46" s="6">
        <v>2499.88</v>
      </c>
      <c r="J46" s="5">
        <v>26.696000000000002</v>
      </c>
      <c r="K46" s="5">
        <f t="shared" si="1"/>
        <v>26.696000000000002</v>
      </c>
      <c r="L4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46" s="1" t="s">
        <v>141</v>
      </c>
    </row>
    <row r="47" spans="1:13" x14ac:dyDescent="0.3">
      <c r="A47" s="13">
        <v>44676</v>
      </c>
      <c r="B47" s="1" t="s">
        <v>399</v>
      </c>
      <c r="C47" s="14" t="s">
        <v>255</v>
      </c>
      <c r="D47" s="1" t="s">
        <v>260</v>
      </c>
      <c r="E47" s="1" t="s">
        <v>33</v>
      </c>
      <c r="F47" s="1" t="s">
        <v>33</v>
      </c>
      <c r="G47" s="1"/>
      <c r="H47" s="7">
        <v>14.9803</v>
      </c>
      <c r="I47" s="6">
        <v>1999.9</v>
      </c>
      <c r="J47" s="5">
        <v>133.50200000000001</v>
      </c>
      <c r="K47" s="5">
        <f t="shared" si="1"/>
        <v>133.50200000000001</v>
      </c>
      <c r="L4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47" s="1" t="s">
        <v>141</v>
      </c>
    </row>
    <row r="48" spans="1:13" ht="27.6" x14ac:dyDescent="0.3">
      <c r="A48" s="13">
        <v>44706</v>
      </c>
      <c r="B48" s="1" t="s">
        <v>394</v>
      </c>
      <c r="C48" s="14" t="s">
        <v>255</v>
      </c>
      <c r="D48" s="1" t="s">
        <v>258</v>
      </c>
      <c r="E48" s="1" t="s">
        <v>104</v>
      </c>
      <c r="F48" s="1" t="s">
        <v>15</v>
      </c>
      <c r="G48" s="1"/>
      <c r="H48" s="7">
        <v>33.68</v>
      </c>
      <c r="I48" s="6">
        <v>2499.88</v>
      </c>
      <c r="J48" s="5">
        <v>74.224000000000004</v>
      </c>
      <c r="K48" s="5">
        <f t="shared" si="1"/>
        <v>74.224000000000004</v>
      </c>
      <c r="L4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48" s="1" t="s">
        <v>141</v>
      </c>
    </row>
    <row r="49" spans="1:13" ht="27.6" x14ac:dyDescent="0.3">
      <c r="A49" s="13">
        <v>44706</v>
      </c>
      <c r="B49" s="1" t="s">
        <v>395</v>
      </c>
      <c r="C49" s="14" t="s">
        <v>255</v>
      </c>
      <c r="D49" s="1" t="s">
        <v>256</v>
      </c>
      <c r="E49" s="1" t="s">
        <v>116</v>
      </c>
      <c r="F49" s="1" t="s">
        <v>36</v>
      </c>
      <c r="G49" s="1"/>
      <c r="H49" s="7">
        <v>87.256</v>
      </c>
      <c r="I49" s="6">
        <v>2499.88</v>
      </c>
      <c r="J49" s="5">
        <v>28.65</v>
      </c>
      <c r="K49" s="5">
        <f t="shared" si="1"/>
        <v>28.65</v>
      </c>
      <c r="L4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49" s="1" t="s">
        <v>141</v>
      </c>
    </row>
    <row r="50" spans="1:13" x14ac:dyDescent="0.3">
      <c r="A50" s="13">
        <v>44706</v>
      </c>
      <c r="B50" s="1" t="s">
        <v>396</v>
      </c>
      <c r="C50" s="14" t="s">
        <v>255</v>
      </c>
      <c r="D50" s="1" t="s">
        <v>260</v>
      </c>
      <c r="E50" s="1" t="s">
        <v>33</v>
      </c>
      <c r="F50" s="1" t="s">
        <v>33</v>
      </c>
      <c r="G50" s="1"/>
      <c r="H50" s="7">
        <v>14.005699999999999</v>
      </c>
      <c r="I50" s="6">
        <v>1999.9</v>
      </c>
      <c r="J50" s="5">
        <v>142.792</v>
      </c>
      <c r="K50" s="5">
        <f t="shared" si="1"/>
        <v>142.792</v>
      </c>
      <c r="L5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50" s="1" t="s">
        <v>141</v>
      </c>
    </row>
    <row r="51" spans="1:13" ht="27.6" x14ac:dyDescent="0.3">
      <c r="A51" s="13">
        <v>44739</v>
      </c>
      <c r="B51" s="1" t="s">
        <v>391</v>
      </c>
      <c r="C51" s="14" t="s">
        <v>255</v>
      </c>
      <c r="D51" s="1" t="s">
        <v>258</v>
      </c>
      <c r="E51" s="1" t="s">
        <v>104</v>
      </c>
      <c r="F51" s="1" t="s">
        <v>15</v>
      </c>
      <c r="G51" s="1"/>
      <c r="H51" s="7">
        <v>33.5</v>
      </c>
      <c r="I51" s="6">
        <v>2499.88</v>
      </c>
      <c r="J51" s="5">
        <v>74.623000000000005</v>
      </c>
      <c r="K51" s="5">
        <f t="shared" si="1"/>
        <v>74.623000000000005</v>
      </c>
      <c r="L5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51" s="1" t="s">
        <v>141</v>
      </c>
    </row>
    <row r="52" spans="1:13" x14ac:dyDescent="0.3">
      <c r="A52" s="13">
        <v>44739</v>
      </c>
      <c r="B52" s="1" t="s">
        <v>392</v>
      </c>
      <c r="C52" s="14" t="s">
        <v>255</v>
      </c>
      <c r="D52" s="1" t="s">
        <v>260</v>
      </c>
      <c r="E52" s="1" t="s">
        <v>33</v>
      </c>
      <c r="F52" s="1" t="s">
        <v>33</v>
      </c>
      <c r="G52" s="1"/>
      <c r="H52" s="7">
        <v>13.9787</v>
      </c>
      <c r="I52" s="6">
        <v>1999.9</v>
      </c>
      <c r="J52" s="5">
        <v>143.06800000000001</v>
      </c>
      <c r="K52" s="5">
        <f t="shared" si="1"/>
        <v>143.06800000000001</v>
      </c>
      <c r="L5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52" s="1" t="s">
        <v>141</v>
      </c>
    </row>
    <row r="53" spans="1:13" ht="27.6" x14ac:dyDescent="0.3">
      <c r="A53" s="13">
        <v>44739</v>
      </c>
      <c r="B53" s="1" t="s">
        <v>393</v>
      </c>
      <c r="C53" s="14" t="s">
        <v>255</v>
      </c>
      <c r="D53" s="1" t="s">
        <v>256</v>
      </c>
      <c r="E53" s="1" t="s">
        <v>116</v>
      </c>
      <c r="F53" s="1" t="s">
        <v>36</v>
      </c>
      <c r="G53" s="1"/>
      <c r="H53" s="7">
        <v>86.713999999999999</v>
      </c>
      <c r="I53" s="6">
        <v>2499.88</v>
      </c>
      <c r="J53" s="5">
        <v>28.829000000000001</v>
      </c>
      <c r="K53" s="5">
        <f t="shared" si="1"/>
        <v>28.829000000000001</v>
      </c>
      <c r="L5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53" s="1" t="s">
        <v>141</v>
      </c>
    </row>
    <row r="54" spans="1:13" ht="27.6" x14ac:dyDescent="0.3">
      <c r="A54" s="13">
        <v>44767</v>
      </c>
      <c r="B54" s="1" t="s">
        <v>388</v>
      </c>
      <c r="C54" s="14" t="s">
        <v>255</v>
      </c>
      <c r="D54" s="1" t="s">
        <v>256</v>
      </c>
      <c r="E54" s="1" t="s">
        <v>116</v>
      </c>
      <c r="F54" s="1" t="s">
        <v>36</v>
      </c>
      <c r="G54" s="1"/>
      <c r="H54" s="7">
        <v>92.283000000000001</v>
      </c>
      <c r="I54" s="6">
        <v>2499.88</v>
      </c>
      <c r="J54" s="5">
        <v>27.088999999999999</v>
      </c>
      <c r="K54" s="5">
        <f t="shared" si="1"/>
        <v>27.088999999999999</v>
      </c>
      <c r="L5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54" s="1" t="s">
        <v>141</v>
      </c>
    </row>
    <row r="55" spans="1:13" ht="27.6" x14ac:dyDescent="0.3">
      <c r="A55" s="13">
        <v>44767</v>
      </c>
      <c r="B55" s="1" t="s">
        <v>389</v>
      </c>
      <c r="C55" s="14" t="s">
        <v>255</v>
      </c>
      <c r="D55" s="1" t="s">
        <v>258</v>
      </c>
      <c r="E55" s="1" t="s">
        <v>104</v>
      </c>
      <c r="F55" s="1" t="s">
        <v>15</v>
      </c>
      <c r="G55" s="1"/>
      <c r="H55" s="7">
        <v>36.17</v>
      </c>
      <c r="I55" s="6">
        <v>2499.88</v>
      </c>
      <c r="J55" s="5">
        <v>69.114999999999995</v>
      </c>
      <c r="K55" s="5">
        <f t="shared" si="1"/>
        <v>69.114999999999995</v>
      </c>
      <c r="L5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55" s="1" t="s">
        <v>141</v>
      </c>
    </row>
    <row r="56" spans="1:13" x14ac:dyDescent="0.3">
      <c r="A56" s="13">
        <v>44767</v>
      </c>
      <c r="B56" s="1" t="s">
        <v>390</v>
      </c>
      <c r="C56" s="14" t="s">
        <v>255</v>
      </c>
      <c r="D56" s="1" t="s">
        <v>260</v>
      </c>
      <c r="E56" s="1" t="s">
        <v>33</v>
      </c>
      <c r="F56" s="1" t="s">
        <v>33</v>
      </c>
      <c r="G56" s="1"/>
      <c r="H56" s="7">
        <v>14.6975</v>
      </c>
      <c r="I56" s="6">
        <v>1999.9</v>
      </c>
      <c r="J56" s="5">
        <v>136.071</v>
      </c>
      <c r="K56" s="5">
        <f t="shared" si="1"/>
        <v>136.071</v>
      </c>
      <c r="L5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56" s="1" t="s">
        <v>141</v>
      </c>
    </row>
    <row r="57" spans="1:13" x14ac:dyDescent="0.3">
      <c r="A57" s="13">
        <v>44798</v>
      </c>
      <c r="B57" s="1" t="s">
        <v>385</v>
      </c>
      <c r="C57" s="14" t="s">
        <v>255</v>
      </c>
      <c r="D57" s="1" t="s">
        <v>260</v>
      </c>
      <c r="E57" s="1" t="s">
        <v>33</v>
      </c>
      <c r="F57" s="1" t="s">
        <v>33</v>
      </c>
      <c r="G57" s="1"/>
      <c r="H57" s="7">
        <v>15.4473</v>
      </c>
      <c r="I57" s="6">
        <v>1999.9</v>
      </c>
      <c r="J57" s="5">
        <v>129.46600000000001</v>
      </c>
      <c r="K57" s="5">
        <f t="shared" si="1"/>
        <v>129.46600000000001</v>
      </c>
      <c r="L5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57" s="1" t="s">
        <v>141</v>
      </c>
    </row>
    <row r="58" spans="1:13" ht="27.6" x14ac:dyDescent="0.3">
      <c r="A58" s="13">
        <v>44798</v>
      </c>
      <c r="B58" s="1" t="s">
        <v>386</v>
      </c>
      <c r="C58" s="14" t="s">
        <v>255</v>
      </c>
      <c r="D58" s="1" t="s">
        <v>256</v>
      </c>
      <c r="E58" s="1" t="s">
        <v>116</v>
      </c>
      <c r="F58" s="1" t="s">
        <v>36</v>
      </c>
      <c r="G58" s="1"/>
      <c r="H58" s="7">
        <v>95.998000000000005</v>
      </c>
      <c r="I58" s="6">
        <v>2499.88</v>
      </c>
      <c r="J58" s="5">
        <v>26.041</v>
      </c>
      <c r="K58" s="5">
        <f t="shared" si="1"/>
        <v>26.041</v>
      </c>
      <c r="L5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58" s="1" t="s">
        <v>141</v>
      </c>
    </row>
    <row r="59" spans="1:13" ht="27.6" x14ac:dyDescent="0.3">
      <c r="A59" s="13">
        <v>44798</v>
      </c>
      <c r="B59" s="1" t="s">
        <v>387</v>
      </c>
      <c r="C59" s="14" t="s">
        <v>255</v>
      </c>
      <c r="D59" s="1" t="s">
        <v>258</v>
      </c>
      <c r="E59" s="1" t="s">
        <v>104</v>
      </c>
      <c r="F59" s="1" t="s">
        <v>15</v>
      </c>
      <c r="G59" s="1"/>
      <c r="H59" s="7">
        <v>38.97</v>
      </c>
      <c r="I59" s="6">
        <v>2499.88</v>
      </c>
      <c r="J59" s="5">
        <v>64.149000000000001</v>
      </c>
      <c r="K59" s="5">
        <f t="shared" si="1"/>
        <v>64.149000000000001</v>
      </c>
      <c r="L5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59" s="1" t="s">
        <v>141</v>
      </c>
    </row>
    <row r="60" spans="1:13" ht="27.6" x14ac:dyDescent="0.3">
      <c r="A60" s="13">
        <v>44830</v>
      </c>
      <c r="B60" s="1" t="s">
        <v>384</v>
      </c>
      <c r="C60" s="14" t="s">
        <v>255</v>
      </c>
      <c r="D60" s="1" t="s">
        <v>258</v>
      </c>
      <c r="E60" s="1" t="s">
        <v>104</v>
      </c>
      <c r="F60" s="1" t="s">
        <v>15</v>
      </c>
      <c r="G60" s="1"/>
      <c r="H60" s="7">
        <v>38.15</v>
      </c>
      <c r="I60" s="6">
        <v>2499.88</v>
      </c>
      <c r="J60" s="5">
        <v>65.528000000000006</v>
      </c>
      <c r="K60" s="5">
        <f t="shared" si="1"/>
        <v>65.528000000000006</v>
      </c>
      <c r="L6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60" s="1" t="s">
        <v>141</v>
      </c>
    </row>
    <row r="61" spans="1:13" x14ac:dyDescent="0.3">
      <c r="A61" s="13">
        <v>44859</v>
      </c>
      <c r="B61" s="1" t="s">
        <v>381</v>
      </c>
      <c r="C61" s="14" t="s">
        <v>255</v>
      </c>
      <c r="D61" s="1" t="s">
        <v>260</v>
      </c>
      <c r="E61" s="1" t="s">
        <v>33</v>
      </c>
      <c r="F61" s="1" t="s">
        <v>33</v>
      </c>
      <c r="G61" s="1"/>
      <c r="H61" s="7">
        <v>15.8306</v>
      </c>
      <c r="I61" s="6">
        <v>1999.9</v>
      </c>
      <c r="J61" s="5">
        <v>126.331</v>
      </c>
      <c r="K61" s="5">
        <f t="shared" si="1"/>
        <v>126.331</v>
      </c>
      <c r="L6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61" s="1" t="s">
        <v>141</v>
      </c>
    </row>
    <row r="62" spans="1:13" ht="27.6" x14ac:dyDescent="0.3">
      <c r="A62" s="13">
        <v>44859</v>
      </c>
      <c r="B62" s="1" t="s">
        <v>382</v>
      </c>
      <c r="C62" s="14" t="s">
        <v>255</v>
      </c>
      <c r="D62" s="1" t="s">
        <v>256</v>
      </c>
      <c r="E62" s="1" t="s">
        <v>116</v>
      </c>
      <c r="F62" s="1" t="s">
        <v>36</v>
      </c>
      <c r="G62" s="1"/>
      <c r="H62" s="7">
        <v>95.552999999999997</v>
      </c>
      <c r="I62" s="6">
        <v>2499.88</v>
      </c>
      <c r="J62" s="5">
        <v>26.161999999999999</v>
      </c>
      <c r="K62" s="5">
        <f t="shared" si="1"/>
        <v>26.161999999999999</v>
      </c>
      <c r="L6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62" s="1" t="s">
        <v>141</v>
      </c>
    </row>
    <row r="63" spans="1:13" ht="27.6" x14ac:dyDescent="0.3">
      <c r="A63" s="13">
        <v>44859</v>
      </c>
      <c r="B63" s="1" t="s">
        <v>383</v>
      </c>
      <c r="C63" s="14" t="s">
        <v>255</v>
      </c>
      <c r="D63" s="1" t="s">
        <v>258</v>
      </c>
      <c r="E63" s="1" t="s">
        <v>104</v>
      </c>
      <c r="F63" s="1" t="s">
        <v>15</v>
      </c>
      <c r="G63" s="1"/>
      <c r="H63" s="7">
        <v>39.979999999999997</v>
      </c>
      <c r="I63" s="6">
        <v>2499.88</v>
      </c>
      <c r="J63" s="5">
        <v>62.527999999999999</v>
      </c>
      <c r="K63" s="5">
        <f t="shared" si="1"/>
        <v>62.527999999999999</v>
      </c>
      <c r="L6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63" s="1" t="s">
        <v>141</v>
      </c>
    </row>
    <row r="64" spans="1:13" ht="27.6" x14ac:dyDescent="0.3">
      <c r="A64" s="13">
        <v>44890</v>
      </c>
      <c r="B64" s="1" t="s">
        <v>378</v>
      </c>
      <c r="C64" s="14" t="s">
        <v>255</v>
      </c>
      <c r="D64" s="1" t="s">
        <v>256</v>
      </c>
      <c r="E64" s="1" t="s">
        <v>116</v>
      </c>
      <c r="F64" s="1" t="s">
        <v>36</v>
      </c>
      <c r="G64" s="1"/>
      <c r="H64" s="7">
        <v>98.507000000000005</v>
      </c>
      <c r="I64" s="6">
        <v>2499.88</v>
      </c>
      <c r="J64" s="5">
        <v>25.378</v>
      </c>
      <c r="K64" s="5">
        <f t="shared" si="1"/>
        <v>25.378</v>
      </c>
      <c r="L6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64" s="1" t="s">
        <v>141</v>
      </c>
    </row>
    <row r="65" spans="1:13" x14ac:dyDescent="0.3">
      <c r="A65" s="13">
        <v>44890</v>
      </c>
      <c r="B65" s="1" t="s">
        <v>379</v>
      </c>
      <c r="C65" s="14" t="s">
        <v>255</v>
      </c>
      <c r="D65" s="1" t="s">
        <v>260</v>
      </c>
      <c r="E65" s="1" t="s">
        <v>33</v>
      </c>
      <c r="F65" s="1" t="s">
        <v>33</v>
      </c>
      <c r="G65" s="1"/>
      <c r="H65" s="7">
        <v>16.597300000000001</v>
      </c>
      <c r="I65" s="6">
        <v>1999.9</v>
      </c>
      <c r="J65" s="5">
        <v>120.496</v>
      </c>
      <c r="K65" s="5">
        <f t="shared" si="1"/>
        <v>120.496</v>
      </c>
      <c r="L6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65" s="1" t="s">
        <v>141</v>
      </c>
    </row>
    <row r="66" spans="1:13" ht="27.6" x14ac:dyDescent="0.3">
      <c r="A66" s="13">
        <v>44890</v>
      </c>
      <c r="B66" s="1" t="s">
        <v>380</v>
      </c>
      <c r="C66" s="14" t="s">
        <v>255</v>
      </c>
      <c r="D66" s="1" t="s">
        <v>258</v>
      </c>
      <c r="E66" s="1" t="s">
        <v>104</v>
      </c>
      <c r="F66" s="1" t="s">
        <v>15</v>
      </c>
      <c r="G66" s="1"/>
      <c r="H66" s="7">
        <v>41.31</v>
      </c>
      <c r="I66" s="6">
        <v>2499.88</v>
      </c>
      <c r="J66" s="5">
        <v>60.515000000000001</v>
      </c>
      <c r="K66" s="5">
        <f t="shared" si="1"/>
        <v>60.515000000000001</v>
      </c>
      <c r="L6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66" s="1" t="s">
        <v>141</v>
      </c>
    </row>
    <row r="67" spans="1:13" ht="27.6" x14ac:dyDescent="0.3">
      <c r="A67" s="13">
        <v>44921</v>
      </c>
      <c r="B67" s="1" t="s">
        <v>375</v>
      </c>
      <c r="C67" s="14" t="s">
        <v>255</v>
      </c>
      <c r="D67" s="1" t="s">
        <v>258</v>
      </c>
      <c r="E67" s="1" t="s">
        <v>104</v>
      </c>
      <c r="F67" s="1" t="s">
        <v>15</v>
      </c>
      <c r="G67" s="1"/>
      <c r="H67" s="7">
        <v>40.85</v>
      </c>
      <c r="I67" s="6">
        <v>2499.88</v>
      </c>
      <c r="J67" s="5">
        <v>61.197000000000003</v>
      </c>
      <c r="K67" s="5">
        <f t="shared" si="1"/>
        <v>61.197000000000003</v>
      </c>
      <c r="L6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67" s="1" t="s">
        <v>141</v>
      </c>
    </row>
    <row r="68" spans="1:13" x14ac:dyDescent="0.3">
      <c r="A68" s="13">
        <v>44921</v>
      </c>
      <c r="B68" s="1" t="s">
        <v>376</v>
      </c>
      <c r="C68" s="14" t="s">
        <v>255</v>
      </c>
      <c r="D68" s="1" t="s">
        <v>260</v>
      </c>
      <c r="E68" s="1" t="s">
        <v>33</v>
      </c>
      <c r="F68" s="1" t="s">
        <v>33</v>
      </c>
      <c r="G68" s="1"/>
      <c r="H68" s="7">
        <v>16.0855</v>
      </c>
      <c r="I68" s="6">
        <v>1999.9</v>
      </c>
      <c r="J68" s="5">
        <v>124.32899999999999</v>
      </c>
      <c r="K68" s="5">
        <f t="shared" si="1"/>
        <v>124.32899999999999</v>
      </c>
      <c r="L6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68" s="1" t="s">
        <v>141</v>
      </c>
    </row>
    <row r="69" spans="1:13" ht="27.6" x14ac:dyDescent="0.3">
      <c r="A69" s="13">
        <v>44921</v>
      </c>
      <c r="B69" s="1" t="s">
        <v>377</v>
      </c>
      <c r="C69" s="14" t="s">
        <v>255</v>
      </c>
      <c r="D69" s="1" t="s">
        <v>256</v>
      </c>
      <c r="E69" s="1" t="s">
        <v>116</v>
      </c>
      <c r="F69" s="1" t="s">
        <v>36</v>
      </c>
      <c r="G69" s="1"/>
      <c r="H69" s="7">
        <v>95.888999999999996</v>
      </c>
      <c r="I69" s="6">
        <v>2499.88</v>
      </c>
      <c r="J69" s="5">
        <v>26.071000000000002</v>
      </c>
      <c r="K69" s="5">
        <f t="shared" ref="K69:K100" si="2">IF(OR(EXACT(C69,"Redemption"),EXACT(C69,"Redeem"),EXACT(C69,"Switch Out"),EXACT(C69,"sell"),EXACT(C69,"Sell")),-J69,J69)</f>
        <v>26.071000000000002</v>
      </c>
      <c r="L6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69" s="1" t="s">
        <v>141</v>
      </c>
    </row>
    <row r="70" spans="1:13" ht="27.6" x14ac:dyDescent="0.3">
      <c r="A70" s="13">
        <v>44951</v>
      </c>
      <c r="B70" s="1" t="s">
        <v>372</v>
      </c>
      <c r="C70" s="14" t="s">
        <v>255</v>
      </c>
      <c r="D70" s="1" t="s">
        <v>258</v>
      </c>
      <c r="E70" s="1" t="s">
        <v>104</v>
      </c>
      <c r="F70" s="1" t="s">
        <v>15</v>
      </c>
      <c r="G70" s="1"/>
      <c r="H70" s="7">
        <v>40.15</v>
      </c>
      <c r="I70" s="6">
        <v>2499.88</v>
      </c>
      <c r="J70" s="5">
        <v>62.264000000000003</v>
      </c>
      <c r="K70" s="5">
        <f t="shared" si="2"/>
        <v>62.264000000000003</v>
      </c>
      <c r="L7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70" s="1" t="s">
        <v>141</v>
      </c>
    </row>
    <row r="71" spans="1:13" ht="27.6" x14ac:dyDescent="0.3">
      <c r="A71" s="13">
        <v>44951</v>
      </c>
      <c r="B71" s="1" t="s">
        <v>373</v>
      </c>
      <c r="C71" s="14" t="s">
        <v>255</v>
      </c>
      <c r="D71" s="1" t="s">
        <v>256</v>
      </c>
      <c r="E71" s="1" t="s">
        <v>116</v>
      </c>
      <c r="F71" s="1" t="s">
        <v>36</v>
      </c>
      <c r="G71" s="1"/>
      <c r="H71" s="7">
        <v>95.016999999999996</v>
      </c>
      <c r="I71" s="6">
        <v>2499.88</v>
      </c>
      <c r="J71" s="5">
        <v>26.31</v>
      </c>
      <c r="K71" s="5">
        <f t="shared" si="2"/>
        <v>26.31</v>
      </c>
      <c r="L7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71" s="1" t="s">
        <v>141</v>
      </c>
    </row>
    <row r="72" spans="1:13" x14ac:dyDescent="0.3">
      <c r="A72" s="13">
        <v>44951</v>
      </c>
      <c r="B72" s="1" t="s">
        <v>374</v>
      </c>
      <c r="C72" s="14" t="s">
        <v>255</v>
      </c>
      <c r="D72" s="1" t="s">
        <v>260</v>
      </c>
      <c r="E72" s="1" t="s">
        <v>33</v>
      </c>
      <c r="F72" s="1" t="s">
        <v>33</v>
      </c>
      <c r="G72" s="1"/>
      <c r="H72" s="7">
        <v>16.046099999999999</v>
      </c>
      <c r="I72" s="6">
        <v>1999.9</v>
      </c>
      <c r="J72" s="5">
        <v>124.63500000000001</v>
      </c>
      <c r="K72" s="5">
        <f t="shared" si="2"/>
        <v>124.63500000000001</v>
      </c>
      <c r="L7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72" s="1" t="s">
        <v>141</v>
      </c>
    </row>
    <row r="73" spans="1:13" x14ac:dyDescent="0.3">
      <c r="A73" s="13">
        <v>44984</v>
      </c>
      <c r="B73" s="1" t="s">
        <v>369</v>
      </c>
      <c r="C73" s="14" t="s">
        <v>255</v>
      </c>
      <c r="D73" s="1" t="s">
        <v>260</v>
      </c>
      <c r="E73" s="1" t="s">
        <v>33</v>
      </c>
      <c r="F73" s="1" t="s">
        <v>33</v>
      </c>
      <c r="G73" s="1"/>
      <c r="H73" s="7">
        <v>15.6526</v>
      </c>
      <c r="I73" s="6">
        <v>1999.9</v>
      </c>
      <c r="J73" s="5">
        <v>127.768</v>
      </c>
      <c r="K73" s="5">
        <f t="shared" si="2"/>
        <v>127.768</v>
      </c>
      <c r="L7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73" s="1" t="s">
        <v>141</v>
      </c>
    </row>
    <row r="74" spans="1:13" ht="27.6" x14ac:dyDescent="0.3">
      <c r="A74" s="13">
        <v>44984</v>
      </c>
      <c r="B74" s="1" t="s">
        <v>370</v>
      </c>
      <c r="C74" s="14" t="s">
        <v>255</v>
      </c>
      <c r="D74" s="1" t="s">
        <v>256</v>
      </c>
      <c r="E74" s="1" t="s">
        <v>116</v>
      </c>
      <c r="F74" s="1" t="s">
        <v>36</v>
      </c>
      <c r="G74" s="1"/>
      <c r="H74" s="7">
        <v>93.186999999999998</v>
      </c>
      <c r="I74" s="6">
        <v>2499.88</v>
      </c>
      <c r="J74" s="5">
        <v>26.826000000000001</v>
      </c>
      <c r="K74" s="5">
        <f t="shared" si="2"/>
        <v>26.826000000000001</v>
      </c>
      <c r="L7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74" s="1" t="s">
        <v>141</v>
      </c>
    </row>
    <row r="75" spans="1:13" ht="27.6" x14ac:dyDescent="0.3">
      <c r="A75" s="13">
        <v>44984</v>
      </c>
      <c r="B75" s="1" t="s">
        <v>371</v>
      </c>
      <c r="C75" s="14" t="s">
        <v>255</v>
      </c>
      <c r="D75" s="1" t="s">
        <v>258</v>
      </c>
      <c r="E75" s="1" t="s">
        <v>104</v>
      </c>
      <c r="F75" s="1" t="s">
        <v>15</v>
      </c>
      <c r="G75" s="1"/>
      <c r="H75" s="7">
        <v>38.64</v>
      </c>
      <c r="I75" s="6">
        <v>2499.88</v>
      </c>
      <c r="J75" s="5">
        <v>64.697000000000003</v>
      </c>
      <c r="K75" s="5">
        <f t="shared" si="2"/>
        <v>64.697000000000003</v>
      </c>
      <c r="L7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75" s="1" t="s">
        <v>141</v>
      </c>
    </row>
    <row r="76" spans="1:13" ht="27.6" x14ac:dyDescent="0.3">
      <c r="A76" s="13">
        <v>45014</v>
      </c>
      <c r="B76" s="1" t="s">
        <v>366</v>
      </c>
      <c r="C76" s="14" t="s">
        <v>255</v>
      </c>
      <c r="D76" s="1" t="s">
        <v>258</v>
      </c>
      <c r="E76" s="1" t="s">
        <v>104</v>
      </c>
      <c r="F76" s="1" t="s">
        <v>15</v>
      </c>
      <c r="G76" s="1"/>
      <c r="H76" s="7">
        <v>37.86</v>
      </c>
      <c r="I76" s="6">
        <v>2499.88</v>
      </c>
      <c r="J76" s="5">
        <v>66.03</v>
      </c>
      <c r="K76" s="5">
        <f t="shared" si="2"/>
        <v>66.03</v>
      </c>
      <c r="L7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76" s="1" t="s">
        <v>141</v>
      </c>
    </row>
    <row r="77" spans="1:13" ht="27.6" x14ac:dyDescent="0.3">
      <c r="A77" s="13">
        <v>45014</v>
      </c>
      <c r="B77" s="1" t="s">
        <v>367</v>
      </c>
      <c r="C77" s="14" t="s">
        <v>255</v>
      </c>
      <c r="D77" s="1" t="s">
        <v>256</v>
      </c>
      <c r="E77" s="1" t="s">
        <v>116</v>
      </c>
      <c r="F77" s="1" t="s">
        <v>36</v>
      </c>
      <c r="G77" s="1"/>
      <c r="H77" s="7">
        <v>91.281999999999996</v>
      </c>
      <c r="I77" s="6">
        <v>2499.88</v>
      </c>
      <c r="J77" s="5">
        <v>27.385999999999999</v>
      </c>
      <c r="K77" s="5">
        <f t="shared" si="2"/>
        <v>27.385999999999999</v>
      </c>
      <c r="L7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77" s="1" t="s">
        <v>141</v>
      </c>
    </row>
    <row r="78" spans="1:13" x14ac:dyDescent="0.3">
      <c r="A78" s="13">
        <v>45014</v>
      </c>
      <c r="B78" s="1" t="s">
        <v>368</v>
      </c>
      <c r="C78" s="14" t="s">
        <v>255</v>
      </c>
      <c r="D78" s="1" t="s">
        <v>260</v>
      </c>
      <c r="E78" s="1" t="s">
        <v>33</v>
      </c>
      <c r="F78" s="1" t="s">
        <v>33</v>
      </c>
      <c r="G78" s="1"/>
      <c r="H78" s="7">
        <v>15.5664</v>
      </c>
      <c r="I78" s="6">
        <v>1999.9</v>
      </c>
      <c r="J78" s="5">
        <v>128.47499999999999</v>
      </c>
      <c r="K78" s="5">
        <f t="shared" si="2"/>
        <v>128.47499999999999</v>
      </c>
      <c r="L7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78" s="1" t="s">
        <v>141</v>
      </c>
    </row>
    <row r="79" spans="1:13" x14ac:dyDescent="0.3">
      <c r="A79" s="13">
        <v>45041</v>
      </c>
      <c r="B79" s="1" t="s">
        <v>363</v>
      </c>
      <c r="C79" s="14" t="s">
        <v>255</v>
      </c>
      <c r="D79" s="1" t="s">
        <v>260</v>
      </c>
      <c r="E79" s="1" t="s">
        <v>33</v>
      </c>
      <c r="F79" s="1" t="s">
        <v>33</v>
      </c>
      <c r="G79" s="1"/>
      <c r="H79" s="7">
        <v>15.945399999999999</v>
      </c>
      <c r="I79" s="6">
        <v>1999.9</v>
      </c>
      <c r="J79" s="5">
        <v>125.422</v>
      </c>
      <c r="K79" s="5">
        <f t="shared" si="2"/>
        <v>125.422</v>
      </c>
      <c r="L7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79" s="1" t="s">
        <v>141</v>
      </c>
    </row>
    <row r="80" spans="1:13" ht="27.6" x14ac:dyDescent="0.3">
      <c r="A80" s="13">
        <v>45041</v>
      </c>
      <c r="B80" s="1" t="s">
        <v>364</v>
      </c>
      <c r="C80" s="14" t="s">
        <v>255</v>
      </c>
      <c r="D80" s="1" t="s">
        <v>258</v>
      </c>
      <c r="E80" s="1" t="s">
        <v>104</v>
      </c>
      <c r="F80" s="1" t="s">
        <v>15</v>
      </c>
      <c r="G80" s="1"/>
      <c r="H80" s="7">
        <v>40.36</v>
      </c>
      <c r="I80" s="6">
        <v>2499.88</v>
      </c>
      <c r="J80" s="5">
        <v>61.94</v>
      </c>
      <c r="K80" s="5">
        <f t="shared" si="2"/>
        <v>61.94</v>
      </c>
      <c r="L8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80" s="1" t="s">
        <v>141</v>
      </c>
    </row>
    <row r="81" spans="1:13" ht="27.6" x14ac:dyDescent="0.3">
      <c r="A81" s="13">
        <v>45041</v>
      </c>
      <c r="B81" s="1" t="s">
        <v>365</v>
      </c>
      <c r="C81" s="14" t="s">
        <v>255</v>
      </c>
      <c r="D81" s="1" t="s">
        <v>256</v>
      </c>
      <c r="E81" s="1" t="s">
        <v>116</v>
      </c>
      <c r="F81" s="1" t="s">
        <v>36</v>
      </c>
      <c r="G81" s="1"/>
      <c r="H81" s="7">
        <v>94.828999999999994</v>
      </c>
      <c r="I81" s="6">
        <v>2499.88</v>
      </c>
      <c r="J81" s="5">
        <v>26.361999999999998</v>
      </c>
      <c r="K81" s="5">
        <f t="shared" si="2"/>
        <v>26.361999999999998</v>
      </c>
      <c r="L8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81" s="1" t="s">
        <v>141</v>
      </c>
    </row>
    <row r="82" spans="1:13" x14ac:dyDescent="0.3">
      <c r="A82" s="13">
        <v>45071</v>
      </c>
      <c r="B82" s="1" t="s">
        <v>360</v>
      </c>
      <c r="C82" s="14" t="s">
        <v>255</v>
      </c>
      <c r="D82" s="1" t="s">
        <v>260</v>
      </c>
      <c r="E82" s="1" t="s">
        <v>33</v>
      </c>
      <c r="F82" s="1" t="s">
        <v>33</v>
      </c>
      <c r="G82" s="1"/>
      <c r="H82" s="7">
        <v>16.399799999999999</v>
      </c>
      <c r="I82" s="6">
        <v>1999.9</v>
      </c>
      <c r="J82" s="5">
        <v>121.947</v>
      </c>
      <c r="K82" s="5">
        <f t="shared" si="2"/>
        <v>121.947</v>
      </c>
      <c r="L8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82" s="1" t="s">
        <v>141</v>
      </c>
    </row>
    <row r="83" spans="1:13" ht="27.6" x14ac:dyDescent="0.3">
      <c r="A83" s="13">
        <v>45071</v>
      </c>
      <c r="B83" s="1" t="s">
        <v>361</v>
      </c>
      <c r="C83" s="14" t="s">
        <v>255</v>
      </c>
      <c r="D83" s="1" t="s">
        <v>256</v>
      </c>
      <c r="E83" s="1" t="s">
        <v>116</v>
      </c>
      <c r="F83" s="1" t="s">
        <v>36</v>
      </c>
      <c r="G83" s="1"/>
      <c r="H83" s="7">
        <v>97.825000000000003</v>
      </c>
      <c r="I83" s="6">
        <v>2499.88</v>
      </c>
      <c r="J83" s="5">
        <v>25.555</v>
      </c>
      <c r="K83" s="5">
        <f t="shared" si="2"/>
        <v>25.555</v>
      </c>
      <c r="L8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83" s="1" t="s">
        <v>141</v>
      </c>
    </row>
    <row r="84" spans="1:13" ht="27.6" x14ac:dyDescent="0.3">
      <c r="A84" s="13">
        <v>45071</v>
      </c>
      <c r="B84" s="1" t="s">
        <v>362</v>
      </c>
      <c r="C84" s="14" t="s">
        <v>255</v>
      </c>
      <c r="D84" s="1" t="s">
        <v>258</v>
      </c>
      <c r="E84" s="1" t="s">
        <v>104</v>
      </c>
      <c r="F84" s="1" t="s">
        <v>15</v>
      </c>
      <c r="G84" s="1"/>
      <c r="H84" s="7">
        <v>42.3</v>
      </c>
      <c r="I84" s="6">
        <v>2499.88</v>
      </c>
      <c r="J84" s="5">
        <v>59.098999999999997</v>
      </c>
      <c r="K84" s="5">
        <f t="shared" si="2"/>
        <v>59.098999999999997</v>
      </c>
      <c r="L8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84" s="1" t="s">
        <v>141</v>
      </c>
    </row>
    <row r="85" spans="1:13" ht="27.6" x14ac:dyDescent="0.3">
      <c r="A85" s="13">
        <v>45103</v>
      </c>
      <c r="B85" s="1" t="s">
        <v>357</v>
      </c>
      <c r="C85" s="14" t="s">
        <v>255</v>
      </c>
      <c r="D85" s="1" t="s">
        <v>256</v>
      </c>
      <c r="E85" s="1" t="s">
        <v>116</v>
      </c>
      <c r="F85" s="1" t="s">
        <v>36</v>
      </c>
      <c r="G85" s="1"/>
      <c r="H85" s="7">
        <v>102.33799999999999</v>
      </c>
      <c r="I85" s="6">
        <v>2499.88</v>
      </c>
      <c r="J85" s="5">
        <v>24.428000000000001</v>
      </c>
      <c r="K85" s="5">
        <f t="shared" si="2"/>
        <v>24.428000000000001</v>
      </c>
      <c r="L8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85" s="1" t="s">
        <v>141</v>
      </c>
    </row>
    <row r="86" spans="1:13" x14ac:dyDescent="0.3">
      <c r="A86" s="13">
        <v>45103</v>
      </c>
      <c r="B86" s="1" t="s">
        <v>358</v>
      </c>
      <c r="C86" s="14" t="s">
        <v>255</v>
      </c>
      <c r="D86" s="1" t="s">
        <v>260</v>
      </c>
      <c r="E86" s="1" t="s">
        <v>33</v>
      </c>
      <c r="F86" s="1" t="s">
        <v>33</v>
      </c>
      <c r="G86" s="1"/>
      <c r="H86" s="7">
        <v>16.790400000000002</v>
      </c>
      <c r="I86" s="6">
        <v>1999.9</v>
      </c>
      <c r="J86" s="5">
        <v>119.11</v>
      </c>
      <c r="K86" s="5">
        <f t="shared" si="2"/>
        <v>119.11</v>
      </c>
      <c r="L8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86" s="1" t="s">
        <v>141</v>
      </c>
    </row>
    <row r="87" spans="1:13" ht="27.6" x14ac:dyDescent="0.3">
      <c r="A87" s="13">
        <v>45103</v>
      </c>
      <c r="B87" s="1" t="s">
        <v>359</v>
      </c>
      <c r="C87" s="14" t="s">
        <v>255</v>
      </c>
      <c r="D87" s="1" t="s">
        <v>258</v>
      </c>
      <c r="E87" s="1" t="s">
        <v>104</v>
      </c>
      <c r="F87" s="1" t="s">
        <v>15</v>
      </c>
      <c r="G87" s="1"/>
      <c r="H87" s="7">
        <v>43.7</v>
      </c>
      <c r="I87" s="6">
        <v>2499.88</v>
      </c>
      <c r="J87" s="5">
        <v>57.204999999999998</v>
      </c>
      <c r="K87" s="5">
        <f t="shared" si="2"/>
        <v>57.204999999999998</v>
      </c>
      <c r="L8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87" s="1" t="s">
        <v>141</v>
      </c>
    </row>
    <row r="88" spans="1:13" ht="27.6" x14ac:dyDescent="0.3">
      <c r="A88" s="13">
        <v>45132</v>
      </c>
      <c r="B88" s="1" t="s">
        <v>354</v>
      </c>
      <c r="C88" s="14" t="s">
        <v>255</v>
      </c>
      <c r="D88" s="1" t="s">
        <v>258</v>
      </c>
      <c r="E88" s="1" t="s">
        <v>104</v>
      </c>
      <c r="F88" s="1" t="s">
        <v>15</v>
      </c>
      <c r="G88" s="1"/>
      <c r="H88" s="7">
        <v>46.89</v>
      </c>
      <c r="I88" s="6">
        <v>2499.88</v>
      </c>
      <c r="J88" s="5">
        <v>53.314</v>
      </c>
      <c r="K88" s="5">
        <f t="shared" si="2"/>
        <v>53.314</v>
      </c>
      <c r="L8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88" s="1" t="s">
        <v>141</v>
      </c>
    </row>
    <row r="89" spans="1:13" ht="27.6" x14ac:dyDescent="0.3">
      <c r="A89" s="13">
        <v>45132</v>
      </c>
      <c r="B89" s="1" t="s">
        <v>355</v>
      </c>
      <c r="C89" s="14" t="s">
        <v>255</v>
      </c>
      <c r="D89" s="1" t="s">
        <v>256</v>
      </c>
      <c r="E89" s="1" t="s">
        <v>116</v>
      </c>
      <c r="F89" s="1" t="s">
        <v>36</v>
      </c>
      <c r="G89" s="1"/>
      <c r="H89" s="7">
        <v>107.621</v>
      </c>
      <c r="I89" s="6">
        <v>2499.88</v>
      </c>
      <c r="J89" s="5">
        <v>23.228999999999999</v>
      </c>
      <c r="K89" s="5">
        <f t="shared" si="2"/>
        <v>23.228999999999999</v>
      </c>
      <c r="L8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89" s="1" t="s">
        <v>141</v>
      </c>
    </row>
    <row r="90" spans="1:13" x14ac:dyDescent="0.3">
      <c r="A90" s="13">
        <v>45132</v>
      </c>
      <c r="B90" s="1" t="s">
        <v>356</v>
      </c>
      <c r="C90" s="14" t="s">
        <v>255</v>
      </c>
      <c r="D90" s="1" t="s">
        <v>260</v>
      </c>
      <c r="E90" s="1" t="s">
        <v>33</v>
      </c>
      <c r="F90" s="1" t="s">
        <v>33</v>
      </c>
      <c r="G90" s="1"/>
      <c r="H90" s="7">
        <v>17.9239</v>
      </c>
      <c r="I90" s="6">
        <v>1999.9</v>
      </c>
      <c r="J90" s="5">
        <v>111.577</v>
      </c>
      <c r="K90" s="5">
        <f t="shared" si="2"/>
        <v>111.577</v>
      </c>
      <c r="L9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90" s="1" t="s">
        <v>141</v>
      </c>
    </row>
    <row r="91" spans="1:13" ht="27.6" x14ac:dyDescent="0.3">
      <c r="A91" s="13">
        <v>45163</v>
      </c>
      <c r="B91" s="1" t="s">
        <v>351</v>
      </c>
      <c r="C91" s="14" t="s">
        <v>255</v>
      </c>
      <c r="D91" s="1" t="s">
        <v>256</v>
      </c>
      <c r="E91" s="1" t="s">
        <v>116</v>
      </c>
      <c r="F91" s="1" t="s">
        <v>36</v>
      </c>
      <c r="G91" s="1"/>
      <c r="H91" s="7">
        <v>109.512</v>
      </c>
      <c r="I91" s="6">
        <v>2499.88</v>
      </c>
      <c r="J91" s="5">
        <v>22.827000000000002</v>
      </c>
      <c r="K91" s="5">
        <f t="shared" si="2"/>
        <v>22.827000000000002</v>
      </c>
      <c r="L9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91" s="1" t="s">
        <v>141</v>
      </c>
    </row>
    <row r="92" spans="1:13" x14ac:dyDescent="0.3">
      <c r="A92" s="13">
        <v>45163</v>
      </c>
      <c r="B92" s="1" t="s">
        <v>352</v>
      </c>
      <c r="C92" s="14" t="s">
        <v>255</v>
      </c>
      <c r="D92" s="1" t="s">
        <v>260</v>
      </c>
      <c r="E92" s="1" t="s">
        <v>33</v>
      </c>
      <c r="F92" s="1" t="s">
        <v>33</v>
      </c>
      <c r="G92" s="1"/>
      <c r="H92" s="7">
        <v>18.008700000000001</v>
      </c>
      <c r="I92" s="6">
        <v>1999.9</v>
      </c>
      <c r="J92" s="5">
        <v>111.05200000000001</v>
      </c>
      <c r="K92" s="5">
        <f t="shared" si="2"/>
        <v>111.05200000000001</v>
      </c>
      <c r="L9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92" s="1" t="s">
        <v>141</v>
      </c>
    </row>
    <row r="93" spans="1:13" ht="27.6" x14ac:dyDescent="0.3">
      <c r="A93" s="13">
        <v>45163</v>
      </c>
      <c r="B93" s="1" t="s">
        <v>353</v>
      </c>
      <c r="C93" s="14" t="s">
        <v>255</v>
      </c>
      <c r="D93" s="1" t="s">
        <v>258</v>
      </c>
      <c r="E93" s="1" t="s">
        <v>104</v>
      </c>
      <c r="F93" s="1" t="s">
        <v>15</v>
      </c>
      <c r="G93" s="1"/>
      <c r="H93" s="7">
        <v>46.61</v>
      </c>
      <c r="I93" s="6">
        <v>2499.88</v>
      </c>
      <c r="J93" s="5">
        <v>53.634</v>
      </c>
      <c r="K93" s="5">
        <f t="shared" si="2"/>
        <v>53.634</v>
      </c>
      <c r="L9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93" s="1" t="s">
        <v>141</v>
      </c>
    </row>
    <row r="94" spans="1:13" ht="27.6" x14ac:dyDescent="0.3">
      <c r="A94" s="13">
        <v>45195</v>
      </c>
      <c r="B94" s="1" t="s">
        <v>348</v>
      </c>
      <c r="C94" s="14" t="s">
        <v>255</v>
      </c>
      <c r="D94" s="1" t="s">
        <v>256</v>
      </c>
      <c r="E94" s="1" t="s">
        <v>116</v>
      </c>
      <c r="F94" s="1" t="s">
        <v>36</v>
      </c>
      <c r="G94" s="1"/>
      <c r="H94" s="7">
        <v>112.083</v>
      </c>
      <c r="I94" s="6">
        <v>2499.88</v>
      </c>
      <c r="J94" s="5">
        <v>22.303999999999998</v>
      </c>
      <c r="K94" s="5">
        <f t="shared" si="2"/>
        <v>22.303999999999998</v>
      </c>
      <c r="L9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94" s="1" t="s">
        <v>141</v>
      </c>
    </row>
    <row r="95" spans="1:13" ht="27.6" x14ac:dyDescent="0.3">
      <c r="A95" s="13">
        <v>45195</v>
      </c>
      <c r="B95" s="1" t="s">
        <v>349</v>
      </c>
      <c r="C95" s="14" t="s">
        <v>255</v>
      </c>
      <c r="D95" s="1" t="s">
        <v>258</v>
      </c>
      <c r="E95" s="1" t="s">
        <v>104</v>
      </c>
      <c r="F95" s="1" t="s">
        <v>15</v>
      </c>
      <c r="G95" s="1"/>
      <c r="H95" s="7">
        <v>47.58</v>
      </c>
      <c r="I95" s="6">
        <v>2499.88</v>
      </c>
      <c r="J95" s="5">
        <v>52.540999999999997</v>
      </c>
      <c r="K95" s="5">
        <f t="shared" si="2"/>
        <v>52.540999999999997</v>
      </c>
      <c r="L9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95" s="1" t="s">
        <v>141</v>
      </c>
    </row>
    <row r="96" spans="1:13" x14ac:dyDescent="0.3">
      <c r="A96" s="13">
        <v>45195</v>
      </c>
      <c r="B96" s="1" t="s">
        <v>350</v>
      </c>
      <c r="C96" s="14" t="s">
        <v>255</v>
      </c>
      <c r="D96" s="1" t="s">
        <v>260</v>
      </c>
      <c r="E96" s="1" t="s">
        <v>33</v>
      </c>
      <c r="F96" s="1" t="s">
        <v>33</v>
      </c>
      <c r="G96" s="1"/>
      <c r="H96" s="7">
        <v>18.782800000000002</v>
      </c>
      <c r="I96" s="6">
        <v>1999.9</v>
      </c>
      <c r="J96" s="5">
        <v>106.47499999999999</v>
      </c>
      <c r="K96" s="5">
        <f t="shared" si="2"/>
        <v>106.47499999999999</v>
      </c>
      <c r="L9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96" s="1" t="s">
        <v>141</v>
      </c>
    </row>
    <row r="97" spans="1:13" x14ac:dyDescent="0.3">
      <c r="A97" s="13">
        <v>45224</v>
      </c>
      <c r="B97" s="1" t="s">
        <v>345</v>
      </c>
      <c r="C97" s="14" t="s">
        <v>255</v>
      </c>
      <c r="D97" s="1" t="s">
        <v>260</v>
      </c>
      <c r="E97" s="1" t="s">
        <v>33</v>
      </c>
      <c r="F97" s="1" t="s">
        <v>33</v>
      </c>
      <c r="G97" s="1"/>
      <c r="H97" s="7">
        <v>18.1891</v>
      </c>
      <c r="I97" s="6">
        <v>1999.9</v>
      </c>
      <c r="J97" s="5">
        <v>109.95</v>
      </c>
      <c r="K97" s="5">
        <f t="shared" si="2"/>
        <v>109.95</v>
      </c>
      <c r="L9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97" s="1" t="s">
        <v>141</v>
      </c>
    </row>
    <row r="98" spans="1:13" ht="27.6" x14ac:dyDescent="0.3">
      <c r="A98" s="13">
        <v>45224</v>
      </c>
      <c r="B98" s="1" t="s">
        <v>346</v>
      </c>
      <c r="C98" s="14" t="s">
        <v>255</v>
      </c>
      <c r="D98" s="1" t="s">
        <v>256</v>
      </c>
      <c r="E98" s="1" t="s">
        <v>116</v>
      </c>
      <c r="F98" s="1" t="s">
        <v>36</v>
      </c>
      <c r="G98" s="1"/>
      <c r="H98" s="7">
        <v>108.92100000000001</v>
      </c>
      <c r="I98" s="6">
        <v>2499.88</v>
      </c>
      <c r="J98" s="5">
        <v>22.951000000000001</v>
      </c>
      <c r="K98" s="5">
        <f t="shared" si="2"/>
        <v>22.951000000000001</v>
      </c>
      <c r="L9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98" s="1" t="s">
        <v>141</v>
      </c>
    </row>
    <row r="99" spans="1:13" ht="27.6" x14ac:dyDescent="0.3">
      <c r="A99" s="13">
        <v>45224</v>
      </c>
      <c r="B99" s="1" t="s">
        <v>347</v>
      </c>
      <c r="C99" s="14" t="s">
        <v>255</v>
      </c>
      <c r="D99" s="1" t="s">
        <v>258</v>
      </c>
      <c r="E99" s="1" t="s">
        <v>104</v>
      </c>
      <c r="F99" s="1" t="s">
        <v>15</v>
      </c>
      <c r="G99" s="1"/>
      <c r="H99" s="7">
        <v>45.78</v>
      </c>
      <c r="I99" s="6">
        <v>2499.88</v>
      </c>
      <c r="J99" s="5">
        <v>54.606000000000002</v>
      </c>
      <c r="K99" s="5">
        <f t="shared" si="2"/>
        <v>54.606000000000002</v>
      </c>
      <c r="L9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99" s="1" t="s">
        <v>141</v>
      </c>
    </row>
    <row r="100" spans="1:13" ht="27.6" x14ac:dyDescent="0.3">
      <c r="A100" s="13">
        <v>45258</v>
      </c>
      <c r="B100" s="1" t="s">
        <v>342</v>
      </c>
      <c r="C100" s="14" t="s">
        <v>255</v>
      </c>
      <c r="D100" s="1" t="s">
        <v>258</v>
      </c>
      <c r="E100" s="1" t="s">
        <v>104</v>
      </c>
      <c r="F100" s="1" t="s">
        <v>15</v>
      </c>
      <c r="G100" s="1"/>
      <c r="H100" s="7">
        <v>46.99</v>
      </c>
      <c r="I100" s="6">
        <v>2499.88</v>
      </c>
      <c r="J100" s="5">
        <v>53.2</v>
      </c>
      <c r="K100" s="5">
        <f t="shared" si="2"/>
        <v>53.2</v>
      </c>
      <c r="L10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00" s="1" t="s">
        <v>141</v>
      </c>
    </row>
    <row r="101" spans="1:13" x14ac:dyDescent="0.3">
      <c r="A101" s="13">
        <v>45258</v>
      </c>
      <c r="B101" s="1" t="s">
        <v>343</v>
      </c>
      <c r="C101" s="14" t="s">
        <v>255</v>
      </c>
      <c r="D101" s="1" t="s">
        <v>260</v>
      </c>
      <c r="E101" s="1" t="s">
        <v>33</v>
      </c>
      <c r="F101" s="1" t="s">
        <v>33</v>
      </c>
      <c r="G101" s="1"/>
      <c r="H101" s="7">
        <v>19.3171</v>
      </c>
      <c r="I101" s="6">
        <v>1999.9</v>
      </c>
      <c r="J101" s="5">
        <v>103.53</v>
      </c>
      <c r="K101" s="5">
        <f t="shared" ref="K101:K132" si="3">IF(OR(EXACT(C101,"Redemption"),EXACT(C101,"Redeem"),EXACT(C101,"Switch Out"),EXACT(C101,"sell"),EXACT(C101,"Sell")),-J101,J101)</f>
        <v>103.53</v>
      </c>
      <c r="L10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01" s="1" t="s">
        <v>141</v>
      </c>
    </row>
    <row r="102" spans="1:13" ht="27.6" x14ac:dyDescent="0.3">
      <c r="A102" s="13">
        <v>45258</v>
      </c>
      <c r="B102" s="1" t="s">
        <v>344</v>
      </c>
      <c r="C102" s="14" t="s">
        <v>255</v>
      </c>
      <c r="D102" s="1" t="s">
        <v>256</v>
      </c>
      <c r="E102" s="1" t="s">
        <v>116</v>
      </c>
      <c r="F102" s="1" t="s">
        <v>36</v>
      </c>
      <c r="G102" s="1"/>
      <c r="H102" s="7">
        <v>115.039</v>
      </c>
      <c r="I102" s="6">
        <v>2499.88</v>
      </c>
      <c r="J102" s="5">
        <v>21.731000000000002</v>
      </c>
      <c r="K102" s="5">
        <f t="shared" si="3"/>
        <v>21.731000000000002</v>
      </c>
      <c r="L10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02" s="1" t="s">
        <v>141</v>
      </c>
    </row>
    <row r="103" spans="1:13" x14ac:dyDescent="0.3">
      <c r="A103" s="13">
        <v>45286</v>
      </c>
      <c r="B103" s="1" t="s">
        <v>339</v>
      </c>
      <c r="C103" s="14" t="s">
        <v>255</v>
      </c>
      <c r="D103" s="1" t="s">
        <v>260</v>
      </c>
      <c r="E103" s="1" t="s">
        <v>33</v>
      </c>
      <c r="F103" s="1" t="s">
        <v>33</v>
      </c>
      <c r="G103" s="1"/>
      <c r="H103" s="7">
        <v>20.857500000000002</v>
      </c>
      <c r="I103" s="6">
        <v>1999.9</v>
      </c>
      <c r="J103" s="5">
        <v>95.884</v>
      </c>
      <c r="K103" s="5">
        <f t="shared" si="3"/>
        <v>95.884</v>
      </c>
      <c r="L10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03" s="1" t="s">
        <v>141</v>
      </c>
    </row>
    <row r="104" spans="1:13" ht="27.6" x14ac:dyDescent="0.3">
      <c r="A104" s="13">
        <v>45286</v>
      </c>
      <c r="B104" s="1" t="s">
        <v>340</v>
      </c>
      <c r="C104" s="14" t="s">
        <v>255</v>
      </c>
      <c r="D104" s="1" t="s">
        <v>256</v>
      </c>
      <c r="E104" s="1" t="s">
        <v>116</v>
      </c>
      <c r="F104" s="1" t="s">
        <v>36</v>
      </c>
      <c r="G104" s="1"/>
      <c r="H104" s="7">
        <v>123.15600000000001</v>
      </c>
      <c r="I104" s="6">
        <v>2499.88</v>
      </c>
      <c r="J104" s="5">
        <v>20.297999999999998</v>
      </c>
      <c r="K104" s="5">
        <f t="shared" si="3"/>
        <v>20.297999999999998</v>
      </c>
      <c r="L10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04" s="1" t="s">
        <v>141</v>
      </c>
    </row>
    <row r="105" spans="1:13" ht="27.6" x14ac:dyDescent="0.3">
      <c r="A105" s="13">
        <v>45286</v>
      </c>
      <c r="B105" s="1" t="s">
        <v>341</v>
      </c>
      <c r="C105" s="14" t="s">
        <v>255</v>
      </c>
      <c r="D105" s="1" t="s">
        <v>258</v>
      </c>
      <c r="E105" s="1" t="s">
        <v>104</v>
      </c>
      <c r="F105" s="1" t="s">
        <v>15</v>
      </c>
      <c r="G105" s="1"/>
      <c r="H105" s="7">
        <v>49.91</v>
      </c>
      <c r="I105" s="6">
        <v>2499.88</v>
      </c>
      <c r="J105" s="5">
        <v>50.088000000000001</v>
      </c>
      <c r="K105" s="5">
        <f t="shared" si="3"/>
        <v>50.088000000000001</v>
      </c>
      <c r="L10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05" s="1" t="s">
        <v>141</v>
      </c>
    </row>
    <row r="106" spans="1:13" ht="27.6" x14ac:dyDescent="0.3">
      <c r="A106" s="13">
        <v>45316</v>
      </c>
      <c r="B106" s="1" t="s">
        <v>336</v>
      </c>
      <c r="C106" s="14" t="s">
        <v>255</v>
      </c>
      <c r="D106" s="1" t="s">
        <v>256</v>
      </c>
      <c r="E106" s="1" t="s">
        <v>116</v>
      </c>
      <c r="F106" s="1" t="s">
        <v>36</v>
      </c>
      <c r="G106" s="1"/>
      <c r="H106" s="7">
        <v>124.709</v>
      </c>
      <c r="I106" s="6">
        <v>2499.88</v>
      </c>
      <c r="J106" s="5">
        <v>20.045999999999999</v>
      </c>
      <c r="K106" s="5">
        <f t="shared" si="3"/>
        <v>20.045999999999999</v>
      </c>
      <c r="L10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06" s="1" t="s">
        <v>141</v>
      </c>
    </row>
    <row r="107" spans="1:13" ht="27.6" x14ac:dyDescent="0.3">
      <c r="A107" s="13">
        <v>45316</v>
      </c>
      <c r="B107" s="1" t="s">
        <v>337</v>
      </c>
      <c r="C107" s="14" t="s">
        <v>255</v>
      </c>
      <c r="D107" s="1" t="s">
        <v>258</v>
      </c>
      <c r="E107" s="1" t="s">
        <v>104</v>
      </c>
      <c r="F107" s="1" t="s">
        <v>15</v>
      </c>
      <c r="G107" s="1"/>
      <c r="H107" s="7">
        <v>49.19</v>
      </c>
      <c r="I107" s="6">
        <v>2499.88</v>
      </c>
      <c r="J107" s="5">
        <v>50.820999999999998</v>
      </c>
      <c r="K107" s="5">
        <f t="shared" si="3"/>
        <v>50.820999999999998</v>
      </c>
      <c r="L10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07" s="1" t="s">
        <v>141</v>
      </c>
    </row>
    <row r="108" spans="1:13" x14ac:dyDescent="0.3">
      <c r="A108" s="13">
        <v>45316</v>
      </c>
      <c r="B108" s="1" t="s">
        <v>338</v>
      </c>
      <c r="C108" s="14" t="s">
        <v>255</v>
      </c>
      <c r="D108" s="1" t="s">
        <v>260</v>
      </c>
      <c r="E108" s="1" t="s">
        <v>33</v>
      </c>
      <c r="F108" s="1" t="s">
        <v>33</v>
      </c>
      <c r="G108" s="1"/>
      <c r="H108" s="7">
        <v>21.597300000000001</v>
      </c>
      <c r="I108" s="6">
        <v>1999.9</v>
      </c>
      <c r="J108" s="5">
        <v>92.6</v>
      </c>
      <c r="K108" s="5">
        <f t="shared" si="3"/>
        <v>92.6</v>
      </c>
      <c r="L10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08" s="1" t="s">
        <v>141</v>
      </c>
    </row>
    <row r="109" spans="1:13" ht="27.6" x14ac:dyDescent="0.3">
      <c r="A109" s="13">
        <v>45348</v>
      </c>
      <c r="B109" s="1" t="s">
        <v>333</v>
      </c>
      <c r="C109" s="14" t="s">
        <v>255</v>
      </c>
      <c r="D109" s="1" t="s">
        <v>256</v>
      </c>
      <c r="E109" s="1" t="s">
        <v>116</v>
      </c>
      <c r="F109" s="1" t="s">
        <v>36</v>
      </c>
      <c r="G109" s="1"/>
      <c r="H109" s="7">
        <v>130.279</v>
      </c>
      <c r="I109" s="6">
        <v>2499.88</v>
      </c>
      <c r="J109" s="5">
        <v>19.189</v>
      </c>
      <c r="K109" s="5">
        <f t="shared" si="3"/>
        <v>19.189</v>
      </c>
      <c r="L10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09" s="1" t="s">
        <v>141</v>
      </c>
    </row>
    <row r="110" spans="1:13" ht="27.6" x14ac:dyDescent="0.3">
      <c r="A110" s="13">
        <v>45348</v>
      </c>
      <c r="B110" s="1" t="s">
        <v>334</v>
      </c>
      <c r="C110" s="14" t="s">
        <v>255</v>
      </c>
      <c r="D110" s="1" t="s">
        <v>258</v>
      </c>
      <c r="E110" s="1" t="s">
        <v>104</v>
      </c>
      <c r="F110" s="1" t="s">
        <v>15</v>
      </c>
      <c r="G110" s="1"/>
      <c r="H110" s="7">
        <v>50.65</v>
      </c>
      <c r="I110" s="6">
        <v>2499.88</v>
      </c>
      <c r="J110" s="5">
        <v>49.356000000000002</v>
      </c>
      <c r="K110" s="5">
        <f t="shared" si="3"/>
        <v>49.356000000000002</v>
      </c>
      <c r="L11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10" s="1" t="s">
        <v>141</v>
      </c>
    </row>
    <row r="111" spans="1:13" x14ac:dyDescent="0.3">
      <c r="A111" s="13">
        <v>45348</v>
      </c>
      <c r="B111" s="1" t="s">
        <v>335</v>
      </c>
      <c r="C111" s="14" t="s">
        <v>255</v>
      </c>
      <c r="D111" s="1" t="s">
        <v>260</v>
      </c>
      <c r="E111" s="1" t="s">
        <v>33</v>
      </c>
      <c r="F111" s="1" t="s">
        <v>33</v>
      </c>
      <c r="G111" s="1"/>
      <c r="H111" s="7">
        <v>23.276199999999999</v>
      </c>
      <c r="I111" s="6">
        <v>1999.9</v>
      </c>
      <c r="J111" s="5">
        <v>85.92</v>
      </c>
      <c r="K111" s="5">
        <f t="shared" si="3"/>
        <v>85.92</v>
      </c>
      <c r="L11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11" s="1" t="s">
        <v>141</v>
      </c>
    </row>
    <row r="112" spans="1:13" x14ac:dyDescent="0.3">
      <c r="A112" s="13">
        <v>45378</v>
      </c>
      <c r="B112" s="1" t="s">
        <v>330</v>
      </c>
      <c r="C112" s="14" t="s">
        <v>255</v>
      </c>
      <c r="D112" s="1" t="s">
        <v>260</v>
      </c>
      <c r="E112" s="1" t="s">
        <v>33</v>
      </c>
      <c r="F112" s="1" t="s">
        <v>33</v>
      </c>
      <c r="G112" s="1"/>
      <c r="H112" s="7">
        <v>23.1846</v>
      </c>
      <c r="I112" s="6">
        <v>1999.9</v>
      </c>
      <c r="J112" s="5">
        <v>86.26</v>
      </c>
      <c r="K112" s="5">
        <f t="shared" si="3"/>
        <v>86.26</v>
      </c>
      <c r="L11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12" s="1" t="s">
        <v>141</v>
      </c>
    </row>
    <row r="113" spans="1:13" ht="27.6" x14ac:dyDescent="0.3">
      <c r="A113" s="13">
        <v>45378</v>
      </c>
      <c r="B113" s="1" t="s">
        <v>331</v>
      </c>
      <c r="C113" s="14" t="s">
        <v>255</v>
      </c>
      <c r="D113" s="1" t="s">
        <v>258</v>
      </c>
      <c r="E113" s="1" t="s">
        <v>104</v>
      </c>
      <c r="F113" s="1" t="s">
        <v>15</v>
      </c>
      <c r="G113" s="1"/>
      <c r="H113" s="7">
        <v>49.73</v>
      </c>
      <c r="I113" s="6">
        <v>2499.88</v>
      </c>
      <c r="J113" s="5">
        <v>50.268999999999998</v>
      </c>
      <c r="K113" s="5">
        <f t="shared" si="3"/>
        <v>50.268999999999998</v>
      </c>
      <c r="L11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13" s="1" t="s">
        <v>141</v>
      </c>
    </row>
    <row r="114" spans="1:13" ht="27.6" x14ac:dyDescent="0.3">
      <c r="A114" s="13">
        <v>45378</v>
      </c>
      <c r="B114" s="1" t="s">
        <v>332</v>
      </c>
      <c r="C114" s="14" t="s">
        <v>255</v>
      </c>
      <c r="D114" s="1" t="s">
        <v>256</v>
      </c>
      <c r="E114" s="1" t="s">
        <v>116</v>
      </c>
      <c r="F114" s="1" t="s">
        <v>36</v>
      </c>
      <c r="G114" s="1"/>
      <c r="H114" s="7">
        <v>128.02600000000001</v>
      </c>
      <c r="I114" s="6">
        <v>2499.88</v>
      </c>
      <c r="J114" s="5">
        <v>19.526</v>
      </c>
      <c r="K114" s="5">
        <f t="shared" si="3"/>
        <v>19.526</v>
      </c>
      <c r="L11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14" s="1" t="s">
        <v>141</v>
      </c>
    </row>
    <row r="115" spans="1:13" ht="27.6" x14ac:dyDescent="0.3">
      <c r="A115" s="13">
        <v>45407</v>
      </c>
      <c r="B115" s="1" t="s">
        <v>327</v>
      </c>
      <c r="C115" s="14" t="s">
        <v>255</v>
      </c>
      <c r="D115" s="1" t="s">
        <v>258</v>
      </c>
      <c r="E115" s="1" t="s">
        <v>104</v>
      </c>
      <c r="F115" s="1" t="s">
        <v>15</v>
      </c>
      <c r="G115" s="1"/>
      <c r="H115" s="7">
        <v>52.7</v>
      </c>
      <c r="I115" s="6">
        <v>2499.88</v>
      </c>
      <c r="J115" s="5">
        <v>47.436</v>
      </c>
      <c r="K115" s="5">
        <f t="shared" si="3"/>
        <v>47.436</v>
      </c>
      <c r="L11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15" s="1" t="s">
        <v>141</v>
      </c>
    </row>
    <row r="116" spans="1:13" ht="27.6" x14ac:dyDescent="0.3">
      <c r="A116" s="13">
        <v>45407</v>
      </c>
      <c r="B116" s="1" t="s">
        <v>328</v>
      </c>
      <c r="C116" s="14" t="s">
        <v>255</v>
      </c>
      <c r="D116" s="1" t="s">
        <v>256</v>
      </c>
      <c r="E116" s="1" t="s">
        <v>116</v>
      </c>
      <c r="F116" s="1" t="s">
        <v>36</v>
      </c>
      <c r="G116" s="1"/>
      <c r="H116" s="7">
        <v>133.16200000000001</v>
      </c>
      <c r="I116" s="6">
        <v>2499.88</v>
      </c>
      <c r="J116" s="5">
        <v>18.773</v>
      </c>
      <c r="K116" s="5">
        <f t="shared" si="3"/>
        <v>18.773</v>
      </c>
      <c r="L11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16" s="1" t="s">
        <v>141</v>
      </c>
    </row>
    <row r="117" spans="1:13" x14ac:dyDescent="0.3">
      <c r="A117" s="13">
        <v>45407</v>
      </c>
      <c r="B117" s="1" t="s">
        <v>329</v>
      </c>
      <c r="C117" s="14" t="s">
        <v>255</v>
      </c>
      <c r="D117" s="1" t="s">
        <v>260</v>
      </c>
      <c r="E117" s="1" t="s">
        <v>33</v>
      </c>
      <c r="F117" s="1" t="s">
        <v>33</v>
      </c>
      <c r="G117" s="1"/>
      <c r="H117" s="7">
        <v>24.238199999999999</v>
      </c>
      <c r="I117" s="6">
        <v>1999.9</v>
      </c>
      <c r="J117" s="5">
        <v>82.51</v>
      </c>
      <c r="K117" s="5">
        <f t="shared" si="3"/>
        <v>82.51</v>
      </c>
      <c r="L11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17" s="1" t="s">
        <v>141</v>
      </c>
    </row>
    <row r="118" spans="1:13" ht="27.6" x14ac:dyDescent="0.3">
      <c r="A118" s="13">
        <v>45439</v>
      </c>
      <c r="B118" s="1" t="s">
        <v>324</v>
      </c>
      <c r="C118" s="14" t="s">
        <v>255</v>
      </c>
      <c r="D118" s="1" t="s">
        <v>258</v>
      </c>
      <c r="E118" s="1" t="s">
        <v>104</v>
      </c>
      <c r="F118" s="1" t="s">
        <v>15</v>
      </c>
      <c r="G118" s="1"/>
      <c r="H118" s="7">
        <v>52.52</v>
      </c>
      <c r="I118" s="6">
        <v>2499.88</v>
      </c>
      <c r="J118" s="5">
        <v>47.598999999999997</v>
      </c>
      <c r="K118" s="5">
        <f t="shared" si="3"/>
        <v>47.598999999999997</v>
      </c>
      <c r="L11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18" s="1" t="s">
        <v>141</v>
      </c>
    </row>
    <row r="119" spans="1:13" x14ac:dyDescent="0.3">
      <c r="A119" s="13">
        <v>45439</v>
      </c>
      <c r="B119" s="1" t="s">
        <v>325</v>
      </c>
      <c r="C119" s="14" t="s">
        <v>255</v>
      </c>
      <c r="D119" s="1" t="s">
        <v>260</v>
      </c>
      <c r="E119" s="1" t="s">
        <v>33</v>
      </c>
      <c r="F119" s="1" t="s">
        <v>33</v>
      </c>
      <c r="G119" s="1"/>
      <c r="H119" s="7">
        <v>24.985299999999999</v>
      </c>
      <c r="I119" s="6">
        <v>1999.9</v>
      </c>
      <c r="J119" s="5">
        <v>80.043000000000006</v>
      </c>
      <c r="K119" s="5">
        <f t="shared" si="3"/>
        <v>80.043000000000006</v>
      </c>
      <c r="L11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19" s="1" t="s">
        <v>141</v>
      </c>
    </row>
    <row r="120" spans="1:13" ht="27.6" x14ac:dyDescent="0.3">
      <c r="A120" s="13">
        <v>45439</v>
      </c>
      <c r="B120" s="1" t="s">
        <v>326</v>
      </c>
      <c r="C120" s="14" t="s">
        <v>255</v>
      </c>
      <c r="D120" s="1" t="s">
        <v>256</v>
      </c>
      <c r="E120" s="1" t="s">
        <v>116</v>
      </c>
      <c r="F120" s="1" t="s">
        <v>36</v>
      </c>
      <c r="G120" s="1"/>
      <c r="H120" s="7">
        <v>137.65700000000001</v>
      </c>
      <c r="I120" s="6">
        <v>2499.88</v>
      </c>
      <c r="J120" s="5">
        <v>18.16</v>
      </c>
      <c r="K120" s="5">
        <f t="shared" si="3"/>
        <v>18.16</v>
      </c>
      <c r="L12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20" s="1" t="s">
        <v>141</v>
      </c>
    </row>
    <row r="121" spans="1:13" ht="27.6" x14ac:dyDescent="0.3">
      <c r="A121" s="13">
        <v>45468</v>
      </c>
      <c r="B121" s="1" t="s">
        <v>321</v>
      </c>
      <c r="C121" s="14" t="s">
        <v>255</v>
      </c>
      <c r="D121" s="1" t="s">
        <v>258</v>
      </c>
      <c r="E121" s="1" t="s">
        <v>104</v>
      </c>
      <c r="F121" s="1" t="s">
        <v>15</v>
      </c>
      <c r="G121" s="1"/>
      <c r="H121" s="7">
        <v>56.06</v>
      </c>
      <c r="I121" s="6">
        <v>2499.88</v>
      </c>
      <c r="J121" s="5">
        <v>44.593000000000004</v>
      </c>
      <c r="K121" s="5">
        <f t="shared" si="3"/>
        <v>44.593000000000004</v>
      </c>
      <c r="L12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21" s="1" t="s">
        <v>141</v>
      </c>
    </row>
    <row r="122" spans="1:13" x14ac:dyDescent="0.3">
      <c r="A122" s="13">
        <v>45468</v>
      </c>
      <c r="B122" s="1" t="s">
        <v>322</v>
      </c>
      <c r="C122" s="14" t="s">
        <v>255</v>
      </c>
      <c r="D122" s="1" t="s">
        <v>260</v>
      </c>
      <c r="E122" s="1" t="s">
        <v>33</v>
      </c>
      <c r="F122" s="1" t="s">
        <v>33</v>
      </c>
      <c r="G122" s="1"/>
      <c r="H122" s="7">
        <v>25.750800000000002</v>
      </c>
      <c r="I122" s="6">
        <v>1999.9</v>
      </c>
      <c r="J122" s="5">
        <v>77.664000000000001</v>
      </c>
      <c r="K122" s="5">
        <f t="shared" si="3"/>
        <v>77.664000000000001</v>
      </c>
      <c r="L12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22" s="1" t="s">
        <v>141</v>
      </c>
    </row>
    <row r="123" spans="1:13" ht="27.6" x14ac:dyDescent="0.3">
      <c r="A123" s="13">
        <v>45468</v>
      </c>
      <c r="B123" s="1" t="s">
        <v>323</v>
      </c>
      <c r="C123" s="14" t="s">
        <v>255</v>
      </c>
      <c r="D123" s="1" t="s">
        <v>256</v>
      </c>
      <c r="E123" s="1" t="s">
        <v>116</v>
      </c>
      <c r="F123" s="1" t="s">
        <v>36</v>
      </c>
      <c r="G123" s="1"/>
      <c r="H123" s="7">
        <v>144.30099999999999</v>
      </c>
      <c r="I123" s="6">
        <v>2499.88</v>
      </c>
      <c r="J123" s="5">
        <v>17.324000000000002</v>
      </c>
      <c r="K123" s="5">
        <f t="shared" si="3"/>
        <v>17.324000000000002</v>
      </c>
      <c r="L12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23" s="1" t="s">
        <v>141</v>
      </c>
    </row>
    <row r="124" spans="1:13" ht="27.6" x14ac:dyDescent="0.3">
      <c r="A124" s="13">
        <v>45498</v>
      </c>
      <c r="B124" s="1" t="s">
        <v>318</v>
      </c>
      <c r="C124" s="14" t="s">
        <v>255</v>
      </c>
      <c r="D124" s="1" t="s">
        <v>256</v>
      </c>
      <c r="E124" s="1" t="s">
        <v>116</v>
      </c>
      <c r="F124" s="1" t="s">
        <v>36</v>
      </c>
      <c r="G124" s="1"/>
      <c r="H124" s="7">
        <v>148.49700000000001</v>
      </c>
      <c r="I124" s="6">
        <v>2499.88</v>
      </c>
      <c r="J124" s="5">
        <v>16.835000000000001</v>
      </c>
      <c r="K124" s="5">
        <f t="shared" si="3"/>
        <v>16.835000000000001</v>
      </c>
      <c r="L12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24" s="1" t="s">
        <v>141</v>
      </c>
    </row>
    <row r="125" spans="1:13" ht="27.6" x14ac:dyDescent="0.3">
      <c r="A125" s="13">
        <v>45498</v>
      </c>
      <c r="B125" s="1" t="s">
        <v>319</v>
      </c>
      <c r="C125" s="14" t="s">
        <v>255</v>
      </c>
      <c r="D125" s="1" t="s">
        <v>258</v>
      </c>
      <c r="E125" s="1" t="s">
        <v>104</v>
      </c>
      <c r="F125" s="1" t="s">
        <v>15</v>
      </c>
      <c r="G125" s="1"/>
      <c r="H125" s="7">
        <v>55.08</v>
      </c>
      <c r="I125" s="6">
        <v>2499.88</v>
      </c>
      <c r="J125" s="5">
        <v>45.386000000000003</v>
      </c>
      <c r="K125" s="5">
        <f t="shared" si="3"/>
        <v>45.386000000000003</v>
      </c>
      <c r="L12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25" s="1" t="s">
        <v>141</v>
      </c>
    </row>
    <row r="126" spans="1:13" x14ac:dyDescent="0.3">
      <c r="A126" s="13">
        <v>45498</v>
      </c>
      <c r="B126" s="1" t="s">
        <v>320</v>
      </c>
      <c r="C126" s="14" t="s">
        <v>255</v>
      </c>
      <c r="D126" s="1" t="s">
        <v>260</v>
      </c>
      <c r="E126" s="1" t="s">
        <v>33</v>
      </c>
      <c r="F126" s="1" t="s">
        <v>33</v>
      </c>
      <c r="G126" s="1"/>
      <c r="H126" s="7">
        <v>27.024100000000001</v>
      </c>
      <c r="I126" s="6">
        <v>1999.9</v>
      </c>
      <c r="J126" s="5">
        <v>74.004000000000005</v>
      </c>
      <c r="K126" s="5">
        <f t="shared" si="3"/>
        <v>74.004000000000005</v>
      </c>
      <c r="L12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26" s="1" t="s">
        <v>141</v>
      </c>
    </row>
    <row r="127" spans="1:13" ht="27.6" x14ac:dyDescent="0.3">
      <c r="A127" s="13">
        <v>45530</v>
      </c>
      <c r="B127" s="1" t="s">
        <v>315</v>
      </c>
      <c r="C127" s="14" t="s">
        <v>255</v>
      </c>
      <c r="D127" s="1" t="s">
        <v>256</v>
      </c>
      <c r="E127" s="1" t="s">
        <v>116</v>
      </c>
      <c r="F127" s="1" t="s">
        <v>36</v>
      </c>
      <c r="G127" s="1"/>
      <c r="H127" s="7">
        <v>152.73099999999999</v>
      </c>
      <c r="I127" s="6">
        <v>2499.88</v>
      </c>
      <c r="J127" s="5">
        <v>16.367999999999999</v>
      </c>
      <c r="K127" s="5">
        <f t="shared" si="3"/>
        <v>16.367999999999999</v>
      </c>
      <c r="L12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27" s="1" t="s">
        <v>141</v>
      </c>
    </row>
    <row r="128" spans="1:13" ht="27.6" x14ac:dyDescent="0.3">
      <c r="A128" s="13">
        <v>45530</v>
      </c>
      <c r="B128" s="1" t="s">
        <v>316</v>
      </c>
      <c r="C128" s="14" t="s">
        <v>255</v>
      </c>
      <c r="D128" s="1" t="s">
        <v>258</v>
      </c>
      <c r="E128" s="1" t="s">
        <v>104</v>
      </c>
      <c r="F128" s="1" t="s">
        <v>15</v>
      </c>
      <c r="G128" s="1"/>
      <c r="H128" s="7">
        <v>56.32</v>
      </c>
      <c r="I128" s="6">
        <v>2499.88</v>
      </c>
      <c r="J128" s="5">
        <v>44.387</v>
      </c>
      <c r="K128" s="5">
        <f t="shared" si="3"/>
        <v>44.387</v>
      </c>
      <c r="L12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28" s="1" t="s">
        <v>141</v>
      </c>
    </row>
    <row r="129" spans="1:13" x14ac:dyDescent="0.3">
      <c r="A129" s="13">
        <v>45530</v>
      </c>
      <c r="B129" s="1" t="s">
        <v>317</v>
      </c>
      <c r="C129" s="14" t="s">
        <v>255</v>
      </c>
      <c r="D129" s="1" t="s">
        <v>260</v>
      </c>
      <c r="E129" s="1" t="s">
        <v>33</v>
      </c>
      <c r="F129" s="1" t="s">
        <v>33</v>
      </c>
      <c r="G129" s="1"/>
      <c r="H129" s="7">
        <v>27.639900000000001</v>
      </c>
      <c r="I129" s="6">
        <v>1999.9</v>
      </c>
      <c r="J129" s="5">
        <v>72.355999999999995</v>
      </c>
      <c r="K129" s="5">
        <f t="shared" si="3"/>
        <v>72.355999999999995</v>
      </c>
      <c r="L12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29" s="1" t="s">
        <v>141</v>
      </c>
    </row>
    <row r="130" spans="1:13" ht="27.6" x14ac:dyDescent="0.3">
      <c r="A130" s="13">
        <v>45560</v>
      </c>
      <c r="B130" s="1" t="s">
        <v>312</v>
      </c>
      <c r="C130" s="14" t="s">
        <v>255</v>
      </c>
      <c r="D130" s="1" t="s">
        <v>258</v>
      </c>
      <c r="E130" s="1" t="s">
        <v>104</v>
      </c>
      <c r="F130" s="1" t="s">
        <v>15</v>
      </c>
      <c r="G130" s="1"/>
      <c r="H130" s="7">
        <v>59.91</v>
      </c>
      <c r="I130" s="6">
        <v>2499.88</v>
      </c>
      <c r="J130" s="5">
        <v>41.726999999999997</v>
      </c>
      <c r="K130" s="5">
        <f t="shared" si="3"/>
        <v>41.726999999999997</v>
      </c>
      <c r="L13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30" s="1" t="s">
        <v>141</v>
      </c>
    </row>
    <row r="131" spans="1:13" x14ac:dyDescent="0.3">
      <c r="A131" s="13">
        <v>45560</v>
      </c>
      <c r="B131" s="1" t="s">
        <v>313</v>
      </c>
      <c r="C131" s="14" t="s">
        <v>255</v>
      </c>
      <c r="D131" s="1" t="s">
        <v>260</v>
      </c>
      <c r="E131" s="1" t="s">
        <v>33</v>
      </c>
      <c r="F131" s="1" t="s">
        <v>33</v>
      </c>
      <c r="G131" s="1"/>
      <c r="H131" s="7">
        <v>28.145499999999998</v>
      </c>
      <c r="I131" s="6">
        <v>1999.9</v>
      </c>
      <c r="J131" s="5">
        <v>71.055999999999997</v>
      </c>
      <c r="K131" s="5">
        <f t="shared" si="3"/>
        <v>71.055999999999997</v>
      </c>
      <c r="L13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31" s="1" t="s">
        <v>141</v>
      </c>
    </row>
    <row r="132" spans="1:13" ht="27.6" x14ac:dyDescent="0.3">
      <c r="A132" s="13">
        <v>45560</v>
      </c>
      <c r="B132" s="1" t="s">
        <v>314</v>
      </c>
      <c r="C132" s="14" t="s">
        <v>255</v>
      </c>
      <c r="D132" s="1" t="s">
        <v>256</v>
      </c>
      <c r="E132" s="1" t="s">
        <v>116</v>
      </c>
      <c r="F132" s="1" t="s">
        <v>36</v>
      </c>
      <c r="G132" s="1"/>
      <c r="H132" s="7">
        <v>155.96299999999999</v>
      </c>
      <c r="I132" s="6">
        <v>2499.88</v>
      </c>
      <c r="J132" s="5">
        <v>16.029</v>
      </c>
      <c r="K132" s="5">
        <f t="shared" si="3"/>
        <v>16.029</v>
      </c>
      <c r="L13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32" s="1" t="s">
        <v>141</v>
      </c>
    </row>
    <row r="133" spans="1:13" x14ac:dyDescent="0.3">
      <c r="A133" s="13">
        <v>45590</v>
      </c>
      <c r="B133" s="1" t="s">
        <v>309</v>
      </c>
      <c r="C133" s="14" t="s">
        <v>255</v>
      </c>
      <c r="D133" s="1" t="s">
        <v>260</v>
      </c>
      <c r="E133" s="1" t="s">
        <v>33</v>
      </c>
      <c r="F133" s="1" t="s">
        <v>33</v>
      </c>
      <c r="G133" s="1"/>
      <c r="H133" s="7">
        <v>25.9436</v>
      </c>
      <c r="I133" s="6">
        <v>1999.9</v>
      </c>
      <c r="J133" s="5">
        <v>77.085999999999999</v>
      </c>
      <c r="K133" s="5">
        <f t="shared" ref="K133:K164" si="4">IF(OR(EXACT(C133,"Redemption"),EXACT(C133,"Redeem"),EXACT(C133,"Switch Out"),EXACT(C133,"sell"),EXACT(C133,"Sell")),-J133,J133)</f>
        <v>77.085999999999999</v>
      </c>
      <c r="L13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33" s="1" t="s">
        <v>141</v>
      </c>
    </row>
    <row r="134" spans="1:13" ht="27.6" x14ac:dyDescent="0.3">
      <c r="A134" s="13">
        <v>45590</v>
      </c>
      <c r="B134" s="1" t="s">
        <v>310</v>
      </c>
      <c r="C134" s="14" t="s">
        <v>255</v>
      </c>
      <c r="D134" s="1" t="s">
        <v>256</v>
      </c>
      <c r="E134" s="1" t="s">
        <v>116</v>
      </c>
      <c r="F134" s="1" t="s">
        <v>36</v>
      </c>
      <c r="G134" s="1"/>
      <c r="H134" s="7">
        <v>144.30500000000001</v>
      </c>
      <c r="I134" s="6">
        <v>2499.88</v>
      </c>
      <c r="J134" s="5">
        <v>17.324000000000002</v>
      </c>
      <c r="K134" s="5">
        <f t="shared" si="4"/>
        <v>17.324000000000002</v>
      </c>
      <c r="L13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34" s="1" t="s">
        <v>141</v>
      </c>
    </row>
    <row r="135" spans="1:13" ht="27.6" x14ac:dyDescent="0.3">
      <c r="A135" s="13">
        <v>45590</v>
      </c>
      <c r="B135" s="1" t="s">
        <v>311</v>
      </c>
      <c r="C135" s="14" t="s">
        <v>255</v>
      </c>
      <c r="D135" s="1" t="s">
        <v>258</v>
      </c>
      <c r="E135" s="1" t="s">
        <v>104</v>
      </c>
      <c r="F135" s="1" t="s">
        <v>15</v>
      </c>
      <c r="G135" s="1"/>
      <c r="H135" s="7">
        <v>55.48</v>
      </c>
      <c r="I135" s="6">
        <v>2499.88</v>
      </c>
      <c r="J135" s="5">
        <v>45.058999999999997</v>
      </c>
      <c r="K135" s="5">
        <f t="shared" si="4"/>
        <v>45.058999999999997</v>
      </c>
      <c r="L13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35" s="1" t="s">
        <v>141</v>
      </c>
    </row>
    <row r="136" spans="1:13" x14ac:dyDescent="0.3">
      <c r="A136" s="13">
        <v>45621</v>
      </c>
      <c r="B136" s="1" t="s">
        <v>306</v>
      </c>
      <c r="C136" s="14" t="s">
        <v>255</v>
      </c>
      <c r="D136" s="1" t="s">
        <v>260</v>
      </c>
      <c r="E136" s="1" t="s">
        <v>33</v>
      </c>
      <c r="F136" s="1" t="s">
        <v>33</v>
      </c>
      <c r="G136" s="1"/>
      <c r="H136" s="7">
        <v>26.064</v>
      </c>
      <c r="I136" s="6">
        <v>1999.9</v>
      </c>
      <c r="J136" s="5">
        <v>76.73</v>
      </c>
      <c r="K136" s="5">
        <f t="shared" si="4"/>
        <v>76.73</v>
      </c>
      <c r="L13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36" s="1" t="s">
        <v>141</v>
      </c>
    </row>
    <row r="137" spans="1:13" ht="27.6" x14ac:dyDescent="0.3">
      <c r="A137" s="13">
        <v>45621</v>
      </c>
      <c r="B137" s="1" t="s">
        <v>307</v>
      </c>
      <c r="C137" s="14" t="s">
        <v>255</v>
      </c>
      <c r="D137" s="1" t="s">
        <v>256</v>
      </c>
      <c r="E137" s="1" t="s">
        <v>116</v>
      </c>
      <c r="F137" s="1" t="s">
        <v>36</v>
      </c>
      <c r="G137" s="1"/>
      <c r="H137" s="7">
        <v>145.678</v>
      </c>
      <c r="I137" s="6">
        <v>2499.88</v>
      </c>
      <c r="J137" s="5">
        <v>17.16</v>
      </c>
      <c r="K137" s="5">
        <f t="shared" si="4"/>
        <v>17.16</v>
      </c>
      <c r="L13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37" s="1" t="s">
        <v>141</v>
      </c>
    </row>
    <row r="138" spans="1:13" ht="27.6" x14ac:dyDescent="0.3">
      <c r="A138" s="13">
        <v>45621</v>
      </c>
      <c r="B138" s="1" t="s">
        <v>308</v>
      </c>
      <c r="C138" s="14" t="s">
        <v>255</v>
      </c>
      <c r="D138" s="1" t="s">
        <v>258</v>
      </c>
      <c r="E138" s="1" t="s">
        <v>104</v>
      </c>
      <c r="F138" s="1" t="s">
        <v>15</v>
      </c>
      <c r="G138" s="1"/>
      <c r="H138" s="7">
        <v>55.99</v>
      </c>
      <c r="I138" s="6">
        <v>2499.88</v>
      </c>
      <c r="J138" s="5">
        <v>44.649000000000001</v>
      </c>
      <c r="K138" s="5">
        <f t="shared" si="4"/>
        <v>44.649000000000001</v>
      </c>
      <c r="L13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38" s="1" t="s">
        <v>141</v>
      </c>
    </row>
    <row r="139" spans="1:13" x14ac:dyDescent="0.3">
      <c r="A139" s="13">
        <v>45652</v>
      </c>
      <c r="B139" s="1" t="s">
        <v>303</v>
      </c>
      <c r="C139" s="14" t="s">
        <v>255</v>
      </c>
      <c r="D139" s="1" t="s">
        <v>260</v>
      </c>
      <c r="E139" s="1" t="s">
        <v>33</v>
      </c>
      <c r="F139" s="1" t="s">
        <v>33</v>
      </c>
      <c r="G139" s="1"/>
      <c r="H139" s="7">
        <v>25.5685</v>
      </c>
      <c r="I139" s="6">
        <v>1999.9</v>
      </c>
      <c r="J139" s="5">
        <v>78.216999999999999</v>
      </c>
      <c r="K139" s="5">
        <f t="shared" si="4"/>
        <v>78.216999999999999</v>
      </c>
      <c r="L13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39" s="1" t="s">
        <v>141</v>
      </c>
    </row>
    <row r="140" spans="1:13" ht="27.6" x14ac:dyDescent="0.3">
      <c r="A140" s="13">
        <v>45652</v>
      </c>
      <c r="B140" s="1" t="s">
        <v>304</v>
      </c>
      <c r="C140" s="14" t="s">
        <v>255</v>
      </c>
      <c r="D140" s="1" t="s">
        <v>256</v>
      </c>
      <c r="E140" s="1" t="s">
        <v>116</v>
      </c>
      <c r="F140" s="1" t="s">
        <v>36</v>
      </c>
      <c r="G140" s="1"/>
      <c r="H140" s="7">
        <v>145.494</v>
      </c>
      <c r="I140" s="6">
        <v>2499.88</v>
      </c>
      <c r="J140" s="5">
        <v>17.181999999999999</v>
      </c>
      <c r="K140" s="5">
        <f t="shared" si="4"/>
        <v>17.181999999999999</v>
      </c>
      <c r="L14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40" s="1" t="s">
        <v>141</v>
      </c>
    </row>
    <row r="141" spans="1:13" ht="27.6" x14ac:dyDescent="0.3">
      <c r="A141" s="13">
        <v>45652</v>
      </c>
      <c r="B141" s="1" t="s">
        <v>305</v>
      </c>
      <c r="C141" s="14" t="s">
        <v>255</v>
      </c>
      <c r="D141" s="1" t="s">
        <v>258</v>
      </c>
      <c r="E141" s="1" t="s">
        <v>104</v>
      </c>
      <c r="F141" s="1" t="s">
        <v>15</v>
      </c>
      <c r="G141" s="1"/>
      <c r="H141" s="7">
        <v>55.09</v>
      </c>
      <c r="I141" s="6">
        <v>2499.88</v>
      </c>
      <c r="J141" s="5">
        <v>45.378</v>
      </c>
      <c r="K141" s="5">
        <f t="shared" si="4"/>
        <v>45.378</v>
      </c>
      <c r="L14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41" s="1" t="s">
        <v>141</v>
      </c>
    </row>
    <row r="142" spans="1:13" ht="27.6" x14ac:dyDescent="0.3">
      <c r="A142" s="13">
        <v>45684</v>
      </c>
      <c r="B142" s="1" t="s">
        <v>300</v>
      </c>
      <c r="C142" s="14" t="s">
        <v>255</v>
      </c>
      <c r="D142" s="1" t="s">
        <v>258</v>
      </c>
      <c r="E142" s="1" t="s">
        <v>104</v>
      </c>
      <c r="F142" s="1" t="s">
        <v>15</v>
      </c>
      <c r="G142" s="1"/>
      <c r="H142" s="7">
        <v>51.4</v>
      </c>
      <c r="I142" s="6">
        <v>2499.88</v>
      </c>
      <c r="J142" s="5">
        <v>48.636000000000003</v>
      </c>
      <c r="K142" s="5">
        <f t="shared" si="4"/>
        <v>48.636000000000003</v>
      </c>
      <c r="L14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42" s="1" t="s">
        <v>141</v>
      </c>
    </row>
    <row r="143" spans="1:13" x14ac:dyDescent="0.3">
      <c r="A143" s="13">
        <v>45684</v>
      </c>
      <c r="B143" s="1" t="s">
        <v>301</v>
      </c>
      <c r="C143" s="14" t="s">
        <v>255</v>
      </c>
      <c r="D143" s="1" t="s">
        <v>260</v>
      </c>
      <c r="E143" s="1" t="s">
        <v>33</v>
      </c>
      <c r="F143" s="1" t="s">
        <v>33</v>
      </c>
      <c r="G143" s="1"/>
      <c r="H143" s="7">
        <v>24.455200000000001</v>
      </c>
      <c r="I143" s="6">
        <v>1999.9</v>
      </c>
      <c r="J143" s="5">
        <v>81.778000000000006</v>
      </c>
      <c r="K143" s="5">
        <f t="shared" si="4"/>
        <v>81.778000000000006</v>
      </c>
      <c r="L14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43" s="1" t="s">
        <v>141</v>
      </c>
    </row>
    <row r="144" spans="1:13" ht="27.6" x14ac:dyDescent="0.3">
      <c r="A144" s="13">
        <v>45684</v>
      </c>
      <c r="B144" s="1" t="s">
        <v>302</v>
      </c>
      <c r="C144" s="14" t="s">
        <v>255</v>
      </c>
      <c r="D144" s="1" t="s">
        <v>256</v>
      </c>
      <c r="E144" s="1" t="s">
        <v>116</v>
      </c>
      <c r="F144" s="1" t="s">
        <v>36</v>
      </c>
      <c r="G144" s="1"/>
      <c r="H144" s="7">
        <v>133.423</v>
      </c>
      <c r="I144" s="6">
        <v>2499.88</v>
      </c>
      <c r="J144" s="5">
        <v>18.736000000000001</v>
      </c>
      <c r="K144" s="5">
        <f t="shared" si="4"/>
        <v>18.736000000000001</v>
      </c>
      <c r="L14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44" s="1" t="s">
        <v>141</v>
      </c>
    </row>
    <row r="145" spans="1:13" ht="27.6" x14ac:dyDescent="0.3">
      <c r="A145" s="13">
        <v>45713</v>
      </c>
      <c r="B145" s="1" t="s">
        <v>297</v>
      </c>
      <c r="C145" s="14" t="s">
        <v>255</v>
      </c>
      <c r="D145" s="1" t="s">
        <v>256</v>
      </c>
      <c r="E145" s="1" t="s">
        <v>116</v>
      </c>
      <c r="F145" s="1" t="s">
        <v>36</v>
      </c>
      <c r="G145" s="1"/>
      <c r="H145" s="7">
        <v>129.114</v>
      </c>
      <c r="I145" s="6">
        <v>2499.88</v>
      </c>
      <c r="J145" s="5">
        <v>19.361999999999998</v>
      </c>
      <c r="K145" s="5">
        <f t="shared" si="4"/>
        <v>19.361999999999998</v>
      </c>
      <c r="L14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45" s="1" t="s">
        <v>141</v>
      </c>
    </row>
    <row r="146" spans="1:13" ht="27.6" x14ac:dyDescent="0.3">
      <c r="A146" s="13">
        <v>45713</v>
      </c>
      <c r="B146" s="1" t="s">
        <v>298</v>
      </c>
      <c r="C146" s="14" t="s">
        <v>255</v>
      </c>
      <c r="D146" s="1" t="s">
        <v>258</v>
      </c>
      <c r="E146" s="1" t="s">
        <v>104</v>
      </c>
      <c r="F146" s="1" t="s">
        <v>15</v>
      </c>
      <c r="G146" s="1"/>
      <c r="H146" s="7">
        <v>51.9</v>
      </c>
      <c r="I146" s="6">
        <v>2499.88</v>
      </c>
      <c r="J146" s="5">
        <v>48.167000000000002</v>
      </c>
      <c r="K146" s="5">
        <f t="shared" si="4"/>
        <v>48.167000000000002</v>
      </c>
      <c r="L14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46" s="1" t="s">
        <v>141</v>
      </c>
    </row>
    <row r="147" spans="1:13" x14ac:dyDescent="0.3">
      <c r="A147" s="13">
        <v>45713</v>
      </c>
      <c r="B147" s="1" t="s">
        <v>299</v>
      </c>
      <c r="C147" s="14" t="s">
        <v>255</v>
      </c>
      <c r="D147" s="1" t="s">
        <v>260</v>
      </c>
      <c r="E147" s="1" t="s">
        <v>33</v>
      </c>
      <c r="F147" s="1" t="s">
        <v>33</v>
      </c>
      <c r="G147" s="1"/>
      <c r="H147" s="7">
        <v>23.995899999999999</v>
      </c>
      <c r="I147" s="6">
        <v>1999.9</v>
      </c>
      <c r="J147" s="5">
        <v>83.343000000000004</v>
      </c>
      <c r="K147" s="5">
        <f t="shared" si="4"/>
        <v>83.343000000000004</v>
      </c>
      <c r="L14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47" s="1" t="s">
        <v>141</v>
      </c>
    </row>
    <row r="148" spans="1:13" ht="27.6" x14ac:dyDescent="0.3">
      <c r="A148" s="13">
        <v>45742</v>
      </c>
      <c r="B148" s="1" t="s">
        <v>294</v>
      </c>
      <c r="C148" s="14" t="s">
        <v>255</v>
      </c>
      <c r="D148" s="1" t="s">
        <v>256</v>
      </c>
      <c r="E148" s="1" t="s">
        <v>116</v>
      </c>
      <c r="F148" s="1" t="s">
        <v>36</v>
      </c>
      <c r="G148" s="1"/>
      <c r="H148" s="7">
        <v>135.33199999999999</v>
      </c>
      <c r="I148" s="6">
        <v>2499.88</v>
      </c>
      <c r="J148" s="5">
        <v>18.472000000000001</v>
      </c>
      <c r="K148" s="5">
        <f t="shared" si="4"/>
        <v>18.472000000000001</v>
      </c>
      <c r="L14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48" s="1" t="s">
        <v>141</v>
      </c>
    </row>
    <row r="149" spans="1:13" x14ac:dyDescent="0.3">
      <c r="A149" s="13">
        <v>45742</v>
      </c>
      <c r="B149" s="1" t="s">
        <v>295</v>
      </c>
      <c r="C149" s="14" t="s">
        <v>255</v>
      </c>
      <c r="D149" s="1" t="s">
        <v>260</v>
      </c>
      <c r="E149" s="1" t="s">
        <v>33</v>
      </c>
      <c r="F149" s="1" t="s">
        <v>33</v>
      </c>
      <c r="G149" s="1"/>
      <c r="H149" s="7">
        <v>24.850999999999999</v>
      </c>
      <c r="I149" s="6">
        <v>1999.9</v>
      </c>
      <c r="J149" s="5">
        <v>80.475999999999999</v>
      </c>
      <c r="K149" s="5">
        <f t="shared" si="4"/>
        <v>80.475999999999999</v>
      </c>
      <c r="L14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49" s="1" t="s">
        <v>141</v>
      </c>
    </row>
    <row r="150" spans="1:13" ht="27.6" x14ac:dyDescent="0.3">
      <c r="A150" s="13">
        <v>45742</v>
      </c>
      <c r="B150" s="1" t="s">
        <v>296</v>
      </c>
      <c r="C150" s="14" t="s">
        <v>255</v>
      </c>
      <c r="D150" s="1" t="s">
        <v>258</v>
      </c>
      <c r="E150" s="1" t="s">
        <v>104</v>
      </c>
      <c r="F150" s="1" t="s">
        <v>15</v>
      </c>
      <c r="G150" s="1"/>
      <c r="H150" s="7">
        <v>55.36</v>
      </c>
      <c r="I150" s="6">
        <v>2499.88</v>
      </c>
      <c r="J150" s="5">
        <v>45.156999999999996</v>
      </c>
      <c r="K150" s="5">
        <f t="shared" si="4"/>
        <v>45.156999999999996</v>
      </c>
      <c r="L15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50" s="1" t="s">
        <v>141</v>
      </c>
    </row>
    <row r="151" spans="1:13" ht="27.6" x14ac:dyDescent="0.3">
      <c r="A151" s="13">
        <v>45772</v>
      </c>
      <c r="B151" s="1" t="s">
        <v>291</v>
      </c>
      <c r="C151" s="14" t="s">
        <v>255</v>
      </c>
      <c r="D151" s="1" t="s">
        <v>258</v>
      </c>
      <c r="E151" s="1" t="s">
        <v>104</v>
      </c>
      <c r="F151" s="1" t="s">
        <v>15</v>
      </c>
      <c r="G151" s="1"/>
      <c r="H151" s="7">
        <v>58.8</v>
      </c>
      <c r="I151" s="6">
        <v>2499.88</v>
      </c>
      <c r="J151" s="5">
        <v>42.515000000000001</v>
      </c>
      <c r="K151" s="5">
        <f t="shared" si="4"/>
        <v>42.515000000000001</v>
      </c>
      <c r="L15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51" s="1" t="s">
        <v>141</v>
      </c>
    </row>
    <row r="152" spans="1:13" x14ac:dyDescent="0.3">
      <c r="A152" s="13">
        <v>45772</v>
      </c>
      <c r="B152" s="1" t="s">
        <v>292</v>
      </c>
      <c r="C152" s="14" t="s">
        <v>255</v>
      </c>
      <c r="D152" s="1" t="s">
        <v>260</v>
      </c>
      <c r="E152" s="1" t="s">
        <v>33</v>
      </c>
      <c r="F152" s="1" t="s">
        <v>33</v>
      </c>
      <c r="G152" s="1"/>
      <c r="H152" s="7">
        <v>25.4971</v>
      </c>
      <c r="I152" s="6">
        <v>1999.9</v>
      </c>
      <c r="J152" s="5">
        <v>78.436000000000007</v>
      </c>
      <c r="K152" s="5">
        <f t="shared" si="4"/>
        <v>78.436000000000007</v>
      </c>
      <c r="L15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52" s="1" t="s">
        <v>141</v>
      </c>
    </row>
    <row r="153" spans="1:13" ht="27.6" x14ac:dyDescent="0.3">
      <c r="A153" s="13">
        <v>45772</v>
      </c>
      <c r="B153" s="1" t="s">
        <v>293</v>
      </c>
      <c r="C153" s="14" t="s">
        <v>255</v>
      </c>
      <c r="D153" s="1" t="s">
        <v>256</v>
      </c>
      <c r="E153" s="1" t="s">
        <v>116</v>
      </c>
      <c r="F153" s="1" t="s">
        <v>36</v>
      </c>
      <c r="G153" s="1"/>
      <c r="H153" s="7">
        <v>138.505</v>
      </c>
      <c r="I153" s="6">
        <v>2499.88</v>
      </c>
      <c r="J153" s="5">
        <v>18.048999999999999</v>
      </c>
      <c r="K153" s="5">
        <f t="shared" si="4"/>
        <v>18.048999999999999</v>
      </c>
      <c r="L15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53" s="1" t="s">
        <v>141</v>
      </c>
    </row>
    <row r="154" spans="1:13" ht="27.6" x14ac:dyDescent="0.3">
      <c r="A154" s="13">
        <v>45803</v>
      </c>
      <c r="B154" s="1" t="s">
        <v>288</v>
      </c>
      <c r="C154" s="14" t="s">
        <v>255</v>
      </c>
      <c r="D154" s="1" t="s">
        <v>258</v>
      </c>
      <c r="E154" s="1" t="s">
        <v>104</v>
      </c>
      <c r="F154" s="1" t="s">
        <v>15</v>
      </c>
      <c r="G154" s="1"/>
      <c r="H154" s="7">
        <v>59.98</v>
      </c>
      <c r="I154" s="6">
        <v>2499.88</v>
      </c>
      <c r="J154" s="5">
        <v>41.679000000000002</v>
      </c>
      <c r="K154" s="5">
        <f t="shared" si="4"/>
        <v>41.679000000000002</v>
      </c>
      <c r="L15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54" s="1" t="s">
        <v>141</v>
      </c>
    </row>
    <row r="155" spans="1:13" x14ac:dyDescent="0.3">
      <c r="A155" s="13">
        <v>45803</v>
      </c>
      <c r="B155" s="1" t="s">
        <v>289</v>
      </c>
      <c r="C155" s="14" t="s">
        <v>255</v>
      </c>
      <c r="D155" s="1" t="s">
        <v>260</v>
      </c>
      <c r="E155" s="1" t="s">
        <v>33</v>
      </c>
      <c r="F155" s="1" t="s">
        <v>33</v>
      </c>
      <c r="G155" s="1"/>
      <c r="H155" s="7">
        <v>26.303799999999999</v>
      </c>
      <c r="I155" s="6">
        <v>1999.9</v>
      </c>
      <c r="J155" s="5">
        <v>76.031000000000006</v>
      </c>
      <c r="K155" s="5">
        <f t="shared" si="4"/>
        <v>76.031000000000006</v>
      </c>
      <c r="L15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55" s="1" t="s">
        <v>141</v>
      </c>
    </row>
    <row r="156" spans="1:13" ht="27.6" x14ac:dyDescent="0.3">
      <c r="A156" s="13">
        <v>45803</v>
      </c>
      <c r="B156" s="1" t="s">
        <v>290</v>
      </c>
      <c r="C156" s="14" t="s">
        <v>255</v>
      </c>
      <c r="D156" s="1" t="s">
        <v>256</v>
      </c>
      <c r="E156" s="1" t="s">
        <v>116</v>
      </c>
      <c r="F156" s="1" t="s">
        <v>36</v>
      </c>
      <c r="G156" s="1"/>
      <c r="H156" s="7">
        <v>145.81299999999999</v>
      </c>
      <c r="I156" s="6">
        <v>2499.88</v>
      </c>
      <c r="J156" s="5">
        <v>17.143999999999998</v>
      </c>
      <c r="K156" s="5">
        <f t="shared" si="4"/>
        <v>17.143999999999998</v>
      </c>
      <c r="L15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56" s="1" t="s">
        <v>141</v>
      </c>
    </row>
    <row r="157" spans="1:13" ht="27.6" x14ac:dyDescent="0.3">
      <c r="A157" s="13">
        <v>45833</v>
      </c>
      <c r="B157" s="1" t="s">
        <v>285</v>
      </c>
      <c r="C157" s="14" t="s">
        <v>255</v>
      </c>
      <c r="D157" s="1" t="s">
        <v>256</v>
      </c>
      <c r="E157" s="1" t="s">
        <v>116</v>
      </c>
      <c r="F157" s="1" t="s">
        <v>36</v>
      </c>
      <c r="G157" s="1"/>
      <c r="H157" s="7">
        <v>150.03700000000001</v>
      </c>
      <c r="I157" s="6">
        <v>2499.88</v>
      </c>
      <c r="J157" s="5">
        <v>16.661999999999999</v>
      </c>
      <c r="K157" s="5">
        <f t="shared" si="4"/>
        <v>16.661999999999999</v>
      </c>
      <c r="L15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57" s="1" t="s">
        <v>141</v>
      </c>
    </row>
    <row r="158" spans="1:13" x14ac:dyDescent="0.3">
      <c r="A158" s="13">
        <v>45833</v>
      </c>
      <c r="B158" s="1" t="s">
        <v>286</v>
      </c>
      <c r="C158" s="14" t="s">
        <v>255</v>
      </c>
      <c r="D158" s="1" t="s">
        <v>260</v>
      </c>
      <c r="E158" s="1" t="s">
        <v>33</v>
      </c>
      <c r="F158" s="1" t="s">
        <v>33</v>
      </c>
      <c r="G158" s="1"/>
      <c r="H158" s="7">
        <v>26.6557</v>
      </c>
      <c r="I158" s="6">
        <v>1999.9</v>
      </c>
      <c r="J158" s="5">
        <v>75.027000000000001</v>
      </c>
      <c r="K158" s="5">
        <f t="shared" si="4"/>
        <v>75.027000000000001</v>
      </c>
      <c r="L15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58" s="1" t="s">
        <v>141</v>
      </c>
    </row>
    <row r="159" spans="1:13" ht="27.6" x14ac:dyDescent="0.3">
      <c r="A159" s="13">
        <v>45833</v>
      </c>
      <c r="B159" s="1" t="s">
        <v>287</v>
      </c>
      <c r="C159" s="14" t="s">
        <v>255</v>
      </c>
      <c r="D159" s="1" t="s">
        <v>258</v>
      </c>
      <c r="E159" s="1" t="s">
        <v>104</v>
      </c>
      <c r="F159" s="1" t="s">
        <v>15</v>
      </c>
      <c r="G159" s="1"/>
      <c r="H159" s="7">
        <v>61.43</v>
      </c>
      <c r="I159" s="6">
        <v>2499.88</v>
      </c>
      <c r="J159" s="5">
        <v>40.695</v>
      </c>
      <c r="K159" s="5">
        <f t="shared" si="4"/>
        <v>40.695</v>
      </c>
      <c r="L15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59" s="1" t="s">
        <v>141</v>
      </c>
    </row>
    <row r="160" spans="1:13" x14ac:dyDescent="0.3">
      <c r="A160" s="13">
        <v>45866</v>
      </c>
      <c r="B160" s="1" t="s">
        <v>282</v>
      </c>
      <c r="C160" s="14" t="s">
        <v>255</v>
      </c>
      <c r="D160" s="1" t="s">
        <v>260</v>
      </c>
      <c r="E160" s="1" t="s">
        <v>33</v>
      </c>
      <c r="F160" s="1" t="s">
        <v>33</v>
      </c>
      <c r="G160" s="1"/>
      <c r="H160" s="7">
        <v>26.043800000000001</v>
      </c>
      <c r="I160" s="6">
        <v>1999.9</v>
      </c>
      <c r="J160" s="5">
        <v>76.790000000000006</v>
      </c>
      <c r="K160" s="5">
        <f t="shared" si="4"/>
        <v>76.790000000000006</v>
      </c>
      <c r="L16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60" s="1" t="s">
        <v>141</v>
      </c>
    </row>
    <row r="161" spans="1:13" ht="27.6" x14ac:dyDescent="0.3">
      <c r="A161" s="13">
        <v>45866</v>
      </c>
      <c r="B161" s="1" t="s">
        <v>283</v>
      </c>
      <c r="C161" s="14" t="s">
        <v>255</v>
      </c>
      <c r="D161" s="1" t="s">
        <v>258</v>
      </c>
      <c r="E161" s="1" t="s">
        <v>104</v>
      </c>
      <c r="F161" s="1" t="s">
        <v>15</v>
      </c>
      <c r="G161" s="1"/>
      <c r="H161" s="7">
        <v>60.35</v>
      </c>
      <c r="I161" s="6">
        <v>2499.88</v>
      </c>
      <c r="J161" s="5">
        <v>41.423000000000002</v>
      </c>
      <c r="K161" s="5">
        <f t="shared" si="4"/>
        <v>41.423000000000002</v>
      </c>
      <c r="L16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61" s="1" t="s">
        <v>141</v>
      </c>
    </row>
    <row r="162" spans="1:13" ht="27.6" x14ac:dyDescent="0.3">
      <c r="A162" s="13">
        <v>45866</v>
      </c>
      <c r="B162" s="1" t="s">
        <v>284</v>
      </c>
      <c r="C162" s="14" t="s">
        <v>255</v>
      </c>
      <c r="D162" s="1" t="s">
        <v>256</v>
      </c>
      <c r="E162" s="1" t="s">
        <v>116</v>
      </c>
      <c r="F162" s="1" t="s">
        <v>36</v>
      </c>
      <c r="G162" s="1"/>
      <c r="H162" s="7">
        <v>148.506</v>
      </c>
      <c r="I162" s="6">
        <v>2499.88</v>
      </c>
      <c r="J162" s="5">
        <v>16.834</v>
      </c>
      <c r="K162" s="5">
        <f t="shared" si="4"/>
        <v>16.834</v>
      </c>
      <c r="L16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62" s="1" t="s">
        <v>141</v>
      </c>
    </row>
    <row r="163" spans="1:13" x14ac:dyDescent="0.3">
      <c r="A163" s="13">
        <v>45894</v>
      </c>
      <c r="B163" s="1" t="s">
        <v>279</v>
      </c>
      <c r="C163" s="14" t="s">
        <v>255</v>
      </c>
      <c r="D163" s="1" t="s">
        <v>260</v>
      </c>
      <c r="E163" s="1" t="s">
        <v>33</v>
      </c>
      <c r="F163" s="1" t="s">
        <v>33</v>
      </c>
      <c r="G163" s="1"/>
      <c r="H163" s="7">
        <v>26.293900000000001</v>
      </c>
      <c r="I163" s="6">
        <v>1999.9</v>
      </c>
      <c r="J163" s="5">
        <v>76.058999999999997</v>
      </c>
      <c r="K163" s="5">
        <f t="shared" si="4"/>
        <v>76.058999999999997</v>
      </c>
      <c r="L16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63" s="1" t="s">
        <v>141</v>
      </c>
    </row>
    <row r="164" spans="1:13" ht="27.6" x14ac:dyDescent="0.3">
      <c r="A164" s="13">
        <v>45894</v>
      </c>
      <c r="B164" s="1" t="s">
        <v>280</v>
      </c>
      <c r="C164" s="14" t="s">
        <v>255</v>
      </c>
      <c r="D164" s="1" t="s">
        <v>256</v>
      </c>
      <c r="E164" s="1" t="s">
        <v>116</v>
      </c>
      <c r="F164" s="1" t="s">
        <v>36</v>
      </c>
      <c r="G164" s="1"/>
      <c r="H164" s="7">
        <v>149.80000000000001</v>
      </c>
      <c r="I164" s="6">
        <v>2499.88</v>
      </c>
      <c r="J164" s="5">
        <v>16.687999999999999</v>
      </c>
      <c r="K164" s="5">
        <f t="shared" si="4"/>
        <v>16.687999999999999</v>
      </c>
      <c r="L16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64" s="1" t="s">
        <v>141</v>
      </c>
    </row>
    <row r="165" spans="1:13" ht="27.6" x14ac:dyDescent="0.3">
      <c r="A165" s="13">
        <v>45894</v>
      </c>
      <c r="B165" s="1" t="s">
        <v>281</v>
      </c>
      <c r="C165" s="14" t="s">
        <v>255</v>
      </c>
      <c r="D165" s="1" t="s">
        <v>258</v>
      </c>
      <c r="E165" s="1" t="s">
        <v>104</v>
      </c>
      <c r="F165" s="1" t="s">
        <v>15</v>
      </c>
      <c r="G165" s="1"/>
      <c r="H165" s="7">
        <v>60.09</v>
      </c>
      <c r="I165" s="6">
        <v>2499.88</v>
      </c>
      <c r="J165" s="5">
        <v>41.601999999999997</v>
      </c>
      <c r="K165" s="5">
        <f t="shared" ref="K165:K189" si="5">IF(OR(EXACT(C165,"Redemption"),EXACT(C165,"Redeem"),EXACT(C165,"Switch Out"),EXACT(C165,"sell"),EXACT(C165,"Sell")),-J165,J165)</f>
        <v>41.601999999999997</v>
      </c>
      <c r="L16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65" s="1" t="s">
        <v>141</v>
      </c>
    </row>
    <row r="166" spans="1:13" x14ac:dyDescent="0.3">
      <c r="A166" s="13">
        <v>45925</v>
      </c>
      <c r="B166" s="1" t="s">
        <v>276</v>
      </c>
      <c r="C166" s="14" t="s">
        <v>255</v>
      </c>
      <c r="D166" s="1" t="s">
        <v>260</v>
      </c>
      <c r="E166" s="1" t="s">
        <v>33</v>
      </c>
      <c r="F166" s="1" t="s">
        <v>33</v>
      </c>
      <c r="G166" s="1"/>
      <c r="H166" s="7">
        <v>26.343</v>
      </c>
      <c r="I166" s="6">
        <v>1999.9</v>
      </c>
      <c r="J166" s="5">
        <v>75.918000000000006</v>
      </c>
      <c r="K166" s="5">
        <f t="shared" si="5"/>
        <v>75.918000000000006</v>
      </c>
      <c r="L16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66" s="1" t="s">
        <v>141</v>
      </c>
    </row>
    <row r="167" spans="1:13" ht="27.6" x14ac:dyDescent="0.3">
      <c r="A167" s="13">
        <v>45925</v>
      </c>
      <c r="B167" s="1" t="s">
        <v>277</v>
      </c>
      <c r="C167" s="14" t="s">
        <v>255</v>
      </c>
      <c r="D167" s="1" t="s">
        <v>256</v>
      </c>
      <c r="E167" s="1" t="s">
        <v>116</v>
      </c>
      <c r="F167" s="1" t="s">
        <v>36</v>
      </c>
      <c r="G167" s="1"/>
      <c r="H167" s="7">
        <v>150.65899999999999</v>
      </c>
      <c r="I167" s="6">
        <v>2499.88</v>
      </c>
      <c r="J167" s="5">
        <v>16.593</v>
      </c>
      <c r="K167" s="5">
        <f t="shared" si="5"/>
        <v>16.593</v>
      </c>
      <c r="L16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67" s="1" t="s">
        <v>141</v>
      </c>
    </row>
    <row r="168" spans="1:13" ht="27.6" x14ac:dyDescent="0.3">
      <c r="A168" s="13">
        <v>45925</v>
      </c>
      <c r="B168" s="1" t="s">
        <v>278</v>
      </c>
      <c r="C168" s="14" t="s">
        <v>255</v>
      </c>
      <c r="D168" s="1" t="s">
        <v>258</v>
      </c>
      <c r="E168" s="1" t="s">
        <v>104</v>
      </c>
      <c r="F168" s="1" t="s">
        <v>15</v>
      </c>
      <c r="G168" s="1"/>
      <c r="H168" s="7">
        <v>60.29</v>
      </c>
      <c r="I168" s="6">
        <v>2499.88</v>
      </c>
      <c r="J168" s="5">
        <v>41.463999999999999</v>
      </c>
      <c r="K168" s="5">
        <f t="shared" si="5"/>
        <v>41.463999999999999</v>
      </c>
      <c r="L16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68" s="1" t="s">
        <v>141</v>
      </c>
    </row>
    <row r="169" spans="1:13" x14ac:dyDescent="0.3">
      <c r="A169" s="13">
        <v>45957</v>
      </c>
      <c r="B169" s="1" t="s">
        <v>273</v>
      </c>
      <c r="C169" s="14" t="s">
        <v>255</v>
      </c>
      <c r="D169" s="1" t="s">
        <v>260</v>
      </c>
      <c r="E169" s="1" t="s">
        <v>33</v>
      </c>
      <c r="F169" s="1" t="s">
        <v>33</v>
      </c>
      <c r="G169" s="1"/>
      <c r="H169" s="7">
        <v>27.38</v>
      </c>
      <c r="I169" s="6">
        <v>1999.9</v>
      </c>
      <c r="J169" s="5">
        <v>73.042000000000002</v>
      </c>
      <c r="K169" s="5">
        <f t="shared" si="5"/>
        <v>73.042000000000002</v>
      </c>
      <c r="L16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69" s="1" t="s">
        <v>141</v>
      </c>
    </row>
    <row r="170" spans="1:13" ht="27.6" x14ac:dyDescent="0.3">
      <c r="A170" s="13">
        <v>45957</v>
      </c>
      <c r="B170" s="1" t="s">
        <v>274</v>
      </c>
      <c r="C170" s="14" t="s">
        <v>255</v>
      </c>
      <c r="D170" s="1" t="s">
        <v>256</v>
      </c>
      <c r="E170" s="1" t="s">
        <v>116</v>
      </c>
      <c r="F170" s="1" t="s">
        <v>36</v>
      </c>
      <c r="G170" s="1"/>
      <c r="H170" s="7">
        <v>156.85499999999999</v>
      </c>
      <c r="I170" s="6">
        <v>2499.88</v>
      </c>
      <c r="J170" s="5">
        <v>15.938000000000001</v>
      </c>
      <c r="K170" s="5">
        <f t="shared" si="5"/>
        <v>15.938000000000001</v>
      </c>
      <c r="L17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70" s="1" t="s">
        <v>141</v>
      </c>
    </row>
    <row r="171" spans="1:13" ht="27.6" x14ac:dyDescent="0.3">
      <c r="A171" s="13">
        <v>45957</v>
      </c>
      <c r="B171" s="1" t="s">
        <v>275</v>
      </c>
      <c r="C171" s="14" t="s">
        <v>255</v>
      </c>
      <c r="D171" s="1" t="s">
        <v>258</v>
      </c>
      <c r="E171" s="1" t="s">
        <v>104</v>
      </c>
      <c r="F171" s="1" t="s">
        <v>15</v>
      </c>
      <c r="G171" s="1"/>
      <c r="H171" s="7">
        <v>63.33</v>
      </c>
      <c r="I171" s="6">
        <v>2499.88</v>
      </c>
      <c r="J171" s="5">
        <v>39.473999999999997</v>
      </c>
      <c r="K171" s="5">
        <f t="shared" si="5"/>
        <v>39.473999999999997</v>
      </c>
      <c r="L17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71" s="1" t="s">
        <v>141</v>
      </c>
    </row>
    <row r="172" spans="1:13" ht="27.6" x14ac:dyDescent="0.3">
      <c r="A172" s="13">
        <v>45986</v>
      </c>
      <c r="B172" s="1" t="s">
        <v>270</v>
      </c>
      <c r="C172" s="14" t="s">
        <v>255</v>
      </c>
      <c r="D172" s="1" t="s">
        <v>256</v>
      </c>
      <c r="E172" s="1" t="s">
        <v>116</v>
      </c>
      <c r="F172" s="1" t="s">
        <v>36</v>
      </c>
      <c r="G172" s="1"/>
      <c r="H172" s="7">
        <v>156.03100000000001</v>
      </c>
      <c r="I172" s="6">
        <v>2499.88</v>
      </c>
      <c r="J172" s="5">
        <v>16.021999999999998</v>
      </c>
      <c r="K172" s="5">
        <f t="shared" si="5"/>
        <v>16.021999999999998</v>
      </c>
      <c r="L17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72" s="1" t="s">
        <v>141</v>
      </c>
    </row>
    <row r="173" spans="1:13" ht="27.6" x14ac:dyDescent="0.3">
      <c r="A173" s="13">
        <v>45986</v>
      </c>
      <c r="B173" s="1" t="s">
        <v>271</v>
      </c>
      <c r="C173" s="14" t="s">
        <v>255</v>
      </c>
      <c r="D173" s="1" t="s">
        <v>258</v>
      </c>
      <c r="E173" s="1" t="s">
        <v>104</v>
      </c>
      <c r="F173" s="1" t="s">
        <v>15</v>
      </c>
      <c r="G173" s="1"/>
      <c r="H173" s="7">
        <v>63.82</v>
      </c>
      <c r="I173" s="6">
        <v>2499.88</v>
      </c>
      <c r="J173" s="5">
        <v>39.170999999999999</v>
      </c>
      <c r="K173" s="5">
        <f t="shared" si="5"/>
        <v>39.170999999999999</v>
      </c>
      <c r="L17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73" s="1" t="s">
        <v>141</v>
      </c>
    </row>
    <row r="174" spans="1:13" x14ac:dyDescent="0.3">
      <c r="A174" s="13">
        <v>45986</v>
      </c>
      <c r="B174" s="1" t="s">
        <v>272</v>
      </c>
      <c r="C174" s="14" t="s">
        <v>255</v>
      </c>
      <c r="D174" s="1" t="s">
        <v>260</v>
      </c>
      <c r="E174" s="1" t="s">
        <v>33</v>
      </c>
      <c r="F174" s="1" t="s">
        <v>33</v>
      </c>
      <c r="G174" s="1"/>
      <c r="H174" s="7">
        <v>27.111599999999999</v>
      </c>
      <c r="I174" s="6">
        <v>1999.9</v>
      </c>
      <c r="J174" s="5">
        <v>73.765000000000001</v>
      </c>
      <c r="K174" s="5">
        <f t="shared" si="5"/>
        <v>73.765000000000001</v>
      </c>
      <c r="L17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74" s="1" t="s">
        <v>141</v>
      </c>
    </row>
    <row r="175" spans="1:13" ht="27.6" x14ac:dyDescent="0.3">
      <c r="A175" s="13">
        <v>46017</v>
      </c>
      <c r="B175" s="1" t="s">
        <v>267</v>
      </c>
      <c r="C175" s="14" t="s">
        <v>255</v>
      </c>
      <c r="D175" s="1" t="s">
        <v>256</v>
      </c>
      <c r="E175" s="1" t="s">
        <v>116</v>
      </c>
      <c r="F175" s="1" t="s">
        <v>36</v>
      </c>
      <c r="G175" s="1"/>
      <c r="H175" s="7">
        <v>156.96199999999999</v>
      </c>
      <c r="I175" s="6">
        <v>2499.88</v>
      </c>
      <c r="J175" s="5">
        <v>15.927</v>
      </c>
      <c r="K175" s="5">
        <f t="shared" si="5"/>
        <v>15.927</v>
      </c>
      <c r="L17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75" s="1" t="s">
        <v>141</v>
      </c>
    </row>
    <row r="176" spans="1:13" ht="27.6" x14ac:dyDescent="0.3">
      <c r="A176" s="13">
        <v>46017</v>
      </c>
      <c r="B176" s="1" t="s">
        <v>268</v>
      </c>
      <c r="C176" s="14" t="s">
        <v>255</v>
      </c>
      <c r="D176" s="1" t="s">
        <v>258</v>
      </c>
      <c r="E176" s="1" t="s">
        <v>104</v>
      </c>
      <c r="F176" s="1" t="s">
        <v>15</v>
      </c>
      <c r="G176" s="1"/>
      <c r="H176" s="7">
        <v>64.13</v>
      </c>
      <c r="I176" s="6">
        <v>2499.88</v>
      </c>
      <c r="J176" s="5">
        <v>38.981000000000002</v>
      </c>
      <c r="K176" s="5">
        <f t="shared" si="5"/>
        <v>38.981000000000002</v>
      </c>
      <c r="L17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76" s="1" t="s">
        <v>141</v>
      </c>
    </row>
    <row r="177" spans="1:13" x14ac:dyDescent="0.3">
      <c r="A177" s="13">
        <v>46017</v>
      </c>
      <c r="B177" s="1" t="s">
        <v>269</v>
      </c>
      <c r="C177" s="14" t="s">
        <v>255</v>
      </c>
      <c r="D177" s="1" t="s">
        <v>260</v>
      </c>
      <c r="E177" s="1" t="s">
        <v>33</v>
      </c>
      <c r="F177" s="1" t="s">
        <v>33</v>
      </c>
      <c r="G177" s="1"/>
      <c r="H177" s="7">
        <v>27.187799999999999</v>
      </c>
      <c r="I177" s="6">
        <v>1999.9</v>
      </c>
      <c r="J177" s="5">
        <v>73.558999999999997</v>
      </c>
      <c r="K177" s="5">
        <f t="shared" si="5"/>
        <v>73.558999999999997</v>
      </c>
      <c r="L17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77" s="1" t="s">
        <v>141</v>
      </c>
    </row>
    <row r="178" spans="1:13" x14ac:dyDescent="0.3">
      <c r="A178" s="13">
        <v>46049</v>
      </c>
      <c r="B178" s="1" t="s">
        <v>264</v>
      </c>
      <c r="C178" s="14" t="s">
        <v>255</v>
      </c>
      <c r="D178" s="1" t="s">
        <v>260</v>
      </c>
      <c r="E178" s="1" t="s">
        <v>33</v>
      </c>
      <c r="F178" s="1" t="s">
        <v>33</v>
      </c>
      <c r="G178" s="1"/>
      <c r="H178" s="7">
        <v>26.565200000000001</v>
      </c>
      <c r="I178" s="6">
        <v>1999.9</v>
      </c>
      <c r="J178" s="5">
        <v>75.283000000000001</v>
      </c>
      <c r="K178" s="5">
        <f t="shared" si="5"/>
        <v>75.283000000000001</v>
      </c>
      <c r="L17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78" s="1" t="s">
        <v>141</v>
      </c>
    </row>
    <row r="179" spans="1:13" ht="27.6" x14ac:dyDescent="0.3">
      <c r="A179" s="13">
        <v>46049</v>
      </c>
      <c r="B179" s="1" t="s">
        <v>265</v>
      </c>
      <c r="C179" s="14" t="s">
        <v>255</v>
      </c>
      <c r="D179" s="1" t="s">
        <v>256</v>
      </c>
      <c r="E179" s="1" t="s">
        <v>116</v>
      </c>
      <c r="F179" s="1" t="s">
        <v>36</v>
      </c>
      <c r="G179" s="1"/>
      <c r="H179" s="7">
        <v>150.00700000000001</v>
      </c>
      <c r="I179" s="6">
        <v>2499.88</v>
      </c>
      <c r="J179" s="5">
        <v>16.664999999999999</v>
      </c>
      <c r="K179" s="5">
        <f t="shared" si="5"/>
        <v>16.664999999999999</v>
      </c>
      <c r="L17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79" s="1" t="s">
        <v>141</v>
      </c>
    </row>
    <row r="180" spans="1:13" ht="27.6" x14ac:dyDescent="0.3">
      <c r="A180" s="13">
        <v>46049</v>
      </c>
      <c r="B180" s="1" t="s">
        <v>266</v>
      </c>
      <c r="C180" s="14" t="s">
        <v>255</v>
      </c>
      <c r="D180" s="1" t="s">
        <v>258</v>
      </c>
      <c r="E180" s="1" t="s">
        <v>104</v>
      </c>
      <c r="F180" s="1" t="s">
        <v>15</v>
      </c>
      <c r="G180" s="1"/>
      <c r="H180" s="7">
        <v>62.71</v>
      </c>
      <c r="I180" s="6">
        <v>2499.88</v>
      </c>
      <c r="J180" s="5">
        <v>39.863999999999997</v>
      </c>
      <c r="K180" s="5">
        <f t="shared" si="5"/>
        <v>39.863999999999997</v>
      </c>
      <c r="L18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80" s="1" t="s">
        <v>141</v>
      </c>
    </row>
    <row r="181" spans="1:13" ht="27.6" x14ac:dyDescent="0.3">
      <c r="A181" s="13">
        <v>46078</v>
      </c>
      <c r="B181" s="1" t="s">
        <v>261</v>
      </c>
      <c r="C181" s="14" t="s">
        <v>255</v>
      </c>
      <c r="D181" s="1" t="s">
        <v>256</v>
      </c>
      <c r="E181" s="1" t="s">
        <v>116</v>
      </c>
      <c r="F181" s="1" t="s">
        <v>36</v>
      </c>
      <c r="G181" s="1"/>
      <c r="H181" s="7">
        <v>155.405</v>
      </c>
      <c r="I181" s="6">
        <v>2499.88</v>
      </c>
      <c r="J181" s="5">
        <v>16.085999999999999</v>
      </c>
      <c r="K181" s="5">
        <f t="shared" si="5"/>
        <v>16.085999999999999</v>
      </c>
      <c r="L18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81" s="1" t="s">
        <v>141</v>
      </c>
    </row>
    <row r="182" spans="1:13" ht="27.6" x14ac:dyDescent="0.3">
      <c r="A182" s="13">
        <v>46078</v>
      </c>
      <c r="B182" s="1" t="s">
        <v>262</v>
      </c>
      <c r="C182" s="14" t="s">
        <v>255</v>
      </c>
      <c r="D182" s="1" t="s">
        <v>258</v>
      </c>
      <c r="E182" s="1" t="s">
        <v>104</v>
      </c>
      <c r="F182" s="1" t="s">
        <v>15</v>
      </c>
      <c r="G182" s="1"/>
      <c r="H182" s="7">
        <v>64.989999999999995</v>
      </c>
      <c r="I182" s="6">
        <v>2499.88</v>
      </c>
      <c r="J182" s="5">
        <v>38.466000000000001</v>
      </c>
      <c r="K182" s="5">
        <f t="shared" si="5"/>
        <v>38.466000000000001</v>
      </c>
      <c r="L182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82" s="1" t="s">
        <v>141</v>
      </c>
    </row>
    <row r="183" spans="1:13" x14ac:dyDescent="0.3">
      <c r="A183" s="13">
        <v>46078</v>
      </c>
      <c r="B183" s="1" t="s">
        <v>263</v>
      </c>
      <c r="C183" s="14" t="s">
        <v>255</v>
      </c>
      <c r="D183" s="1" t="s">
        <v>260</v>
      </c>
      <c r="E183" s="1" t="s">
        <v>33</v>
      </c>
      <c r="F183" s="1" t="s">
        <v>33</v>
      </c>
      <c r="G183" s="1"/>
      <c r="H183" s="7">
        <v>27.571000000000002</v>
      </c>
      <c r="I183" s="6">
        <v>1999.9</v>
      </c>
      <c r="J183" s="5">
        <v>72.536000000000001</v>
      </c>
      <c r="K183" s="5">
        <f t="shared" si="5"/>
        <v>72.536000000000001</v>
      </c>
      <c r="L18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83" s="1" t="s">
        <v>141</v>
      </c>
    </row>
    <row r="184" spans="1:13" ht="27.6" x14ac:dyDescent="0.3">
      <c r="A184" s="13">
        <v>46106</v>
      </c>
      <c r="B184" s="1" t="s">
        <v>254</v>
      </c>
      <c r="C184" s="14" t="s">
        <v>255</v>
      </c>
      <c r="D184" s="1" t="s">
        <v>256</v>
      </c>
      <c r="E184" s="1" t="s">
        <v>116</v>
      </c>
      <c r="F184" s="1" t="s">
        <v>36</v>
      </c>
      <c r="G184" s="1"/>
      <c r="H184" s="7">
        <v>142.358</v>
      </c>
      <c r="I184" s="6">
        <v>2499.88</v>
      </c>
      <c r="J184" s="5">
        <v>17.561</v>
      </c>
      <c r="K184" s="5">
        <f t="shared" si="5"/>
        <v>17.561</v>
      </c>
      <c r="L18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84" s="1" t="s">
        <v>141</v>
      </c>
    </row>
    <row r="185" spans="1:13" ht="27.6" x14ac:dyDescent="0.3">
      <c r="A185" s="13">
        <v>46106</v>
      </c>
      <c r="B185" s="1" t="s">
        <v>257</v>
      </c>
      <c r="C185" s="14" t="s">
        <v>255</v>
      </c>
      <c r="D185" s="1" t="s">
        <v>258</v>
      </c>
      <c r="E185" s="1" t="s">
        <v>104</v>
      </c>
      <c r="F185" s="1" t="s">
        <v>15</v>
      </c>
      <c r="G185" s="1"/>
      <c r="H185" s="7">
        <v>57.94</v>
      </c>
      <c r="I185" s="6">
        <v>2499.88</v>
      </c>
      <c r="J185" s="5">
        <v>43.146000000000001</v>
      </c>
      <c r="K185" s="5">
        <f t="shared" si="5"/>
        <v>43.146000000000001</v>
      </c>
      <c r="L185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85" s="1" t="s">
        <v>141</v>
      </c>
    </row>
    <row r="186" spans="1:13" x14ac:dyDescent="0.3">
      <c r="A186" s="13">
        <v>46106</v>
      </c>
      <c r="B186" s="1" t="s">
        <v>259</v>
      </c>
      <c r="C186" s="14" t="s">
        <v>255</v>
      </c>
      <c r="D186" s="1" t="s">
        <v>260</v>
      </c>
      <c r="E186" s="1" t="s">
        <v>33</v>
      </c>
      <c r="F186" s="1" t="s">
        <v>33</v>
      </c>
      <c r="G186" s="1"/>
      <c r="H186" s="7">
        <v>25.4283</v>
      </c>
      <c r="I186" s="6">
        <v>1999.9</v>
      </c>
      <c r="J186" s="5">
        <v>78.649000000000001</v>
      </c>
      <c r="K186" s="5">
        <f t="shared" si="5"/>
        <v>78.649000000000001</v>
      </c>
      <c r="L186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86" s="1" t="s">
        <v>141</v>
      </c>
    </row>
    <row r="187" spans="1:13" x14ac:dyDescent="0.3">
      <c r="A187" s="13">
        <v>46139</v>
      </c>
      <c r="B187" s="1"/>
      <c r="C187" s="14" t="s">
        <v>255</v>
      </c>
      <c r="D187" s="1" t="s">
        <v>256</v>
      </c>
      <c r="E187" s="1" t="s">
        <v>116</v>
      </c>
      <c r="F187" s="1" t="s">
        <v>36</v>
      </c>
      <c r="G187" s="1"/>
      <c r="H187" s="7">
        <v>150.95400000000001</v>
      </c>
      <c r="I187" s="6">
        <v>2499.88</v>
      </c>
      <c r="J187" s="5">
        <v>16.561</v>
      </c>
      <c r="K187" s="5">
        <f t="shared" si="5"/>
        <v>16.561</v>
      </c>
      <c r="L187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87" s="1" t="s">
        <v>141</v>
      </c>
    </row>
    <row r="188" spans="1:13" ht="27.6" x14ac:dyDescent="0.3">
      <c r="A188" s="13">
        <v>46139</v>
      </c>
      <c r="B188" s="1"/>
      <c r="C188" s="14" t="s">
        <v>255</v>
      </c>
      <c r="D188" s="1" t="s">
        <v>258</v>
      </c>
      <c r="E188" s="1" t="s">
        <v>104</v>
      </c>
      <c r="F188" s="1" t="s">
        <v>15</v>
      </c>
      <c r="G188" s="1"/>
      <c r="H188" s="7">
        <v>62.09</v>
      </c>
      <c r="I188" s="6">
        <v>2499.88</v>
      </c>
      <c r="J188" s="5">
        <v>40.262</v>
      </c>
      <c r="K188" s="5">
        <f t="shared" si="5"/>
        <v>40.262</v>
      </c>
      <c r="L188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88" s="1" t="s">
        <v>141</v>
      </c>
    </row>
    <row r="189" spans="1:13" x14ac:dyDescent="0.3">
      <c r="A189" s="13">
        <v>46139</v>
      </c>
      <c r="B189" s="1"/>
      <c r="C189" s="14" t="s">
        <v>255</v>
      </c>
      <c r="D189" s="1" t="s">
        <v>260</v>
      </c>
      <c r="E189" s="1" t="s">
        <v>33</v>
      </c>
      <c r="F189" s="1" t="s">
        <v>33</v>
      </c>
      <c r="G189" s="1"/>
      <c r="H189" s="7">
        <v>26.488800000000001</v>
      </c>
      <c r="I189" s="6">
        <v>1999.9</v>
      </c>
      <c r="J189" s="5">
        <v>75.5</v>
      </c>
      <c r="K189" s="5">
        <f t="shared" si="5"/>
        <v>75.5</v>
      </c>
      <c r="L189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89" s="1" t="s">
        <v>141</v>
      </c>
    </row>
    <row r="190" spans="1:13" x14ac:dyDescent="0.3">
      <c r="A190" s="13">
        <v>46167</v>
      </c>
      <c r="B190" s="1"/>
      <c r="C190" s="14" t="s">
        <v>255</v>
      </c>
      <c r="D190" s="1" t="s">
        <v>256</v>
      </c>
      <c r="E190" s="1" t="s">
        <v>116</v>
      </c>
      <c r="F190" s="1" t="s">
        <v>36</v>
      </c>
      <c r="G190" s="1"/>
      <c r="H190" s="7">
        <v>153.108</v>
      </c>
      <c r="I190" s="6">
        <v>2499.88</v>
      </c>
      <c r="J190" s="5">
        <v>16.561</v>
      </c>
      <c r="K190" s="5">
        <f t="shared" ref="K190:K195" si="6">IF(OR(EXACT(C190,"Redemption"),EXACT(C190,"Redeem"),EXACT(C190,"Switch Out"),EXACT(C190,"sell"),EXACT(C190,"Sell")),-J190,J190)</f>
        <v>16.561</v>
      </c>
      <c r="L190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90" s="1" t="s">
        <v>141</v>
      </c>
    </row>
    <row r="191" spans="1:13" ht="27.6" x14ac:dyDescent="0.3">
      <c r="A191" s="13">
        <v>46167</v>
      </c>
      <c r="B191" s="1"/>
      <c r="C191" s="14" t="s">
        <v>255</v>
      </c>
      <c r="D191" s="1" t="s">
        <v>258</v>
      </c>
      <c r="E191" s="1" t="s">
        <v>104</v>
      </c>
      <c r="F191" s="1" t="s">
        <v>15</v>
      </c>
      <c r="G191" s="1"/>
      <c r="H191" s="7">
        <v>61.34</v>
      </c>
      <c r="I191" s="6">
        <v>2499.88</v>
      </c>
      <c r="J191" s="5">
        <v>40.753999999999998</v>
      </c>
      <c r="K191" s="5">
        <f t="shared" si="6"/>
        <v>40.753999999999998</v>
      </c>
      <c r="L191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91" s="1" t="s">
        <v>141</v>
      </c>
    </row>
    <row r="192" spans="1:13" x14ac:dyDescent="0.3">
      <c r="A192" s="13">
        <v>46167</v>
      </c>
      <c r="B192" s="56"/>
      <c r="C192" s="57" t="s">
        <v>255</v>
      </c>
      <c r="D192" s="56" t="s">
        <v>260</v>
      </c>
      <c r="E192" s="56" t="s">
        <v>33</v>
      </c>
      <c r="F192" s="56" t="s">
        <v>33</v>
      </c>
      <c r="G192" s="56"/>
      <c r="H192" s="58">
        <v>26.933800000000002</v>
      </c>
      <c r="I192" s="59">
        <v>1999.9</v>
      </c>
      <c r="J192" s="60">
        <v>74.251999999999995</v>
      </c>
      <c r="K192" s="60">
        <f t="shared" si="6"/>
        <v>74.251999999999995</v>
      </c>
      <c r="L192" s="59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92" s="56" t="s">
        <v>141</v>
      </c>
    </row>
    <row r="193" spans="1:13" x14ac:dyDescent="0.3">
      <c r="A193" s="13">
        <v>46198</v>
      </c>
      <c r="B193" s="1"/>
      <c r="C193" s="14" t="s">
        <v>255</v>
      </c>
      <c r="D193" s="1" t="s">
        <v>256</v>
      </c>
      <c r="E193" s="1" t="s">
        <v>116</v>
      </c>
      <c r="F193" s="1" t="s">
        <v>36</v>
      </c>
      <c r="G193" s="1"/>
      <c r="H193" s="7">
        <v>154.52600000000001</v>
      </c>
      <c r="I193" s="6">
        <v>2499.88</v>
      </c>
      <c r="J193" s="5">
        <v>16.178000000000001</v>
      </c>
      <c r="K193" s="5">
        <f t="shared" si="6"/>
        <v>16.178000000000001</v>
      </c>
      <c r="L193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93" s="1" t="s">
        <v>141</v>
      </c>
    </row>
    <row r="194" spans="1:13" ht="27.6" x14ac:dyDescent="0.3">
      <c r="A194" s="13">
        <v>46198</v>
      </c>
      <c r="B194" s="1"/>
      <c r="C194" s="14" t="s">
        <v>255</v>
      </c>
      <c r="D194" s="1" t="s">
        <v>258</v>
      </c>
      <c r="E194" s="1" t="s">
        <v>104</v>
      </c>
      <c r="F194" s="1" t="s">
        <v>15</v>
      </c>
      <c r="G194" s="1"/>
      <c r="H194" s="7">
        <v>63.59</v>
      </c>
      <c r="I194" s="6">
        <v>2499.88</v>
      </c>
      <c r="J194" s="5">
        <v>39.311999999999998</v>
      </c>
      <c r="K194" s="5">
        <f t="shared" si="6"/>
        <v>39.311999999999998</v>
      </c>
      <c r="L194" s="6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2499.88</v>
      </c>
      <c r="M194" s="1" t="s">
        <v>141</v>
      </c>
    </row>
    <row r="195" spans="1:13" x14ac:dyDescent="0.3">
      <c r="A195" s="13">
        <v>46198</v>
      </c>
      <c r="B195" s="56"/>
      <c r="C195" s="57" t="s">
        <v>255</v>
      </c>
      <c r="D195" s="56" t="s">
        <v>260</v>
      </c>
      <c r="E195" s="56" t="s">
        <v>33</v>
      </c>
      <c r="F195" s="56" t="s">
        <v>33</v>
      </c>
      <c r="G195" s="56"/>
      <c r="H195" s="58">
        <v>26.952300000000001</v>
      </c>
      <c r="I195" s="59">
        <v>1999.9</v>
      </c>
      <c r="J195" s="60">
        <v>74.200999999999993</v>
      </c>
      <c r="K195" s="60">
        <f t="shared" si="6"/>
        <v>74.200999999999993</v>
      </c>
      <c r="L195" s="59">
        <f>IF(EXACT(tManiqAshu[[#This Row],[Transaction Type]],"Initial Purchase Pre-Rejection"),0,IF(OR(EXACT(tManiqAshu[[#This Row],[Transaction Type]],"Redemption"),EXACT(tManiqAshu[[#This Row],[Transaction Type]],"Redeem"),EXACT(tManiqAshu[[#This Row],[Transaction Type]],"Switch Out"),EXACT(tManiqAshu[[#This Row],[Transaction Type]],"sell"),EXACT(tManiqAshu[[#This Row],[Transaction Type]],"Sell")),-tManiqAshu[[#This Row],[Amount]],tManiqAshu[[#This Row],[Amount]]))</f>
        <v>1999.9</v>
      </c>
      <c r="M195" s="56" t="s">
        <v>141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17"/>
  <sheetViews>
    <sheetView zoomScaleNormal="100" workbookViewId="0">
      <pane ySplit="4" topLeftCell="A298" activePane="bottomLeft" state="frozen"/>
      <selection pane="bottomLeft" activeCell="A317" sqref="A317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8" customWidth="1"/>
    <col min="4" max="4" width="22" customWidth="1"/>
    <col min="5" max="6" width="38" customWidth="1"/>
    <col min="7" max="11" width="14" customWidth="1"/>
    <col min="12" max="12" width="16" customWidth="1"/>
    <col min="13" max="13" width="12" customWidth="1"/>
  </cols>
  <sheetData>
    <row r="1" spans="1:13" ht="27.75" customHeight="1" x14ac:dyDescent="0.3">
      <c r="A1" s="54" t="s">
        <v>440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18" customHeight="1" x14ac:dyDescent="0.3">
      <c r="A2" s="47" t="s">
        <v>441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4" spans="1:13" ht="27.75" customHeight="1" x14ac:dyDescent="0.3">
      <c r="A4" s="4" t="s">
        <v>126</v>
      </c>
      <c r="B4" s="4" t="s">
        <v>127</v>
      </c>
      <c r="C4" s="4" t="s">
        <v>128</v>
      </c>
      <c r="D4" s="4" t="s">
        <v>129</v>
      </c>
      <c r="E4" s="4" t="s">
        <v>130</v>
      </c>
      <c r="F4" s="4" t="s">
        <v>8</v>
      </c>
      <c r="G4" s="4" t="s">
        <v>131</v>
      </c>
      <c r="H4" s="4" t="s">
        <v>132</v>
      </c>
      <c r="I4" s="4" t="s">
        <v>133</v>
      </c>
      <c r="J4" s="4" t="s">
        <v>134</v>
      </c>
      <c r="K4" s="4" t="s">
        <v>135</v>
      </c>
      <c r="L4" s="4" t="s">
        <v>136</v>
      </c>
      <c r="M4" s="4" t="s">
        <v>14</v>
      </c>
    </row>
    <row r="5" spans="1:13" ht="27.6" x14ac:dyDescent="0.3">
      <c r="A5" s="13">
        <v>46049</v>
      </c>
      <c r="B5" s="1" t="s">
        <v>442</v>
      </c>
      <c r="C5" s="14" t="s">
        <v>255</v>
      </c>
      <c r="D5" s="1" t="s">
        <v>256</v>
      </c>
      <c r="E5" s="1" t="s">
        <v>116</v>
      </c>
      <c r="F5" s="1" t="s">
        <v>36</v>
      </c>
      <c r="G5" s="1"/>
      <c r="H5" s="7">
        <v>150.00700000000001</v>
      </c>
      <c r="I5" s="6">
        <v>2499.88</v>
      </c>
      <c r="J5" s="5">
        <v>16.664999999999999</v>
      </c>
      <c r="K5" s="5">
        <f t="shared" ref="K5:K68" si="0">IF(OR(EXACT(C5,"Redemption"),EXACT(C5,"Redeem"),EXACT(C5,"Switch Out"),EXACT(C5,"sell"),EXACT(C5,"Sell")),-J5,J5)</f>
        <v>16.664999999999999</v>
      </c>
      <c r="L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5" s="1" t="s">
        <v>141</v>
      </c>
    </row>
    <row r="6" spans="1:13" x14ac:dyDescent="0.3">
      <c r="A6" s="13">
        <v>46049</v>
      </c>
      <c r="B6" s="1" t="s">
        <v>443</v>
      </c>
      <c r="C6" s="14" t="s">
        <v>255</v>
      </c>
      <c r="D6" s="1" t="s">
        <v>444</v>
      </c>
      <c r="E6" s="1" t="s">
        <v>121</v>
      </c>
      <c r="F6" s="1" t="s">
        <v>43</v>
      </c>
      <c r="G6" s="1"/>
      <c r="H6" s="7">
        <v>156.2208</v>
      </c>
      <c r="I6" s="6">
        <v>2499.88</v>
      </c>
      <c r="J6" s="5">
        <v>16.001999999999999</v>
      </c>
      <c r="K6" s="5">
        <f t="shared" si="0"/>
        <v>16.001999999999999</v>
      </c>
      <c r="L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6" s="1" t="s">
        <v>141</v>
      </c>
    </row>
    <row r="7" spans="1:13" ht="27.6" x14ac:dyDescent="0.3">
      <c r="A7" s="13">
        <v>46049</v>
      </c>
      <c r="B7" s="1" t="s">
        <v>445</v>
      </c>
      <c r="C7" s="14" t="s">
        <v>255</v>
      </c>
      <c r="D7" s="1" t="s">
        <v>446</v>
      </c>
      <c r="E7" s="1" t="s">
        <v>106</v>
      </c>
      <c r="F7" s="1" t="s">
        <v>17</v>
      </c>
      <c r="G7" s="1"/>
      <c r="H7" s="7">
        <v>239.2</v>
      </c>
      <c r="I7" s="6">
        <v>2499.88</v>
      </c>
      <c r="J7" s="5">
        <v>10.451000000000001</v>
      </c>
      <c r="K7" s="5">
        <f t="shared" si="0"/>
        <v>10.451000000000001</v>
      </c>
      <c r="L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7" s="1" t="s">
        <v>141</v>
      </c>
    </row>
    <row r="8" spans="1:13" x14ac:dyDescent="0.3">
      <c r="A8" s="13">
        <v>46049</v>
      </c>
      <c r="B8" s="1" t="s">
        <v>447</v>
      </c>
      <c r="C8" s="14" t="s">
        <v>255</v>
      </c>
      <c r="D8" s="1" t="s">
        <v>448</v>
      </c>
      <c r="E8" s="1" t="s">
        <v>111</v>
      </c>
      <c r="F8" s="1" t="s">
        <v>24</v>
      </c>
      <c r="G8" s="1"/>
      <c r="H8" s="7">
        <v>94.11</v>
      </c>
      <c r="I8" s="6">
        <v>2499.88</v>
      </c>
      <c r="J8" s="5">
        <v>26.562999999999999</v>
      </c>
      <c r="K8" s="5">
        <f t="shared" si="0"/>
        <v>26.562999999999999</v>
      </c>
      <c r="L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8" s="1" t="s">
        <v>141</v>
      </c>
    </row>
    <row r="9" spans="1:13" ht="27.6" x14ac:dyDescent="0.3">
      <c r="A9" s="13">
        <v>46017</v>
      </c>
      <c r="B9" s="1" t="s">
        <v>449</v>
      </c>
      <c r="C9" s="14" t="s">
        <v>255</v>
      </c>
      <c r="D9" s="1" t="s">
        <v>446</v>
      </c>
      <c r="E9" s="1" t="s">
        <v>106</v>
      </c>
      <c r="F9" s="1" t="s">
        <v>17</v>
      </c>
      <c r="G9" s="1"/>
      <c r="H9" s="7">
        <v>253.36</v>
      </c>
      <c r="I9" s="6">
        <v>2499.88</v>
      </c>
      <c r="J9" s="5">
        <v>9.8670000000000009</v>
      </c>
      <c r="K9" s="5">
        <f t="shared" si="0"/>
        <v>9.8670000000000009</v>
      </c>
      <c r="L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9" s="1" t="s">
        <v>141</v>
      </c>
    </row>
    <row r="10" spans="1:13" x14ac:dyDescent="0.3">
      <c r="A10" s="13">
        <v>46017</v>
      </c>
      <c r="B10" s="1" t="s">
        <v>450</v>
      </c>
      <c r="C10" s="14" t="s">
        <v>255</v>
      </c>
      <c r="D10" s="1" t="s">
        <v>448</v>
      </c>
      <c r="E10" s="1" t="s">
        <v>111</v>
      </c>
      <c r="F10" s="1" t="s">
        <v>24</v>
      </c>
      <c r="G10" s="1"/>
      <c r="H10" s="7">
        <v>97.77</v>
      </c>
      <c r="I10" s="6">
        <v>2499.88</v>
      </c>
      <c r="J10" s="5">
        <v>25.568999999999999</v>
      </c>
      <c r="K10" s="5">
        <f t="shared" si="0"/>
        <v>25.568999999999999</v>
      </c>
      <c r="L1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0" s="1" t="s">
        <v>141</v>
      </c>
    </row>
    <row r="11" spans="1:13" ht="27.6" x14ac:dyDescent="0.3">
      <c r="A11" s="13">
        <v>46017</v>
      </c>
      <c r="B11" s="1" t="s">
        <v>451</v>
      </c>
      <c r="C11" s="14" t="s">
        <v>255</v>
      </c>
      <c r="D11" s="1" t="s">
        <v>256</v>
      </c>
      <c r="E11" s="1" t="s">
        <v>116</v>
      </c>
      <c r="F11" s="1" t="s">
        <v>36</v>
      </c>
      <c r="G11" s="1"/>
      <c r="H11" s="7">
        <v>156.96199999999999</v>
      </c>
      <c r="I11" s="6">
        <v>2499.88</v>
      </c>
      <c r="J11" s="5">
        <v>15.927</v>
      </c>
      <c r="K11" s="5">
        <f t="shared" si="0"/>
        <v>15.927</v>
      </c>
      <c r="L1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1" s="1" t="s">
        <v>141</v>
      </c>
    </row>
    <row r="12" spans="1:13" x14ac:dyDescent="0.3">
      <c r="A12" s="13">
        <v>46017</v>
      </c>
      <c r="B12" s="1" t="s">
        <v>452</v>
      </c>
      <c r="C12" s="14" t="s">
        <v>255</v>
      </c>
      <c r="D12" s="1" t="s">
        <v>444</v>
      </c>
      <c r="E12" s="1" t="s">
        <v>121</v>
      </c>
      <c r="F12" s="1" t="s">
        <v>43</v>
      </c>
      <c r="G12" s="1"/>
      <c r="H12" s="7">
        <v>167.6867</v>
      </c>
      <c r="I12" s="6">
        <v>2499.88</v>
      </c>
      <c r="J12" s="5">
        <v>14.907999999999999</v>
      </c>
      <c r="K12" s="5">
        <f t="shared" si="0"/>
        <v>14.907999999999999</v>
      </c>
      <c r="L1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2" s="1" t="s">
        <v>141</v>
      </c>
    </row>
    <row r="13" spans="1:13" ht="27.6" x14ac:dyDescent="0.3">
      <c r="A13" s="13">
        <v>45986</v>
      </c>
      <c r="B13" s="1" t="s">
        <v>453</v>
      </c>
      <c r="C13" s="14" t="s">
        <v>255</v>
      </c>
      <c r="D13" s="1" t="s">
        <v>256</v>
      </c>
      <c r="E13" s="1" t="s">
        <v>116</v>
      </c>
      <c r="F13" s="1" t="s">
        <v>36</v>
      </c>
      <c r="G13" s="1"/>
      <c r="H13" s="7">
        <v>156.03100000000001</v>
      </c>
      <c r="I13" s="6">
        <v>2499.88</v>
      </c>
      <c r="J13" s="5">
        <v>16.021999999999998</v>
      </c>
      <c r="K13" s="5">
        <f t="shared" si="0"/>
        <v>16.021999999999998</v>
      </c>
      <c r="L1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3" s="1" t="s">
        <v>141</v>
      </c>
    </row>
    <row r="14" spans="1:13" x14ac:dyDescent="0.3">
      <c r="A14" s="13">
        <v>45986</v>
      </c>
      <c r="B14" s="1" t="s">
        <v>454</v>
      </c>
      <c r="C14" s="14" t="s">
        <v>255</v>
      </c>
      <c r="D14" s="1" t="s">
        <v>448</v>
      </c>
      <c r="E14" s="1" t="s">
        <v>111</v>
      </c>
      <c r="F14" s="1" t="s">
        <v>24</v>
      </c>
      <c r="G14" s="1"/>
      <c r="H14" s="7">
        <v>96.35</v>
      </c>
      <c r="I14" s="6">
        <v>2499.88</v>
      </c>
      <c r="J14" s="5">
        <v>25.946000000000002</v>
      </c>
      <c r="K14" s="5">
        <f t="shared" si="0"/>
        <v>25.946000000000002</v>
      </c>
      <c r="L1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4" s="1" t="s">
        <v>141</v>
      </c>
    </row>
    <row r="15" spans="1:13" ht="27.6" x14ac:dyDescent="0.3">
      <c r="A15" s="13">
        <v>45986</v>
      </c>
      <c r="B15" s="1" t="s">
        <v>455</v>
      </c>
      <c r="C15" s="14" t="s">
        <v>255</v>
      </c>
      <c r="D15" s="1" t="s">
        <v>446</v>
      </c>
      <c r="E15" s="1" t="s">
        <v>106</v>
      </c>
      <c r="F15" s="1" t="s">
        <v>17</v>
      </c>
      <c r="G15" s="1"/>
      <c r="H15" s="7">
        <v>256.05</v>
      </c>
      <c r="I15" s="6">
        <v>2499.88</v>
      </c>
      <c r="J15" s="5">
        <v>9.7629999999999999</v>
      </c>
      <c r="K15" s="5">
        <f t="shared" si="0"/>
        <v>9.7629999999999999</v>
      </c>
      <c r="L1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5" s="1" t="s">
        <v>141</v>
      </c>
    </row>
    <row r="16" spans="1:13" x14ac:dyDescent="0.3">
      <c r="A16" s="13">
        <v>45986</v>
      </c>
      <c r="B16" s="1" t="s">
        <v>456</v>
      </c>
      <c r="C16" s="14" t="s">
        <v>255</v>
      </c>
      <c r="D16" s="1" t="s">
        <v>444</v>
      </c>
      <c r="E16" s="1" t="s">
        <v>121</v>
      </c>
      <c r="F16" s="1" t="s">
        <v>43</v>
      </c>
      <c r="G16" s="1"/>
      <c r="H16" s="7">
        <v>169.21019999999999</v>
      </c>
      <c r="I16" s="6">
        <v>2499.88</v>
      </c>
      <c r="J16" s="5">
        <v>14.773999999999999</v>
      </c>
      <c r="K16" s="5">
        <f t="shared" si="0"/>
        <v>14.773999999999999</v>
      </c>
      <c r="L1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6" s="1" t="s">
        <v>141</v>
      </c>
    </row>
    <row r="17" spans="1:13" x14ac:dyDescent="0.3">
      <c r="A17" s="13">
        <v>45957</v>
      </c>
      <c r="B17" s="1" t="s">
        <v>457</v>
      </c>
      <c r="C17" s="14" t="s">
        <v>255</v>
      </c>
      <c r="D17" s="1" t="s">
        <v>444</v>
      </c>
      <c r="E17" s="1" t="s">
        <v>121</v>
      </c>
      <c r="F17" s="1" t="s">
        <v>43</v>
      </c>
      <c r="G17" s="1"/>
      <c r="H17" s="7">
        <v>174.19489999999999</v>
      </c>
      <c r="I17" s="6">
        <v>2499.88</v>
      </c>
      <c r="J17" s="5">
        <v>14.351000000000001</v>
      </c>
      <c r="K17" s="5">
        <f t="shared" si="0"/>
        <v>14.351000000000001</v>
      </c>
      <c r="L1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7" s="1" t="s">
        <v>141</v>
      </c>
    </row>
    <row r="18" spans="1:13" x14ac:dyDescent="0.3">
      <c r="A18" s="13">
        <v>45957</v>
      </c>
      <c r="B18" s="1" t="s">
        <v>458</v>
      </c>
      <c r="C18" s="14" t="s">
        <v>255</v>
      </c>
      <c r="D18" s="1" t="s">
        <v>448</v>
      </c>
      <c r="E18" s="1" t="s">
        <v>111</v>
      </c>
      <c r="F18" s="1" t="s">
        <v>24</v>
      </c>
      <c r="G18" s="1"/>
      <c r="H18" s="7">
        <v>96.04</v>
      </c>
      <c r="I18" s="6">
        <v>2499.88</v>
      </c>
      <c r="J18" s="5">
        <v>26.03</v>
      </c>
      <c r="K18" s="5">
        <f t="shared" si="0"/>
        <v>26.03</v>
      </c>
      <c r="L1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8" s="1" t="s">
        <v>141</v>
      </c>
    </row>
    <row r="19" spans="1:13" ht="27.6" x14ac:dyDescent="0.3">
      <c r="A19" s="13">
        <v>45957</v>
      </c>
      <c r="B19" s="1" t="s">
        <v>459</v>
      </c>
      <c r="C19" s="14" t="s">
        <v>255</v>
      </c>
      <c r="D19" s="1" t="s">
        <v>256</v>
      </c>
      <c r="E19" s="1" t="s">
        <v>116</v>
      </c>
      <c r="F19" s="1" t="s">
        <v>36</v>
      </c>
      <c r="G19" s="1"/>
      <c r="H19" s="7">
        <v>156.85499999999999</v>
      </c>
      <c r="I19" s="6">
        <v>2499.88</v>
      </c>
      <c r="J19" s="5">
        <v>15.938000000000001</v>
      </c>
      <c r="K19" s="5">
        <f t="shared" si="0"/>
        <v>15.938000000000001</v>
      </c>
      <c r="L1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9" s="1" t="s">
        <v>141</v>
      </c>
    </row>
    <row r="20" spans="1:13" ht="27.6" x14ac:dyDescent="0.3">
      <c r="A20" s="13">
        <v>45957</v>
      </c>
      <c r="B20" s="1" t="s">
        <v>460</v>
      </c>
      <c r="C20" s="14" t="s">
        <v>255</v>
      </c>
      <c r="D20" s="1" t="s">
        <v>446</v>
      </c>
      <c r="E20" s="1" t="s">
        <v>106</v>
      </c>
      <c r="F20" s="1" t="s">
        <v>17</v>
      </c>
      <c r="G20" s="1"/>
      <c r="H20" s="7">
        <v>262.01</v>
      </c>
      <c r="I20" s="6">
        <v>2499.88</v>
      </c>
      <c r="J20" s="5">
        <v>9.5410000000000004</v>
      </c>
      <c r="K20" s="5">
        <f t="shared" si="0"/>
        <v>9.5410000000000004</v>
      </c>
      <c r="L2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0" s="1" t="s">
        <v>141</v>
      </c>
    </row>
    <row r="21" spans="1:13" x14ac:dyDescent="0.3">
      <c r="A21" s="13">
        <v>45925</v>
      </c>
      <c r="B21" s="1" t="s">
        <v>461</v>
      </c>
      <c r="C21" s="14" t="s">
        <v>255</v>
      </c>
      <c r="D21" s="1" t="s">
        <v>448</v>
      </c>
      <c r="E21" s="1" t="s">
        <v>111</v>
      </c>
      <c r="F21" s="1" t="s">
        <v>24</v>
      </c>
      <c r="G21" s="1"/>
      <c r="H21" s="7">
        <v>93.08</v>
      </c>
      <c r="I21" s="6">
        <v>2499.88</v>
      </c>
      <c r="J21" s="5">
        <v>26.856999999999999</v>
      </c>
      <c r="K21" s="5">
        <f t="shared" si="0"/>
        <v>26.856999999999999</v>
      </c>
      <c r="L2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1" s="1" t="s">
        <v>141</v>
      </c>
    </row>
    <row r="22" spans="1:13" ht="27.6" x14ac:dyDescent="0.3">
      <c r="A22" s="13">
        <v>45925</v>
      </c>
      <c r="B22" s="1" t="s">
        <v>462</v>
      </c>
      <c r="C22" s="14" t="s">
        <v>255</v>
      </c>
      <c r="D22" s="1" t="s">
        <v>446</v>
      </c>
      <c r="E22" s="1" t="s">
        <v>106</v>
      </c>
      <c r="F22" s="1" t="s">
        <v>17</v>
      </c>
      <c r="G22" s="1"/>
      <c r="H22" s="7">
        <v>258.31</v>
      </c>
      <c r="I22" s="6">
        <v>2499.88</v>
      </c>
      <c r="J22" s="5">
        <v>9.6780000000000008</v>
      </c>
      <c r="K22" s="5">
        <f t="shared" si="0"/>
        <v>9.6780000000000008</v>
      </c>
      <c r="L2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2" s="1" t="s">
        <v>141</v>
      </c>
    </row>
    <row r="23" spans="1:13" x14ac:dyDescent="0.3">
      <c r="A23" s="13">
        <v>45925</v>
      </c>
      <c r="B23" s="1" t="s">
        <v>463</v>
      </c>
      <c r="C23" s="14" t="s">
        <v>255</v>
      </c>
      <c r="D23" s="1" t="s">
        <v>444</v>
      </c>
      <c r="E23" s="1" t="s">
        <v>121</v>
      </c>
      <c r="F23" s="1" t="s">
        <v>43</v>
      </c>
      <c r="G23" s="1"/>
      <c r="H23" s="7">
        <v>172.17959999999999</v>
      </c>
      <c r="I23" s="6">
        <v>2499.88</v>
      </c>
      <c r="J23" s="5">
        <v>14.519</v>
      </c>
      <c r="K23" s="5">
        <f t="shared" si="0"/>
        <v>14.519</v>
      </c>
      <c r="L2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3" s="1" t="s">
        <v>141</v>
      </c>
    </row>
    <row r="24" spans="1:13" ht="27.6" x14ac:dyDescent="0.3">
      <c r="A24" s="13">
        <v>45925</v>
      </c>
      <c r="B24" s="1" t="s">
        <v>464</v>
      </c>
      <c r="C24" s="14" t="s">
        <v>255</v>
      </c>
      <c r="D24" s="1" t="s">
        <v>256</v>
      </c>
      <c r="E24" s="1" t="s">
        <v>116</v>
      </c>
      <c r="F24" s="1" t="s">
        <v>36</v>
      </c>
      <c r="G24" s="1"/>
      <c r="H24" s="7">
        <v>150.65899999999999</v>
      </c>
      <c r="I24" s="6">
        <v>2499.88</v>
      </c>
      <c r="J24" s="5">
        <v>16.593</v>
      </c>
      <c r="K24" s="5">
        <f t="shared" si="0"/>
        <v>16.593</v>
      </c>
      <c r="L2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4" s="1" t="s">
        <v>141</v>
      </c>
    </row>
    <row r="25" spans="1:13" x14ac:dyDescent="0.3">
      <c r="A25" s="13">
        <v>45894</v>
      </c>
      <c r="B25" s="1" t="s">
        <v>465</v>
      </c>
      <c r="C25" s="14" t="s">
        <v>255</v>
      </c>
      <c r="D25" s="1" t="s">
        <v>444</v>
      </c>
      <c r="E25" s="1" t="s">
        <v>121</v>
      </c>
      <c r="F25" s="1" t="s">
        <v>43</v>
      </c>
      <c r="G25" s="1"/>
      <c r="H25" s="7">
        <v>173.55449999999999</v>
      </c>
      <c r="I25" s="6">
        <v>2499.88</v>
      </c>
      <c r="J25" s="5">
        <v>14.404</v>
      </c>
      <c r="K25" s="5">
        <f t="shared" si="0"/>
        <v>14.404</v>
      </c>
      <c r="L2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5" s="1" t="s">
        <v>141</v>
      </c>
    </row>
    <row r="26" spans="1:13" ht="27.6" x14ac:dyDescent="0.3">
      <c r="A26" s="13">
        <v>45894</v>
      </c>
      <c r="B26" s="1" t="s">
        <v>466</v>
      </c>
      <c r="C26" s="14" t="s">
        <v>255</v>
      </c>
      <c r="D26" s="1" t="s">
        <v>256</v>
      </c>
      <c r="E26" s="1" t="s">
        <v>116</v>
      </c>
      <c r="F26" s="1" t="s">
        <v>36</v>
      </c>
      <c r="G26" s="1"/>
      <c r="H26" s="7">
        <v>149.80000000000001</v>
      </c>
      <c r="I26" s="6">
        <v>2499.88</v>
      </c>
      <c r="J26" s="5">
        <v>16.687999999999999</v>
      </c>
      <c r="K26" s="5">
        <f t="shared" si="0"/>
        <v>16.687999999999999</v>
      </c>
      <c r="L2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6" s="1" t="s">
        <v>141</v>
      </c>
    </row>
    <row r="27" spans="1:13" ht="27.6" x14ac:dyDescent="0.3">
      <c r="A27" s="13">
        <v>45894</v>
      </c>
      <c r="B27" s="1" t="s">
        <v>467</v>
      </c>
      <c r="C27" s="14" t="s">
        <v>255</v>
      </c>
      <c r="D27" s="1" t="s">
        <v>446</v>
      </c>
      <c r="E27" s="1" t="s">
        <v>106</v>
      </c>
      <c r="F27" s="1" t="s">
        <v>17</v>
      </c>
      <c r="G27" s="1"/>
      <c r="H27" s="7">
        <v>259.88</v>
      </c>
      <c r="I27" s="6">
        <v>2499.88</v>
      </c>
      <c r="J27" s="5">
        <v>9.6189999999999998</v>
      </c>
      <c r="K27" s="5">
        <f t="shared" si="0"/>
        <v>9.6189999999999998</v>
      </c>
      <c r="L2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7" s="1" t="s">
        <v>141</v>
      </c>
    </row>
    <row r="28" spans="1:13" x14ac:dyDescent="0.3">
      <c r="A28" s="13">
        <v>45894</v>
      </c>
      <c r="B28" s="1" t="s">
        <v>468</v>
      </c>
      <c r="C28" s="14" t="s">
        <v>255</v>
      </c>
      <c r="D28" s="1" t="s">
        <v>448</v>
      </c>
      <c r="E28" s="1" t="s">
        <v>111</v>
      </c>
      <c r="F28" s="1" t="s">
        <v>24</v>
      </c>
      <c r="G28" s="1"/>
      <c r="H28" s="7">
        <v>93.3</v>
      </c>
      <c r="I28" s="6">
        <v>2499.88</v>
      </c>
      <c r="J28" s="5">
        <v>26.794</v>
      </c>
      <c r="K28" s="5">
        <f t="shared" si="0"/>
        <v>26.794</v>
      </c>
      <c r="L2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8" s="1" t="s">
        <v>141</v>
      </c>
    </row>
    <row r="29" spans="1:13" x14ac:dyDescent="0.3">
      <c r="A29" s="13">
        <v>45863</v>
      </c>
      <c r="B29" s="1" t="s">
        <v>469</v>
      </c>
      <c r="C29" s="14" t="s">
        <v>255</v>
      </c>
      <c r="D29" s="1" t="s">
        <v>448</v>
      </c>
      <c r="E29" s="1" t="s">
        <v>111</v>
      </c>
      <c r="F29" s="1" t="s">
        <v>24</v>
      </c>
      <c r="G29" s="1"/>
      <c r="H29" s="7">
        <v>91.37</v>
      </c>
      <c r="I29" s="6">
        <v>2499.88</v>
      </c>
      <c r="J29" s="5">
        <v>27.36</v>
      </c>
      <c r="K29" s="5">
        <f t="shared" si="0"/>
        <v>27.36</v>
      </c>
      <c r="L2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9" s="1" t="s">
        <v>141</v>
      </c>
    </row>
    <row r="30" spans="1:13" ht="27.6" x14ac:dyDescent="0.3">
      <c r="A30" s="13">
        <v>45863</v>
      </c>
      <c r="B30" s="1" t="s">
        <v>470</v>
      </c>
      <c r="C30" s="14" t="s">
        <v>255</v>
      </c>
      <c r="D30" s="1" t="s">
        <v>256</v>
      </c>
      <c r="E30" s="1" t="s">
        <v>116</v>
      </c>
      <c r="F30" s="1" t="s">
        <v>36</v>
      </c>
      <c r="G30" s="1"/>
      <c r="H30" s="7">
        <v>149.37299999999999</v>
      </c>
      <c r="I30" s="6">
        <v>2499.88</v>
      </c>
      <c r="J30" s="5">
        <v>16.736000000000001</v>
      </c>
      <c r="K30" s="5">
        <f t="shared" si="0"/>
        <v>16.736000000000001</v>
      </c>
      <c r="L3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0" s="1" t="s">
        <v>141</v>
      </c>
    </row>
    <row r="31" spans="1:13" x14ac:dyDescent="0.3">
      <c r="A31" s="13">
        <v>45863</v>
      </c>
      <c r="B31" s="1" t="s">
        <v>471</v>
      </c>
      <c r="C31" s="14" t="s">
        <v>255</v>
      </c>
      <c r="D31" s="1" t="s">
        <v>444</v>
      </c>
      <c r="E31" s="1" t="s">
        <v>121</v>
      </c>
      <c r="F31" s="1" t="s">
        <v>43</v>
      </c>
      <c r="G31" s="1"/>
      <c r="H31" s="7">
        <v>174.24889999999999</v>
      </c>
      <c r="I31" s="6">
        <v>2499.88</v>
      </c>
      <c r="J31" s="5">
        <v>14.347</v>
      </c>
      <c r="K31" s="5">
        <f t="shared" si="0"/>
        <v>14.347</v>
      </c>
      <c r="L3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1" s="1" t="s">
        <v>141</v>
      </c>
    </row>
    <row r="32" spans="1:13" ht="27.6" x14ac:dyDescent="0.3">
      <c r="A32" s="13">
        <v>45863</v>
      </c>
      <c r="B32" s="1" t="s">
        <v>472</v>
      </c>
      <c r="C32" s="14" t="s">
        <v>255</v>
      </c>
      <c r="D32" s="1" t="s">
        <v>446</v>
      </c>
      <c r="E32" s="1" t="s">
        <v>106</v>
      </c>
      <c r="F32" s="1" t="s">
        <v>17</v>
      </c>
      <c r="G32" s="1"/>
      <c r="H32" s="7">
        <v>257.20999999999998</v>
      </c>
      <c r="I32" s="6">
        <v>2499.88</v>
      </c>
      <c r="J32" s="5">
        <v>9.7189999999999994</v>
      </c>
      <c r="K32" s="5">
        <f t="shared" si="0"/>
        <v>9.7189999999999994</v>
      </c>
      <c r="L3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2" s="1" t="s">
        <v>141</v>
      </c>
    </row>
    <row r="33" spans="1:13" x14ac:dyDescent="0.3">
      <c r="A33" s="13">
        <v>45833</v>
      </c>
      <c r="B33" s="1" t="s">
        <v>473</v>
      </c>
      <c r="C33" s="14" t="s">
        <v>255</v>
      </c>
      <c r="D33" s="1" t="s">
        <v>448</v>
      </c>
      <c r="E33" s="1" t="s">
        <v>111</v>
      </c>
      <c r="F33" s="1" t="s">
        <v>24</v>
      </c>
      <c r="G33" s="1"/>
      <c r="H33" s="7">
        <v>91.78</v>
      </c>
      <c r="I33" s="6">
        <v>2499.88</v>
      </c>
      <c r="J33" s="5">
        <v>27.238</v>
      </c>
      <c r="K33" s="5">
        <f t="shared" si="0"/>
        <v>27.238</v>
      </c>
      <c r="L3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3" s="1" t="s">
        <v>141</v>
      </c>
    </row>
    <row r="34" spans="1:13" ht="27.6" x14ac:dyDescent="0.3">
      <c r="A34" s="13">
        <v>45833</v>
      </c>
      <c r="B34" s="1" t="s">
        <v>474</v>
      </c>
      <c r="C34" s="14" t="s">
        <v>255</v>
      </c>
      <c r="D34" s="1" t="s">
        <v>446</v>
      </c>
      <c r="E34" s="1" t="s">
        <v>106</v>
      </c>
      <c r="F34" s="1" t="s">
        <v>17</v>
      </c>
      <c r="G34" s="1"/>
      <c r="H34" s="7">
        <v>258.72000000000003</v>
      </c>
      <c r="I34" s="6">
        <v>2499.88</v>
      </c>
      <c r="J34" s="5">
        <v>9.6620000000000008</v>
      </c>
      <c r="K34" s="5">
        <f t="shared" si="0"/>
        <v>9.6620000000000008</v>
      </c>
      <c r="L3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4" s="1" t="s">
        <v>141</v>
      </c>
    </row>
    <row r="35" spans="1:13" ht="27.6" x14ac:dyDescent="0.3">
      <c r="A35" s="13">
        <v>45833</v>
      </c>
      <c r="B35" s="1" t="s">
        <v>475</v>
      </c>
      <c r="C35" s="14" t="s">
        <v>255</v>
      </c>
      <c r="D35" s="1" t="s">
        <v>256</v>
      </c>
      <c r="E35" s="1" t="s">
        <v>116</v>
      </c>
      <c r="F35" s="1" t="s">
        <v>36</v>
      </c>
      <c r="G35" s="1"/>
      <c r="H35" s="7">
        <v>150.03700000000001</v>
      </c>
      <c r="I35" s="6">
        <v>2499.88</v>
      </c>
      <c r="J35" s="5">
        <v>16.661999999999999</v>
      </c>
      <c r="K35" s="5">
        <f t="shared" si="0"/>
        <v>16.661999999999999</v>
      </c>
      <c r="L3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5" s="1" t="s">
        <v>141</v>
      </c>
    </row>
    <row r="36" spans="1:13" x14ac:dyDescent="0.3">
      <c r="A36" s="13">
        <v>45833</v>
      </c>
      <c r="B36" s="1" t="s">
        <v>476</v>
      </c>
      <c r="C36" s="14" t="s">
        <v>255</v>
      </c>
      <c r="D36" s="1" t="s">
        <v>444</v>
      </c>
      <c r="E36" s="1" t="s">
        <v>121</v>
      </c>
      <c r="F36" s="1" t="s">
        <v>43</v>
      </c>
      <c r="G36" s="1"/>
      <c r="H36" s="7">
        <v>172.62299999999999</v>
      </c>
      <c r="I36" s="6">
        <v>2499.88</v>
      </c>
      <c r="J36" s="5">
        <v>14.481999999999999</v>
      </c>
      <c r="K36" s="5">
        <f t="shared" si="0"/>
        <v>14.481999999999999</v>
      </c>
      <c r="L3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6" s="1" t="s">
        <v>141</v>
      </c>
    </row>
    <row r="37" spans="1:13" ht="27.6" x14ac:dyDescent="0.3">
      <c r="A37" s="13">
        <v>45803</v>
      </c>
      <c r="B37" s="1" t="s">
        <v>477</v>
      </c>
      <c r="C37" s="14" t="s">
        <v>255</v>
      </c>
      <c r="D37" s="1" t="s">
        <v>256</v>
      </c>
      <c r="E37" s="1" t="s">
        <v>116</v>
      </c>
      <c r="F37" s="1" t="s">
        <v>36</v>
      </c>
      <c r="G37" s="1"/>
      <c r="H37" s="7">
        <v>145.81299999999999</v>
      </c>
      <c r="I37" s="6">
        <v>2499.88</v>
      </c>
      <c r="J37" s="5">
        <v>17.143999999999998</v>
      </c>
      <c r="K37" s="5">
        <f t="shared" si="0"/>
        <v>17.143999999999998</v>
      </c>
      <c r="L3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7" s="1" t="s">
        <v>141</v>
      </c>
    </row>
    <row r="38" spans="1:13" ht="27.6" x14ac:dyDescent="0.3">
      <c r="A38" s="13">
        <v>45803</v>
      </c>
      <c r="B38" s="1" t="s">
        <v>478</v>
      </c>
      <c r="C38" s="14" t="s">
        <v>255</v>
      </c>
      <c r="D38" s="1" t="s">
        <v>446</v>
      </c>
      <c r="E38" s="1" t="s">
        <v>106</v>
      </c>
      <c r="F38" s="1" t="s">
        <v>17</v>
      </c>
      <c r="G38" s="1"/>
      <c r="H38" s="7">
        <v>252.62</v>
      </c>
      <c r="I38" s="6">
        <v>2499.88</v>
      </c>
      <c r="J38" s="5">
        <v>9.8960000000000008</v>
      </c>
      <c r="K38" s="5">
        <f t="shared" si="0"/>
        <v>9.8960000000000008</v>
      </c>
      <c r="L3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8" s="1" t="s">
        <v>141</v>
      </c>
    </row>
    <row r="39" spans="1:13" x14ac:dyDescent="0.3">
      <c r="A39" s="13">
        <v>45803</v>
      </c>
      <c r="B39" s="1" t="s">
        <v>479</v>
      </c>
      <c r="C39" s="14" t="s">
        <v>255</v>
      </c>
      <c r="D39" s="1" t="s">
        <v>444</v>
      </c>
      <c r="E39" s="1" t="s">
        <v>121</v>
      </c>
      <c r="F39" s="1" t="s">
        <v>43</v>
      </c>
      <c r="G39" s="1"/>
      <c r="H39" s="7">
        <v>167.99529999999999</v>
      </c>
      <c r="I39" s="6">
        <v>2499.88</v>
      </c>
      <c r="J39" s="5">
        <v>14.881</v>
      </c>
      <c r="K39" s="5">
        <f t="shared" si="0"/>
        <v>14.881</v>
      </c>
      <c r="L3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9" s="1" t="s">
        <v>141</v>
      </c>
    </row>
    <row r="40" spans="1:13" x14ac:dyDescent="0.3">
      <c r="A40" s="13">
        <v>45803</v>
      </c>
      <c r="B40" s="1" t="s">
        <v>480</v>
      </c>
      <c r="C40" s="14" t="s">
        <v>255</v>
      </c>
      <c r="D40" s="1" t="s">
        <v>448</v>
      </c>
      <c r="E40" s="1" t="s">
        <v>111</v>
      </c>
      <c r="F40" s="1" t="s">
        <v>24</v>
      </c>
      <c r="G40" s="1"/>
      <c r="H40" s="7">
        <v>89.84</v>
      </c>
      <c r="I40" s="6">
        <v>2499.88</v>
      </c>
      <c r="J40" s="5">
        <v>27.826000000000001</v>
      </c>
      <c r="K40" s="5">
        <f t="shared" si="0"/>
        <v>27.826000000000001</v>
      </c>
      <c r="L4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40" s="1" t="s">
        <v>141</v>
      </c>
    </row>
    <row r="41" spans="1:13" ht="27.6" x14ac:dyDescent="0.3">
      <c r="A41" s="13">
        <v>45772</v>
      </c>
      <c r="B41" s="1" t="s">
        <v>481</v>
      </c>
      <c r="C41" s="14" t="s">
        <v>255</v>
      </c>
      <c r="D41" s="1" t="s">
        <v>446</v>
      </c>
      <c r="E41" s="1" t="s">
        <v>106</v>
      </c>
      <c r="F41" s="1" t="s">
        <v>17</v>
      </c>
      <c r="G41" s="1"/>
      <c r="H41" s="7">
        <v>240.96</v>
      </c>
      <c r="I41" s="6">
        <v>2499.88</v>
      </c>
      <c r="J41" s="5">
        <v>10.375</v>
      </c>
      <c r="K41" s="5">
        <f t="shared" si="0"/>
        <v>10.375</v>
      </c>
      <c r="L4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41" s="1" t="s">
        <v>141</v>
      </c>
    </row>
    <row r="42" spans="1:13" ht="27.6" x14ac:dyDescent="0.3">
      <c r="A42" s="13">
        <v>45772</v>
      </c>
      <c r="B42" s="1" t="s">
        <v>482</v>
      </c>
      <c r="C42" s="14" t="s">
        <v>255</v>
      </c>
      <c r="D42" s="1" t="s">
        <v>256</v>
      </c>
      <c r="E42" s="1" t="s">
        <v>116</v>
      </c>
      <c r="F42" s="1" t="s">
        <v>36</v>
      </c>
      <c r="G42" s="1"/>
      <c r="H42" s="7">
        <v>138.505</v>
      </c>
      <c r="I42" s="6">
        <v>2499.88</v>
      </c>
      <c r="J42" s="5">
        <v>18.048999999999999</v>
      </c>
      <c r="K42" s="5">
        <f t="shared" si="0"/>
        <v>18.048999999999999</v>
      </c>
      <c r="L4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42" s="1" t="s">
        <v>141</v>
      </c>
    </row>
    <row r="43" spans="1:13" x14ac:dyDescent="0.3">
      <c r="A43" s="13">
        <v>45772</v>
      </c>
      <c r="B43" s="1" t="s">
        <v>483</v>
      </c>
      <c r="C43" s="14" t="s">
        <v>255</v>
      </c>
      <c r="D43" s="1" t="s">
        <v>448</v>
      </c>
      <c r="E43" s="1" t="s">
        <v>111</v>
      </c>
      <c r="F43" s="1" t="s">
        <v>24</v>
      </c>
      <c r="G43" s="1"/>
      <c r="H43" s="7">
        <v>86.24</v>
      </c>
      <c r="I43" s="6">
        <v>2499.88</v>
      </c>
      <c r="J43" s="5">
        <v>28.986999999999998</v>
      </c>
      <c r="K43" s="5">
        <f t="shared" si="0"/>
        <v>28.986999999999998</v>
      </c>
      <c r="L4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43" s="1" t="s">
        <v>141</v>
      </c>
    </row>
    <row r="44" spans="1:13" x14ac:dyDescent="0.3">
      <c r="A44" s="13">
        <v>45772</v>
      </c>
      <c r="B44" s="1" t="s">
        <v>484</v>
      </c>
      <c r="C44" s="14" t="s">
        <v>255</v>
      </c>
      <c r="D44" s="1" t="s">
        <v>444</v>
      </c>
      <c r="E44" s="1" t="s">
        <v>121</v>
      </c>
      <c r="F44" s="1" t="s">
        <v>43</v>
      </c>
      <c r="G44" s="1"/>
      <c r="H44" s="7">
        <v>161.4442</v>
      </c>
      <c r="I44" s="6">
        <v>2499.88</v>
      </c>
      <c r="J44" s="5">
        <v>15.484</v>
      </c>
      <c r="K44" s="5">
        <f t="shared" si="0"/>
        <v>15.484</v>
      </c>
      <c r="L4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44" s="1" t="s">
        <v>141</v>
      </c>
    </row>
    <row r="45" spans="1:13" ht="27.6" x14ac:dyDescent="0.3">
      <c r="A45" s="13">
        <v>45741</v>
      </c>
      <c r="B45" s="1" t="s">
        <v>485</v>
      </c>
      <c r="C45" s="14" t="s">
        <v>255</v>
      </c>
      <c r="D45" s="1" t="s">
        <v>256</v>
      </c>
      <c r="E45" s="1" t="s">
        <v>116</v>
      </c>
      <c r="F45" s="1" t="s">
        <v>36</v>
      </c>
      <c r="G45" s="1"/>
      <c r="H45" s="7">
        <v>136.36699999999999</v>
      </c>
      <c r="I45" s="6">
        <v>2499.88</v>
      </c>
      <c r="J45" s="5">
        <v>18.332000000000001</v>
      </c>
      <c r="K45" s="5">
        <f t="shared" si="0"/>
        <v>18.332000000000001</v>
      </c>
      <c r="L4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45" s="1" t="s">
        <v>141</v>
      </c>
    </row>
    <row r="46" spans="1:13" x14ac:dyDescent="0.3">
      <c r="A46" s="13">
        <v>45741</v>
      </c>
      <c r="B46" s="1" t="s">
        <v>486</v>
      </c>
      <c r="C46" s="14" t="s">
        <v>255</v>
      </c>
      <c r="D46" s="1" t="s">
        <v>448</v>
      </c>
      <c r="E46" s="1" t="s">
        <v>111</v>
      </c>
      <c r="F46" s="1" t="s">
        <v>24</v>
      </c>
      <c r="G46" s="1"/>
      <c r="H46" s="7">
        <v>83.76</v>
      </c>
      <c r="I46" s="6">
        <v>2499.88</v>
      </c>
      <c r="J46" s="5">
        <v>29.846</v>
      </c>
      <c r="K46" s="5">
        <f t="shared" si="0"/>
        <v>29.846</v>
      </c>
      <c r="L4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46" s="1" t="s">
        <v>141</v>
      </c>
    </row>
    <row r="47" spans="1:13" ht="27.6" x14ac:dyDescent="0.3">
      <c r="A47" s="13">
        <v>45741</v>
      </c>
      <c r="B47" s="1" t="s">
        <v>487</v>
      </c>
      <c r="C47" s="14" t="s">
        <v>255</v>
      </c>
      <c r="D47" s="1" t="s">
        <v>446</v>
      </c>
      <c r="E47" s="1" t="s">
        <v>106</v>
      </c>
      <c r="F47" s="1" t="s">
        <v>17</v>
      </c>
      <c r="G47" s="1"/>
      <c r="H47" s="7">
        <v>237.04</v>
      </c>
      <c r="I47" s="6">
        <v>2499.88</v>
      </c>
      <c r="J47" s="5">
        <v>10.545999999999999</v>
      </c>
      <c r="K47" s="5">
        <f t="shared" si="0"/>
        <v>10.545999999999999</v>
      </c>
      <c r="L4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47" s="1" t="s">
        <v>141</v>
      </c>
    </row>
    <row r="48" spans="1:13" x14ac:dyDescent="0.3">
      <c r="A48" s="13">
        <v>45741</v>
      </c>
      <c r="B48" s="1" t="s">
        <v>488</v>
      </c>
      <c r="C48" s="14" t="s">
        <v>255</v>
      </c>
      <c r="D48" s="1" t="s">
        <v>444</v>
      </c>
      <c r="E48" s="1" t="s">
        <v>121</v>
      </c>
      <c r="F48" s="1" t="s">
        <v>43</v>
      </c>
      <c r="G48" s="1"/>
      <c r="H48" s="7">
        <v>158.7236</v>
      </c>
      <c r="I48" s="6">
        <v>2499.88</v>
      </c>
      <c r="J48" s="5">
        <v>15.75</v>
      </c>
      <c r="K48" s="5">
        <f t="shared" si="0"/>
        <v>15.75</v>
      </c>
      <c r="L4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48" s="1" t="s">
        <v>141</v>
      </c>
    </row>
    <row r="49" spans="1:13" x14ac:dyDescent="0.3">
      <c r="A49" s="13">
        <v>45715</v>
      </c>
      <c r="B49" s="1" t="s">
        <v>489</v>
      </c>
      <c r="C49" s="14" t="s">
        <v>255</v>
      </c>
      <c r="D49" s="1" t="s">
        <v>444</v>
      </c>
      <c r="E49" s="1" t="s">
        <v>121</v>
      </c>
      <c r="F49" s="1" t="s">
        <v>43</v>
      </c>
      <c r="G49" s="1"/>
      <c r="H49" s="7">
        <v>148.4033</v>
      </c>
      <c r="I49" s="6">
        <v>2499.88</v>
      </c>
      <c r="J49" s="5">
        <v>16.844999999999999</v>
      </c>
      <c r="K49" s="5">
        <f t="shared" si="0"/>
        <v>16.844999999999999</v>
      </c>
      <c r="L4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49" s="1" t="s">
        <v>141</v>
      </c>
    </row>
    <row r="50" spans="1:13" ht="27.6" x14ac:dyDescent="0.3">
      <c r="A50" s="13">
        <v>45715</v>
      </c>
      <c r="B50" s="1" t="s">
        <v>490</v>
      </c>
      <c r="C50" s="14" t="s">
        <v>255</v>
      </c>
      <c r="D50" s="1" t="s">
        <v>256</v>
      </c>
      <c r="E50" s="1" t="s">
        <v>116</v>
      </c>
      <c r="F50" s="1" t="s">
        <v>36</v>
      </c>
      <c r="G50" s="1"/>
      <c r="H50" s="7">
        <v>128.31200000000001</v>
      </c>
      <c r="I50" s="6">
        <v>2499.88</v>
      </c>
      <c r="J50" s="5">
        <v>19.483000000000001</v>
      </c>
      <c r="K50" s="5">
        <f t="shared" si="0"/>
        <v>19.483000000000001</v>
      </c>
      <c r="L5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50" s="1" t="s">
        <v>141</v>
      </c>
    </row>
    <row r="51" spans="1:13" ht="27.6" x14ac:dyDescent="0.3">
      <c r="A51" s="13">
        <v>45715</v>
      </c>
      <c r="B51" s="1" t="s">
        <v>491</v>
      </c>
      <c r="C51" s="14" t="s">
        <v>255</v>
      </c>
      <c r="D51" s="1" t="s">
        <v>446</v>
      </c>
      <c r="E51" s="1" t="s">
        <v>106</v>
      </c>
      <c r="F51" s="1" t="s">
        <v>17</v>
      </c>
      <c r="G51" s="1"/>
      <c r="H51" s="7">
        <v>221.93</v>
      </c>
      <c r="I51" s="6">
        <v>2499.88</v>
      </c>
      <c r="J51" s="5">
        <v>11.263999999999999</v>
      </c>
      <c r="K51" s="5">
        <f t="shared" si="0"/>
        <v>11.263999999999999</v>
      </c>
      <c r="L5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51" s="1" t="s">
        <v>141</v>
      </c>
    </row>
    <row r="52" spans="1:13" x14ac:dyDescent="0.3">
      <c r="A52" s="13">
        <v>45715</v>
      </c>
      <c r="B52" s="1" t="s">
        <v>492</v>
      </c>
      <c r="C52" s="14" t="s">
        <v>255</v>
      </c>
      <c r="D52" s="1" t="s">
        <v>448</v>
      </c>
      <c r="E52" s="1" t="s">
        <v>111</v>
      </c>
      <c r="F52" s="1" t="s">
        <v>24</v>
      </c>
      <c r="G52" s="1"/>
      <c r="H52" s="7">
        <v>78.36</v>
      </c>
      <c r="I52" s="6">
        <v>2499.88</v>
      </c>
      <c r="J52" s="5">
        <v>31.902999999999999</v>
      </c>
      <c r="K52" s="5">
        <f t="shared" si="0"/>
        <v>31.902999999999999</v>
      </c>
      <c r="L5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52" s="1" t="s">
        <v>141</v>
      </c>
    </row>
    <row r="53" spans="1:13" x14ac:dyDescent="0.3">
      <c r="A53" s="13">
        <v>45685</v>
      </c>
      <c r="B53" s="1" t="s">
        <v>493</v>
      </c>
      <c r="C53" s="14" t="s">
        <v>255</v>
      </c>
      <c r="D53" s="1" t="s">
        <v>448</v>
      </c>
      <c r="E53" s="1" t="s">
        <v>111</v>
      </c>
      <c r="F53" s="1" t="s">
        <v>24</v>
      </c>
      <c r="G53" s="1"/>
      <c r="H53" s="7">
        <v>80.02</v>
      </c>
      <c r="I53" s="6">
        <v>2499.88</v>
      </c>
      <c r="J53" s="5">
        <v>31.241</v>
      </c>
      <c r="K53" s="5">
        <f t="shared" si="0"/>
        <v>31.241</v>
      </c>
      <c r="L5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53" s="1" t="s">
        <v>141</v>
      </c>
    </row>
    <row r="54" spans="1:13" ht="27.6" x14ac:dyDescent="0.3">
      <c r="A54" s="13">
        <v>45685</v>
      </c>
      <c r="B54" s="1" t="s">
        <v>494</v>
      </c>
      <c r="C54" s="14" t="s">
        <v>255</v>
      </c>
      <c r="D54" s="1" t="s">
        <v>256</v>
      </c>
      <c r="E54" s="1" t="s">
        <v>116</v>
      </c>
      <c r="F54" s="1" t="s">
        <v>36</v>
      </c>
      <c r="G54" s="1"/>
      <c r="H54" s="7">
        <v>133.30799999999999</v>
      </c>
      <c r="I54" s="6">
        <v>2499.88</v>
      </c>
      <c r="J54" s="5">
        <v>18.753</v>
      </c>
      <c r="K54" s="5">
        <f t="shared" si="0"/>
        <v>18.753</v>
      </c>
      <c r="L5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54" s="1" t="s">
        <v>141</v>
      </c>
    </row>
    <row r="55" spans="1:13" ht="27.6" x14ac:dyDescent="0.3">
      <c r="A55" s="13">
        <v>45685</v>
      </c>
      <c r="B55" s="1" t="s">
        <v>495</v>
      </c>
      <c r="C55" s="14" t="s">
        <v>255</v>
      </c>
      <c r="D55" s="1" t="s">
        <v>446</v>
      </c>
      <c r="E55" s="1" t="s">
        <v>106</v>
      </c>
      <c r="F55" s="1" t="s">
        <v>17</v>
      </c>
      <c r="G55" s="1"/>
      <c r="H55" s="7">
        <v>228.29</v>
      </c>
      <c r="I55" s="6">
        <v>2499.88</v>
      </c>
      <c r="J55" s="5">
        <v>10.95</v>
      </c>
      <c r="K55" s="5">
        <f t="shared" si="0"/>
        <v>10.95</v>
      </c>
      <c r="L5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55" s="1" t="s">
        <v>141</v>
      </c>
    </row>
    <row r="56" spans="1:13" x14ac:dyDescent="0.3">
      <c r="A56" s="13">
        <v>45685</v>
      </c>
      <c r="B56" s="1" t="s">
        <v>496</v>
      </c>
      <c r="C56" s="14" t="s">
        <v>255</v>
      </c>
      <c r="D56" s="1" t="s">
        <v>444</v>
      </c>
      <c r="E56" s="1" t="s">
        <v>121</v>
      </c>
      <c r="F56" s="1" t="s">
        <v>43</v>
      </c>
      <c r="G56" s="1"/>
      <c r="H56" s="7">
        <v>157.91800000000001</v>
      </c>
      <c r="I56" s="6">
        <v>2499.88</v>
      </c>
      <c r="J56" s="5">
        <v>15.83</v>
      </c>
      <c r="K56" s="5">
        <f t="shared" si="0"/>
        <v>15.83</v>
      </c>
      <c r="L5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56" s="1" t="s">
        <v>141</v>
      </c>
    </row>
    <row r="57" spans="1:13" x14ac:dyDescent="0.3">
      <c r="A57" s="13">
        <v>45652</v>
      </c>
      <c r="B57" s="1" t="s">
        <v>497</v>
      </c>
      <c r="C57" s="14" t="s">
        <v>255</v>
      </c>
      <c r="D57" s="1" t="s">
        <v>448</v>
      </c>
      <c r="E57" s="1" t="s">
        <v>111</v>
      </c>
      <c r="F57" s="1" t="s">
        <v>24</v>
      </c>
      <c r="G57" s="1"/>
      <c r="H57" s="7">
        <v>85.3</v>
      </c>
      <c r="I57" s="6">
        <v>2499.88</v>
      </c>
      <c r="J57" s="5">
        <v>29.306999999999999</v>
      </c>
      <c r="K57" s="5">
        <f t="shared" si="0"/>
        <v>29.306999999999999</v>
      </c>
      <c r="L5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57" s="1" t="s">
        <v>141</v>
      </c>
    </row>
    <row r="58" spans="1:13" x14ac:dyDescent="0.3">
      <c r="A58" s="13">
        <v>45652</v>
      </c>
      <c r="B58" s="1" t="s">
        <v>498</v>
      </c>
      <c r="C58" s="14" t="s">
        <v>255</v>
      </c>
      <c r="D58" s="1" t="s">
        <v>444</v>
      </c>
      <c r="E58" s="1" t="s">
        <v>121</v>
      </c>
      <c r="F58" s="1" t="s">
        <v>43</v>
      </c>
      <c r="G58" s="1"/>
      <c r="H58" s="7">
        <v>176.63589999999999</v>
      </c>
      <c r="I58" s="6">
        <v>2499.88</v>
      </c>
      <c r="J58" s="5">
        <v>14.153</v>
      </c>
      <c r="K58" s="5">
        <f t="shared" si="0"/>
        <v>14.153</v>
      </c>
      <c r="L5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58" s="1" t="s">
        <v>141</v>
      </c>
    </row>
    <row r="59" spans="1:13" ht="27.6" x14ac:dyDescent="0.3">
      <c r="A59" s="13">
        <v>45652</v>
      </c>
      <c r="B59" s="1" t="s">
        <v>499</v>
      </c>
      <c r="C59" s="14" t="s">
        <v>255</v>
      </c>
      <c r="D59" s="1" t="s">
        <v>446</v>
      </c>
      <c r="E59" s="1" t="s">
        <v>106</v>
      </c>
      <c r="F59" s="1" t="s">
        <v>17</v>
      </c>
      <c r="G59" s="1"/>
      <c r="H59" s="7">
        <v>254.16</v>
      </c>
      <c r="I59" s="6">
        <v>2499.88</v>
      </c>
      <c r="J59" s="5">
        <v>9.8360000000000003</v>
      </c>
      <c r="K59" s="5">
        <f t="shared" si="0"/>
        <v>9.8360000000000003</v>
      </c>
      <c r="L5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59" s="1" t="s">
        <v>141</v>
      </c>
    </row>
    <row r="60" spans="1:13" ht="27.6" x14ac:dyDescent="0.3">
      <c r="A60" s="13">
        <v>45652</v>
      </c>
      <c r="B60" s="1" t="s">
        <v>500</v>
      </c>
      <c r="C60" s="14" t="s">
        <v>255</v>
      </c>
      <c r="D60" s="1" t="s">
        <v>256</v>
      </c>
      <c r="E60" s="1" t="s">
        <v>116</v>
      </c>
      <c r="F60" s="1" t="s">
        <v>36</v>
      </c>
      <c r="G60" s="1"/>
      <c r="H60" s="7">
        <v>145.494</v>
      </c>
      <c r="I60" s="6">
        <v>2499.88</v>
      </c>
      <c r="J60" s="5">
        <v>17.181999999999999</v>
      </c>
      <c r="K60" s="5">
        <f t="shared" si="0"/>
        <v>17.181999999999999</v>
      </c>
      <c r="L6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60" s="1" t="s">
        <v>141</v>
      </c>
    </row>
    <row r="61" spans="1:13" x14ac:dyDescent="0.3">
      <c r="A61" s="13">
        <v>45621</v>
      </c>
      <c r="B61" s="1" t="s">
        <v>501</v>
      </c>
      <c r="C61" s="14" t="s">
        <v>255</v>
      </c>
      <c r="D61" s="1" t="s">
        <v>444</v>
      </c>
      <c r="E61" s="1" t="s">
        <v>121</v>
      </c>
      <c r="F61" s="1" t="s">
        <v>43</v>
      </c>
      <c r="G61" s="1"/>
      <c r="H61" s="7">
        <v>176.833</v>
      </c>
      <c r="I61" s="6">
        <v>2499.88</v>
      </c>
      <c r="J61" s="5">
        <v>14.137</v>
      </c>
      <c r="K61" s="5">
        <f t="shared" si="0"/>
        <v>14.137</v>
      </c>
      <c r="L6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61" s="1" t="s">
        <v>141</v>
      </c>
    </row>
    <row r="62" spans="1:13" x14ac:dyDescent="0.3">
      <c r="A62" s="13">
        <v>45621</v>
      </c>
      <c r="B62" s="1" t="s">
        <v>502</v>
      </c>
      <c r="C62" s="14" t="s">
        <v>255</v>
      </c>
      <c r="D62" s="1" t="s">
        <v>448</v>
      </c>
      <c r="E62" s="1" t="s">
        <v>111</v>
      </c>
      <c r="F62" s="1" t="s">
        <v>24</v>
      </c>
      <c r="G62" s="1"/>
      <c r="H62" s="7">
        <v>86.24</v>
      </c>
      <c r="I62" s="6">
        <v>2499.88</v>
      </c>
      <c r="J62" s="5">
        <v>28.986999999999998</v>
      </c>
      <c r="K62" s="5">
        <f t="shared" si="0"/>
        <v>28.986999999999998</v>
      </c>
      <c r="L6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62" s="1" t="s">
        <v>141</v>
      </c>
    </row>
    <row r="63" spans="1:13" ht="27.6" x14ac:dyDescent="0.3">
      <c r="A63" s="13">
        <v>45621</v>
      </c>
      <c r="B63" s="1" t="s">
        <v>503</v>
      </c>
      <c r="C63" s="14" t="s">
        <v>255</v>
      </c>
      <c r="D63" s="1" t="s">
        <v>446</v>
      </c>
      <c r="E63" s="1" t="s">
        <v>106</v>
      </c>
      <c r="F63" s="1" t="s">
        <v>17</v>
      </c>
      <c r="G63" s="1"/>
      <c r="H63" s="7">
        <v>251.48</v>
      </c>
      <c r="I63" s="6">
        <v>2499.88</v>
      </c>
      <c r="J63" s="5">
        <v>9.9410000000000007</v>
      </c>
      <c r="K63" s="5">
        <f t="shared" si="0"/>
        <v>9.9410000000000007</v>
      </c>
      <c r="L6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63" s="1" t="s">
        <v>141</v>
      </c>
    </row>
    <row r="64" spans="1:13" ht="27.6" x14ac:dyDescent="0.3">
      <c r="A64" s="13">
        <v>45621</v>
      </c>
      <c r="B64" s="1" t="s">
        <v>504</v>
      </c>
      <c r="C64" s="14" t="s">
        <v>255</v>
      </c>
      <c r="D64" s="1" t="s">
        <v>256</v>
      </c>
      <c r="E64" s="1" t="s">
        <v>116</v>
      </c>
      <c r="F64" s="1" t="s">
        <v>36</v>
      </c>
      <c r="G64" s="1"/>
      <c r="H64" s="7">
        <v>145.678</v>
      </c>
      <c r="I64" s="6">
        <v>2499.88</v>
      </c>
      <c r="J64" s="5">
        <v>17.16</v>
      </c>
      <c r="K64" s="5">
        <f t="shared" si="0"/>
        <v>17.16</v>
      </c>
      <c r="L6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64" s="1" t="s">
        <v>141</v>
      </c>
    </row>
    <row r="65" spans="1:13" ht="27.6" x14ac:dyDescent="0.3">
      <c r="A65" s="13">
        <v>45590</v>
      </c>
      <c r="B65" s="1" t="s">
        <v>505</v>
      </c>
      <c r="C65" s="14" t="s">
        <v>255</v>
      </c>
      <c r="D65" s="1" t="s">
        <v>256</v>
      </c>
      <c r="E65" s="1" t="s">
        <v>116</v>
      </c>
      <c r="F65" s="1" t="s">
        <v>36</v>
      </c>
      <c r="G65" s="1"/>
      <c r="H65" s="7">
        <v>144.30500000000001</v>
      </c>
      <c r="I65" s="6">
        <v>2499.88</v>
      </c>
      <c r="J65" s="5">
        <v>17.324000000000002</v>
      </c>
      <c r="K65" s="5">
        <f t="shared" si="0"/>
        <v>17.324000000000002</v>
      </c>
      <c r="L6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65" s="1" t="s">
        <v>141</v>
      </c>
    </row>
    <row r="66" spans="1:13" x14ac:dyDescent="0.3">
      <c r="A66" s="13">
        <v>45590</v>
      </c>
      <c r="B66" s="1" t="s">
        <v>506</v>
      </c>
      <c r="C66" s="14" t="s">
        <v>255</v>
      </c>
      <c r="D66" s="1" t="s">
        <v>448</v>
      </c>
      <c r="E66" s="1" t="s">
        <v>111</v>
      </c>
      <c r="F66" s="1" t="s">
        <v>24</v>
      </c>
      <c r="G66" s="1"/>
      <c r="H66" s="7">
        <v>86.3</v>
      </c>
      <c r="I66" s="6">
        <v>2499.88</v>
      </c>
      <c r="J66" s="5">
        <v>28.966999999999999</v>
      </c>
      <c r="K66" s="5">
        <f t="shared" si="0"/>
        <v>28.966999999999999</v>
      </c>
      <c r="L6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66" s="1" t="s">
        <v>141</v>
      </c>
    </row>
    <row r="67" spans="1:13" ht="27.6" x14ac:dyDescent="0.3">
      <c r="A67" s="13">
        <v>45590</v>
      </c>
      <c r="B67" s="1" t="s">
        <v>507</v>
      </c>
      <c r="C67" s="14" t="s">
        <v>255</v>
      </c>
      <c r="D67" s="1" t="s">
        <v>446</v>
      </c>
      <c r="E67" s="1" t="s">
        <v>106</v>
      </c>
      <c r="F67" s="1" t="s">
        <v>17</v>
      </c>
      <c r="G67" s="1"/>
      <c r="H67" s="7">
        <v>245.95</v>
      </c>
      <c r="I67" s="6">
        <v>2499.88</v>
      </c>
      <c r="J67" s="5">
        <v>10.164</v>
      </c>
      <c r="K67" s="5">
        <f t="shared" si="0"/>
        <v>10.164</v>
      </c>
      <c r="L6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67" s="1" t="s">
        <v>141</v>
      </c>
    </row>
    <row r="68" spans="1:13" x14ac:dyDescent="0.3">
      <c r="A68" s="13">
        <v>45590</v>
      </c>
      <c r="B68" s="1" t="s">
        <v>508</v>
      </c>
      <c r="C68" s="14" t="s">
        <v>255</v>
      </c>
      <c r="D68" s="1" t="s">
        <v>444</v>
      </c>
      <c r="E68" s="1" t="s">
        <v>121</v>
      </c>
      <c r="F68" s="1" t="s">
        <v>43</v>
      </c>
      <c r="G68" s="1"/>
      <c r="H68" s="7">
        <v>175.0187</v>
      </c>
      <c r="I68" s="6">
        <v>2499.88</v>
      </c>
      <c r="J68" s="5">
        <v>14.284000000000001</v>
      </c>
      <c r="K68" s="5">
        <f t="shared" si="0"/>
        <v>14.284000000000001</v>
      </c>
      <c r="L6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68" s="1" t="s">
        <v>141</v>
      </c>
    </row>
    <row r="69" spans="1:13" ht="27.6" x14ac:dyDescent="0.3">
      <c r="A69" s="13">
        <v>45561</v>
      </c>
      <c r="B69" s="1" t="s">
        <v>509</v>
      </c>
      <c r="C69" s="14" t="s">
        <v>255</v>
      </c>
      <c r="D69" s="1" t="s">
        <v>256</v>
      </c>
      <c r="E69" s="1" t="s">
        <v>116</v>
      </c>
      <c r="F69" s="1" t="s">
        <v>36</v>
      </c>
      <c r="G69" s="1"/>
      <c r="H69" s="7">
        <v>156.84800000000001</v>
      </c>
      <c r="I69" s="6">
        <v>2499.88</v>
      </c>
      <c r="J69" s="5">
        <v>15.938000000000001</v>
      </c>
      <c r="K69" s="5">
        <f t="shared" ref="K69:K132" si="1">IF(OR(EXACT(C69,"Redemption"),EXACT(C69,"Redeem"),EXACT(C69,"Switch Out"),EXACT(C69,"sell"),EXACT(C69,"Sell")),-J69,J69)</f>
        <v>15.938000000000001</v>
      </c>
      <c r="L6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69" s="1" t="s">
        <v>141</v>
      </c>
    </row>
    <row r="70" spans="1:13" x14ac:dyDescent="0.3">
      <c r="A70" s="13">
        <v>45561</v>
      </c>
      <c r="B70" s="1" t="s">
        <v>510</v>
      </c>
      <c r="C70" s="14" t="s">
        <v>255</v>
      </c>
      <c r="D70" s="1" t="s">
        <v>444</v>
      </c>
      <c r="E70" s="1" t="s">
        <v>121</v>
      </c>
      <c r="F70" s="1" t="s">
        <v>43</v>
      </c>
      <c r="G70" s="1"/>
      <c r="H70" s="7">
        <v>186.90719999999999</v>
      </c>
      <c r="I70" s="6">
        <v>2499.88</v>
      </c>
      <c r="J70" s="5">
        <v>13.375</v>
      </c>
      <c r="K70" s="5">
        <f t="shared" si="1"/>
        <v>13.375</v>
      </c>
      <c r="L7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70" s="1" t="s">
        <v>141</v>
      </c>
    </row>
    <row r="71" spans="1:13" x14ac:dyDescent="0.3">
      <c r="A71" s="13">
        <v>45561</v>
      </c>
      <c r="B71" s="1" t="s">
        <v>511</v>
      </c>
      <c r="C71" s="14" t="s">
        <v>255</v>
      </c>
      <c r="D71" s="1" t="s">
        <v>448</v>
      </c>
      <c r="E71" s="1" t="s">
        <v>111</v>
      </c>
      <c r="F71" s="1" t="s">
        <v>24</v>
      </c>
      <c r="G71" s="1"/>
      <c r="H71" s="7">
        <v>92.77</v>
      </c>
      <c r="I71" s="6">
        <v>2499.88</v>
      </c>
      <c r="J71" s="5">
        <v>26.946999999999999</v>
      </c>
      <c r="K71" s="5">
        <f t="shared" si="1"/>
        <v>26.946999999999999</v>
      </c>
      <c r="L7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71" s="1" t="s">
        <v>141</v>
      </c>
    </row>
    <row r="72" spans="1:13" ht="27.6" x14ac:dyDescent="0.3">
      <c r="A72" s="13">
        <v>45561</v>
      </c>
      <c r="B72" s="1" t="s">
        <v>512</v>
      </c>
      <c r="C72" s="14" t="s">
        <v>255</v>
      </c>
      <c r="D72" s="1" t="s">
        <v>446</v>
      </c>
      <c r="E72" s="1" t="s">
        <v>106</v>
      </c>
      <c r="F72" s="1" t="s">
        <v>17</v>
      </c>
      <c r="G72" s="1"/>
      <c r="H72" s="7">
        <v>266.88</v>
      </c>
      <c r="I72" s="6">
        <v>2499.88</v>
      </c>
      <c r="J72" s="5">
        <v>9.3670000000000009</v>
      </c>
      <c r="K72" s="5">
        <f t="shared" si="1"/>
        <v>9.3670000000000009</v>
      </c>
      <c r="L7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72" s="1" t="s">
        <v>141</v>
      </c>
    </row>
    <row r="73" spans="1:13" x14ac:dyDescent="0.3">
      <c r="A73" s="13">
        <v>45530</v>
      </c>
      <c r="B73" s="1" t="s">
        <v>513</v>
      </c>
      <c r="C73" s="14" t="s">
        <v>255</v>
      </c>
      <c r="D73" s="1" t="s">
        <v>448</v>
      </c>
      <c r="E73" s="1" t="s">
        <v>111</v>
      </c>
      <c r="F73" s="1" t="s">
        <v>24</v>
      </c>
      <c r="G73" s="1"/>
      <c r="H73" s="7">
        <v>88.41</v>
      </c>
      <c r="I73" s="6">
        <v>2499.88</v>
      </c>
      <c r="J73" s="5">
        <v>28.276</v>
      </c>
      <c r="K73" s="5">
        <f t="shared" si="1"/>
        <v>28.276</v>
      </c>
      <c r="L7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73" s="1" t="s">
        <v>141</v>
      </c>
    </row>
    <row r="74" spans="1:13" ht="27.6" x14ac:dyDescent="0.3">
      <c r="A74" s="13">
        <v>45530</v>
      </c>
      <c r="B74" s="1" t="s">
        <v>514</v>
      </c>
      <c r="C74" s="14" t="s">
        <v>255</v>
      </c>
      <c r="D74" s="1" t="s">
        <v>256</v>
      </c>
      <c r="E74" s="1" t="s">
        <v>116</v>
      </c>
      <c r="F74" s="1" t="s">
        <v>36</v>
      </c>
      <c r="G74" s="1"/>
      <c r="H74" s="7">
        <v>152.73099999999999</v>
      </c>
      <c r="I74" s="6">
        <v>2499.88</v>
      </c>
      <c r="J74" s="5">
        <v>16.367999999999999</v>
      </c>
      <c r="K74" s="5">
        <f t="shared" si="1"/>
        <v>16.367999999999999</v>
      </c>
      <c r="L7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74" s="1" t="s">
        <v>141</v>
      </c>
    </row>
    <row r="75" spans="1:13" x14ac:dyDescent="0.3">
      <c r="A75" s="13">
        <v>45530</v>
      </c>
      <c r="B75" s="1" t="s">
        <v>515</v>
      </c>
      <c r="C75" s="14" t="s">
        <v>255</v>
      </c>
      <c r="D75" s="1" t="s">
        <v>444</v>
      </c>
      <c r="E75" s="1" t="s">
        <v>121</v>
      </c>
      <c r="F75" s="1" t="s">
        <v>43</v>
      </c>
      <c r="G75" s="1"/>
      <c r="H75" s="7">
        <v>182.11689999999999</v>
      </c>
      <c r="I75" s="6">
        <v>2499.88</v>
      </c>
      <c r="J75" s="5">
        <v>13.727</v>
      </c>
      <c r="K75" s="5">
        <f t="shared" si="1"/>
        <v>13.727</v>
      </c>
      <c r="L7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75" s="1" t="s">
        <v>141</v>
      </c>
    </row>
    <row r="76" spans="1:13" ht="27.6" x14ac:dyDescent="0.3">
      <c r="A76" s="13">
        <v>45530</v>
      </c>
      <c r="B76" s="1" t="s">
        <v>516</v>
      </c>
      <c r="C76" s="14" t="s">
        <v>255</v>
      </c>
      <c r="D76" s="1" t="s">
        <v>446</v>
      </c>
      <c r="E76" s="1" t="s">
        <v>106</v>
      </c>
      <c r="F76" s="1" t="s">
        <v>17</v>
      </c>
      <c r="G76" s="1"/>
      <c r="H76" s="7">
        <v>255.77</v>
      </c>
      <c r="I76" s="6">
        <v>2499.88</v>
      </c>
      <c r="J76" s="5">
        <v>9.7739999999999991</v>
      </c>
      <c r="K76" s="5">
        <f t="shared" si="1"/>
        <v>9.7739999999999991</v>
      </c>
      <c r="L7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76" s="1" t="s">
        <v>141</v>
      </c>
    </row>
    <row r="77" spans="1:13" x14ac:dyDescent="0.3">
      <c r="A77" s="13">
        <v>45499</v>
      </c>
      <c r="B77" s="1" t="s">
        <v>517</v>
      </c>
      <c r="C77" s="14" t="s">
        <v>255</v>
      </c>
      <c r="D77" s="1" t="s">
        <v>448</v>
      </c>
      <c r="E77" s="1" t="s">
        <v>111</v>
      </c>
      <c r="F77" s="1" t="s">
        <v>24</v>
      </c>
      <c r="G77" s="1"/>
      <c r="H77" s="7">
        <v>86.75</v>
      </c>
      <c r="I77" s="6">
        <v>2499.88</v>
      </c>
      <c r="J77" s="5">
        <v>28.817</v>
      </c>
      <c r="K77" s="5">
        <f t="shared" si="1"/>
        <v>28.817</v>
      </c>
      <c r="L7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77" s="1" t="s">
        <v>141</v>
      </c>
    </row>
    <row r="78" spans="1:13" ht="27.6" x14ac:dyDescent="0.3">
      <c r="A78" s="13">
        <v>45499</v>
      </c>
      <c r="B78" s="1" t="s">
        <v>518</v>
      </c>
      <c r="C78" s="14" t="s">
        <v>255</v>
      </c>
      <c r="D78" s="1" t="s">
        <v>256</v>
      </c>
      <c r="E78" s="1" t="s">
        <v>116</v>
      </c>
      <c r="F78" s="1" t="s">
        <v>36</v>
      </c>
      <c r="G78" s="1"/>
      <c r="H78" s="7">
        <v>150.98400000000001</v>
      </c>
      <c r="I78" s="6">
        <v>2499.88</v>
      </c>
      <c r="J78" s="5">
        <v>16.556999999999999</v>
      </c>
      <c r="K78" s="5">
        <f t="shared" si="1"/>
        <v>16.556999999999999</v>
      </c>
      <c r="L7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78" s="1" t="s">
        <v>141</v>
      </c>
    </row>
    <row r="79" spans="1:13" x14ac:dyDescent="0.3">
      <c r="A79" s="13">
        <v>45499</v>
      </c>
      <c r="B79" s="1" t="s">
        <v>519</v>
      </c>
      <c r="C79" s="14" t="s">
        <v>255</v>
      </c>
      <c r="D79" s="1" t="s">
        <v>444</v>
      </c>
      <c r="E79" s="1" t="s">
        <v>121</v>
      </c>
      <c r="F79" s="1" t="s">
        <v>43</v>
      </c>
      <c r="G79" s="1"/>
      <c r="H79" s="7">
        <v>181.05699999999999</v>
      </c>
      <c r="I79" s="6">
        <v>2499.88</v>
      </c>
      <c r="J79" s="5">
        <v>13.807</v>
      </c>
      <c r="K79" s="5">
        <f t="shared" si="1"/>
        <v>13.807</v>
      </c>
      <c r="L7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79" s="1" t="s">
        <v>141</v>
      </c>
    </row>
    <row r="80" spans="1:13" ht="27.6" x14ac:dyDescent="0.3">
      <c r="A80" s="13">
        <v>45499</v>
      </c>
      <c r="B80" s="1" t="s">
        <v>520</v>
      </c>
      <c r="C80" s="14" t="s">
        <v>255</v>
      </c>
      <c r="D80" s="1" t="s">
        <v>446</v>
      </c>
      <c r="E80" s="1" t="s">
        <v>106</v>
      </c>
      <c r="F80" s="1" t="s">
        <v>17</v>
      </c>
      <c r="G80" s="1"/>
      <c r="H80" s="7">
        <v>249.62</v>
      </c>
      <c r="I80" s="6">
        <v>2499.88</v>
      </c>
      <c r="J80" s="5">
        <v>10.015000000000001</v>
      </c>
      <c r="K80" s="5">
        <f t="shared" si="1"/>
        <v>10.015000000000001</v>
      </c>
      <c r="L8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80" s="1" t="s">
        <v>141</v>
      </c>
    </row>
    <row r="81" spans="1:13" ht="27.6" x14ac:dyDescent="0.3">
      <c r="A81" s="13">
        <v>45469</v>
      </c>
      <c r="B81" s="1" t="s">
        <v>521</v>
      </c>
      <c r="C81" s="14" t="s">
        <v>255</v>
      </c>
      <c r="D81" s="1" t="s">
        <v>446</v>
      </c>
      <c r="E81" s="1" t="s">
        <v>106</v>
      </c>
      <c r="F81" s="1" t="s">
        <v>17</v>
      </c>
      <c r="G81" s="1"/>
      <c r="H81" s="7">
        <v>242.85</v>
      </c>
      <c r="I81" s="6">
        <v>2499.88</v>
      </c>
      <c r="J81" s="5">
        <v>10.294</v>
      </c>
      <c r="K81" s="5">
        <f t="shared" si="1"/>
        <v>10.294</v>
      </c>
      <c r="L8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81" s="1" t="s">
        <v>141</v>
      </c>
    </row>
    <row r="82" spans="1:13" x14ac:dyDescent="0.3">
      <c r="A82" s="13">
        <v>45469</v>
      </c>
      <c r="B82" s="1" t="s">
        <v>522</v>
      </c>
      <c r="C82" s="14" t="s">
        <v>255</v>
      </c>
      <c r="D82" s="1" t="s">
        <v>448</v>
      </c>
      <c r="E82" s="1" t="s">
        <v>111</v>
      </c>
      <c r="F82" s="1" t="s">
        <v>24</v>
      </c>
      <c r="G82" s="1"/>
      <c r="H82" s="7">
        <v>82.71</v>
      </c>
      <c r="I82" s="6">
        <v>2499.88</v>
      </c>
      <c r="J82" s="5">
        <v>30.225000000000001</v>
      </c>
      <c r="K82" s="5">
        <f t="shared" si="1"/>
        <v>30.225000000000001</v>
      </c>
      <c r="L8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82" s="1" t="s">
        <v>141</v>
      </c>
    </row>
    <row r="83" spans="1:13" ht="27.6" x14ac:dyDescent="0.3">
      <c r="A83" s="13">
        <v>45469</v>
      </c>
      <c r="B83" s="1" t="s">
        <v>523</v>
      </c>
      <c r="C83" s="14" t="s">
        <v>255</v>
      </c>
      <c r="D83" s="1" t="s">
        <v>256</v>
      </c>
      <c r="E83" s="1" t="s">
        <v>116</v>
      </c>
      <c r="F83" s="1" t="s">
        <v>36</v>
      </c>
      <c r="G83" s="1"/>
      <c r="H83" s="7">
        <v>144.35400000000001</v>
      </c>
      <c r="I83" s="6">
        <v>2499.88</v>
      </c>
      <c r="J83" s="5">
        <v>17.318000000000001</v>
      </c>
      <c r="K83" s="5">
        <f t="shared" si="1"/>
        <v>17.318000000000001</v>
      </c>
      <c r="L8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83" s="1" t="s">
        <v>141</v>
      </c>
    </row>
    <row r="84" spans="1:13" x14ac:dyDescent="0.3">
      <c r="A84" s="13">
        <v>45469</v>
      </c>
      <c r="B84" s="1" t="s">
        <v>524</v>
      </c>
      <c r="C84" s="14" t="s">
        <v>255</v>
      </c>
      <c r="D84" s="1" t="s">
        <v>444</v>
      </c>
      <c r="E84" s="1" t="s">
        <v>121</v>
      </c>
      <c r="F84" s="1" t="s">
        <v>43</v>
      </c>
      <c r="G84" s="1"/>
      <c r="H84" s="7">
        <v>175.25210000000001</v>
      </c>
      <c r="I84" s="6">
        <v>2499.88</v>
      </c>
      <c r="J84" s="5">
        <v>14.263999999999999</v>
      </c>
      <c r="K84" s="5">
        <f t="shared" si="1"/>
        <v>14.263999999999999</v>
      </c>
      <c r="L8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84" s="1" t="s">
        <v>141</v>
      </c>
    </row>
    <row r="85" spans="1:13" x14ac:dyDescent="0.3">
      <c r="A85" s="13">
        <v>45440</v>
      </c>
      <c r="B85" s="1" t="s">
        <v>525</v>
      </c>
      <c r="C85" s="14" t="s">
        <v>255</v>
      </c>
      <c r="D85" s="1" t="s">
        <v>444</v>
      </c>
      <c r="E85" s="1" t="s">
        <v>121</v>
      </c>
      <c r="F85" s="1" t="s">
        <v>43</v>
      </c>
      <c r="G85" s="1"/>
      <c r="H85" s="7">
        <v>161.80019999999999</v>
      </c>
      <c r="I85" s="6">
        <v>2499.88</v>
      </c>
      <c r="J85" s="5">
        <v>15.45</v>
      </c>
      <c r="K85" s="5">
        <f t="shared" si="1"/>
        <v>15.45</v>
      </c>
      <c r="L8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85" s="1" t="s">
        <v>141</v>
      </c>
    </row>
    <row r="86" spans="1:13" x14ac:dyDescent="0.3">
      <c r="A86" s="13">
        <v>45440</v>
      </c>
      <c r="B86" s="1" t="s">
        <v>526</v>
      </c>
      <c r="C86" s="14" t="s">
        <v>255</v>
      </c>
      <c r="D86" s="1" t="s">
        <v>448</v>
      </c>
      <c r="E86" s="1" t="s">
        <v>111</v>
      </c>
      <c r="F86" s="1" t="s">
        <v>24</v>
      </c>
      <c r="G86" s="1"/>
      <c r="H86" s="7">
        <v>78.88</v>
      </c>
      <c r="I86" s="6">
        <v>2499.88</v>
      </c>
      <c r="J86" s="5">
        <v>31.692</v>
      </c>
      <c r="K86" s="5">
        <f t="shared" si="1"/>
        <v>31.692</v>
      </c>
      <c r="L8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86" s="1" t="s">
        <v>141</v>
      </c>
    </row>
    <row r="87" spans="1:13" ht="27.6" x14ac:dyDescent="0.3">
      <c r="A87" s="13">
        <v>45440</v>
      </c>
      <c r="B87" s="1" t="s">
        <v>527</v>
      </c>
      <c r="C87" s="14" t="s">
        <v>255</v>
      </c>
      <c r="D87" s="1" t="s">
        <v>446</v>
      </c>
      <c r="E87" s="1" t="s">
        <v>106</v>
      </c>
      <c r="F87" s="1" t="s">
        <v>17</v>
      </c>
      <c r="G87" s="1"/>
      <c r="H87" s="7">
        <v>225.99</v>
      </c>
      <c r="I87" s="6">
        <v>2499.88</v>
      </c>
      <c r="J87" s="5">
        <v>11.061999999999999</v>
      </c>
      <c r="K87" s="5">
        <f t="shared" si="1"/>
        <v>11.061999999999999</v>
      </c>
      <c r="L8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87" s="1" t="s">
        <v>141</v>
      </c>
    </row>
    <row r="88" spans="1:13" ht="27.6" x14ac:dyDescent="0.3">
      <c r="A88" s="13">
        <v>45440</v>
      </c>
      <c r="B88" s="1" t="s">
        <v>528</v>
      </c>
      <c r="C88" s="14" t="s">
        <v>255</v>
      </c>
      <c r="D88" s="1" t="s">
        <v>256</v>
      </c>
      <c r="E88" s="1" t="s">
        <v>116</v>
      </c>
      <c r="F88" s="1" t="s">
        <v>36</v>
      </c>
      <c r="G88" s="1"/>
      <c r="H88" s="7">
        <v>137.24199999999999</v>
      </c>
      <c r="I88" s="6">
        <v>2499.88</v>
      </c>
      <c r="J88" s="5">
        <v>18.215</v>
      </c>
      <c r="K88" s="5">
        <f t="shared" si="1"/>
        <v>18.215</v>
      </c>
      <c r="L8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88" s="1" t="s">
        <v>141</v>
      </c>
    </row>
    <row r="89" spans="1:13" x14ac:dyDescent="0.3">
      <c r="A89" s="13">
        <v>45407</v>
      </c>
      <c r="B89" s="1" t="s">
        <v>529</v>
      </c>
      <c r="C89" s="14" t="s">
        <v>255</v>
      </c>
      <c r="D89" s="1" t="s">
        <v>444</v>
      </c>
      <c r="E89" s="1" t="s">
        <v>121</v>
      </c>
      <c r="F89" s="1" t="s">
        <v>43</v>
      </c>
      <c r="G89" s="1"/>
      <c r="H89" s="7">
        <v>159.40809999999999</v>
      </c>
      <c r="I89" s="6">
        <v>2499.88</v>
      </c>
      <c r="J89" s="5">
        <v>15.682</v>
      </c>
      <c r="K89" s="5">
        <f t="shared" si="1"/>
        <v>15.682</v>
      </c>
      <c r="L8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89" s="1" t="s">
        <v>141</v>
      </c>
    </row>
    <row r="90" spans="1:13" ht="27.6" x14ac:dyDescent="0.3">
      <c r="A90" s="13">
        <v>45407</v>
      </c>
      <c r="B90" s="1" t="s">
        <v>530</v>
      </c>
      <c r="C90" s="14" t="s">
        <v>255</v>
      </c>
      <c r="D90" s="1" t="s">
        <v>446</v>
      </c>
      <c r="E90" s="1" t="s">
        <v>106</v>
      </c>
      <c r="F90" s="1" t="s">
        <v>17</v>
      </c>
      <c r="G90" s="1"/>
      <c r="H90" s="7">
        <v>217.16</v>
      </c>
      <c r="I90" s="6">
        <v>2499.88</v>
      </c>
      <c r="J90" s="5">
        <v>11.512</v>
      </c>
      <c r="K90" s="5">
        <f t="shared" si="1"/>
        <v>11.512</v>
      </c>
      <c r="L9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90" s="1" t="s">
        <v>141</v>
      </c>
    </row>
    <row r="91" spans="1:13" ht="27.6" x14ac:dyDescent="0.3">
      <c r="A91" s="13">
        <v>45407</v>
      </c>
      <c r="B91" s="1" t="s">
        <v>531</v>
      </c>
      <c r="C91" s="14" t="s">
        <v>255</v>
      </c>
      <c r="D91" s="1" t="s">
        <v>256</v>
      </c>
      <c r="E91" s="1" t="s">
        <v>116</v>
      </c>
      <c r="F91" s="1" t="s">
        <v>36</v>
      </c>
      <c r="G91" s="1"/>
      <c r="H91" s="7">
        <v>133.16200000000001</v>
      </c>
      <c r="I91" s="6">
        <v>2499.88</v>
      </c>
      <c r="J91" s="5">
        <v>18.773</v>
      </c>
      <c r="K91" s="5">
        <f t="shared" si="1"/>
        <v>18.773</v>
      </c>
      <c r="L9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91" s="1" t="s">
        <v>141</v>
      </c>
    </row>
    <row r="92" spans="1:13" x14ac:dyDescent="0.3">
      <c r="A92" s="13">
        <v>45407</v>
      </c>
      <c r="B92" s="1" t="s">
        <v>532</v>
      </c>
      <c r="C92" s="14" t="s">
        <v>255</v>
      </c>
      <c r="D92" s="1" t="s">
        <v>448</v>
      </c>
      <c r="E92" s="1" t="s">
        <v>111</v>
      </c>
      <c r="F92" s="1" t="s">
        <v>24</v>
      </c>
      <c r="G92" s="1"/>
      <c r="H92" s="7">
        <v>75.650000000000006</v>
      </c>
      <c r="I92" s="6">
        <v>2499.88</v>
      </c>
      <c r="J92" s="5">
        <v>33.045000000000002</v>
      </c>
      <c r="K92" s="5">
        <f t="shared" si="1"/>
        <v>33.045000000000002</v>
      </c>
      <c r="L9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92" s="1" t="s">
        <v>141</v>
      </c>
    </row>
    <row r="93" spans="1:13" ht="27.6" x14ac:dyDescent="0.3">
      <c r="A93" s="13">
        <v>45378</v>
      </c>
      <c r="B93" s="1" t="s">
        <v>533</v>
      </c>
      <c r="C93" s="14" t="s">
        <v>255</v>
      </c>
      <c r="D93" s="1" t="s">
        <v>446</v>
      </c>
      <c r="E93" s="1" t="s">
        <v>106</v>
      </c>
      <c r="F93" s="1" t="s">
        <v>17</v>
      </c>
      <c r="G93" s="1"/>
      <c r="H93" s="7">
        <v>209.93</v>
      </c>
      <c r="I93" s="6">
        <v>2499.88</v>
      </c>
      <c r="J93" s="5">
        <v>11.907999999999999</v>
      </c>
      <c r="K93" s="5">
        <f t="shared" si="1"/>
        <v>11.907999999999999</v>
      </c>
      <c r="L9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93" s="1" t="s">
        <v>141</v>
      </c>
    </row>
    <row r="94" spans="1:13" ht="27.6" x14ac:dyDescent="0.3">
      <c r="A94" s="13">
        <v>45378</v>
      </c>
      <c r="B94" s="1" t="s">
        <v>534</v>
      </c>
      <c r="C94" s="14" t="s">
        <v>255</v>
      </c>
      <c r="D94" s="1" t="s">
        <v>256</v>
      </c>
      <c r="E94" s="1" t="s">
        <v>116</v>
      </c>
      <c r="F94" s="1" t="s">
        <v>36</v>
      </c>
      <c r="G94" s="1"/>
      <c r="H94" s="7">
        <v>128.02600000000001</v>
      </c>
      <c r="I94" s="6">
        <v>2499.88</v>
      </c>
      <c r="J94" s="5">
        <v>19.526</v>
      </c>
      <c r="K94" s="5">
        <f t="shared" si="1"/>
        <v>19.526</v>
      </c>
      <c r="L9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94" s="1" t="s">
        <v>141</v>
      </c>
    </row>
    <row r="95" spans="1:13" x14ac:dyDescent="0.3">
      <c r="A95" s="13">
        <v>45378</v>
      </c>
      <c r="B95" s="1" t="s">
        <v>535</v>
      </c>
      <c r="C95" s="14" t="s">
        <v>255</v>
      </c>
      <c r="D95" s="1" t="s">
        <v>448</v>
      </c>
      <c r="E95" s="1" t="s">
        <v>111</v>
      </c>
      <c r="F95" s="1" t="s">
        <v>24</v>
      </c>
      <c r="G95" s="1"/>
      <c r="H95" s="7">
        <v>73.989999999999995</v>
      </c>
      <c r="I95" s="6">
        <v>2499.88</v>
      </c>
      <c r="J95" s="5">
        <v>33.786999999999999</v>
      </c>
      <c r="K95" s="5">
        <f t="shared" si="1"/>
        <v>33.786999999999999</v>
      </c>
      <c r="L9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95" s="1" t="s">
        <v>141</v>
      </c>
    </row>
    <row r="96" spans="1:13" x14ac:dyDescent="0.3">
      <c r="A96" s="13">
        <v>45378</v>
      </c>
      <c r="B96" s="1" t="s">
        <v>536</v>
      </c>
      <c r="C96" s="14" t="s">
        <v>255</v>
      </c>
      <c r="D96" s="1" t="s">
        <v>444</v>
      </c>
      <c r="E96" s="1" t="s">
        <v>121</v>
      </c>
      <c r="F96" s="1" t="s">
        <v>43</v>
      </c>
      <c r="G96" s="1"/>
      <c r="H96" s="7">
        <v>147.809</v>
      </c>
      <c r="I96" s="6">
        <v>2499.88</v>
      </c>
      <c r="J96" s="5">
        <v>16.913</v>
      </c>
      <c r="K96" s="5">
        <f t="shared" si="1"/>
        <v>16.913</v>
      </c>
      <c r="L9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96" s="1" t="s">
        <v>141</v>
      </c>
    </row>
    <row r="97" spans="1:13" x14ac:dyDescent="0.3">
      <c r="A97" s="13">
        <v>45348</v>
      </c>
      <c r="B97" s="1" t="s">
        <v>537</v>
      </c>
      <c r="C97" s="14" t="s">
        <v>255</v>
      </c>
      <c r="D97" s="1" t="s">
        <v>448</v>
      </c>
      <c r="E97" s="1" t="s">
        <v>111</v>
      </c>
      <c r="F97" s="1" t="s">
        <v>24</v>
      </c>
      <c r="G97" s="1"/>
      <c r="H97" s="7">
        <v>71.930000000000007</v>
      </c>
      <c r="I97" s="6">
        <v>2499.88</v>
      </c>
      <c r="J97" s="5">
        <v>34.753999999999998</v>
      </c>
      <c r="K97" s="5">
        <f t="shared" si="1"/>
        <v>34.753999999999998</v>
      </c>
      <c r="L9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97" s="1" t="s">
        <v>141</v>
      </c>
    </row>
    <row r="98" spans="1:13" x14ac:dyDescent="0.3">
      <c r="A98" s="13">
        <v>45348</v>
      </c>
      <c r="B98" s="1" t="s">
        <v>538</v>
      </c>
      <c r="C98" s="14" t="s">
        <v>255</v>
      </c>
      <c r="D98" s="1" t="s">
        <v>444</v>
      </c>
      <c r="E98" s="1" t="s">
        <v>121</v>
      </c>
      <c r="F98" s="1" t="s">
        <v>43</v>
      </c>
      <c r="G98" s="1"/>
      <c r="H98" s="7">
        <v>151.09739999999999</v>
      </c>
      <c r="I98" s="6">
        <v>2499.88</v>
      </c>
      <c r="J98" s="5">
        <v>16.545000000000002</v>
      </c>
      <c r="K98" s="5">
        <f t="shared" si="1"/>
        <v>16.545000000000002</v>
      </c>
      <c r="L9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98" s="1" t="s">
        <v>141</v>
      </c>
    </row>
    <row r="99" spans="1:13" ht="27.6" x14ac:dyDescent="0.3">
      <c r="A99" s="13">
        <v>45348</v>
      </c>
      <c r="B99" s="1" t="s">
        <v>539</v>
      </c>
      <c r="C99" s="14" t="s">
        <v>255</v>
      </c>
      <c r="D99" s="1" t="s">
        <v>446</v>
      </c>
      <c r="E99" s="1" t="s">
        <v>106</v>
      </c>
      <c r="F99" s="1" t="s">
        <v>17</v>
      </c>
      <c r="G99" s="1"/>
      <c r="H99" s="7">
        <v>207.99</v>
      </c>
      <c r="I99" s="6">
        <v>2499.88</v>
      </c>
      <c r="J99" s="5">
        <v>12.019</v>
      </c>
      <c r="K99" s="5">
        <f t="shared" si="1"/>
        <v>12.019</v>
      </c>
      <c r="L9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99" s="1" t="s">
        <v>141</v>
      </c>
    </row>
    <row r="100" spans="1:13" ht="27.6" x14ac:dyDescent="0.3">
      <c r="A100" s="13">
        <v>45348</v>
      </c>
      <c r="B100" s="1" t="s">
        <v>540</v>
      </c>
      <c r="C100" s="14" t="s">
        <v>255</v>
      </c>
      <c r="D100" s="1" t="s">
        <v>256</v>
      </c>
      <c r="E100" s="1" t="s">
        <v>116</v>
      </c>
      <c r="F100" s="1" t="s">
        <v>36</v>
      </c>
      <c r="G100" s="1"/>
      <c r="H100" s="7">
        <v>130.279</v>
      </c>
      <c r="I100" s="6">
        <v>2499.88</v>
      </c>
      <c r="J100" s="5">
        <v>19.189</v>
      </c>
      <c r="K100" s="5">
        <f t="shared" si="1"/>
        <v>19.189</v>
      </c>
      <c r="L10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00" s="1" t="s">
        <v>141</v>
      </c>
    </row>
    <row r="101" spans="1:13" x14ac:dyDescent="0.3">
      <c r="A101" s="13">
        <v>45316</v>
      </c>
      <c r="B101" s="1" t="s">
        <v>541</v>
      </c>
      <c r="C101" s="14" t="s">
        <v>255</v>
      </c>
      <c r="D101" s="1" t="s">
        <v>448</v>
      </c>
      <c r="E101" s="1" t="s">
        <v>111</v>
      </c>
      <c r="F101" s="1" t="s">
        <v>24</v>
      </c>
      <c r="G101" s="1"/>
      <c r="H101" s="7">
        <v>67.81</v>
      </c>
      <c r="I101" s="6">
        <v>2499.88</v>
      </c>
      <c r="J101" s="5">
        <v>36.866</v>
      </c>
      <c r="K101" s="5">
        <f t="shared" si="1"/>
        <v>36.866</v>
      </c>
      <c r="L10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01" s="1" t="s">
        <v>141</v>
      </c>
    </row>
    <row r="102" spans="1:13" x14ac:dyDescent="0.3">
      <c r="A102" s="13">
        <v>45316</v>
      </c>
      <c r="B102" s="1" t="s">
        <v>542</v>
      </c>
      <c r="C102" s="14" t="s">
        <v>255</v>
      </c>
      <c r="D102" s="1" t="s">
        <v>444</v>
      </c>
      <c r="E102" s="1" t="s">
        <v>121</v>
      </c>
      <c r="F102" s="1" t="s">
        <v>43</v>
      </c>
      <c r="G102" s="1"/>
      <c r="H102" s="7">
        <v>144.3956</v>
      </c>
      <c r="I102" s="6">
        <v>2499.88</v>
      </c>
      <c r="J102" s="5">
        <v>17.312999999999999</v>
      </c>
      <c r="K102" s="5">
        <f t="shared" si="1"/>
        <v>17.312999999999999</v>
      </c>
      <c r="L10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02" s="1" t="s">
        <v>141</v>
      </c>
    </row>
    <row r="103" spans="1:13" ht="27.6" x14ac:dyDescent="0.3">
      <c r="A103" s="13">
        <v>45316</v>
      </c>
      <c r="B103" s="1" t="s">
        <v>543</v>
      </c>
      <c r="C103" s="14" t="s">
        <v>255</v>
      </c>
      <c r="D103" s="1" t="s">
        <v>446</v>
      </c>
      <c r="E103" s="1" t="s">
        <v>106</v>
      </c>
      <c r="F103" s="1" t="s">
        <v>17</v>
      </c>
      <c r="G103" s="1"/>
      <c r="H103" s="7">
        <v>198.5</v>
      </c>
      <c r="I103" s="6">
        <v>2499.88</v>
      </c>
      <c r="J103" s="5">
        <v>12.593999999999999</v>
      </c>
      <c r="K103" s="5">
        <f t="shared" si="1"/>
        <v>12.593999999999999</v>
      </c>
      <c r="L10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03" s="1" t="s">
        <v>141</v>
      </c>
    </row>
    <row r="104" spans="1:13" ht="27.6" x14ac:dyDescent="0.3">
      <c r="A104" s="13">
        <v>45316</v>
      </c>
      <c r="B104" s="1" t="s">
        <v>544</v>
      </c>
      <c r="C104" s="14" t="s">
        <v>255</v>
      </c>
      <c r="D104" s="1" t="s">
        <v>256</v>
      </c>
      <c r="E104" s="1" t="s">
        <v>116</v>
      </c>
      <c r="F104" s="1" t="s">
        <v>36</v>
      </c>
      <c r="G104" s="1"/>
      <c r="H104" s="7">
        <v>124.709</v>
      </c>
      <c r="I104" s="6">
        <v>2499.88</v>
      </c>
      <c r="J104" s="5">
        <v>20.045999999999999</v>
      </c>
      <c r="K104" s="5">
        <f t="shared" si="1"/>
        <v>20.045999999999999</v>
      </c>
      <c r="L10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04" s="1" t="s">
        <v>141</v>
      </c>
    </row>
    <row r="105" spans="1:13" ht="27.6" x14ac:dyDescent="0.3">
      <c r="A105" s="13">
        <v>45287</v>
      </c>
      <c r="B105" s="1" t="s">
        <v>545</v>
      </c>
      <c r="C105" s="14" t="s">
        <v>255</v>
      </c>
      <c r="D105" s="1" t="s">
        <v>256</v>
      </c>
      <c r="E105" s="1" t="s">
        <v>116</v>
      </c>
      <c r="F105" s="1" t="s">
        <v>36</v>
      </c>
      <c r="G105" s="1"/>
      <c r="H105" s="7">
        <v>123.973</v>
      </c>
      <c r="I105" s="6">
        <v>2499.88</v>
      </c>
      <c r="J105" s="5">
        <v>20.164999999999999</v>
      </c>
      <c r="K105" s="5">
        <f t="shared" si="1"/>
        <v>20.164999999999999</v>
      </c>
      <c r="L10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05" s="1" t="s">
        <v>141</v>
      </c>
    </row>
    <row r="106" spans="1:13" ht="27.6" x14ac:dyDescent="0.3">
      <c r="A106" s="13">
        <v>45287</v>
      </c>
      <c r="B106" s="1" t="s">
        <v>546</v>
      </c>
      <c r="C106" s="14" t="s">
        <v>255</v>
      </c>
      <c r="D106" s="1" t="s">
        <v>446</v>
      </c>
      <c r="E106" s="1" t="s">
        <v>106</v>
      </c>
      <c r="F106" s="1" t="s">
        <v>17</v>
      </c>
      <c r="G106" s="1"/>
      <c r="H106" s="7">
        <v>199.9</v>
      </c>
      <c r="I106" s="6">
        <v>2499.88</v>
      </c>
      <c r="J106" s="5">
        <v>12.506</v>
      </c>
      <c r="K106" s="5">
        <f t="shared" si="1"/>
        <v>12.506</v>
      </c>
      <c r="L10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06" s="1" t="s">
        <v>141</v>
      </c>
    </row>
    <row r="107" spans="1:13" x14ac:dyDescent="0.3">
      <c r="A107" s="13">
        <v>45287</v>
      </c>
      <c r="B107" s="1" t="s">
        <v>547</v>
      </c>
      <c r="C107" s="14" t="s">
        <v>255</v>
      </c>
      <c r="D107" s="1" t="s">
        <v>448</v>
      </c>
      <c r="E107" s="1" t="s">
        <v>111</v>
      </c>
      <c r="F107" s="1" t="s">
        <v>24</v>
      </c>
      <c r="G107" s="1"/>
      <c r="H107" s="7">
        <v>66.680000000000007</v>
      </c>
      <c r="I107" s="6">
        <v>2499.88</v>
      </c>
      <c r="J107" s="5">
        <v>37.491</v>
      </c>
      <c r="K107" s="5">
        <f t="shared" si="1"/>
        <v>37.491</v>
      </c>
      <c r="L10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07" s="1" t="s">
        <v>141</v>
      </c>
    </row>
    <row r="108" spans="1:13" x14ac:dyDescent="0.3">
      <c r="A108" s="13">
        <v>45287</v>
      </c>
      <c r="B108" s="1" t="s">
        <v>548</v>
      </c>
      <c r="C108" s="14" t="s">
        <v>255</v>
      </c>
      <c r="D108" s="1" t="s">
        <v>444</v>
      </c>
      <c r="E108" s="1" t="s">
        <v>121</v>
      </c>
      <c r="F108" s="1" t="s">
        <v>43</v>
      </c>
      <c r="G108" s="1"/>
      <c r="H108" s="7">
        <v>141.614</v>
      </c>
      <c r="I108" s="6">
        <v>2499.88</v>
      </c>
      <c r="J108" s="5">
        <v>17.652999999999999</v>
      </c>
      <c r="K108" s="5">
        <f t="shared" si="1"/>
        <v>17.652999999999999</v>
      </c>
      <c r="L10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08" s="1" t="s">
        <v>141</v>
      </c>
    </row>
    <row r="109" spans="1:13" x14ac:dyDescent="0.3">
      <c r="A109" s="13">
        <v>45259</v>
      </c>
      <c r="B109" s="1" t="s">
        <v>549</v>
      </c>
      <c r="C109" s="14" t="s">
        <v>255</v>
      </c>
      <c r="D109" s="1" t="s">
        <v>444</v>
      </c>
      <c r="E109" s="1" t="s">
        <v>121</v>
      </c>
      <c r="F109" s="1" t="s">
        <v>43</v>
      </c>
      <c r="G109" s="1"/>
      <c r="H109" s="7">
        <v>138.09</v>
      </c>
      <c r="I109" s="6">
        <v>2499.88</v>
      </c>
      <c r="J109" s="5">
        <v>18.103000000000002</v>
      </c>
      <c r="K109" s="5">
        <f t="shared" si="1"/>
        <v>18.103000000000002</v>
      </c>
      <c r="L10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09" s="1" t="s">
        <v>141</v>
      </c>
    </row>
    <row r="110" spans="1:13" ht="27.6" x14ac:dyDescent="0.3">
      <c r="A110" s="13">
        <v>45259</v>
      </c>
      <c r="B110" s="1" t="s">
        <v>550</v>
      </c>
      <c r="C110" s="14" t="s">
        <v>255</v>
      </c>
      <c r="D110" s="1" t="s">
        <v>256</v>
      </c>
      <c r="E110" s="1" t="s">
        <v>116</v>
      </c>
      <c r="F110" s="1" t="s">
        <v>36</v>
      </c>
      <c r="G110" s="1"/>
      <c r="H110" s="7">
        <v>116.035</v>
      </c>
      <c r="I110" s="6">
        <v>2499.88</v>
      </c>
      <c r="J110" s="5">
        <v>21.544</v>
      </c>
      <c r="K110" s="5">
        <f t="shared" si="1"/>
        <v>21.544</v>
      </c>
      <c r="L11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10" s="1" t="s">
        <v>141</v>
      </c>
    </row>
    <row r="111" spans="1:13" ht="27.6" x14ac:dyDescent="0.3">
      <c r="A111" s="13">
        <v>45259</v>
      </c>
      <c r="B111" s="1" t="s">
        <v>551</v>
      </c>
      <c r="C111" s="14" t="s">
        <v>255</v>
      </c>
      <c r="D111" s="1" t="s">
        <v>446</v>
      </c>
      <c r="E111" s="1" t="s">
        <v>106</v>
      </c>
      <c r="F111" s="1" t="s">
        <v>17</v>
      </c>
      <c r="G111" s="1"/>
      <c r="H111" s="7">
        <v>188.14</v>
      </c>
      <c r="I111" s="6">
        <v>2499.88</v>
      </c>
      <c r="J111" s="5">
        <v>13.287000000000001</v>
      </c>
      <c r="K111" s="5">
        <f t="shared" si="1"/>
        <v>13.287000000000001</v>
      </c>
      <c r="L11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11" s="1" t="s">
        <v>141</v>
      </c>
    </row>
    <row r="112" spans="1:13" x14ac:dyDescent="0.3">
      <c r="A112" s="13">
        <v>45259</v>
      </c>
      <c r="B112" s="1" t="s">
        <v>552</v>
      </c>
      <c r="C112" s="14" t="s">
        <v>255</v>
      </c>
      <c r="D112" s="1" t="s">
        <v>448</v>
      </c>
      <c r="E112" s="1" t="s">
        <v>111</v>
      </c>
      <c r="F112" s="1" t="s">
        <v>24</v>
      </c>
      <c r="G112" s="1"/>
      <c r="H112" s="7">
        <v>62.88</v>
      </c>
      <c r="I112" s="6">
        <v>2499.88</v>
      </c>
      <c r="J112" s="5">
        <v>39.756</v>
      </c>
      <c r="K112" s="5">
        <f t="shared" si="1"/>
        <v>39.756</v>
      </c>
      <c r="L11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12" s="1" t="s">
        <v>141</v>
      </c>
    </row>
    <row r="113" spans="1:13" ht="27.6" x14ac:dyDescent="0.3">
      <c r="A113" s="13">
        <v>45224</v>
      </c>
      <c r="B113" s="1" t="s">
        <v>553</v>
      </c>
      <c r="C113" s="14" t="s">
        <v>255</v>
      </c>
      <c r="D113" s="1" t="s">
        <v>446</v>
      </c>
      <c r="E113" s="1" t="s">
        <v>106</v>
      </c>
      <c r="F113" s="1" t="s">
        <v>17</v>
      </c>
      <c r="G113" s="1"/>
      <c r="H113" s="7">
        <v>176.14</v>
      </c>
      <c r="I113" s="6">
        <v>2499.88</v>
      </c>
      <c r="J113" s="5">
        <v>14.193</v>
      </c>
      <c r="K113" s="5">
        <f t="shared" si="1"/>
        <v>14.193</v>
      </c>
      <c r="L11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13" s="1" t="s">
        <v>141</v>
      </c>
    </row>
    <row r="114" spans="1:13" x14ac:dyDescent="0.3">
      <c r="A114" s="13">
        <v>45224</v>
      </c>
      <c r="B114" s="1" t="s">
        <v>554</v>
      </c>
      <c r="C114" s="14" t="s">
        <v>255</v>
      </c>
      <c r="D114" s="1" t="s">
        <v>448</v>
      </c>
      <c r="E114" s="1" t="s">
        <v>111</v>
      </c>
      <c r="F114" s="1" t="s">
        <v>24</v>
      </c>
      <c r="G114" s="1"/>
      <c r="H114" s="7">
        <v>58.72</v>
      </c>
      <c r="I114" s="6">
        <v>2499.88</v>
      </c>
      <c r="J114" s="5">
        <v>42.573</v>
      </c>
      <c r="K114" s="5">
        <f t="shared" si="1"/>
        <v>42.573</v>
      </c>
      <c r="L11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14" s="1" t="s">
        <v>141</v>
      </c>
    </row>
    <row r="115" spans="1:13" x14ac:dyDescent="0.3">
      <c r="A115" s="13">
        <v>45224</v>
      </c>
      <c r="B115" s="1" t="s">
        <v>555</v>
      </c>
      <c r="C115" s="14" t="s">
        <v>255</v>
      </c>
      <c r="D115" s="1" t="s">
        <v>444</v>
      </c>
      <c r="E115" s="1" t="s">
        <v>121</v>
      </c>
      <c r="F115" s="1" t="s">
        <v>43</v>
      </c>
      <c r="G115" s="1"/>
      <c r="H115" s="7">
        <v>130.30090000000001</v>
      </c>
      <c r="I115" s="6">
        <v>2499.88</v>
      </c>
      <c r="J115" s="5">
        <v>19.184999999999999</v>
      </c>
      <c r="K115" s="5">
        <f t="shared" si="1"/>
        <v>19.184999999999999</v>
      </c>
      <c r="L11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15" s="1" t="s">
        <v>141</v>
      </c>
    </row>
    <row r="116" spans="1:13" ht="27.6" x14ac:dyDescent="0.3">
      <c r="A116" s="13">
        <v>45224</v>
      </c>
      <c r="B116" s="1" t="s">
        <v>556</v>
      </c>
      <c r="C116" s="14" t="s">
        <v>255</v>
      </c>
      <c r="D116" s="1" t="s">
        <v>256</v>
      </c>
      <c r="E116" s="1" t="s">
        <v>116</v>
      </c>
      <c r="F116" s="1" t="s">
        <v>36</v>
      </c>
      <c r="G116" s="1"/>
      <c r="H116" s="7">
        <v>108.92100000000001</v>
      </c>
      <c r="I116" s="6">
        <v>2499.88</v>
      </c>
      <c r="J116" s="5">
        <v>22.951000000000001</v>
      </c>
      <c r="K116" s="5">
        <f t="shared" si="1"/>
        <v>22.951000000000001</v>
      </c>
      <c r="L11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16" s="1" t="s">
        <v>141</v>
      </c>
    </row>
    <row r="117" spans="1:13" ht="27.6" x14ac:dyDescent="0.3">
      <c r="A117" s="13">
        <v>45195</v>
      </c>
      <c r="B117" s="1" t="s">
        <v>557</v>
      </c>
      <c r="C117" s="14" t="s">
        <v>255</v>
      </c>
      <c r="D117" s="1" t="s">
        <v>446</v>
      </c>
      <c r="E117" s="1" t="s">
        <v>106</v>
      </c>
      <c r="F117" s="1" t="s">
        <v>17</v>
      </c>
      <c r="G117" s="1"/>
      <c r="H117" s="7">
        <v>181.96</v>
      </c>
      <c r="I117" s="6">
        <v>2499.88</v>
      </c>
      <c r="J117" s="5">
        <v>13.739000000000001</v>
      </c>
      <c r="K117" s="5">
        <f t="shared" si="1"/>
        <v>13.739000000000001</v>
      </c>
      <c r="L11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17" s="1" t="s">
        <v>141</v>
      </c>
    </row>
    <row r="118" spans="1:13" x14ac:dyDescent="0.3">
      <c r="A118" s="13">
        <v>45195</v>
      </c>
      <c r="B118" s="1" t="s">
        <v>558</v>
      </c>
      <c r="C118" s="14" t="s">
        <v>255</v>
      </c>
      <c r="D118" s="1" t="s">
        <v>444</v>
      </c>
      <c r="E118" s="1" t="s">
        <v>121</v>
      </c>
      <c r="F118" s="1" t="s">
        <v>43</v>
      </c>
      <c r="G118" s="1"/>
      <c r="H118" s="7">
        <v>134.28270000000001</v>
      </c>
      <c r="I118" s="6">
        <v>2499.88</v>
      </c>
      <c r="J118" s="5">
        <v>18.617000000000001</v>
      </c>
      <c r="K118" s="5">
        <f t="shared" si="1"/>
        <v>18.617000000000001</v>
      </c>
      <c r="L11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18" s="1" t="s">
        <v>141</v>
      </c>
    </row>
    <row r="119" spans="1:13" ht="27.6" x14ac:dyDescent="0.3">
      <c r="A119" s="13">
        <v>45195</v>
      </c>
      <c r="B119" s="1" t="s">
        <v>559</v>
      </c>
      <c r="C119" s="14" t="s">
        <v>255</v>
      </c>
      <c r="D119" s="1" t="s">
        <v>256</v>
      </c>
      <c r="E119" s="1" t="s">
        <v>116</v>
      </c>
      <c r="F119" s="1" t="s">
        <v>36</v>
      </c>
      <c r="G119" s="1"/>
      <c r="H119" s="7">
        <v>112.083</v>
      </c>
      <c r="I119" s="6">
        <v>2499.88</v>
      </c>
      <c r="J119" s="5">
        <v>22.303999999999998</v>
      </c>
      <c r="K119" s="5">
        <f t="shared" si="1"/>
        <v>22.303999999999998</v>
      </c>
      <c r="L11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19" s="1" t="s">
        <v>141</v>
      </c>
    </row>
    <row r="120" spans="1:13" x14ac:dyDescent="0.3">
      <c r="A120" s="13">
        <v>45195</v>
      </c>
      <c r="B120" s="1" t="s">
        <v>560</v>
      </c>
      <c r="C120" s="14" t="s">
        <v>255</v>
      </c>
      <c r="D120" s="1" t="s">
        <v>448</v>
      </c>
      <c r="E120" s="1" t="s">
        <v>111</v>
      </c>
      <c r="F120" s="1" t="s">
        <v>24</v>
      </c>
      <c r="G120" s="1"/>
      <c r="H120" s="7">
        <v>59.84</v>
      </c>
      <c r="I120" s="6">
        <v>2499.88</v>
      </c>
      <c r="J120" s="5">
        <v>41.776000000000003</v>
      </c>
      <c r="K120" s="5">
        <f t="shared" si="1"/>
        <v>41.776000000000003</v>
      </c>
      <c r="L12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20" s="1" t="s">
        <v>141</v>
      </c>
    </row>
    <row r="121" spans="1:13" x14ac:dyDescent="0.3">
      <c r="A121" s="13">
        <v>45163</v>
      </c>
      <c r="B121" s="1" t="s">
        <v>561</v>
      </c>
      <c r="C121" s="14" t="s">
        <v>255</v>
      </c>
      <c r="D121" s="1" t="s">
        <v>444</v>
      </c>
      <c r="E121" s="1" t="s">
        <v>121</v>
      </c>
      <c r="F121" s="1" t="s">
        <v>43</v>
      </c>
      <c r="G121" s="1"/>
      <c r="H121" s="7">
        <v>130.79</v>
      </c>
      <c r="I121" s="6">
        <v>2499.88</v>
      </c>
      <c r="J121" s="5">
        <v>19.114000000000001</v>
      </c>
      <c r="K121" s="5">
        <f t="shared" si="1"/>
        <v>19.114000000000001</v>
      </c>
      <c r="L12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21" s="1" t="s">
        <v>141</v>
      </c>
    </row>
    <row r="122" spans="1:13" ht="27.6" x14ac:dyDescent="0.3">
      <c r="A122" s="13">
        <v>45163</v>
      </c>
      <c r="B122" s="1" t="s">
        <v>562</v>
      </c>
      <c r="C122" s="14" t="s">
        <v>255</v>
      </c>
      <c r="D122" s="1" t="s">
        <v>446</v>
      </c>
      <c r="E122" s="1" t="s">
        <v>106</v>
      </c>
      <c r="F122" s="1" t="s">
        <v>17</v>
      </c>
      <c r="G122" s="1"/>
      <c r="H122" s="7">
        <v>178.92</v>
      </c>
      <c r="I122" s="6">
        <v>2499.88</v>
      </c>
      <c r="J122" s="5">
        <v>13.972</v>
      </c>
      <c r="K122" s="5">
        <f t="shared" si="1"/>
        <v>13.972</v>
      </c>
      <c r="L12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22" s="1" t="s">
        <v>141</v>
      </c>
    </row>
    <row r="123" spans="1:13" ht="27.6" x14ac:dyDescent="0.3">
      <c r="A123" s="13">
        <v>45163</v>
      </c>
      <c r="B123" s="1" t="s">
        <v>563</v>
      </c>
      <c r="C123" s="14" t="s">
        <v>255</v>
      </c>
      <c r="D123" s="1" t="s">
        <v>256</v>
      </c>
      <c r="E123" s="1" t="s">
        <v>116</v>
      </c>
      <c r="F123" s="1" t="s">
        <v>36</v>
      </c>
      <c r="G123" s="1"/>
      <c r="H123" s="7">
        <v>109.512</v>
      </c>
      <c r="I123" s="6">
        <v>2499.88</v>
      </c>
      <c r="J123" s="5">
        <v>22.827000000000002</v>
      </c>
      <c r="K123" s="5">
        <f t="shared" si="1"/>
        <v>22.827000000000002</v>
      </c>
      <c r="L12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23" s="1" t="s">
        <v>141</v>
      </c>
    </row>
    <row r="124" spans="1:13" x14ac:dyDescent="0.3">
      <c r="A124" s="13">
        <v>45163</v>
      </c>
      <c r="B124" s="1" t="s">
        <v>564</v>
      </c>
      <c r="C124" s="14" t="s">
        <v>255</v>
      </c>
      <c r="D124" s="1" t="s">
        <v>448</v>
      </c>
      <c r="E124" s="1" t="s">
        <v>111</v>
      </c>
      <c r="F124" s="1" t="s">
        <v>24</v>
      </c>
      <c r="G124" s="1"/>
      <c r="H124" s="7">
        <v>58.85</v>
      </c>
      <c r="I124" s="6">
        <v>2499.88</v>
      </c>
      <c r="J124" s="5">
        <v>42.478999999999999</v>
      </c>
      <c r="K124" s="5">
        <f t="shared" si="1"/>
        <v>42.478999999999999</v>
      </c>
      <c r="L12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24" s="1" t="s">
        <v>141</v>
      </c>
    </row>
    <row r="125" spans="1:13" x14ac:dyDescent="0.3">
      <c r="A125" s="13">
        <v>45132</v>
      </c>
      <c r="B125" s="1" t="s">
        <v>565</v>
      </c>
      <c r="C125" s="14" t="s">
        <v>255</v>
      </c>
      <c r="D125" s="1" t="s">
        <v>444</v>
      </c>
      <c r="E125" s="1" t="s">
        <v>121</v>
      </c>
      <c r="F125" s="1" t="s">
        <v>43</v>
      </c>
      <c r="G125" s="1"/>
      <c r="H125" s="7">
        <v>127.425</v>
      </c>
      <c r="I125" s="6">
        <v>2499.88</v>
      </c>
      <c r="J125" s="5">
        <v>19.617999999999999</v>
      </c>
      <c r="K125" s="5">
        <f t="shared" si="1"/>
        <v>19.617999999999999</v>
      </c>
      <c r="L12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25" s="1" t="s">
        <v>141</v>
      </c>
    </row>
    <row r="126" spans="1:13" ht="27.6" x14ac:dyDescent="0.3">
      <c r="A126" s="13">
        <v>45132</v>
      </c>
      <c r="B126" s="1" t="s">
        <v>566</v>
      </c>
      <c r="C126" s="14" t="s">
        <v>255</v>
      </c>
      <c r="D126" s="1" t="s">
        <v>256</v>
      </c>
      <c r="E126" s="1" t="s">
        <v>116</v>
      </c>
      <c r="F126" s="1" t="s">
        <v>36</v>
      </c>
      <c r="G126" s="1"/>
      <c r="H126" s="7">
        <v>107.621</v>
      </c>
      <c r="I126" s="6">
        <v>2499.88</v>
      </c>
      <c r="J126" s="5">
        <v>23.228999999999999</v>
      </c>
      <c r="K126" s="5">
        <f t="shared" si="1"/>
        <v>23.228999999999999</v>
      </c>
      <c r="L12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26" s="1" t="s">
        <v>141</v>
      </c>
    </row>
    <row r="127" spans="1:13" ht="27.6" x14ac:dyDescent="0.3">
      <c r="A127" s="13">
        <v>45132</v>
      </c>
      <c r="B127" s="1" t="s">
        <v>567</v>
      </c>
      <c r="C127" s="14" t="s">
        <v>255</v>
      </c>
      <c r="D127" s="1" t="s">
        <v>446</v>
      </c>
      <c r="E127" s="1" t="s">
        <v>106</v>
      </c>
      <c r="F127" s="1" t="s">
        <v>17</v>
      </c>
      <c r="G127" s="1"/>
      <c r="H127" s="7">
        <v>179.14</v>
      </c>
      <c r="I127" s="6">
        <v>2499.88</v>
      </c>
      <c r="J127" s="5">
        <v>13.955</v>
      </c>
      <c r="K127" s="5">
        <f t="shared" si="1"/>
        <v>13.955</v>
      </c>
      <c r="L12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27" s="1" t="s">
        <v>141</v>
      </c>
    </row>
    <row r="128" spans="1:13" x14ac:dyDescent="0.3">
      <c r="A128" s="13">
        <v>45132</v>
      </c>
      <c r="B128" s="1" t="s">
        <v>568</v>
      </c>
      <c r="C128" s="14" t="s">
        <v>255</v>
      </c>
      <c r="D128" s="1" t="s">
        <v>448</v>
      </c>
      <c r="E128" s="1" t="s">
        <v>111</v>
      </c>
      <c r="F128" s="1" t="s">
        <v>24</v>
      </c>
      <c r="G128" s="1"/>
      <c r="H128" s="7">
        <v>58.99</v>
      </c>
      <c r="I128" s="6">
        <v>2499.88</v>
      </c>
      <c r="J128" s="5">
        <v>42.378</v>
      </c>
      <c r="K128" s="5">
        <f t="shared" si="1"/>
        <v>42.378</v>
      </c>
      <c r="L12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28" s="1" t="s">
        <v>141</v>
      </c>
    </row>
    <row r="129" spans="1:13" ht="41.4" x14ac:dyDescent="0.3">
      <c r="A129" s="13">
        <v>45114</v>
      </c>
      <c r="B129" s="1" t="s">
        <v>569</v>
      </c>
      <c r="C129" s="14" t="s">
        <v>570</v>
      </c>
      <c r="D129" s="1" t="s">
        <v>571</v>
      </c>
      <c r="E129" s="1" t="s">
        <v>28</v>
      </c>
      <c r="F129" s="1" t="s">
        <v>28</v>
      </c>
      <c r="G129" s="1"/>
      <c r="H129" s="7">
        <v>86.98</v>
      </c>
      <c r="I129" s="6">
        <v>274440.43</v>
      </c>
      <c r="J129" s="5">
        <v>3155.2130000000002</v>
      </c>
      <c r="K129" s="5">
        <f t="shared" si="1"/>
        <v>-3155.2130000000002</v>
      </c>
      <c r="L12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-274440.43</v>
      </c>
      <c r="M129" s="1" t="s">
        <v>141</v>
      </c>
    </row>
    <row r="130" spans="1:13" ht="41.4" x14ac:dyDescent="0.3">
      <c r="A130" s="13">
        <v>45114</v>
      </c>
      <c r="B130" s="1" t="s">
        <v>572</v>
      </c>
      <c r="C130" s="14" t="s">
        <v>570</v>
      </c>
      <c r="D130" s="1" t="s">
        <v>573</v>
      </c>
      <c r="E130" s="1" t="s">
        <v>122</v>
      </c>
      <c r="F130" s="1" t="s">
        <v>44</v>
      </c>
      <c r="G130" s="1"/>
      <c r="H130" s="7">
        <v>59.965899999999998</v>
      </c>
      <c r="I130" s="6">
        <v>276174.69</v>
      </c>
      <c r="J130" s="5">
        <v>4605.5290000000005</v>
      </c>
      <c r="K130" s="5">
        <f t="shared" si="1"/>
        <v>-4605.5290000000005</v>
      </c>
      <c r="L13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-276174.69</v>
      </c>
      <c r="M130" s="1" t="s">
        <v>141</v>
      </c>
    </row>
    <row r="131" spans="1:13" ht="41.4" x14ac:dyDescent="0.3">
      <c r="A131" s="13">
        <v>45114</v>
      </c>
      <c r="B131" s="1" t="s">
        <v>574</v>
      </c>
      <c r="C131" s="14" t="s">
        <v>570</v>
      </c>
      <c r="D131" s="1" t="s">
        <v>573</v>
      </c>
      <c r="E131" s="1" t="s">
        <v>122</v>
      </c>
      <c r="F131" s="1" t="s">
        <v>44</v>
      </c>
      <c r="G131" s="1"/>
      <c r="H131" s="7">
        <v>59.965899999999998</v>
      </c>
      <c r="I131" s="6">
        <v>102422.24</v>
      </c>
      <c r="J131" s="5">
        <v>1708.008</v>
      </c>
      <c r="K131" s="5">
        <f t="shared" si="1"/>
        <v>-1708.008</v>
      </c>
      <c r="L13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-102422.24</v>
      </c>
      <c r="M131" s="1" t="s">
        <v>141</v>
      </c>
    </row>
    <row r="132" spans="1:13" ht="41.4" x14ac:dyDescent="0.3">
      <c r="A132" s="13">
        <v>45114</v>
      </c>
      <c r="B132" s="1" t="s">
        <v>575</v>
      </c>
      <c r="C132" s="14" t="s">
        <v>570</v>
      </c>
      <c r="D132" s="1" t="s">
        <v>576</v>
      </c>
      <c r="E132" s="1" t="s">
        <v>123</v>
      </c>
      <c r="F132" s="1" t="s">
        <v>45</v>
      </c>
      <c r="G132" s="1"/>
      <c r="H132" s="7">
        <v>11.3864</v>
      </c>
      <c r="I132" s="6">
        <v>569291.53</v>
      </c>
      <c r="J132" s="5">
        <v>49997.5</v>
      </c>
      <c r="K132" s="5">
        <f t="shared" si="1"/>
        <v>-49997.5</v>
      </c>
      <c r="L13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-569291.53</v>
      </c>
      <c r="M132" s="1" t="s">
        <v>141</v>
      </c>
    </row>
    <row r="133" spans="1:13" ht="27.6" x14ac:dyDescent="0.3">
      <c r="A133" s="13">
        <v>45103</v>
      </c>
      <c r="B133" s="1" t="s">
        <v>577</v>
      </c>
      <c r="C133" s="14" t="s">
        <v>255</v>
      </c>
      <c r="D133" s="1" t="s">
        <v>446</v>
      </c>
      <c r="E133" s="1" t="s">
        <v>106</v>
      </c>
      <c r="F133" s="1" t="s">
        <v>17</v>
      </c>
      <c r="G133" s="1"/>
      <c r="H133" s="7">
        <v>170.87</v>
      </c>
      <c r="I133" s="6">
        <v>2499.88</v>
      </c>
      <c r="J133" s="5">
        <v>14.63</v>
      </c>
      <c r="K133" s="5">
        <f t="shared" ref="K133:K196" si="2">IF(OR(EXACT(C133,"Redemption"),EXACT(C133,"Redeem"),EXACT(C133,"Switch Out"),EXACT(C133,"sell"),EXACT(C133,"Sell")),-J133,J133)</f>
        <v>14.63</v>
      </c>
      <c r="L13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33" s="1" t="s">
        <v>141</v>
      </c>
    </row>
    <row r="134" spans="1:13" ht="27.6" x14ac:dyDescent="0.3">
      <c r="A134" s="13">
        <v>45103</v>
      </c>
      <c r="B134" s="1" t="s">
        <v>578</v>
      </c>
      <c r="C134" s="14" t="s">
        <v>255</v>
      </c>
      <c r="D134" s="1" t="s">
        <v>256</v>
      </c>
      <c r="E134" s="1" t="s">
        <v>116</v>
      </c>
      <c r="F134" s="1" t="s">
        <v>36</v>
      </c>
      <c r="G134" s="1"/>
      <c r="H134" s="7">
        <v>102.33799999999999</v>
      </c>
      <c r="I134" s="6">
        <v>2499.88</v>
      </c>
      <c r="J134" s="5">
        <v>24.428000000000001</v>
      </c>
      <c r="K134" s="5">
        <f t="shared" si="2"/>
        <v>24.428000000000001</v>
      </c>
      <c r="L13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34" s="1" t="s">
        <v>141</v>
      </c>
    </row>
    <row r="135" spans="1:13" x14ac:dyDescent="0.3">
      <c r="A135" s="13">
        <v>45103</v>
      </c>
      <c r="B135" s="1" t="s">
        <v>579</v>
      </c>
      <c r="C135" s="14" t="s">
        <v>255</v>
      </c>
      <c r="D135" s="1" t="s">
        <v>448</v>
      </c>
      <c r="E135" s="1" t="s">
        <v>111</v>
      </c>
      <c r="F135" s="1" t="s">
        <v>24</v>
      </c>
      <c r="G135" s="1"/>
      <c r="H135" s="7">
        <v>55.52</v>
      </c>
      <c r="I135" s="6">
        <v>2499.88</v>
      </c>
      <c r="J135" s="5">
        <v>45.027000000000001</v>
      </c>
      <c r="K135" s="5">
        <f t="shared" si="2"/>
        <v>45.027000000000001</v>
      </c>
      <c r="L13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35" s="1" t="s">
        <v>141</v>
      </c>
    </row>
    <row r="136" spans="1:13" x14ac:dyDescent="0.3">
      <c r="A136" s="13">
        <v>45103</v>
      </c>
      <c r="B136" s="1" t="s">
        <v>580</v>
      </c>
      <c r="C136" s="14" t="s">
        <v>255</v>
      </c>
      <c r="D136" s="1" t="s">
        <v>444</v>
      </c>
      <c r="E136" s="1" t="s">
        <v>121</v>
      </c>
      <c r="F136" s="1" t="s">
        <v>43</v>
      </c>
      <c r="G136" s="1"/>
      <c r="H136" s="7">
        <v>122.16630000000001</v>
      </c>
      <c r="I136" s="6">
        <v>2499.88</v>
      </c>
      <c r="J136" s="5">
        <v>20.463000000000001</v>
      </c>
      <c r="K136" s="5">
        <f t="shared" si="2"/>
        <v>20.463000000000001</v>
      </c>
      <c r="L13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36" s="1" t="s">
        <v>141</v>
      </c>
    </row>
    <row r="137" spans="1:13" ht="27.6" x14ac:dyDescent="0.3">
      <c r="A137" s="13">
        <v>45071</v>
      </c>
      <c r="B137" s="1" t="s">
        <v>581</v>
      </c>
      <c r="C137" s="14" t="s">
        <v>255</v>
      </c>
      <c r="D137" s="1" t="s">
        <v>446</v>
      </c>
      <c r="E137" s="1" t="s">
        <v>106</v>
      </c>
      <c r="F137" s="1" t="s">
        <v>17</v>
      </c>
      <c r="G137" s="1"/>
      <c r="H137" s="7">
        <v>165.31</v>
      </c>
      <c r="I137" s="6">
        <v>2499.88</v>
      </c>
      <c r="J137" s="5">
        <v>15.122</v>
      </c>
      <c r="K137" s="5">
        <f t="shared" si="2"/>
        <v>15.122</v>
      </c>
      <c r="L13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37" s="1" t="s">
        <v>141</v>
      </c>
    </row>
    <row r="138" spans="1:13" ht="27.6" x14ac:dyDescent="0.3">
      <c r="A138" s="13">
        <v>45071</v>
      </c>
      <c r="B138" s="1" t="s">
        <v>582</v>
      </c>
      <c r="C138" s="14" t="s">
        <v>255</v>
      </c>
      <c r="D138" s="1" t="s">
        <v>256</v>
      </c>
      <c r="E138" s="1" t="s">
        <v>116</v>
      </c>
      <c r="F138" s="1" t="s">
        <v>36</v>
      </c>
      <c r="G138" s="1"/>
      <c r="H138" s="7">
        <v>97.825000000000003</v>
      </c>
      <c r="I138" s="6">
        <v>2499.88</v>
      </c>
      <c r="J138" s="5">
        <v>25.555</v>
      </c>
      <c r="K138" s="5">
        <f t="shared" si="2"/>
        <v>25.555</v>
      </c>
      <c r="L13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38" s="1" t="s">
        <v>141</v>
      </c>
    </row>
    <row r="139" spans="1:13" x14ac:dyDescent="0.3">
      <c r="A139" s="13">
        <v>45071</v>
      </c>
      <c r="B139" s="1" t="s">
        <v>583</v>
      </c>
      <c r="C139" s="14" t="s">
        <v>255</v>
      </c>
      <c r="D139" s="1" t="s">
        <v>448</v>
      </c>
      <c r="E139" s="1" t="s">
        <v>111</v>
      </c>
      <c r="F139" s="1" t="s">
        <v>24</v>
      </c>
      <c r="G139" s="1"/>
      <c r="H139" s="7">
        <v>53.29</v>
      </c>
      <c r="I139" s="6">
        <v>2499.88</v>
      </c>
      <c r="J139" s="5">
        <v>46.911000000000001</v>
      </c>
      <c r="K139" s="5">
        <f t="shared" si="2"/>
        <v>46.911000000000001</v>
      </c>
      <c r="L13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39" s="1" t="s">
        <v>141</v>
      </c>
    </row>
    <row r="140" spans="1:13" x14ac:dyDescent="0.3">
      <c r="A140" s="13">
        <v>45071</v>
      </c>
      <c r="B140" s="1" t="s">
        <v>584</v>
      </c>
      <c r="C140" s="14" t="s">
        <v>255</v>
      </c>
      <c r="D140" s="1" t="s">
        <v>444</v>
      </c>
      <c r="E140" s="1" t="s">
        <v>121</v>
      </c>
      <c r="F140" s="1" t="s">
        <v>43</v>
      </c>
      <c r="G140" s="1"/>
      <c r="H140" s="7">
        <v>116.9259</v>
      </c>
      <c r="I140" s="6">
        <v>2499.88</v>
      </c>
      <c r="J140" s="5">
        <v>21.38</v>
      </c>
      <c r="K140" s="5">
        <f t="shared" si="2"/>
        <v>21.38</v>
      </c>
      <c r="L14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40" s="1" t="s">
        <v>141</v>
      </c>
    </row>
    <row r="141" spans="1:13" x14ac:dyDescent="0.3">
      <c r="A141" s="13">
        <v>45041</v>
      </c>
      <c r="B141" s="1" t="s">
        <v>585</v>
      </c>
      <c r="C141" s="14" t="s">
        <v>255</v>
      </c>
      <c r="D141" s="1" t="s">
        <v>448</v>
      </c>
      <c r="E141" s="1" t="s">
        <v>111</v>
      </c>
      <c r="F141" s="1" t="s">
        <v>24</v>
      </c>
      <c r="G141" s="1"/>
      <c r="H141" s="7">
        <v>51.34</v>
      </c>
      <c r="I141" s="6">
        <v>2499.88</v>
      </c>
      <c r="J141" s="5">
        <v>48.692999999999998</v>
      </c>
      <c r="K141" s="5">
        <f t="shared" si="2"/>
        <v>48.692999999999998</v>
      </c>
      <c r="L14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41" s="1" t="s">
        <v>141</v>
      </c>
    </row>
    <row r="142" spans="1:13" x14ac:dyDescent="0.3">
      <c r="A142" s="13">
        <v>45041</v>
      </c>
      <c r="B142" s="1" t="s">
        <v>586</v>
      </c>
      <c r="C142" s="14" t="s">
        <v>255</v>
      </c>
      <c r="D142" s="1" t="s">
        <v>444</v>
      </c>
      <c r="E142" s="1" t="s">
        <v>121</v>
      </c>
      <c r="F142" s="1" t="s">
        <v>43</v>
      </c>
      <c r="G142" s="1"/>
      <c r="H142" s="7">
        <v>111.8875</v>
      </c>
      <c r="I142" s="6">
        <v>2499.88</v>
      </c>
      <c r="J142" s="5">
        <v>22.343</v>
      </c>
      <c r="K142" s="5">
        <f t="shared" si="2"/>
        <v>22.343</v>
      </c>
      <c r="L14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42" s="1" t="s">
        <v>141</v>
      </c>
    </row>
    <row r="143" spans="1:13" ht="27.6" x14ac:dyDescent="0.3">
      <c r="A143" s="13">
        <v>45041</v>
      </c>
      <c r="B143" s="1" t="s">
        <v>587</v>
      </c>
      <c r="C143" s="14" t="s">
        <v>255</v>
      </c>
      <c r="D143" s="1" t="s">
        <v>256</v>
      </c>
      <c r="E143" s="1" t="s">
        <v>116</v>
      </c>
      <c r="F143" s="1" t="s">
        <v>36</v>
      </c>
      <c r="G143" s="1"/>
      <c r="H143" s="7">
        <v>94.828999999999994</v>
      </c>
      <c r="I143" s="6">
        <v>2499.88</v>
      </c>
      <c r="J143" s="5">
        <v>26.361999999999998</v>
      </c>
      <c r="K143" s="5">
        <f t="shared" si="2"/>
        <v>26.361999999999998</v>
      </c>
      <c r="L14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43" s="1" t="s">
        <v>141</v>
      </c>
    </row>
    <row r="144" spans="1:13" ht="27.6" x14ac:dyDescent="0.3">
      <c r="A144" s="13">
        <v>45041</v>
      </c>
      <c r="B144" s="1" t="s">
        <v>588</v>
      </c>
      <c r="C144" s="14" t="s">
        <v>255</v>
      </c>
      <c r="D144" s="1" t="s">
        <v>446</v>
      </c>
      <c r="E144" s="1" t="s">
        <v>106</v>
      </c>
      <c r="F144" s="1" t="s">
        <v>17</v>
      </c>
      <c r="G144" s="1"/>
      <c r="H144" s="7">
        <v>157.83000000000001</v>
      </c>
      <c r="I144" s="6">
        <v>2499.88</v>
      </c>
      <c r="J144" s="5">
        <v>15.839</v>
      </c>
      <c r="K144" s="5">
        <f t="shared" si="2"/>
        <v>15.839</v>
      </c>
      <c r="L14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44" s="1" t="s">
        <v>141</v>
      </c>
    </row>
    <row r="145" spans="1:13" ht="27.6" x14ac:dyDescent="0.3">
      <c r="A145" s="13">
        <v>45014</v>
      </c>
      <c r="B145" s="1" t="s">
        <v>589</v>
      </c>
      <c r="C145" s="14" t="s">
        <v>255</v>
      </c>
      <c r="D145" s="1" t="s">
        <v>446</v>
      </c>
      <c r="E145" s="1" t="s">
        <v>106</v>
      </c>
      <c r="F145" s="1" t="s">
        <v>17</v>
      </c>
      <c r="G145" s="1"/>
      <c r="H145" s="7">
        <v>152.87</v>
      </c>
      <c r="I145" s="6">
        <v>2499.88</v>
      </c>
      <c r="J145" s="5">
        <v>16.353000000000002</v>
      </c>
      <c r="K145" s="5">
        <f t="shared" si="2"/>
        <v>16.353000000000002</v>
      </c>
      <c r="L14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45" s="1" t="s">
        <v>141</v>
      </c>
    </row>
    <row r="146" spans="1:13" ht="27.6" x14ac:dyDescent="0.3">
      <c r="A146" s="13">
        <v>45014</v>
      </c>
      <c r="B146" s="1" t="s">
        <v>590</v>
      </c>
      <c r="C146" s="14" t="s">
        <v>255</v>
      </c>
      <c r="D146" s="1" t="s">
        <v>256</v>
      </c>
      <c r="E146" s="1" t="s">
        <v>116</v>
      </c>
      <c r="F146" s="1" t="s">
        <v>36</v>
      </c>
      <c r="G146" s="1"/>
      <c r="H146" s="7">
        <v>91.281999999999996</v>
      </c>
      <c r="I146" s="6">
        <v>2499.88</v>
      </c>
      <c r="J146" s="5">
        <v>27.385999999999999</v>
      </c>
      <c r="K146" s="5">
        <f t="shared" si="2"/>
        <v>27.385999999999999</v>
      </c>
      <c r="L14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46" s="1" t="s">
        <v>141</v>
      </c>
    </row>
    <row r="147" spans="1:13" x14ac:dyDescent="0.3">
      <c r="A147" s="13">
        <v>45014</v>
      </c>
      <c r="B147" s="1" t="s">
        <v>591</v>
      </c>
      <c r="C147" s="14" t="s">
        <v>255</v>
      </c>
      <c r="D147" s="1" t="s">
        <v>444</v>
      </c>
      <c r="E147" s="1" t="s">
        <v>121</v>
      </c>
      <c r="F147" s="1" t="s">
        <v>43</v>
      </c>
      <c r="G147" s="1"/>
      <c r="H147" s="7">
        <v>107.196</v>
      </c>
      <c r="I147" s="6">
        <v>2499.88</v>
      </c>
      <c r="J147" s="5">
        <v>23.321000000000002</v>
      </c>
      <c r="K147" s="5">
        <f t="shared" si="2"/>
        <v>23.321000000000002</v>
      </c>
      <c r="L14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47" s="1" t="s">
        <v>141</v>
      </c>
    </row>
    <row r="148" spans="1:13" x14ac:dyDescent="0.3">
      <c r="A148" s="13">
        <v>45014</v>
      </c>
      <c r="B148" s="1" t="s">
        <v>592</v>
      </c>
      <c r="C148" s="14" t="s">
        <v>255</v>
      </c>
      <c r="D148" s="1" t="s">
        <v>448</v>
      </c>
      <c r="E148" s="1" t="s">
        <v>111</v>
      </c>
      <c r="F148" s="1" t="s">
        <v>24</v>
      </c>
      <c r="G148" s="1"/>
      <c r="H148" s="7">
        <v>49.97</v>
      </c>
      <c r="I148" s="6">
        <v>2499.88</v>
      </c>
      <c r="J148" s="5">
        <v>50.027999999999999</v>
      </c>
      <c r="K148" s="5">
        <f t="shared" si="2"/>
        <v>50.027999999999999</v>
      </c>
      <c r="L14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48" s="1" t="s">
        <v>141</v>
      </c>
    </row>
    <row r="149" spans="1:13" ht="27.6" x14ac:dyDescent="0.3">
      <c r="A149" s="13">
        <v>44985</v>
      </c>
      <c r="B149" s="1" t="s">
        <v>593</v>
      </c>
      <c r="C149" s="14" t="s">
        <v>255</v>
      </c>
      <c r="D149" s="1" t="s">
        <v>446</v>
      </c>
      <c r="E149" s="1" t="s">
        <v>106</v>
      </c>
      <c r="F149" s="1" t="s">
        <v>17</v>
      </c>
      <c r="G149" s="1"/>
      <c r="H149" s="7">
        <v>155.71</v>
      </c>
      <c r="I149" s="6">
        <v>2499.88</v>
      </c>
      <c r="J149" s="5">
        <v>16.055</v>
      </c>
      <c r="K149" s="5">
        <f t="shared" si="2"/>
        <v>16.055</v>
      </c>
      <c r="L14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49" s="1" t="s">
        <v>141</v>
      </c>
    </row>
    <row r="150" spans="1:13" ht="27.6" x14ac:dyDescent="0.3">
      <c r="A150" s="13">
        <v>44985</v>
      </c>
      <c r="B150" s="1" t="s">
        <v>594</v>
      </c>
      <c r="C150" s="14" t="s">
        <v>255</v>
      </c>
      <c r="D150" s="1" t="s">
        <v>256</v>
      </c>
      <c r="E150" s="1" t="s">
        <v>116</v>
      </c>
      <c r="F150" s="1" t="s">
        <v>36</v>
      </c>
      <c r="G150" s="1"/>
      <c r="H150" s="7">
        <v>92.956999999999994</v>
      </c>
      <c r="I150" s="6">
        <v>2499.88</v>
      </c>
      <c r="J150" s="5">
        <v>26.893000000000001</v>
      </c>
      <c r="K150" s="5">
        <f t="shared" si="2"/>
        <v>26.893000000000001</v>
      </c>
      <c r="L15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50" s="1" t="s">
        <v>141</v>
      </c>
    </row>
    <row r="151" spans="1:13" x14ac:dyDescent="0.3">
      <c r="A151" s="13">
        <v>44985</v>
      </c>
      <c r="B151" s="1" t="s">
        <v>595</v>
      </c>
      <c r="C151" s="14" t="s">
        <v>255</v>
      </c>
      <c r="D151" s="1" t="s">
        <v>448</v>
      </c>
      <c r="E151" s="1" t="s">
        <v>111</v>
      </c>
      <c r="F151" s="1" t="s">
        <v>24</v>
      </c>
      <c r="G151" s="1"/>
      <c r="H151" s="7">
        <v>50.44</v>
      </c>
      <c r="I151" s="6">
        <v>2499.88</v>
      </c>
      <c r="J151" s="5">
        <v>49.561</v>
      </c>
      <c r="K151" s="5">
        <f t="shared" si="2"/>
        <v>49.561</v>
      </c>
      <c r="L15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51" s="1" t="s">
        <v>141</v>
      </c>
    </row>
    <row r="152" spans="1:13" x14ac:dyDescent="0.3">
      <c r="A152" s="13">
        <v>44985</v>
      </c>
      <c r="B152" s="1" t="s">
        <v>596</v>
      </c>
      <c r="C152" s="14" t="s">
        <v>255</v>
      </c>
      <c r="D152" s="1" t="s">
        <v>444</v>
      </c>
      <c r="E152" s="1" t="s">
        <v>121</v>
      </c>
      <c r="F152" s="1" t="s">
        <v>43</v>
      </c>
      <c r="G152" s="1"/>
      <c r="H152" s="7">
        <v>109.8219</v>
      </c>
      <c r="I152" s="6">
        <v>2499.88</v>
      </c>
      <c r="J152" s="5">
        <v>22.763000000000002</v>
      </c>
      <c r="K152" s="5">
        <f t="shared" si="2"/>
        <v>22.763000000000002</v>
      </c>
      <c r="L15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52" s="1" t="s">
        <v>141</v>
      </c>
    </row>
    <row r="153" spans="1:13" ht="27.6" x14ac:dyDescent="0.3">
      <c r="A153" s="13">
        <v>44951</v>
      </c>
      <c r="B153" s="1" t="s">
        <v>597</v>
      </c>
      <c r="C153" s="14" t="s">
        <v>255</v>
      </c>
      <c r="D153" s="1" t="s">
        <v>446</v>
      </c>
      <c r="E153" s="1" t="s">
        <v>106</v>
      </c>
      <c r="F153" s="1" t="s">
        <v>17</v>
      </c>
      <c r="G153" s="1"/>
      <c r="H153" s="7">
        <v>157.97999999999999</v>
      </c>
      <c r="I153" s="6">
        <v>2499.88</v>
      </c>
      <c r="J153" s="5">
        <v>15.824</v>
      </c>
      <c r="K153" s="5">
        <f t="shared" si="2"/>
        <v>15.824</v>
      </c>
      <c r="L15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53" s="1" t="s">
        <v>141</v>
      </c>
    </row>
    <row r="154" spans="1:13" ht="27.6" x14ac:dyDescent="0.3">
      <c r="A154" s="13">
        <v>44951</v>
      </c>
      <c r="B154" s="1" t="s">
        <v>598</v>
      </c>
      <c r="C154" s="14" t="s">
        <v>255</v>
      </c>
      <c r="D154" s="1" t="s">
        <v>256</v>
      </c>
      <c r="E154" s="1" t="s">
        <v>116</v>
      </c>
      <c r="F154" s="1" t="s">
        <v>36</v>
      </c>
      <c r="G154" s="1"/>
      <c r="H154" s="7">
        <v>95.016999999999996</v>
      </c>
      <c r="I154" s="6">
        <v>2499.88</v>
      </c>
      <c r="J154" s="5">
        <v>26.31</v>
      </c>
      <c r="K154" s="5">
        <f t="shared" si="2"/>
        <v>26.31</v>
      </c>
      <c r="L15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54" s="1" t="s">
        <v>141</v>
      </c>
    </row>
    <row r="155" spans="1:13" x14ac:dyDescent="0.3">
      <c r="A155" s="13">
        <v>44951</v>
      </c>
      <c r="B155" s="1" t="s">
        <v>599</v>
      </c>
      <c r="C155" s="14" t="s">
        <v>255</v>
      </c>
      <c r="D155" s="1" t="s">
        <v>444</v>
      </c>
      <c r="E155" s="1" t="s">
        <v>121</v>
      </c>
      <c r="F155" s="1" t="s">
        <v>43</v>
      </c>
      <c r="G155" s="1"/>
      <c r="H155" s="7">
        <v>110.7268</v>
      </c>
      <c r="I155" s="6">
        <v>2499.88</v>
      </c>
      <c r="J155" s="5">
        <v>22.577000000000002</v>
      </c>
      <c r="K155" s="5">
        <f t="shared" si="2"/>
        <v>22.577000000000002</v>
      </c>
      <c r="L15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55" s="1" t="s">
        <v>141</v>
      </c>
    </row>
    <row r="156" spans="1:13" x14ac:dyDescent="0.3">
      <c r="A156" s="13">
        <v>44951</v>
      </c>
      <c r="B156" s="1" t="s">
        <v>600</v>
      </c>
      <c r="C156" s="14" t="s">
        <v>255</v>
      </c>
      <c r="D156" s="1" t="s">
        <v>448</v>
      </c>
      <c r="E156" s="1" t="s">
        <v>111</v>
      </c>
      <c r="F156" s="1" t="s">
        <v>24</v>
      </c>
      <c r="G156" s="1"/>
      <c r="H156" s="7">
        <v>51.79</v>
      </c>
      <c r="I156" s="6">
        <v>2499.88</v>
      </c>
      <c r="J156" s="5">
        <v>48.27</v>
      </c>
      <c r="K156" s="5">
        <f t="shared" si="2"/>
        <v>48.27</v>
      </c>
      <c r="L15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56" s="1" t="s">
        <v>141</v>
      </c>
    </row>
    <row r="157" spans="1:13" ht="27.6" x14ac:dyDescent="0.3">
      <c r="A157" s="13">
        <v>44922</v>
      </c>
      <c r="B157" s="1" t="s">
        <v>601</v>
      </c>
      <c r="C157" s="14" t="s">
        <v>255</v>
      </c>
      <c r="D157" s="1" t="s">
        <v>256</v>
      </c>
      <c r="E157" s="1" t="s">
        <v>116</v>
      </c>
      <c r="F157" s="1" t="s">
        <v>36</v>
      </c>
      <c r="G157" s="1"/>
      <c r="H157" s="7">
        <v>96.596999999999994</v>
      </c>
      <c r="I157" s="6">
        <v>2499.88</v>
      </c>
      <c r="J157" s="5">
        <v>25.879000000000001</v>
      </c>
      <c r="K157" s="5">
        <f t="shared" si="2"/>
        <v>25.879000000000001</v>
      </c>
      <c r="L15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57" s="1" t="s">
        <v>141</v>
      </c>
    </row>
    <row r="158" spans="1:13" x14ac:dyDescent="0.3">
      <c r="A158" s="13">
        <v>44922</v>
      </c>
      <c r="B158" s="1" t="s">
        <v>602</v>
      </c>
      <c r="C158" s="14" t="s">
        <v>255</v>
      </c>
      <c r="D158" s="1" t="s">
        <v>444</v>
      </c>
      <c r="E158" s="1" t="s">
        <v>121</v>
      </c>
      <c r="F158" s="1" t="s">
        <v>43</v>
      </c>
      <c r="G158" s="1"/>
      <c r="H158" s="7">
        <v>113.1255</v>
      </c>
      <c r="I158" s="6">
        <v>2499.88</v>
      </c>
      <c r="J158" s="5">
        <v>22.097999999999999</v>
      </c>
      <c r="K158" s="5">
        <f t="shared" si="2"/>
        <v>22.097999999999999</v>
      </c>
      <c r="L15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58" s="1" t="s">
        <v>141</v>
      </c>
    </row>
    <row r="159" spans="1:13" x14ac:dyDescent="0.3">
      <c r="A159" s="13">
        <v>44922</v>
      </c>
      <c r="B159" s="1" t="s">
        <v>603</v>
      </c>
      <c r="C159" s="14" t="s">
        <v>255</v>
      </c>
      <c r="D159" s="1" t="s">
        <v>448</v>
      </c>
      <c r="E159" s="1" t="s">
        <v>111</v>
      </c>
      <c r="F159" s="1" t="s">
        <v>24</v>
      </c>
      <c r="G159" s="1"/>
      <c r="H159" s="7">
        <v>52.29</v>
      </c>
      <c r="I159" s="6">
        <v>2499.88</v>
      </c>
      <c r="J159" s="5">
        <v>47.808</v>
      </c>
      <c r="K159" s="5">
        <f t="shared" si="2"/>
        <v>47.808</v>
      </c>
      <c r="L15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59" s="1" t="s">
        <v>141</v>
      </c>
    </row>
    <row r="160" spans="1:13" ht="27.6" x14ac:dyDescent="0.3">
      <c r="A160" s="13">
        <v>44922</v>
      </c>
      <c r="B160" s="1" t="s">
        <v>604</v>
      </c>
      <c r="C160" s="14" t="s">
        <v>255</v>
      </c>
      <c r="D160" s="1" t="s">
        <v>446</v>
      </c>
      <c r="E160" s="1" t="s">
        <v>106</v>
      </c>
      <c r="F160" s="1" t="s">
        <v>17</v>
      </c>
      <c r="G160" s="1"/>
      <c r="H160" s="7">
        <v>162.16</v>
      </c>
      <c r="I160" s="6">
        <v>2499.88</v>
      </c>
      <c r="J160" s="5">
        <v>15.416</v>
      </c>
      <c r="K160" s="5">
        <f t="shared" si="2"/>
        <v>15.416</v>
      </c>
      <c r="L16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60" s="1" t="s">
        <v>141</v>
      </c>
    </row>
    <row r="161" spans="1:13" ht="27.6" x14ac:dyDescent="0.3">
      <c r="A161" s="13">
        <v>44890</v>
      </c>
      <c r="B161" s="1" t="s">
        <v>605</v>
      </c>
      <c r="C161" s="14" t="s">
        <v>255</v>
      </c>
      <c r="D161" s="1" t="s">
        <v>256</v>
      </c>
      <c r="E161" s="1" t="s">
        <v>116</v>
      </c>
      <c r="F161" s="1" t="s">
        <v>36</v>
      </c>
      <c r="G161" s="1"/>
      <c r="H161" s="7">
        <v>98.507000000000005</v>
      </c>
      <c r="I161" s="6">
        <v>2499.88</v>
      </c>
      <c r="J161" s="5">
        <v>25.378</v>
      </c>
      <c r="K161" s="5">
        <f t="shared" si="2"/>
        <v>25.378</v>
      </c>
      <c r="L16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61" s="1" t="s">
        <v>141</v>
      </c>
    </row>
    <row r="162" spans="1:13" x14ac:dyDescent="0.3">
      <c r="A162" s="13">
        <v>44890</v>
      </c>
      <c r="B162" s="1" t="s">
        <v>606</v>
      </c>
      <c r="C162" s="14" t="s">
        <v>255</v>
      </c>
      <c r="D162" s="1" t="s">
        <v>448</v>
      </c>
      <c r="E162" s="1" t="s">
        <v>111</v>
      </c>
      <c r="F162" s="1" t="s">
        <v>24</v>
      </c>
      <c r="G162" s="1"/>
      <c r="H162" s="7">
        <v>53.1</v>
      </c>
      <c r="I162" s="6">
        <v>2499.88</v>
      </c>
      <c r="J162" s="5">
        <v>47.079000000000001</v>
      </c>
      <c r="K162" s="5">
        <f t="shared" si="2"/>
        <v>47.079000000000001</v>
      </c>
      <c r="L16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62" s="1" t="s">
        <v>141</v>
      </c>
    </row>
    <row r="163" spans="1:13" ht="27.6" x14ac:dyDescent="0.3">
      <c r="A163" s="13">
        <v>44890</v>
      </c>
      <c r="B163" s="1" t="s">
        <v>607</v>
      </c>
      <c r="C163" s="14" t="s">
        <v>255</v>
      </c>
      <c r="D163" s="1" t="s">
        <v>446</v>
      </c>
      <c r="E163" s="1" t="s">
        <v>106</v>
      </c>
      <c r="F163" s="1" t="s">
        <v>17</v>
      </c>
      <c r="G163" s="1"/>
      <c r="H163" s="7">
        <v>165.86</v>
      </c>
      <c r="I163" s="6">
        <v>2499.88</v>
      </c>
      <c r="J163" s="5">
        <v>15.071999999999999</v>
      </c>
      <c r="K163" s="5">
        <f t="shared" si="2"/>
        <v>15.071999999999999</v>
      </c>
      <c r="L16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63" s="1" t="s">
        <v>141</v>
      </c>
    </row>
    <row r="164" spans="1:13" x14ac:dyDescent="0.3">
      <c r="A164" s="13">
        <v>44890</v>
      </c>
      <c r="B164" s="1" t="s">
        <v>608</v>
      </c>
      <c r="C164" s="14" t="s">
        <v>255</v>
      </c>
      <c r="D164" s="1" t="s">
        <v>444</v>
      </c>
      <c r="E164" s="1" t="s">
        <v>121</v>
      </c>
      <c r="F164" s="1" t="s">
        <v>43</v>
      </c>
      <c r="G164" s="1"/>
      <c r="H164" s="7">
        <v>115.2414</v>
      </c>
      <c r="I164" s="6">
        <v>2499.88</v>
      </c>
      <c r="J164" s="5">
        <v>21.693000000000001</v>
      </c>
      <c r="K164" s="5">
        <f t="shared" si="2"/>
        <v>21.693000000000001</v>
      </c>
      <c r="L16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64" s="1" t="s">
        <v>141</v>
      </c>
    </row>
    <row r="165" spans="1:13" x14ac:dyDescent="0.3">
      <c r="A165" s="13">
        <v>44859</v>
      </c>
      <c r="B165" s="1" t="s">
        <v>609</v>
      </c>
      <c r="C165" s="14" t="s">
        <v>255</v>
      </c>
      <c r="D165" s="1" t="s">
        <v>448</v>
      </c>
      <c r="E165" s="1" t="s">
        <v>111</v>
      </c>
      <c r="F165" s="1" t="s">
        <v>24</v>
      </c>
      <c r="G165" s="1"/>
      <c r="H165" s="7">
        <v>51.33</v>
      </c>
      <c r="I165" s="6">
        <v>2499.88</v>
      </c>
      <c r="J165" s="5">
        <v>48.701999999999998</v>
      </c>
      <c r="K165" s="5">
        <f t="shared" si="2"/>
        <v>48.701999999999998</v>
      </c>
      <c r="L16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65" s="1" t="s">
        <v>141</v>
      </c>
    </row>
    <row r="166" spans="1:13" x14ac:dyDescent="0.3">
      <c r="A166" s="13">
        <v>44859</v>
      </c>
      <c r="B166" s="1" t="s">
        <v>610</v>
      </c>
      <c r="C166" s="14" t="s">
        <v>255</v>
      </c>
      <c r="D166" s="1" t="s">
        <v>444</v>
      </c>
      <c r="E166" s="1" t="s">
        <v>121</v>
      </c>
      <c r="F166" s="1" t="s">
        <v>43</v>
      </c>
      <c r="G166" s="1"/>
      <c r="H166" s="7">
        <v>114.9727</v>
      </c>
      <c r="I166" s="6">
        <v>2499.88</v>
      </c>
      <c r="J166" s="5">
        <v>21.742999999999999</v>
      </c>
      <c r="K166" s="5">
        <f t="shared" si="2"/>
        <v>21.742999999999999</v>
      </c>
      <c r="L16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66" s="1" t="s">
        <v>141</v>
      </c>
    </row>
    <row r="167" spans="1:13" ht="27.6" x14ac:dyDescent="0.3">
      <c r="A167" s="13">
        <v>44859</v>
      </c>
      <c r="B167" s="1" t="s">
        <v>611</v>
      </c>
      <c r="C167" s="14" t="s">
        <v>255</v>
      </c>
      <c r="D167" s="1" t="s">
        <v>446</v>
      </c>
      <c r="E167" s="1" t="s">
        <v>106</v>
      </c>
      <c r="F167" s="1" t="s">
        <v>17</v>
      </c>
      <c r="G167" s="1"/>
      <c r="H167" s="7">
        <v>163.69999999999999</v>
      </c>
      <c r="I167" s="6">
        <v>2499.88</v>
      </c>
      <c r="J167" s="5">
        <v>15.271000000000001</v>
      </c>
      <c r="K167" s="5">
        <f t="shared" si="2"/>
        <v>15.271000000000001</v>
      </c>
      <c r="L16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67" s="1" t="s">
        <v>141</v>
      </c>
    </row>
    <row r="168" spans="1:13" ht="27.6" x14ac:dyDescent="0.3">
      <c r="A168" s="13">
        <v>44859</v>
      </c>
      <c r="B168" s="1" t="s">
        <v>612</v>
      </c>
      <c r="C168" s="14" t="s">
        <v>255</v>
      </c>
      <c r="D168" s="1" t="s">
        <v>256</v>
      </c>
      <c r="E168" s="1" t="s">
        <v>116</v>
      </c>
      <c r="F168" s="1" t="s">
        <v>36</v>
      </c>
      <c r="G168" s="1"/>
      <c r="H168" s="7">
        <v>95.552999999999997</v>
      </c>
      <c r="I168" s="6">
        <v>2499.88</v>
      </c>
      <c r="J168" s="5">
        <v>26.161999999999999</v>
      </c>
      <c r="K168" s="5">
        <f t="shared" si="2"/>
        <v>26.161999999999999</v>
      </c>
      <c r="L16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68" s="1" t="s">
        <v>141</v>
      </c>
    </row>
    <row r="169" spans="1:13" x14ac:dyDescent="0.3">
      <c r="A169" s="13">
        <v>44844</v>
      </c>
      <c r="B169" s="1" t="s">
        <v>613</v>
      </c>
      <c r="C169" s="14" t="s">
        <v>255</v>
      </c>
      <c r="D169" s="1" t="s">
        <v>448</v>
      </c>
      <c r="E169" s="1" t="s">
        <v>112</v>
      </c>
      <c r="F169" s="1" t="s">
        <v>25</v>
      </c>
      <c r="G169" s="1"/>
      <c r="H169" s="7">
        <v>260.83</v>
      </c>
      <c r="I169" s="6">
        <v>4999.75</v>
      </c>
      <c r="J169" s="5">
        <v>19.169</v>
      </c>
      <c r="K169" s="5">
        <f t="shared" si="2"/>
        <v>19.169</v>
      </c>
      <c r="L16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169" s="1" t="s">
        <v>141</v>
      </c>
    </row>
    <row r="170" spans="1:13" ht="27.6" x14ac:dyDescent="0.3">
      <c r="A170" s="13">
        <v>44844</v>
      </c>
      <c r="B170" s="1" t="s">
        <v>614</v>
      </c>
      <c r="C170" s="14" t="s">
        <v>255</v>
      </c>
      <c r="D170" s="1" t="s">
        <v>446</v>
      </c>
      <c r="E170" s="1" t="s">
        <v>106</v>
      </c>
      <c r="F170" s="1" t="s">
        <v>17</v>
      </c>
      <c r="G170" s="1"/>
      <c r="H170" s="7">
        <v>161.97999999999999</v>
      </c>
      <c r="I170" s="6">
        <v>4999.75</v>
      </c>
      <c r="J170" s="5">
        <v>30.866</v>
      </c>
      <c r="K170" s="5">
        <f t="shared" si="2"/>
        <v>30.866</v>
      </c>
      <c r="L17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170" s="1" t="s">
        <v>141</v>
      </c>
    </row>
    <row r="171" spans="1:13" x14ac:dyDescent="0.3">
      <c r="A171" s="13">
        <v>44844</v>
      </c>
      <c r="B171" s="1" t="s">
        <v>615</v>
      </c>
      <c r="C171" s="14" t="s">
        <v>255</v>
      </c>
      <c r="D171" s="1" t="s">
        <v>258</v>
      </c>
      <c r="E171" s="1" t="s">
        <v>16</v>
      </c>
      <c r="F171" s="1" t="s">
        <v>16</v>
      </c>
      <c r="G171" s="1"/>
      <c r="H171" s="7">
        <v>72.114900000000006</v>
      </c>
      <c r="I171" s="6">
        <v>4999.75</v>
      </c>
      <c r="J171" s="5">
        <v>69.33</v>
      </c>
      <c r="K171" s="5">
        <f t="shared" si="2"/>
        <v>69.33</v>
      </c>
      <c r="L17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171" s="1" t="s">
        <v>141</v>
      </c>
    </row>
    <row r="172" spans="1:13" x14ac:dyDescent="0.3">
      <c r="A172" s="13">
        <v>44844</v>
      </c>
      <c r="B172" s="1" t="s">
        <v>616</v>
      </c>
      <c r="C172" s="14" t="s">
        <v>255</v>
      </c>
      <c r="D172" s="1" t="s">
        <v>260</v>
      </c>
      <c r="E172" s="1" t="s">
        <v>35</v>
      </c>
      <c r="F172" s="1" t="s">
        <v>35</v>
      </c>
      <c r="G172" s="1"/>
      <c r="H172" s="7">
        <v>17.638000000000002</v>
      </c>
      <c r="I172" s="6">
        <v>4999.75</v>
      </c>
      <c r="J172" s="5">
        <v>283.46499999999997</v>
      </c>
      <c r="K172" s="5">
        <f t="shared" si="2"/>
        <v>283.46499999999997</v>
      </c>
      <c r="L17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172" s="1" t="s">
        <v>141</v>
      </c>
    </row>
    <row r="173" spans="1:13" ht="27.6" x14ac:dyDescent="0.3">
      <c r="A173" s="13">
        <v>44830</v>
      </c>
      <c r="B173" s="1" t="s">
        <v>617</v>
      </c>
      <c r="C173" s="14" t="s">
        <v>255</v>
      </c>
      <c r="D173" s="1" t="s">
        <v>256</v>
      </c>
      <c r="E173" s="1" t="s">
        <v>116</v>
      </c>
      <c r="F173" s="1" t="s">
        <v>36</v>
      </c>
      <c r="G173" s="1"/>
      <c r="H173" s="7">
        <v>92.838999999999999</v>
      </c>
      <c r="I173" s="6">
        <v>2499.88</v>
      </c>
      <c r="J173" s="5">
        <v>26.927</v>
      </c>
      <c r="K173" s="5">
        <f t="shared" si="2"/>
        <v>26.927</v>
      </c>
      <c r="L17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73" s="1" t="s">
        <v>141</v>
      </c>
    </row>
    <row r="174" spans="1:13" x14ac:dyDescent="0.3">
      <c r="A174" s="13">
        <v>44830</v>
      </c>
      <c r="B174" s="1" t="s">
        <v>618</v>
      </c>
      <c r="C174" s="14" t="s">
        <v>255</v>
      </c>
      <c r="D174" s="1" t="s">
        <v>444</v>
      </c>
      <c r="E174" s="1" t="s">
        <v>121</v>
      </c>
      <c r="F174" s="1" t="s">
        <v>43</v>
      </c>
      <c r="G174" s="1"/>
      <c r="H174" s="7">
        <v>111.205</v>
      </c>
      <c r="I174" s="6">
        <v>2499.88</v>
      </c>
      <c r="J174" s="5">
        <v>22.48</v>
      </c>
      <c r="K174" s="5">
        <f t="shared" si="2"/>
        <v>22.48</v>
      </c>
      <c r="L17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74" s="1" t="s">
        <v>141</v>
      </c>
    </row>
    <row r="175" spans="1:13" ht="27.6" x14ac:dyDescent="0.3">
      <c r="A175" s="13">
        <v>44798</v>
      </c>
      <c r="B175" s="1" t="s">
        <v>619</v>
      </c>
      <c r="C175" s="14" t="s">
        <v>255</v>
      </c>
      <c r="D175" s="1" t="s">
        <v>256</v>
      </c>
      <c r="E175" s="1" t="s">
        <v>116</v>
      </c>
      <c r="F175" s="1" t="s">
        <v>36</v>
      </c>
      <c r="G175" s="1"/>
      <c r="H175" s="7">
        <v>95.998000000000005</v>
      </c>
      <c r="I175" s="6">
        <v>2499.88</v>
      </c>
      <c r="J175" s="5">
        <v>26.041</v>
      </c>
      <c r="K175" s="5">
        <f t="shared" si="2"/>
        <v>26.041</v>
      </c>
      <c r="L17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75" s="1" t="s">
        <v>141</v>
      </c>
    </row>
    <row r="176" spans="1:13" x14ac:dyDescent="0.3">
      <c r="A176" s="13">
        <v>44798</v>
      </c>
      <c r="B176" s="1" t="s">
        <v>620</v>
      </c>
      <c r="C176" s="14" t="s">
        <v>255</v>
      </c>
      <c r="D176" s="1" t="s">
        <v>448</v>
      </c>
      <c r="E176" s="1" t="s">
        <v>111</v>
      </c>
      <c r="F176" s="1" t="s">
        <v>24</v>
      </c>
      <c r="G176" s="1"/>
      <c r="H176" s="7">
        <v>50.33</v>
      </c>
      <c r="I176" s="6">
        <v>2499.88</v>
      </c>
      <c r="J176" s="5">
        <v>49.67</v>
      </c>
      <c r="K176" s="5">
        <f t="shared" si="2"/>
        <v>49.67</v>
      </c>
      <c r="L17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76" s="1" t="s">
        <v>141</v>
      </c>
    </row>
    <row r="177" spans="1:13" x14ac:dyDescent="0.3">
      <c r="A177" s="13">
        <v>44798</v>
      </c>
      <c r="B177" s="1" t="s">
        <v>621</v>
      </c>
      <c r="C177" s="14" t="s">
        <v>255</v>
      </c>
      <c r="D177" s="1" t="s">
        <v>444</v>
      </c>
      <c r="E177" s="1" t="s">
        <v>121</v>
      </c>
      <c r="F177" s="1" t="s">
        <v>43</v>
      </c>
      <c r="G177" s="1"/>
      <c r="H177" s="7">
        <v>110.7734</v>
      </c>
      <c r="I177" s="6">
        <v>2499.88</v>
      </c>
      <c r="J177" s="5">
        <v>22.568000000000001</v>
      </c>
      <c r="K177" s="5">
        <f t="shared" si="2"/>
        <v>22.568000000000001</v>
      </c>
      <c r="L17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77" s="1" t="s">
        <v>141</v>
      </c>
    </row>
    <row r="178" spans="1:13" ht="27.6" x14ac:dyDescent="0.3">
      <c r="A178" s="13">
        <v>44798</v>
      </c>
      <c r="B178" s="1" t="s">
        <v>622</v>
      </c>
      <c r="C178" s="14" t="s">
        <v>255</v>
      </c>
      <c r="D178" s="1" t="s">
        <v>446</v>
      </c>
      <c r="E178" s="1" t="s">
        <v>106</v>
      </c>
      <c r="F178" s="1" t="s">
        <v>17</v>
      </c>
      <c r="G178" s="1"/>
      <c r="H178" s="7">
        <v>161.97</v>
      </c>
      <c r="I178" s="6">
        <v>2499.88</v>
      </c>
      <c r="J178" s="5">
        <v>15.433999999999999</v>
      </c>
      <c r="K178" s="5">
        <f t="shared" si="2"/>
        <v>15.433999999999999</v>
      </c>
      <c r="L17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78" s="1" t="s">
        <v>141</v>
      </c>
    </row>
    <row r="179" spans="1:13" ht="27.6" x14ac:dyDescent="0.3">
      <c r="A179" s="13">
        <v>44767</v>
      </c>
      <c r="B179" s="1" t="s">
        <v>623</v>
      </c>
      <c r="C179" s="14" t="s">
        <v>255</v>
      </c>
      <c r="D179" s="1" t="s">
        <v>256</v>
      </c>
      <c r="E179" s="1" t="s">
        <v>116</v>
      </c>
      <c r="F179" s="1" t="s">
        <v>36</v>
      </c>
      <c r="G179" s="1"/>
      <c r="H179" s="7">
        <v>92.283000000000001</v>
      </c>
      <c r="I179" s="6">
        <v>2499.88</v>
      </c>
      <c r="J179" s="5">
        <v>27.088999999999999</v>
      </c>
      <c r="K179" s="5">
        <f t="shared" si="2"/>
        <v>27.088999999999999</v>
      </c>
      <c r="L17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79" s="1" t="s">
        <v>141</v>
      </c>
    </row>
    <row r="180" spans="1:13" ht="27.6" x14ac:dyDescent="0.3">
      <c r="A180" s="13">
        <v>44767</v>
      </c>
      <c r="B180" s="1" t="s">
        <v>624</v>
      </c>
      <c r="C180" s="14" t="s">
        <v>255</v>
      </c>
      <c r="D180" s="1" t="s">
        <v>446</v>
      </c>
      <c r="E180" s="1" t="s">
        <v>106</v>
      </c>
      <c r="F180" s="1" t="s">
        <v>17</v>
      </c>
      <c r="G180" s="1"/>
      <c r="H180" s="7">
        <v>154.5</v>
      </c>
      <c r="I180" s="6">
        <v>2499.88</v>
      </c>
      <c r="J180" s="5">
        <v>16.18</v>
      </c>
      <c r="K180" s="5">
        <f t="shared" si="2"/>
        <v>16.18</v>
      </c>
      <c r="L18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80" s="1" t="s">
        <v>141</v>
      </c>
    </row>
    <row r="181" spans="1:13" x14ac:dyDescent="0.3">
      <c r="A181" s="13">
        <v>44767</v>
      </c>
      <c r="B181" s="1" t="s">
        <v>625</v>
      </c>
      <c r="C181" s="14" t="s">
        <v>255</v>
      </c>
      <c r="D181" s="1" t="s">
        <v>444</v>
      </c>
      <c r="E181" s="1" t="s">
        <v>121</v>
      </c>
      <c r="F181" s="1" t="s">
        <v>43</v>
      </c>
      <c r="G181" s="1"/>
      <c r="H181" s="7">
        <v>102.8399</v>
      </c>
      <c r="I181" s="6">
        <v>2499.88</v>
      </c>
      <c r="J181" s="5">
        <v>24.308</v>
      </c>
      <c r="K181" s="5">
        <f t="shared" si="2"/>
        <v>24.308</v>
      </c>
      <c r="L18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81" s="1" t="s">
        <v>141</v>
      </c>
    </row>
    <row r="182" spans="1:13" x14ac:dyDescent="0.3">
      <c r="A182" s="13">
        <v>44767</v>
      </c>
      <c r="B182" s="1" t="s">
        <v>626</v>
      </c>
      <c r="C182" s="14" t="s">
        <v>255</v>
      </c>
      <c r="D182" s="1" t="s">
        <v>448</v>
      </c>
      <c r="E182" s="1" t="s">
        <v>111</v>
      </c>
      <c r="F182" s="1" t="s">
        <v>24</v>
      </c>
      <c r="G182" s="1"/>
      <c r="H182" s="7">
        <v>47.88</v>
      </c>
      <c r="I182" s="6">
        <v>2499.88</v>
      </c>
      <c r="J182" s="5">
        <v>52.210999999999999</v>
      </c>
      <c r="K182" s="5">
        <f t="shared" si="2"/>
        <v>52.210999999999999</v>
      </c>
      <c r="L18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82" s="1" t="s">
        <v>141</v>
      </c>
    </row>
    <row r="183" spans="1:13" ht="27.6" x14ac:dyDescent="0.3">
      <c r="A183" s="13">
        <v>44739</v>
      </c>
      <c r="B183" s="1" t="s">
        <v>627</v>
      </c>
      <c r="C183" s="14" t="s">
        <v>255</v>
      </c>
      <c r="D183" s="1" t="s">
        <v>256</v>
      </c>
      <c r="E183" s="1" t="s">
        <v>116</v>
      </c>
      <c r="F183" s="1" t="s">
        <v>36</v>
      </c>
      <c r="G183" s="1"/>
      <c r="H183" s="7">
        <v>86.713999999999999</v>
      </c>
      <c r="I183" s="6">
        <v>2499.88</v>
      </c>
      <c r="J183" s="5">
        <v>28.829000000000001</v>
      </c>
      <c r="K183" s="5">
        <f t="shared" si="2"/>
        <v>28.829000000000001</v>
      </c>
      <c r="L18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83" s="1" t="s">
        <v>141</v>
      </c>
    </row>
    <row r="184" spans="1:13" ht="27.6" x14ac:dyDescent="0.3">
      <c r="A184" s="13">
        <v>44739</v>
      </c>
      <c r="B184" s="1" t="s">
        <v>628</v>
      </c>
      <c r="C184" s="14" t="s">
        <v>255</v>
      </c>
      <c r="D184" s="1" t="s">
        <v>446</v>
      </c>
      <c r="E184" s="1" t="s">
        <v>106</v>
      </c>
      <c r="F184" s="1" t="s">
        <v>17</v>
      </c>
      <c r="G184" s="1"/>
      <c r="H184" s="7">
        <v>144.97999999999999</v>
      </c>
      <c r="I184" s="6">
        <v>2499.88</v>
      </c>
      <c r="J184" s="5">
        <v>17.242999999999999</v>
      </c>
      <c r="K184" s="5">
        <f t="shared" si="2"/>
        <v>17.242999999999999</v>
      </c>
      <c r="L18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84" s="1" t="s">
        <v>141</v>
      </c>
    </row>
    <row r="185" spans="1:13" x14ac:dyDescent="0.3">
      <c r="A185" s="13">
        <v>44739</v>
      </c>
      <c r="B185" s="1" t="s">
        <v>629</v>
      </c>
      <c r="C185" s="14" t="s">
        <v>255</v>
      </c>
      <c r="D185" s="1" t="s">
        <v>444</v>
      </c>
      <c r="E185" s="1" t="s">
        <v>121</v>
      </c>
      <c r="F185" s="1" t="s">
        <v>43</v>
      </c>
      <c r="G185" s="1"/>
      <c r="H185" s="7">
        <v>96.993600000000001</v>
      </c>
      <c r="I185" s="6">
        <v>2499.88</v>
      </c>
      <c r="J185" s="5">
        <v>25.774000000000001</v>
      </c>
      <c r="K185" s="5">
        <f t="shared" si="2"/>
        <v>25.774000000000001</v>
      </c>
      <c r="L18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85" s="1" t="s">
        <v>141</v>
      </c>
    </row>
    <row r="186" spans="1:13" ht="27.6" x14ac:dyDescent="0.3">
      <c r="A186" s="13">
        <v>44706</v>
      </c>
      <c r="B186" s="1" t="s">
        <v>630</v>
      </c>
      <c r="C186" s="14" t="s">
        <v>255</v>
      </c>
      <c r="D186" s="1" t="s">
        <v>256</v>
      </c>
      <c r="E186" s="1" t="s">
        <v>116</v>
      </c>
      <c r="F186" s="1" t="s">
        <v>36</v>
      </c>
      <c r="G186" s="1"/>
      <c r="H186" s="7">
        <v>87.256</v>
      </c>
      <c r="I186" s="6">
        <v>2499.88</v>
      </c>
      <c r="J186" s="5">
        <v>28.65</v>
      </c>
      <c r="K186" s="5">
        <f t="shared" si="2"/>
        <v>28.65</v>
      </c>
      <c r="L18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86" s="1" t="s">
        <v>141</v>
      </c>
    </row>
    <row r="187" spans="1:13" ht="27.6" x14ac:dyDescent="0.3">
      <c r="A187" s="13">
        <v>44706</v>
      </c>
      <c r="B187" s="1" t="s">
        <v>631</v>
      </c>
      <c r="C187" s="14" t="s">
        <v>255</v>
      </c>
      <c r="D187" s="1" t="s">
        <v>446</v>
      </c>
      <c r="E187" s="1" t="s">
        <v>106</v>
      </c>
      <c r="F187" s="1" t="s">
        <v>17</v>
      </c>
      <c r="G187" s="1"/>
      <c r="H187" s="7">
        <v>144.68</v>
      </c>
      <c r="I187" s="6">
        <v>2499.88</v>
      </c>
      <c r="J187" s="5">
        <v>17.279</v>
      </c>
      <c r="K187" s="5">
        <f t="shared" si="2"/>
        <v>17.279</v>
      </c>
      <c r="L18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87" s="1" t="s">
        <v>141</v>
      </c>
    </row>
    <row r="188" spans="1:13" x14ac:dyDescent="0.3">
      <c r="A188" s="13">
        <v>44706</v>
      </c>
      <c r="B188" s="1" t="s">
        <v>632</v>
      </c>
      <c r="C188" s="14" t="s">
        <v>255</v>
      </c>
      <c r="D188" s="1" t="s">
        <v>444</v>
      </c>
      <c r="E188" s="1" t="s">
        <v>121</v>
      </c>
      <c r="F188" s="1" t="s">
        <v>43</v>
      </c>
      <c r="G188" s="1"/>
      <c r="H188" s="7">
        <v>97.725700000000003</v>
      </c>
      <c r="I188" s="6">
        <v>2499.88</v>
      </c>
      <c r="J188" s="5">
        <v>25.581</v>
      </c>
      <c r="K188" s="5">
        <f t="shared" si="2"/>
        <v>25.581</v>
      </c>
      <c r="L18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88" s="1" t="s">
        <v>141</v>
      </c>
    </row>
    <row r="189" spans="1:13" x14ac:dyDescent="0.3">
      <c r="A189" s="13">
        <v>44706</v>
      </c>
      <c r="B189" s="1" t="s">
        <v>633</v>
      </c>
      <c r="C189" s="14" t="s">
        <v>255</v>
      </c>
      <c r="D189" s="1" t="s">
        <v>448</v>
      </c>
      <c r="E189" s="1" t="s">
        <v>111</v>
      </c>
      <c r="F189" s="1" t="s">
        <v>24</v>
      </c>
      <c r="G189" s="1"/>
      <c r="H189" s="7">
        <v>45.16</v>
      </c>
      <c r="I189" s="6">
        <v>2499.88</v>
      </c>
      <c r="J189" s="5">
        <v>55.356000000000002</v>
      </c>
      <c r="K189" s="5">
        <f t="shared" si="2"/>
        <v>55.356000000000002</v>
      </c>
      <c r="L18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89" s="1" t="s">
        <v>141</v>
      </c>
    </row>
    <row r="190" spans="1:13" ht="27.6" x14ac:dyDescent="0.3">
      <c r="A190" s="13">
        <v>44691</v>
      </c>
      <c r="B190" s="1" t="s">
        <v>634</v>
      </c>
      <c r="C190" s="14" t="s">
        <v>255</v>
      </c>
      <c r="D190" s="1" t="s">
        <v>446</v>
      </c>
      <c r="E190" s="1" t="s">
        <v>106</v>
      </c>
      <c r="F190" s="1" t="s">
        <v>17</v>
      </c>
      <c r="G190" s="1"/>
      <c r="H190" s="7">
        <v>145.88999999999999</v>
      </c>
      <c r="I190" s="6">
        <v>4999.75</v>
      </c>
      <c r="J190" s="5">
        <v>34.271000000000001</v>
      </c>
      <c r="K190" s="5">
        <f t="shared" si="2"/>
        <v>34.271000000000001</v>
      </c>
      <c r="L19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190" s="1" t="s">
        <v>141</v>
      </c>
    </row>
    <row r="191" spans="1:13" x14ac:dyDescent="0.3">
      <c r="A191" s="13">
        <v>44691</v>
      </c>
      <c r="B191" s="1" t="s">
        <v>635</v>
      </c>
      <c r="C191" s="14" t="s">
        <v>255</v>
      </c>
      <c r="D191" s="1" t="s">
        <v>448</v>
      </c>
      <c r="E191" s="1" t="s">
        <v>112</v>
      </c>
      <c r="F191" s="1" t="s">
        <v>25</v>
      </c>
      <c r="G191" s="1"/>
      <c r="H191" s="7">
        <v>244.15</v>
      </c>
      <c r="I191" s="6">
        <v>4999.75</v>
      </c>
      <c r="J191" s="5">
        <v>20.478000000000002</v>
      </c>
      <c r="K191" s="5">
        <f t="shared" si="2"/>
        <v>20.478000000000002</v>
      </c>
      <c r="L19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191" s="1" t="s">
        <v>141</v>
      </c>
    </row>
    <row r="192" spans="1:13" x14ac:dyDescent="0.3">
      <c r="A192" s="13">
        <v>44691</v>
      </c>
      <c r="B192" s="1" t="s">
        <v>636</v>
      </c>
      <c r="C192" s="14" t="s">
        <v>255</v>
      </c>
      <c r="D192" s="1" t="s">
        <v>260</v>
      </c>
      <c r="E192" s="1" t="s">
        <v>35</v>
      </c>
      <c r="F192" s="1" t="s">
        <v>35</v>
      </c>
      <c r="G192" s="1"/>
      <c r="H192" s="7">
        <v>15.952</v>
      </c>
      <c r="I192" s="6">
        <v>4999.75</v>
      </c>
      <c r="J192" s="5">
        <v>313.42500000000001</v>
      </c>
      <c r="K192" s="5">
        <f t="shared" si="2"/>
        <v>313.42500000000001</v>
      </c>
      <c r="L19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192" s="1" t="s">
        <v>141</v>
      </c>
    </row>
    <row r="193" spans="1:13" x14ac:dyDescent="0.3">
      <c r="A193" s="13">
        <v>44691</v>
      </c>
      <c r="B193" s="1" t="s">
        <v>637</v>
      </c>
      <c r="C193" s="14" t="s">
        <v>255</v>
      </c>
      <c r="D193" s="1" t="s">
        <v>258</v>
      </c>
      <c r="E193" s="1" t="s">
        <v>16</v>
      </c>
      <c r="F193" s="1" t="s">
        <v>16</v>
      </c>
      <c r="G193" s="1"/>
      <c r="H193" s="7">
        <v>66.151799999999994</v>
      </c>
      <c r="I193" s="6">
        <v>4999.75</v>
      </c>
      <c r="J193" s="5">
        <v>75.58</v>
      </c>
      <c r="K193" s="5">
        <f t="shared" si="2"/>
        <v>75.58</v>
      </c>
      <c r="L19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193" s="1" t="s">
        <v>141</v>
      </c>
    </row>
    <row r="194" spans="1:13" x14ac:dyDescent="0.3">
      <c r="A194" s="13">
        <v>44676</v>
      </c>
      <c r="B194" s="1" t="s">
        <v>638</v>
      </c>
      <c r="C194" s="14" t="s">
        <v>255</v>
      </c>
      <c r="D194" s="1" t="s">
        <v>444</v>
      </c>
      <c r="E194" s="1" t="s">
        <v>121</v>
      </c>
      <c r="F194" s="1" t="s">
        <v>43</v>
      </c>
      <c r="G194" s="1"/>
      <c r="H194" s="7">
        <v>104.3584</v>
      </c>
      <c r="I194" s="6">
        <v>2499.88</v>
      </c>
      <c r="J194" s="5">
        <v>23.954999999999998</v>
      </c>
      <c r="K194" s="5">
        <f t="shared" si="2"/>
        <v>23.954999999999998</v>
      </c>
      <c r="L19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94" s="1" t="s">
        <v>141</v>
      </c>
    </row>
    <row r="195" spans="1:13" x14ac:dyDescent="0.3">
      <c r="A195" s="13">
        <v>44676</v>
      </c>
      <c r="B195" s="1" t="s">
        <v>639</v>
      </c>
      <c r="C195" s="14" t="s">
        <v>255</v>
      </c>
      <c r="D195" s="1" t="s">
        <v>448</v>
      </c>
      <c r="E195" s="1" t="s">
        <v>111</v>
      </c>
      <c r="F195" s="1" t="s">
        <v>24</v>
      </c>
      <c r="G195" s="1"/>
      <c r="H195" s="7">
        <v>47.56</v>
      </c>
      <c r="I195" s="6">
        <v>2499.88</v>
      </c>
      <c r="J195" s="5">
        <v>52.563000000000002</v>
      </c>
      <c r="K195" s="5">
        <f t="shared" si="2"/>
        <v>52.563000000000002</v>
      </c>
      <c r="L19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95" s="1" t="s">
        <v>141</v>
      </c>
    </row>
    <row r="196" spans="1:13" ht="27.6" x14ac:dyDescent="0.3">
      <c r="A196" s="13">
        <v>44676</v>
      </c>
      <c r="B196" s="1" t="s">
        <v>640</v>
      </c>
      <c r="C196" s="14" t="s">
        <v>255</v>
      </c>
      <c r="D196" s="1" t="s">
        <v>256</v>
      </c>
      <c r="E196" s="1" t="s">
        <v>116</v>
      </c>
      <c r="F196" s="1" t="s">
        <v>36</v>
      </c>
      <c r="G196" s="1"/>
      <c r="H196" s="7">
        <v>93.643000000000001</v>
      </c>
      <c r="I196" s="6">
        <v>2499.88</v>
      </c>
      <c r="J196" s="5">
        <v>26.696000000000002</v>
      </c>
      <c r="K196" s="5">
        <f t="shared" si="2"/>
        <v>26.696000000000002</v>
      </c>
      <c r="L19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96" s="1" t="s">
        <v>141</v>
      </c>
    </row>
    <row r="197" spans="1:13" ht="27.6" x14ac:dyDescent="0.3">
      <c r="A197" s="13">
        <v>44676</v>
      </c>
      <c r="B197" s="1" t="s">
        <v>641</v>
      </c>
      <c r="C197" s="14" t="s">
        <v>255</v>
      </c>
      <c r="D197" s="1" t="s">
        <v>446</v>
      </c>
      <c r="E197" s="1" t="s">
        <v>106</v>
      </c>
      <c r="F197" s="1" t="s">
        <v>17</v>
      </c>
      <c r="G197" s="1"/>
      <c r="H197" s="7">
        <v>156.28</v>
      </c>
      <c r="I197" s="6">
        <v>2499.88</v>
      </c>
      <c r="J197" s="5">
        <v>15.996</v>
      </c>
      <c r="K197" s="5">
        <f t="shared" ref="K197:K260" si="3">IF(OR(EXACT(C197,"Redemption"),EXACT(C197,"Redeem"),EXACT(C197,"Switch Out"),EXACT(C197,"sell"),EXACT(C197,"Sell")),-J197,J197)</f>
        <v>15.996</v>
      </c>
      <c r="L19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197" s="1" t="s">
        <v>141</v>
      </c>
    </row>
    <row r="198" spans="1:13" x14ac:dyDescent="0.3">
      <c r="A198" s="13">
        <v>44662</v>
      </c>
      <c r="B198" s="1" t="s">
        <v>642</v>
      </c>
      <c r="C198" s="14" t="s">
        <v>255</v>
      </c>
      <c r="D198" s="1" t="s">
        <v>258</v>
      </c>
      <c r="E198" s="1" t="s">
        <v>16</v>
      </c>
      <c r="F198" s="1" t="s">
        <v>16</v>
      </c>
      <c r="G198" s="1"/>
      <c r="H198" s="7">
        <v>74.411799999999999</v>
      </c>
      <c r="I198" s="6">
        <v>4999.75</v>
      </c>
      <c r="J198" s="5">
        <v>67.19</v>
      </c>
      <c r="K198" s="5">
        <f t="shared" si="3"/>
        <v>67.19</v>
      </c>
      <c r="L19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198" s="1" t="s">
        <v>141</v>
      </c>
    </row>
    <row r="199" spans="1:13" x14ac:dyDescent="0.3">
      <c r="A199" s="13">
        <v>44662</v>
      </c>
      <c r="B199" s="1" t="s">
        <v>643</v>
      </c>
      <c r="C199" s="14" t="s">
        <v>255</v>
      </c>
      <c r="D199" s="1" t="s">
        <v>260</v>
      </c>
      <c r="E199" s="1" t="s">
        <v>35</v>
      </c>
      <c r="F199" s="1" t="s">
        <v>35</v>
      </c>
      <c r="G199" s="1"/>
      <c r="H199" s="7">
        <v>18.059699999999999</v>
      </c>
      <c r="I199" s="6">
        <v>4999.75</v>
      </c>
      <c r="J199" s="5">
        <v>276.846</v>
      </c>
      <c r="K199" s="5">
        <f t="shared" si="3"/>
        <v>276.846</v>
      </c>
      <c r="L19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199" s="1" t="s">
        <v>141</v>
      </c>
    </row>
    <row r="200" spans="1:13" ht="27.6" x14ac:dyDescent="0.3">
      <c r="A200" s="13">
        <v>44662</v>
      </c>
      <c r="B200" s="1" t="s">
        <v>644</v>
      </c>
      <c r="C200" s="14" t="s">
        <v>255</v>
      </c>
      <c r="D200" s="1" t="s">
        <v>446</v>
      </c>
      <c r="E200" s="1" t="s">
        <v>106</v>
      </c>
      <c r="F200" s="1" t="s">
        <v>17</v>
      </c>
      <c r="G200" s="1"/>
      <c r="H200" s="7">
        <v>161.68</v>
      </c>
      <c r="I200" s="6">
        <v>4999.75</v>
      </c>
      <c r="J200" s="5">
        <v>30.923999999999999</v>
      </c>
      <c r="K200" s="5">
        <f t="shared" si="3"/>
        <v>30.923999999999999</v>
      </c>
      <c r="L20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00" s="1" t="s">
        <v>141</v>
      </c>
    </row>
    <row r="201" spans="1:13" x14ac:dyDescent="0.3">
      <c r="A201" s="13">
        <v>44662</v>
      </c>
      <c r="B201" s="1" t="s">
        <v>645</v>
      </c>
      <c r="C201" s="14" t="s">
        <v>255</v>
      </c>
      <c r="D201" s="1" t="s">
        <v>448</v>
      </c>
      <c r="E201" s="1" t="s">
        <v>112</v>
      </c>
      <c r="F201" s="1" t="s">
        <v>25</v>
      </c>
      <c r="G201" s="1"/>
      <c r="H201" s="7">
        <v>262.83999999999997</v>
      </c>
      <c r="I201" s="6">
        <v>4999.75</v>
      </c>
      <c r="J201" s="5">
        <v>19.021999999999998</v>
      </c>
      <c r="K201" s="5">
        <f t="shared" si="3"/>
        <v>19.021999999999998</v>
      </c>
      <c r="L20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01" s="1" t="s">
        <v>141</v>
      </c>
    </row>
    <row r="202" spans="1:13" ht="27.6" x14ac:dyDescent="0.3">
      <c r="A202" s="13">
        <v>44645</v>
      </c>
      <c r="B202" s="1" t="s">
        <v>646</v>
      </c>
      <c r="C202" s="14" t="s">
        <v>255</v>
      </c>
      <c r="D202" s="1" t="s">
        <v>256</v>
      </c>
      <c r="E202" s="1" t="s">
        <v>116</v>
      </c>
      <c r="F202" s="1" t="s">
        <v>36</v>
      </c>
      <c r="G202" s="1"/>
      <c r="H202" s="7">
        <v>93.313999999999993</v>
      </c>
      <c r="I202" s="6">
        <v>2499.88</v>
      </c>
      <c r="J202" s="5">
        <v>26.79</v>
      </c>
      <c r="K202" s="5">
        <f t="shared" si="3"/>
        <v>26.79</v>
      </c>
      <c r="L20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02" s="1" t="s">
        <v>141</v>
      </c>
    </row>
    <row r="203" spans="1:13" x14ac:dyDescent="0.3">
      <c r="A203" s="13">
        <v>44645</v>
      </c>
      <c r="B203" s="1" t="s">
        <v>647</v>
      </c>
      <c r="C203" s="14" t="s">
        <v>255</v>
      </c>
      <c r="D203" s="1" t="s">
        <v>448</v>
      </c>
      <c r="E203" s="1" t="s">
        <v>111</v>
      </c>
      <c r="F203" s="1" t="s">
        <v>24</v>
      </c>
      <c r="G203" s="1"/>
      <c r="H203" s="7">
        <v>47.9</v>
      </c>
      <c r="I203" s="6">
        <v>2499.88</v>
      </c>
      <c r="J203" s="5">
        <v>52.19</v>
      </c>
      <c r="K203" s="5">
        <f t="shared" si="3"/>
        <v>52.19</v>
      </c>
      <c r="L20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03" s="1" t="s">
        <v>141</v>
      </c>
    </row>
    <row r="204" spans="1:13" ht="27.6" x14ac:dyDescent="0.3">
      <c r="A204" s="13">
        <v>44645</v>
      </c>
      <c r="B204" s="1" t="s">
        <v>648</v>
      </c>
      <c r="C204" s="14" t="s">
        <v>255</v>
      </c>
      <c r="D204" s="1" t="s">
        <v>446</v>
      </c>
      <c r="E204" s="1" t="s">
        <v>106</v>
      </c>
      <c r="F204" s="1" t="s">
        <v>17</v>
      </c>
      <c r="G204" s="1"/>
      <c r="H204" s="7">
        <v>155.11000000000001</v>
      </c>
      <c r="I204" s="6">
        <v>2499.88</v>
      </c>
      <c r="J204" s="5">
        <v>16.117000000000001</v>
      </c>
      <c r="K204" s="5">
        <f t="shared" si="3"/>
        <v>16.117000000000001</v>
      </c>
      <c r="L20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04" s="1" t="s">
        <v>141</v>
      </c>
    </row>
    <row r="205" spans="1:13" x14ac:dyDescent="0.3">
      <c r="A205" s="13">
        <v>44645</v>
      </c>
      <c r="B205" s="1" t="s">
        <v>649</v>
      </c>
      <c r="C205" s="14" t="s">
        <v>255</v>
      </c>
      <c r="D205" s="1" t="s">
        <v>444</v>
      </c>
      <c r="E205" s="1" t="s">
        <v>121</v>
      </c>
      <c r="F205" s="1" t="s">
        <v>43</v>
      </c>
      <c r="G205" s="1"/>
      <c r="H205" s="7">
        <v>100.9517</v>
      </c>
      <c r="I205" s="6">
        <v>2499.88</v>
      </c>
      <c r="J205" s="5">
        <v>24.763000000000002</v>
      </c>
      <c r="K205" s="5">
        <f t="shared" si="3"/>
        <v>24.763000000000002</v>
      </c>
      <c r="L20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05" s="1" t="s">
        <v>141</v>
      </c>
    </row>
    <row r="206" spans="1:13" x14ac:dyDescent="0.3">
      <c r="A206" s="13">
        <v>44630</v>
      </c>
      <c r="B206" s="1" t="s">
        <v>650</v>
      </c>
      <c r="C206" s="14" t="s">
        <v>255</v>
      </c>
      <c r="D206" s="1" t="s">
        <v>448</v>
      </c>
      <c r="E206" s="1" t="s">
        <v>112</v>
      </c>
      <c r="F206" s="1" t="s">
        <v>25</v>
      </c>
      <c r="G206" s="1"/>
      <c r="H206" s="7">
        <v>245.4</v>
      </c>
      <c r="I206" s="6">
        <v>4999.75</v>
      </c>
      <c r="J206" s="5">
        <v>20.373999999999999</v>
      </c>
      <c r="K206" s="5">
        <f t="shared" si="3"/>
        <v>20.373999999999999</v>
      </c>
      <c r="L20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06" s="1" t="s">
        <v>141</v>
      </c>
    </row>
    <row r="207" spans="1:13" x14ac:dyDescent="0.3">
      <c r="A207" s="13">
        <v>44630</v>
      </c>
      <c r="B207" s="1" t="s">
        <v>651</v>
      </c>
      <c r="C207" s="14" t="s">
        <v>255</v>
      </c>
      <c r="D207" s="1" t="s">
        <v>258</v>
      </c>
      <c r="E207" s="1" t="s">
        <v>16</v>
      </c>
      <c r="F207" s="1" t="s">
        <v>16</v>
      </c>
      <c r="G207" s="1"/>
      <c r="H207" s="7">
        <v>66.3797</v>
      </c>
      <c r="I207" s="6">
        <v>4999.75</v>
      </c>
      <c r="J207" s="5">
        <v>75.319999999999993</v>
      </c>
      <c r="K207" s="5">
        <f t="shared" si="3"/>
        <v>75.319999999999993</v>
      </c>
      <c r="L20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07" s="1" t="s">
        <v>141</v>
      </c>
    </row>
    <row r="208" spans="1:13" x14ac:dyDescent="0.3">
      <c r="A208" s="13">
        <v>44630</v>
      </c>
      <c r="B208" s="1" t="s">
        <v>652</v>
      </c>
      <c r="C208" s="14" t="s">
        <v>255</v>
      </c>
      <c r="D208" s="1" t="s">
        <v>260</v>
      </c>
      <c r="E208" s="1" t="s">
        <v>35</v>
      </c>
      <c r="F208" s="1" t="s">
        <v>35</v>
      </c>
      <c r="G208" s="1"/>
      <c r="H208" s="7">
        <v>16.3325</v>
      </c>
      <c r="I208" s="6">
        <v>4999.75</v>
      </c>
      <c r="J208" s="5">
        <v>306.12299999999999</v>
      </c>
      <c r="K208" s="5">
        <f t="shared" si="3"/>
        <v>306.12299999999999</v>
      </c>
      <c r="L20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08" s="1" t="s">
        <v>141</v>
      </c>
    </row>
    <row r="209" spans="1:13" ht="27.6" x14ac:dyDescent="0.3">
      <c r="A209" s="13">
        <v>44630</v>
      </c>
      <c r="B209" s="1" t="s">
        <v>653</v>
      </c>
      <c r="C209" s="14" t="s">
        <v>255</v>
      </c>
      <c r="D209" s="1" t="s">
        <v>446</v>
      </c>
      <c r="E209" s="1" t="s">
        <v>106</v>
      </c>
      <c r="F209" s="1" t="s">
        <v>17</v>
      </c>
      <c r="G209" s="1"/>
      <c r="H209" s="7">
        <v>151.74</v>
      </c>
      <c r="I209" s="6">
        <v>4999.75</v>
      </c>
      <c r="J209" s="5">
        <v>32.948999999999998</v>
      </c>
      <c r="K209" s="5">
        <f t="shared" si="3"/>
        <v>32.948999999999998</v>
      </c>
      <c r="L20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09" s="1" t="s">
        <v>141</v>
      </c>
    </row>
    <row r="210" spans="1:13" ht="27.6" x14ac:dyDescent="0.3">
      <c r="A210" s="13">
        <v>44617</v>
      </c>
      <c r="B210" s="1" t="s">
        <v>654</v>
      </c>
      <c r="C210" s="14" t="s">
        <v>255</v>
      </c>
      <c r="D210" s="1" t="s">
        <v>446</v>
      </c>
      <c r="E210" s="1" t="s">
        <v>106</v>
      </c>
      <c r="F210" s="1" t="s">
        <v>17</v>
      </c>
      <c r="G210" s="1"/>
      <c r="H210" s="7">
        <v>153.82</v>
      </c>
      <c r="I210" s="6">
        <v>2499.88</v>
      </c>
      <c r="J210" s="5">
        <v>16.251999999999999</v>
      </c>
      <c r="K210" s="5">
        <f t="shared" si="3"/>
        <v>16.251999999999999</v>
      </c>
      <c r="L21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10" s="1" t="s">
        <v>141</v>
      </c>
    </row>
    <row r="211" spans="1:13" x14ac:dyDescent="0.3">
      <c r="A211" s="13">
        <v>44617</v>
      </c>
      <c r="B211" s="1" t="s">
        <v>655</v>
      </c>
      <c r="C211" s="14" t="s">
        <v>255</v>
      </c>
      <c r="D211" s="1" t="s">
        <v>444</v>
      </c>
      <c r="E211" s="1" t="s">
        <v>121</v>
      </c>
      <c r="F211" s="1" t="s">
        <v>43</v>
      </c>
      <c r="G211" s="1"/>
      <c r="H211" s="7">
        <v>98.6126</v>
      </c>
      <c r="I211" s="6">
        <v>2499.88</v>
      </c>
      <c r="J211" s="5">
        <v>25.350999999999999</v>
      </c>
      <c r="K211" s="5">
        <f t="shared" si="3"/>
        <v>25.350999999999999</v>
      </c>
      <c r="L21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11" s="1" t="s">
        <v>141</v>
      </c>
    </row>
    <row r="212" spans="1:13" x14ac:dyDescent="0.3">
      <c r="A212" s="13">
        <v>44617</v>
      </c>
      <c r="B212" s="1" t="s">
        <v>656</v>
      </c>
      <c r="C212" s="14" t="s">
        <v>255</v>
      </c>
      <c r="D212" s="1" t="s">
        <v>448</v>
      </c>
      <c r="E212" s="1" t="s">
        <v>111</v>
      </c>
      <c r="F212" s="1" t="s">
        <v>24</v>
      </c>
      <c r="G212" s="1"/>
      <c r="H212" s="7">
        <v>46.82</v>
      </c>
      <c r="I212" s="6">
        <v>2499.88</v>
      </c>
      <c r="J212" s="5">
        <v>53.393000000000001</v>
      </c>
      <c r="K212" s="5">
        <f t="shared" si="3"/>
        <v>53.393000000000001</v>
      </c>
      <c r="L21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12" s="1" t="s">
        <v>141</v>
      </c>
    </row>
    <row r="213" spans="1:13" ht="27.6" x14ac:dyDescent="0.3">
      <c r="A213" s="13">
        <v>44617</v>
      </c>
      <c r="B213" s="1" t="s">
        <v>657</v>
      </c>
      <c r="C213" s="14" t="s">
        <v>255</v>
      </c>
      <c r="D213" s="1" t="s">
        <v>256</v>
      </c>
      <c r="E213" s="1" t="s">
        <v>116</v>
      </c>
      <c r="F213" s="1" t="s">
        <v>36</v>
      </c>
      <c r="G213" s="1"/>
      <c r="H213" s="7">
        <v>91.451999999999998</v>
      </c>
      <c r="I213" s="6">
        <v>2499.88</v>
      </c>
      <c r="J213" s="5">
        <v>27.335000000000001</v>
      </c>
      <c r="K213" s="5">
        <f t="shared" si="3"/>
        <v>27.335000000000001</v>
      </c>
      <c r="L21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13" s="1" t="s">
        <v>141</v>
      </c>
    </row>
    <row r="214" spans="1:13" ht="27.6" x14ac:dyDescent="0.3">
      <c r="A214" s="13">
        <v>44602</v>
      </c>
      <c r="B214" s="1" t="s">
        <v>658</v>
      </c>
      <c r="C214" s="14" t="s">
        <v>255</v>
      </c>
      <c r="D214" s="1" t="s">
        <v>446</v>
      </c>
      <c r="E214" s="1" t="s">
        <v>106</v>
      </c>
      <c r="F214" s="1" t="s">
        <v>17</v>
      </c>
      <c r="G214" s="1"/>
      <c r="H214" s="7">
        <v>163.44</v>
      </c>
      <c r="I214" s="6">
        <v>4999.75</v>
      </c>
      <c r="J214" s="5">
        <v>30.591000000000001</v>
      </c>
      <c r="K214" s="5">
        <f t="shared" si="3"/>
        <v>30.591000000000001</v>
      </c>
      <c r="L21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14" s="1" t="s">
        <v>141</v>
      </c>
    </row>
    <row r="215" spans="1:13" x14ac:dyDescent="0.3">
      <c r="A215" s="13">
        <v>44602</v>
      </c>
      <c r="B215" s="1" t="s">
        <v>659</v>
      </c>
      <c r="C215" s="14" t="s">
        <v>255</v>
      </c>
      <c r="D215" s="1" t="s">
        <v>448</v>
      </c>
      <c r="E215" s="1" t="s">
        <v>112</v>
      </c>
      <c r="F215" s="1" t="s">
        <v>25</v>
      </c>
      <c r="G215" s="1"/>
      <c r="H215" s="7">
        <v>258.26</v>
      </c>
      <c r="I215" s="6">
        <v>4999.75</v>
      </c>
      <c r="J215" s="5">
        <v>19.359000000000002</v>
      </c>
      <c r="K215" s="5">
        <f t="shared" si="3"/>
        <v>19.359000000000002</v>
      </c>
      <c r="L21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15" s="1" t="s">
        <v>141</v>
      </c>
    </row>
    <row r="216" spans="1:13" x14ac:dyDescent="0.3">
      <c r="A216" s="13">
        <v>44602</v>
      </c>
      <c r="B216" s="1" t="s">
        <v>660</v>
      </c>
      <c r="C216" s="14" t="s">
        <v>255</v>
      </c>
      <c r="D216" s="1" t="s">
        <v>258</v>
      </c>
      <c r="E216" s="1" t="s">
        <v>16</v>
      </c>
      <c r="F216" s="1" t="s">
        <v>16</v>
      </c>
      <c r="G216" s="1"/>
      <c r="H216" s="7">
        <v>73.37</v>
      </c>
      <c r="I216" s="6">
        <v>4999.75</v>
      </c>
      <c r="J216" s="5">
        <v>68.144000000000005</v>
      </c>
      <c r="K216" s="5">
        <f t="shared" si="3"/>
        <v>68.144000000000005</v>
      </c>
      <c r="L21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16" s="1" t="s">
        <v>141</v>
      </c>
    </row>
    <row r="217" spans="1:13" x14ac:dyDescent="0.3">
      <c r="A217" s="13">
        <v>44602</v>
      </c>
      <c r="B217" s="1" t="s">
        <v>661</v>
      </c>
      <c r="C217" s="14" t="s">
        <v>255</v>
      </c>
      <c r="D217" s="1" t="s">
        <v>260</v>
      </c>
      <c r="E217" s="1" t="s">
        <v>35</v>
      </c>
      <c r="F217" s="1" t="s">
        <v>35</v>
      </c>
      <c r="G217" s="1"/>
      <c r="H217" s="7">
        <v>17.584499999999998</v>
      </c>
      <c r="I217" s="6">
        <v>4999.75</v>
      </c>
      <c r="J217" s="5">
        <v>284.327</v>
      </c>
      <c r="K217" s="5">
        <f t="shared" si="3"/>
        <v>284.327</v>
      </c>
      <c r="L21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17" s="1" t="s">
        <v>141</v>
      </c>
    </row>
    <row r="218" spans="1:13" x14ac:dyDescent="0.3">
      <c r="A218" s="13">
        <v>44586</v>
      </c>
      <c r="B218" s="1" t="s">
        <v>662</v>
      </c>
      <c r="C218" s="14" t="s">
        <v>255</v>
      </c>
      <c r="D218" s="1" t="s">
        <v>448</v>
      </c>
      <c r="E218" s="1" t="s">
        <v>111</v>
      </c>
      <c r="F218" s="1" t="s">
        <v>24</v>
      </c>
      <c r="G218" s="1"/>
      <c r="H218" s="7">
        <v>48.92</v>
      </c>
      <c r="I218" s="6">
        <v>2499.88</v>
      </c>
      <c r="J218" s="5">
        <v>51.100999999999999</v>
      </c>
      <c r="K218" s="5">
        <f t="shared" si="3"/>
        <v>51.100999999999999</v>
      </c>
      <c r="L21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18" s="1" t="s">
        <v>141</v>
      </c>
    </row>
    <row r="219" spans="1:13" x14ac:dyDescent="0.3">
      <c r="A219" s="13">
        <v>44586</v>
      </c>
      <c r="B219" s="1" t="s">
        <v>663</v>
      </c>
      <c r="C219" s="14" t="s">
        <v>255</v>
      </c>
      <c r="D219" s="1" t="s">
        <v>444</v>
      </c>
      <c r="E219" s="1" t="s">
        <v>121</v>
      </c>
      <c r="F219" s="1" t="s">
        <v>43</v>
      </c>
      <c r="G219" s="1"/>
      <c r="H219" s="7">
        <v>103.93170000000001</v>
      </c>
      <c r="I219" s="6">
        <v>2499.88</v>
      </c>
      <c r="J219" s="5">
        <v>24.053000000000001</v>
      </c>
      <c r="K219" s="5">
        <f t="shared" si="3"/>
        <v>24.053000000000001</v>
      </c>
      <c r="L21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19" s="1" t="s">
        <v>141</v>
      </c>
    </row>
    <row r="220" spans="1:13" ht="27.6" x14ac:dyDescent="0.3">
      <c r="A220" s="13">
        <v>44586</v>
      </c>
      <c r="B220" s="1" t="s">
        <v>664</v>
      </c>
      <c r="C220" s="14" t="s">
        <v>255</v>
      </c>
      <c r="D220" s="1" t="s">
        <v>256</v>
      </c>
      <c r="E220" s="1" t="s">
        <v>116</v>
      </c>
      <c r="F220" s="1" t="s">
        <v>36</v>
      </c>
      <c r="G220" s="1"/>
      <c r="H220" s="7">
        <v>97.45</v>
      </c>
      <c r="I220" s="6">
        <v>2499.88</v>
      </c>
      <c r="J220" s="5">
        <v>25.652999999999999</v>
      </c>
      <c r="K220" s="5">
        <f t="shared" si="3"/>
        <v>25.652999999999999</v>
      </c>
      <c r="L22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20" s="1" t="s">
        <v>141</v>
      </c>
    </row>
    <row r="221" spans="1:13" ht="27.6" x14ac:dyDescent="0.3">
      <c r="A221" s="13">
        <v>44586</v>
      </c>
      <c r="B221" s="1" t="s">
        <v>665</v>
      </c>
      <c r="C221" s="14" t="s">
        <v>255</v>
      </c>
      <c r="D221" s="1" t="s">
        <v>446</v>
      </c>
      <c r="E221" s="1" t="s">
        <v>106</v>
      </c>
      <c r="F221" s="1" t="s">
        <v>17</v>
      </c>
      <c r="G221" s="1"/>
      <c r="H221" s="7">
        <v>160.87</v>
      </c>
      <c r="I221" s="6">
        <v>2499.88</v>
      </c>
      <c r="J221" s="5">
        <v>15.54</v>
      </c>
      <c r="K221" s="5">
        <f t="shared" si="3"/>
        <v>15.54</v>
      </c>
      <c r="L22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21" s="1" t="s">
        <v>141</v>
      </c>
    </row>
    <row r="222" spans="1:13" x14ac:dyDescent="0.3">
      <c r="A222" s="13">
        <v>44571</v>
      </c>
      <c r="B222" s="1" t="s">
        <v>666</v>
      </c>
      <c r="C222" s="14" t="s">
        <v>255</v>
      </c>
      <c r="D222" s="1" t="s">
        <v>260</v>
      </c>
      <c r="E222" s="1" t="s">
        <v>35</v>
      </c>
      <c r="F222" s="1" t="s">
        <v>35</v>
      </c>
      <c r="G222" s="1"/>
      <c r="H222" s="7">
        <v>18.116299999999999</v>
      </c>
      <c r="I222" s="6">
        <v>4999.75</v>
      </c>
      <c r="J222" s="5">
        <v>275.98099999999999</v>
      </c>
      <c r="K222" s="5">
        <f t="shared" si="3"/>
        <v>275.98099999999999</v>
      </c>
      <c r="L22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22" s="1" t="s">
        <v>141</v>
      </c>
    </row>
    <row r="223" spans="1:13" ht="27.6" x14ac:dyDescent="0.3">
      <c r="A223" s="13">
        <v>44571</v>
      </c>
      <c r="B223" s="1" t="s">
        <v>667</v>
      </c>
      <c r="C223" s="14" t="s">
        <v>255</v>
      </c>
      <c r="D223" s="1" t="s">
        <v>446</v>
      </c>
      <c r="E223" s="1" t="s">
        <v>106</v>
      </c>
      <c r="F223" s="1" t="s">
        <v>17</v>
      </c>
      <c r="G223" s="1"/>
      <c r="H223" s="7">
        <v>169.19</v>
      </c>
      <c r="I223" s="6">
        <v>4999.75</v>
      </c>
      <c r="J223" s="5">
        <v>29.550999999999998</v>
      </c>
      <c r="K223" s="5">
        <f t="shared" si="3"/>
        <v>29.550999999999998</v>
      </c>
      <c r="L22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23" s="1" t="s">
        <v>141</v>
      </c>
    </row>
    <row r="224" spans="1:13" x14ac:dyDescent="0.3">
      <c r="A224" s="13">
        <v>44571</v>
      </c>
      <c r="B224" s="1" t="s">
        <v>668</v>
      </c>
      <c r="C224" s="14" t="s">
        <v>255</v>
      </c>
      <c r="D224" s="1" t="s">
        <v>448</v>
      </c>
      <c r="E224" s="1" t="s">
        <v>112</v>
      </c>
      <c r="F224" s="1" t="s">
        <v>25</v>
      </c>
      <c r="G224" s="1"/>
      <c r="H224" s="7">
        <v>250.31</v>
      </c>
      <c r="I224" s="6">
        <v>4999.75</v>
      </c>
      <c r="J224" s="5">
        <v>19.974</v>
      </c>
      <c r="K224" s="5">
        <f t="shared" si="3"/>
        <v>19.974</v>
      </c>
      <c r="L22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24" s="1" t="s">
        <v>141</v>
      </c>
    </row>
    <row r="225" spans="1:13" x14ac:dyDescent="0.3">
      <c r="A225" s="13">
        <v>44571</v>
      </c>
      <c r="B225" s="1" t="s">
        <v>669</v>
      </c>
      <c r="C225" s="14" t="s">
        <v>255</v>
      </c>
      <c r="D225" s="1" t="s">
        <v>258</v>
      </c>
      <c r="E225" s="1" t="s">
        <v>16</v>
      </c>
      <c r="F225" s="1" t="s">
        <v>16</v>
      </c>
      <c r="G225" s="1"/>
      <c r="H225" s="7">
        <v>75.632300000000001</v>
      </c>
      <c r="I225" s="6">
        <v>4999.75</v>
      </c>
      <c r="J225" s="5">
        <v>66.105999999999995</v>
      </c>
      <c r="K225" s="5">
        <f t="shared" si="3"/>
        <v>66.105999999999995</v>
      </c>
      <c r="L22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25" s="1" t="s">
        <v>141</v>
      </c>
    </row>
    <row r="226" spans="1:13" ht="41.4" x14ac:dyDescent="0.3">
      <c r="A226" s="13">
        <v>44561</v>
      </c>
      <c r="B226" s="1" t="s">
        <v>670</v>
      </c>
      <c r="C226" s="14" t="s">
        <v>671</v>
      </c>
      <c r="D226" s="1" t="s">
        <v>672</v>
      </c>
      <c r="E226" s="1" t="s">
        <v>39</v>
      </c>
      <c r="F226" s="1" t="s">
        <v>39</v>
      </c>
      <c r="G226" s="1"/>
      <c r="H226" s="7">
        <v>183.3158</v>
      </c>
      <c r="I226" s="6">
        <v>258980.86</v>
      </c>
      <c r="J226" s="5">
        <v>1412.758</v>
      </c>
      <c r="K226" s="5">
        <f t="shared" si="3"/>
        <v>-1412.758</v>
      </c>
      <c r="L22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-258980.86</v>
      </c>
      <c r="M226" s="1" t="s">
        <v>141</v>
      </c>
    </row>
    <row r="227" spans="1:13" ht="41.4" x14ac:dyDescent="0.3">
      <c r="A227" s="13">
        <v>44561</v>
      </c>
      <c r="B227" s="1" t="s">
        <v>673</v>
      </c>
      <c r="C227" s="14" t="s">
        <v>671</v>
      </c>
      <c r="D227" s="1" t="s">
        <v>672</v>
      </c>
      <c r="E227" s="1" t="s">
        <v>39</v>
      </c>
      <c r="F227" s="1" t="s">
        <v>39</v>
      </c>
      <c r="G227" s="1"/>
      <c r="H227" s="7">
        <v>183.3158</v>
      </c>
      <c r="I227" s="6">
        <v>96045.75</v>
      </c>
      <c r="J227" s="5">
        <v>523.93600000000004</v>
      </c>
      <c r="K227" s="5">
        <f t="shared" si="3"/>
        <v>-523.93600000000004</v>
      </c>
      <c r="L22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-96045.75</v>
      </c>
      <c r="M227" s="1" t="s">
        <v>141</v>
      </c>
    </row>
    <row r="228" spans="1:13" ht="41.4" x14ac:dyDescent="0.3">
      <c r="A228" s="13">
        <v>44561</v>
      </c>
      <c r="B228" s="1" t="s">
        <v>674</v>
      </c>
      <c r="C228" s="14" t="s">
        <v>675</v>
      </c>
      <c r="D228" s="1" t="s">
        <v>573</v>
      </c>
      <c r="E228" s="1" t="s">
        <v>122</v>
      </c>
      <c r="F228" s="1" t="s">
        <v>44</v>
      </c>
      <c r="G228" s="1"/>
      <c r="H228" s="7">
        <v>56.232599999999998</v>
      </c>
      <c r="I228" s="6">
        <v>96045.75</v>
      </c>
      <c r="J228" s="5">
        <v>1708.008</v>
      </c>
      <c r="K228" s="5">
        <f t="shared" si="3"/>
        <v>1708.008</v>
      </c>
      <c r="L22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96045.75</v>
      </c>
      <c r="M228" s="1" t="s">
        <v>141</v>
      </c>
    </row>
    <row r="229" spans="1:13" ht="41.4" x14ac:dyDescent="0.3">
      <c r="A229" s="13">
        <v>44561</v>
      </c>
      <c r="B229" s="1" t="s">
        <v>676</v>
      </c>
      <c r="C229" s="14" t="s">
        <v>675</v>
      </c>
      <c r="D229" s="1" t="s">
        <v>573</v>
      </c>
      <c r="E229" s="1" t="s">
        <v>122</v>
      </c>
      <c r="F229" s="1" t="s">
        <v>44</v>
      </c>
      <c r="G229" s="1"/>
      <c r="H229" s="7">
        <v>56.232599999999998</v>
      </c>
      <c r="I229" s="6">
        <v>258980.86</v>
      </c>
      <c r="J229" s="5">
        <v>4605.5290000000005</v>
      </c>
      <c r="K229" s="5">
        <f t="shared" si="3"/>
        <v>4605.5290000000005</v>
      </c>
      <c r="L22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258980.86</v>
      </c>
      <c r="M229" s="1" t="s">
        <v>141</v>
      </c>
    </row>
    <row r="230" spans="1:13" x14ac:dyDescent="0.3">
      <c r="A230" s="13">
        <v>44557</v>
      </c>
      <c r="B230" s="1" t="s">
        <v>677</v>
      </c>
      <c r="C230" s="14" t="s">
        <v>255</v>
      </c>
      <c r="D230" s="1" t="s">
        <v>444</v>
      </c>
      <c r="E230" s="1" t="s">
        <v>121</v>
      </c>
      <c r="F230" s="1" t="s">
        <v>43</v>
      </c>
      <c r="G230" s="1"/>
      <c r="H230" s="7">
        <v>102.3612</v>
      </c>
      <c r="I230" s="6">
        <v>2499.88</v>
      </c>
      <c r="J230" s="5">
        <v>24.422000000000001</v>
      </c>
      <c r="K230" s="5">
        <f t="shared" si="3"/>
        <v>24.422000000000001</v>
      </c>
      <c r="L23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30" s="1" t="s">
        <v>141</v>
      </c>
    </row>
    <row r="231" spans="1:13" x14ac:dyDescent="0.3">
      <c r="A231" s="13">
        <v>44557</v>
      </c>
      <c r="B231" s="1" t="s">
        <v>678</v>
      </c>
      <c r="C231" s="14" t="s">
        <v>255</v>
      </c>
      <c r="D231" s="1" t="s">
        <v>448</v>
      </c>
      <c r="E231" s="1" t="s">
        <v>111</v>
      </c>
      <c r="F231" s="1" t="s">
        <v>24</v>
      </c>
      <c r="G231" s="1"/>
      <c r="H231" s="7">
        <v>48.4</v>
      </c>
      <c r="I231" s="6">
        <v>2499.88</v>
      </c>
      <c r="J231" s="5">
        <v>51.65</v>
      </c>
      <c r="K231" s="5">
        <f t="shared" si="3"/>
        <v>51.65</v>
      </c>
      <c r="L23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31" s="1" t="s">
        <v>141</v>
      </c>
    </row>
    <row r="232" spans="1:13" ht="27.6" x14ac:dyDescent="0.3">
      <c r="A232" s="13">
        <v>44557</v>
      </c>
      <c r="B232" s="1" t="s">
        <v>679</v>
      </c>
      <c r="C232" s="14" t="s">
        <v>255</v>
      </c>
      <c r="D232" s="1" t="s">
        <v>256</v>
      </c>
      <c r="E232" s="1" t="s">
        <v>116</v>
      </c>
      <c r="F232" s="1" t="s">
        <v>36</v>
      </c>
      <c r="G232" s="1"/>
      <c r="H232" s="7">
        <v>96.210999999999999</v>
      </c>
      <c r="I232" s="6">
        <v>2499.88</v>
      </c>
      <c r="J232" s="5">
        <v>25.983000000000001</v>
      </c>
      <c r="K232" s="5">
        <f t="shared" si="3"/>
        <v>25.983000000000001</v>
      </c>
      <c r="L23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32" s="1" t="s">
        <v>141</v>
      </c>
    </row>
    <row r="233" spans="1:13" ht="27.6" x14ac:dyDescent="0.3">
      <c r="A233" s="13">
        <v>44557</v>
      </c>
      <c r="B233" s="1" t="s">
        <v>680</v>
      </c>
      <c r="C233" s="14" t="s">
        <v>255</v>
      </c>
      <c r="D233" s="1" t="s">
        <v>446</v>
      </c>
      <c r="E233" s="1" t="s">
        <v>106</v>
      </c>
      <c r="F233" s="1" t="s">
        <v>17</v>
      </c>
      <c r="G233" s="1"/>
      <c r="H233" s="7">
        <v>162.13</v>
      </c>
      <c r="I233" s="6">
        <v>2499.88</v>
      </c>
      <c r="J233" s="5">
        <v>15.419</v>
      </c>
      <c r="K233" s="5">
        <f t="shared" si="3"/>
        <v>15.419</v>
      </c>
      <c r="L23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33" s="1" t="s">
        <v>141</v>
      </c>
    </row>
    <row r="234" spans="1:13" ht="27.6" x14ac:dyDescent="0.3">
      <c r="A234" s="13">
        <v>44540</v>
      </c>
      <c r="B234" s="1" t="s">
        <v>681</v>
      </c>
      <c r="C234" s="14" t="s">
        <v>255</v>
      </c>
      <c r="D234" s="1" t="s">
        <v>446</v>
      </c>
      <c r="E234" s="1" t="s">
        <v>106</v>
      </c>
      <c r="F234" s="1" t="s">
        <v>17</v>
      </c>
      <c r="G234" s="1"/>
      <c r="H234" s="7">
        <v>164.5</v>
      </c>
      <c r="I234" s="6">
        <v>4999.75</v>
      </c>
      <c r="J234" s="5">
        <v>30.393999999999998</v>
      </c>
      <c r="K234" s="5">
        <f t="shared" si="3"/>
        <v>30.393999999999998</v>
      </c>
      <c r="L23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34" s="1" t="s">
        <v>141</v>
      </c>
    </row>
    <row r="235" spans="1:13" x14ac:dyDescent="0.3">
      <c r="A235" s="13">
        <v>44540</v>
      </c>
      <c r="B235" s="1" t="s">
        <v>682</v>
      </c>
      <c r="C235" s="14" t="s">
        <v>255</v>
      </c>
      <c r="D235" s="1" t="s">
        <v>260</v>
      </c>
      <c r="E235" s="1" t="s">
        <v>35</v>
      </c>
      <c r="F235" s="1" t="s">
        <v>35</v>
      </c>
      <c r="G235" s="1"/>
      <c r="H235" s="7">
        <v>17.591799999999999</v>
      </c>
      <c r="I235" s="6">
        <v>4999.75</v>
      </c>
      <c r="J235" s="5">
        <v>284.209</v>
      </c>
      <c r="K235" s="5">
        <f t="shared" si="3"/>
        <v>284.209</v>
      </c>
      <c r="L23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35" s="1" t="s">
        <v>141</v>
      </c>
    </row>
    <row r="236" spans="1:13" x14ac:dyDescent="0.3">
      <c r="A236" s="13">
        <v>44540</v>
      </c>
      <c r="B236" s="1" t="s">
        <v>683</v>
      </c>
      <c r="C236" s="14" t="s">
        <v>255</v>
      </c>
      <c r="D236" s="1" t="s">
        <v>258</v>
      </c>
      <c r="E236" s="1" t="s">
        <v>16</v>
      </c>
      <c r="F236" s="1" t="s">
        <v>16</v>
      </c>
      <c r="G236" s="1"/>
      <c r="H236" s="7">
        <v>73.142799999999994</v>
      </c>
      <c r="I236" s="6">
        <v>4999.75</v>
      </c>
      <c r="J236" s="5">
        <v>68.355999999999995</v>
      </c>
      <c r="K236" s="5">
        <f t="shared" si="3"/>
        <v>68.355999999999995</v>
      </c>
      <c r="L23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36" s="1" t="s">
        <v>141</v>
      </c>
    </row>
    <row r="237" spans="1:13" x14ac:dyDescent="0.3">
      <c r="A237" s="13">
        <v>44540</v>
      </c>
      <c r="B237" s="1" t="s">
        <v>684</v>
      </c>
      <c r="C237" s="14" t="s">
        <v>255</v>
      </c>
      <c r="D237" s="1" t="s">
        <v>448</v>
      </c>
      <c r="E237" s="1" t="s">
        <v>112</v>
      </c>
      <c r="F237" s="1" t="s">
        <v>25</v>
      </c>
      <c r="G237" s="1"/>
      <c r="H237" s="7">
        <v>243.07</v>
      </c>
      <c r="I237" s="6">
        <v>4999.75</v>
      </c>
      <c r="J237" s="5">
        <v>20.568999999999999</v>
      </c>
      <c r="K237" s="5">
        <f t="shared" si="3"/>
        <v>20.568999999999999</v>
      </c>
      <c r="L23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37" s="1" t="s">
        <v>141</v>
      </c>
    </row>
    <row r="238" spans="1:13" x14ac:dyDescent="0.3">
      <c r="A238" s="13">
        <v>44525</v>
      </c>
      <c r="B238" s="1" t="s">
        <v>685</v>
      </c>
      <c r="C238" s="14" t="s">
        <v>255</v>
      </c>
      <c r="D238" s="1" t="s">
        <v>448</v>
      </c>
      <c r="E238" s="1" t="s">
        <v>111</v>
      </c>
      <c r="F238" s="1" t="s">
        <v>24</v>
      </c>
      <c r="G238" s="1"/>
      <c r="H238" s="7">
        <v>49.74</v>
      </c>
      <c r="I238" s="6">
        <v>2499.88</v>
      </c>
      <c r="J238" s="5">
        <v>50.259</v>
      </c>
      <c r="K238" s="5">
        <f t="shared" si="3"/>
        <v>50.259</v>
      </c>
      <c r="L23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38" s="1" t="s">
        <v>141</v>
      </c>
    </row>
    <row r="239" spans="1:13" ht="27.6" x14ac:dyDescent="0.3">
      <c r="A239" s="13">
        <v>44525</v>
      </c>
      <c r="B239" s="1" t="s">
        <v>686</v>
      </c>
      <c r="C239" s="14" t="s">
        <v>255</v>
      </c>
      <c r="D239" s="1" t="s">
        <v>256</v>
      </c>
      <c r="E239" s="1" t="s">
        <v>116</v>
      </c>
      <c r="F239" s="1" t="s">
        <v>36</v>
      </c>
      <c r="G239" s="1"/>
      <c r="H239" s="7">
        <v>98.893000000000001</v>
      </c>
      <c r="I239" s="6">
        <v>2499.88</v>
      </c>
      <c r="J239" s="5">
        <v>25.279</v>
      </c>
      <c r="K239" s="5">
        <f t="shared" si="3"/>
        <v>25.279</v>
      </c>
      <c r="L23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39" s="1" t="s">
        <v>141</v>
      </c>
    </row>
    <row r="240" spans="1:13" ht="27.6" x14ac:dyDescent="0.3">
      <c r="A240" s="13">
        <v>44525</v>
      </c>
      <c r="B240" s="1" t="s">
        <v>687</v>
      </c>
      <c r="C240" s="14" t="s">
        <v>255</v>
      </c>
      <c r="D240" s="1" t="s">
        <v>446</v>
      </c>
      <c r="E240" s="1" t="s">
        <v>106</v>
      </c>
      <c r="F240" s="1" t="s">
        <v>17</v>
      </c>
      <c r="G240" s="1"/>
      <c r="H240" s="7">
        <v>164.36</v>
      </c>
      <c r="I240" s="6">
        <v>2499.88</v>
      </c>
      <c r="J240" s="5">
        <v>15.21</v>
      </c>
      <c r="K240" s="5">
        <f t="shared" si="3"/>
        <v>15.21</v>
      </c>
      <c r="L24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40" s="1" t="s">
        <v>141</v>
      </c>
    </row>
    <row r="241" spans="1:13" x14ac:dyDescent="0.3">
      <c r="A241" s="13">
        <v>44525</v>
      </c>
      <c r="B241" s="1" t="s">
        <v>688</v>
      </c>
      <c r="C241" s="14" t="s">
        <v>255</v>
      </c>
      <c r="D241" s="1" t="s">
        <v>444</v>
      </c>
      <c r="E241" s="1" t="s">
        <v>121</v>
      </c>
      <c r="F241" s="1" t="s">
        <v>43</v>
      </c>
      <c r="G241" s="1"/>
      <c r="H241" s="7">
        <v>106.2825</v>
      </c>
      <c r="I241" s="6">
        <v>2499.88</v>
      </c>
      <c r="J241" s="5">
        <v>23.521000000000001</v>
      </c>
      <c r="K241" s="5">
        <f t="shared" si="3"/>
        <v>23.521000000000001</v>
      </c>
      <c r="L24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41" s="1" t="s">
        <v>141</v>
      </c>
    </row>
    <row r="242" spans="1:13" ht="27.6" x14ac:dyDescent="0.3">
      <c r="A242" s="13">
        <v>44510</v>
      </c>
      <c r="B242" s="1" t="s">
        <v>689</v>
      </c>
      <c r="C242" s="14" t="s">
        <v>255</v>
      </c>
      <c r="D242" s="1" t="s">
        <v>446</v>
      </c>
      <c r="E242" s="1" t="s">
        <v>106</v>
      </c>
      <c r="F242" s="1" t="s">
        <v>17</v>
      </c>
      <c r="G242" s="1"/>
      <c r="H242" s="7">
        <v>169.19</v>
      </c>
      <c r="I242" s="6">
        <v>4999.75</v>
      </c>
      <c r="J242" s="5">
        <v>29.550999999999998</v>
      </c>
      <c r="K242" s="5">
        <f t="shared" si="3"/>
        <v>29.550999999999998</v>
      </c>
      <c r="L24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42" s="1" t="s">
        <v>141</v>
      </c>
    </row>
    <row r="243" spans="1:13" x14ac:dyDescent="0.3">
      <c r="A243" s="13">
        <v>44510</v>
      </c>
      <c r="B243" s="1" t="s">
        <v>690</v>
      </c>
      <c r="C243" s="14" t="s">
        <v>255</v>
      </c>
      <c r="D243" s="1" t="s">
        <v>448</v>
      </c>
      <c r="E243" s="1" t="s">
        <v>112</v>
      </c>
      <c r="F243" s="1" t="s">
        <v>25</v>
      </c>
      <c r="G243" s="1"/>
      <c r="H243" s="7">
        <v>252.34</v>
      </c>
      <c r="I243" s="6">
        <v>4999.75</v>
      </c>
      <c r="J243" s="5">
        <v>19.814</v>
      </c>
      <c r="K243" s="5">
        <f t="shared" si="3"/>
        <v>19.814</v>
      </c>
      <c r="L24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43" s="1" t="s">
        <v>141</v>
      </c>
    </row>
    <row r="244" spans="1:13" x14ac:dyDescent="0.3">
      <c r="A244" s="13">
        <v>44510</v>
      </c>
      <c r="B244" s="1" t="s">
        <v>691</v>
      </c>
      <c r="C244" s="14" t="s">
        <v>255</v>
      </c>
      <c r="D244" s="1" t="s">
        <v>258</v>
      </c>
      <c r="E244" s="1" t="s">
        <v>16</v>
      </c>
      <c r="F244" s="1" t="s">
        <v>16</v>
      </c>
      <c r="G244" s="1"/>
      <c r="H244" s="7">
        <v>76.070599999999999</v>
      </c>
      <c r="I244" s="6">
        <v>4999.75</v>
      </c>
      <c r="J244" s="5">
        <v>65.724999999999994</v>
      </c>
      <c r="K244" s="5">
        <f t="shared" si="3"/>
        <v>65.724999999999994</v>
      </c>
      <c r="L24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44" s="1" t="s">
        <v>141</v>
      </c>
    </row>
    <row r="245" spans="1:13" x14ac:dyDescent="0.3">
      <c r="A245" s="13">
        <v>44510</v>
      </c>
      <c r="B245" s="1" t="s">
        <v>692</v>
      </c>
      <c r="C245" s="14" t="s">
        <v>255</v>
      </c>
      <c r="D245" s="1" t="s">
        <v>260</v>
      </c>
      <c r="E245" s="1" t="s">
        <v>35</v>
      </c>
      <c r="F245" s="1" t="s">
        <v>35</v>
      </c>
      <c r="G245" s="1"/>
      <c r="H245" s="7">
        <v>18.1419</v>
      </c>
      <c r="I245" s="6">
        <v>4999.75</v>
      </c>
      <c r="J245" s="5">
        <v>275.59100000000001</v>
      </c>
      <c r="K245" s="5">
        <f t="shared" si="3"/>
        <v>275.59100000000001</v>
      </c>
      <c r="L24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45" s="1" t="s">
        <v>141</v>
      </c>
    </row>
    <row r="246" spans="1:13" ht="27.6" x14ac:dyDescent="0.3">
      <c r="A246" s="13">
        <v>44495</v>
      </c>
      <c r="B246" s="1" t="s">
        <v>693</v>
      </c>
      <c r="C246" s="14" t="s">
        <v>255</v>
      </c>
      <c r="D246" s="1" t="s">
        <v>446</v>
      </c>
      <c r="E246" s="1" t="s">
        <v>106</v>
      </c>
      <c r="F246" s="1" t="s">
        <v>17</v>
      </c>
      <c r="G246" s="1"/>
      <c r="H246" s="7">
        <v>167.3</v>
      </c>
      <c r="I246" s="6">
        <v>2499.88</v>
      </c>
      <c r="J246" s="5">
        <v>14.942</v>
      </c>
      <c r="K246" s="5">
        <f t="shared" si="3"/>
        <v>14.942</v>
      </c>
      <c r="L24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46" s="1" t="s">
        <v>141</v>
      </c>
    </row>
    <row r="247" spans="1:13" ht="27.6" x14ac:dyDescent="0.3">
      <c r="A247" s="13">
        <v>44495</v>
      </c>
      <c r="B247" s="1" t="s">
        <v>694</v>
      </c>
      <c r="C247" s="14" t="s">
        <v>255</v>
      </c>
      <c r="D247" s="1" t="s">
        <v>256</v>
      </c>
      <c r="E247" s="1" t="s">
        <v>116</v>
      </c>
      <c r="F247" s="1" t="s">
        <v>36</v>
      </c>
      <c r="G247" s="1"/>
      <c r="H247" s="7">
        <v>100.801</v>
      </c>
      <c r="I247" s="6">
        <v>2499.88</v>
      </c>
      <c r="J247" s="5">
        <v>24.8</v>
      </c>
      <c r="K247" s="5">
        <f t="shared" si="3"/>
        <v>24.8</v>
      </c>
      <c r="L24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47" s="1" t="s">
        <v>141</v>
      </c>
    </row>
    <row r="248" spans="1:13" x14ac:dyDescent="0.3">
      <c r="A248" s="13">
        <v>44495</v>
      </c>
      <c r="B248" s="1" t="s">
        <v>695</v>
      </c>
      <c r="C248" s="14" t="s">
        <v>255</v>
      </c>
      <c r="D248" s="1" t="s">
        <v>444</v>
      </c>
      <c r="E248" s="1" t="s">
        <v>121</v>
      </c>
      <c r="F248" s="1" t="s">
        <v>43</v>
      </c>
      <c r="G248" s="1"/>
      <c r="H248" s="7">
        <v>102.9027</v>
      </c>
      <c r="I248" s="6">
        <v>2499.88</v>
      </c>
      <c r="J248" s="5">
        <v>24.294</v>
      </c>
      <c r="K248" s="5">
        <f t="shared" si="3"/>
        <v>24.294</v>
      </c>
      <c r="L24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48" s="1" t="s">
        <v>141</v>
      </c>
    </row>
    <row r="249" spans="1:13" x14ac:dyDescent="0.3">
      <c r="A249" s="13">
        <v>44495</v>
      </c>
      <c r="B249" s="1" t="s">
        <v>696</v>
      </c>
      <c r="C249" s="14" t="s">
        <v>255</v>
      </c>
      <c r="D249" s="1" t="s">
        <v>448</v>
      </c>
      <c r="E249" s="1" t="s">
        <v>111</v>
      </c>
      <c r="F249" s="1" t="s">
        <v>24</v>
      </c>
      <c r="G249" s="1"/>
      <c r="H249" s="7">
        <v>51.16</v>
      </c>
      <c r="I249" s="6">
        <v>2499.88</v>
      </c>
      <c r="J249" s="5">
        <v>48.863999999999997</v>
      </c>
      <c r="K249" s="5">
        <f t="shared" si="3"/>
        <v>48.863999999999997</v>
      </c>
      <c r="L24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49" s="1" t="s">
        <v>141</v>
      </c>
    </row>
    <row r="250" spans="1:13" x14ac:dyDescent="0.3">
      <c r="A250" s="13">
        <v>44480</v>
      </c>
      <c r="B250" s="1" t="s">
        <v>697</v>
      </c>
      <c r="C250" s="14" t="s">
        <v>255</v>
      </c>
      <c r="D250" s="1" t="s">
        <v>258</v>
      </c>
      <c r="E250" s="1" t="s">
        <v>16</v>
      </c>
      <c r="F250" s="1" t="s">
        <v>16</v>
      </c>
      <c r="G250" s="1"/>
      <c r="H250" s="7">
        <v>75.800600000000003</v>
      </c>
      <c r="I250" s="6">
        <v>4999.75</v>
      </c>
      <c r="J250" s="5">
        <v>65.959000000000003</v>
      </c>
      <c r="K250" s="5">
        <f t="shared" si="3"/>
        <v>65.959000000000003</v>
      </c>
      <c r="L25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50" s="1" t="s">
        <v>141</v>
      </c>
    </row>
    <row r="251" spans="1:13" x14ac:dyDescent="0.3">
      <c r="A251" s="13">
        <v>44480</v>
      </c>
      <c r="B251" s="1" t="s">
        <v>698</v>
      </c>
      <c r="C251" s="14" t="s">
        <v>255</v>
      </c>
      <c r="D251" s="1" t="s">
        <v>448</v>
      </c>
      <c r="E251" s="1" t="s">
        <v>112</v>
      </c>
      <c r="F251" s="1" t="s">
        <v>25</v>
      </c>
      <c r="G251" s="1"/>
      <c r="H251" s="7">
        <v>251.6</v>
      </c>
      <c r="I251" s="6">
        <v>4999.75</v>
      </c>
      <c r="J251" s="5">
        <v>19.872</v>
      </c>
      <c r="K251" s="5">
        <f t="shared" si="3"/>
        <v>19.872</v>
      </c>
      <c r="L25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51" s="1" t="s">
        <v>141</v>
      </c>
    </row>
    <row r="252" spans="1:13" ht="27.6" x14ac:dyDescent="0.3">
      <c r="A252" s="13">
        <v>44480</v>
      </c>
      <c r="B252" s="1" t="s">
        <v>699</v>
      </c>
      <c r="C252" s="14" t="s">
        <v>255</v>
      </c>
      <c r="D252" s="1" t="s">
        <v>446</v>
      </c>
      <c r="E252" s="1" t="s">
        <v>106</v>
      </c>
      <c r="F252" s="1" t="s">
        <v>17</v>
      </c>
      <c r="G252" s="1"/>
      <c r="H252" s="7">
        <v>167.82</v>
      </c>
      <c r="I252" s="6">
        <v>4999.75</v>
      </c>
      <c r="J252" s="5">
        <v>29.792000000000002</v>
      </c>
      <c r="K252" s="5">
        <f t="shared" si="3"/>
        <v>29.792000000000002</v>
      </c>
      <c r="L25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52" s="1" t="s">
        <v>141</v>
      </c>
    </row>
    <row r="253" spans="1:13" x14ac:dyDescent="0.3">
      <c r="A253" s="13">
        <v>44480</v>
      </c>
      <c r="B253" s="1" t="s">
        <v>700</v>
      </c>
      <c r="C253" s="14" t="s">
        <v>255</v>
      </c>
      <c r="D253" s="1" t="s">
        <v>260</v>
      </c>
      <c r="E253" s="1" t="s">
        <v>35</v>
      </c>
      <c r="F253" s="1" t="s">
        <v>35</v>
      </c>
      <c r="G253" s="1"/>
      <c r="H253" s="7">
        <v>17.936900000000001</v>
      </c>
      <c r="I253" s="6">
        <v>4999.75</v>
      </c>
      <c r="J253" s="5">
        <v>278.74099999999999</v>
      </c>
      <c r="K253" s="5">
        <f t="shared" si="3"/>
        <v>278.74099999999999</v>
      </c>
      <c r="L25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53" s="1" t="s">
        <v>141</v>
      </c>
    </row>
    <row r="254" spans="1:13" x14ac:dyDescent="0.3">
      <c r="A254" s="13">
        <v>44468</v>
      </c>
      <c r="B254" s="1" t="s">
        <v>701</v>
      </c>
      <c r="C254" s="14" t="s">
        <v>138</v>
      </c>
      <c r="D254" s="1" t="s">
        <v>702</v>
      </c>
      <c r="E254" s="1" t="s">
        <v>30</v>
      </c>
      <c r="F254" s="1" t="s">
        <v>30</v>
      </c>
      <c r="G254" s="1"/>
      <c r="H254" s="7">
        <v>10</v>
      </c>
      <c r="I254" s="6">
        <v>249987.5</v>
      </c>
      <c r="J254" s="5">
        <v>24998.75</v>
      </c>
      <c r="K254" s="5">
        <f t="shared" si="3"/>
        <v>24998.75</v>
      </c>
      <c r="L25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249987.5</v>
      </c>
      <c r="M254" s="1" t="s">
        <v>141</v>
      </c>
    </row>
    <row r="255" spans="1:13" ht="27.6" x14ac:dyDescent="0.3">
      <c r="A255" s="13">
        <v>44466</v>
      </c>
      <c r="B255" s="1" t="s">
        <v>703</v>
      </c>
      <c r="C255" s="14" t="s">
        <v>255</v>
      </c>
      <c r="D255" s="1" t="s">
        <v>256</v>
      </c>
      <c r="E255" s="1" t="s">
        <v>116</v>
      </c>
      <c r="F255" s="1" t="s">
        <v>36</v>
      </c>
      <c r="G255" s="1"/>
      <c r="H255" s="7">
        <v>98.293000000000006</v>
      </c>
      <c r="I255" s="6">
        <v>2499.88</v>
      </c>
      <c r="J255" s="5">
        <v>25.433</v>
      </c>
      <c r="K255" s="5">
        <f t="shared" si="3"/>
        <v>25.433</v>
      </c>
      <c r="L25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55" s="1" t="s">
        <v>141</v>
      </c>
    </row>
    <row r="256" spans="1:13" x14ac:dyDescent="0.3">
      <c r="A256" s="13">
        <v>44466</v>
      </c>
      <c r="B256" s="1" t="s">
        <v>704</v>
      </c>
      <c r="C256" s="14" t="s">
        <v>255</v>
      </c>
      <c r="D256" s="1" t="s">
        <v>444</v>
      </c>
      <c r="E256" s="1" t="s">
        <v>121</v>
      </c>
      <c r="F256" s="1" t="s">
        <v>43</v>
      </c>
      <c r="G256" s="1"/>
      <c r="H256" s="7">
        <v>99.167100000000005</v>
      </c>
      <c r="I256" s="6">
        <v>2499.88</v>
      </c>
      <c r="J256" s="5">
        <v>25.209</v>
      </c>
      <c r="K256" s="5">
        <f t="shared" si="3"/>
        <v>25.209</v>
      </c>
      <c r="L25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56" s="1" t="s">
        <v>141</v>
      </c>
    </row>
    <row r="257" spans="1:13" x14ac:dyDescent="0.3">
      <c r="A257" s="13">
        <v>44466</v>
      </c>
      <c r="B257" s="1" t="s">
        <v>705</v>
      </c>
      <c r="C257" s="14" t="s">
        <v>255</v>
      </c>
      <c r="D257" s="1" t="s">
        <v>448</v>
      </c>
      <c r="E257" s="1" t="s">
        <v>111</v>
      </c>
      <c r="F257" s="1" t="s">
        <v>24</v>
      </c>
      <c r="G257" s="1"/>
      <c r="H257" s="7">
        <v>49.57</v>
      </c>
      <c r="I257" s="6">
        <v>2499.88</v>
      </c>
      <c r="J257" s="5">
        <v>50.430999999999997</v>
      </c>
      <c r="K257" s="5">
        <f t="shared" si="3"/>
        <v>50.430999999999997</v>
      </c>
      <c r="L25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57" s="1" t="s">
        <v>141</v>
      </c>
    </row>
    <row r="258" spans="1:13" ht="27.6" x14ac:dyDescent="0.3">
      <c r="A258" s="13">
        <v>44466</v>
      </c>
      <c r="B258" s="1" t="s">
        <v>706</v>
      </c>
      <c r="C258" s="14" t="s">
        <v>255</v>
      </c>
      <c r="D258" s="1" t="s">
        <v>446</v>
      </c>
      <c r="E258" s="1" t="s">
        <v>106</v>
      </c>
      <c r="F258" s="1" t="s">
        <v>17</v>
      </c>
      <c r="G258" s="1"/>
      <c r="H258" s="7">
        <v>163.82</v>
      </c>
      <c r="I258" s="6">
        <v>2499.88</v>
      </c>
      <c r="J258" s="5">
        <v>15.26</v>
      </c>
      <c r="K258" s="5">
        <f t="shared" si="3"/>
        <v>15.26</v>
      </c>
      <c r="L25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58" s="1" t="s">
        <v>141</v>
      </c>
    </row>
    <row r="259" spans="1:13" ht="27.6" x14ac:dyDescent="0.3">
      <c r="A259" s="13">
        <v>44460</v>
      </c>
      <c r="B259" s="1" t="s">
        <v>707</v>
      </c>
      <c r="C259" s="14" t="s">
        <v>138</v>
      </c>
      <c r="D259" s="1" t="s">
        <v>571</v>
      </c>
      <c r="E259" s="1" t="s">
        <v>28</v>
      </c>
      <c r="F259" s="1" t="s">
        <v>28</v>
      </c>
      <c r="G259" s="1"/>
      <c r="H259" s="7">
        <v>79.23</v>
      </c>
      <c r="I259" s="6">
        <v>249987.5</v>
      </c>
      <c r="J259" s="5">
        <v>3155.2130000000002</v>
      </c>
      <c r="K259" s="5">
        <f t="shared" si="3"/>
        <v>3155.2130000000002</v>
      </c>
      <c r="L25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249987.5</v>
      </c>
      <c r="M259" s="1" t="s">
        <v>141</v>
      </c>
    </row>
    <row r="260" spans="1:13" ht="27.6" x14ac:dyDescent="0.3">
      <c r="A260" s="13">
        <v>44460</v>
      </c>
      <c r="B260" s="1" t="s">
        <v>708</v>
      </c>
      <c r="C260" s="14" t="s">
        <v>138</v>
      </c>
      <c r="D260" s="1" t="s">
        <v>260</v>
      </c>
      <c r="E260" s="1" t="s">
        <v>114</v>
      </c>
      <c r="F260" s="1" t="s">
        <v>34</v>
      </c>
      <c r="G260" s="1"/>
      <c r="H260" s="7">
        <v>16.287400000000002</v>
      </c>
      <c r="I260" s="6">
        <v>249987.5</v>
      </c>
      <c r="J260" s="5">
        <v>15348.521000000001</v>
      </c>
      <c r="K260" s="5">
        <f t="shared" si="3"/>
        <v>15348.521000000001</v>
      </c>
      <c r="L26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249987.5</v>
      </c>
      <c r="M260" s="1" t="s">
        <v>141</v>
      </c>
    </row>
    <row r="261" spans="1:13" ht="27.6" x14ac:dyDescent="0.3">
      <c r="A261" s="13">
        <v>44460</v>
      </c>
      <c r="B261" s="1" t="s">
        <v>709</v>
      </c>
      <c r="C261" s="14" t="s">
        <v>138</v>
      </c>
      <c r="D261" s="1" t="s">
        <v>672</v>
      </c>
      <c r="E261" s="1" t="s">
        <v>39</v>
      </c>
      <c r="F261" s="1" t="s">
        <v>39</v>
      </c>
      <c r="G261" s="1"/>
      <c r="H261" s="7">
        <v>176.95</v>
      </c>
      <c r="I261" s="6">
        <v>249987.5</v>
      </c>
      <c r="J261" s="5">
        <v>1412.758</v>
      </c>
      <c r="K261" s="5">
        <f t="shared" ref="K261:K305" si="4">IF(OR(EXACT(C261,"Redemption"),EXACT(C261,"Redeem"),EXACT(C261,"Switch Out"),EXACT(C261,"sell"),EXACT(C261,"Sell")),-J261,J261)</f>
        <v>1412.758</v>
      </c>
      <c r="L26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249987.5</v>
      </c>
      <c r="M261" s="1" t="s">
        <v>141</v>
      </c>
    </row>
    <row r="262" spans="1:13" ht="27.6" x14ac:dyDescent="0.3">
      <c r="A262" s="13">
        <v>44452</v>
      </c>
      <c r="B262" s="1" t="s">
        <v>710</v>
      </c>
      <c r="C262" s="14" t="s">
        <v>255</v>
      </c>
      <c r="D262" s="1" t="s">
        <v>446</v>
      </c>
      <c r="E262" s="1" t="s">
        <v>106</v>
      </c>
      <c r="F262" s="1" t="s">
        <v>17</v>
      </c>
      <c r="G262" s="1"/>
      <c r="H262" s="7">
        <v>162.31</v>
      </c>
      <c r="I262" s="6">
        <v>4999.75</v>
      </c>
      <c r="J262" s="5">
        <v>30.803999999999998</v>
      </c>
      <c r="K262" s="5">
        <f t="shared" si="4"/>
        <v>30.803999999999998</v>
      </c>
      <c r="L26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62" s="1" t="s">
        <v>141</v>
      </c>
    </row>
    <row r="263" spans="1:13" x14ac:dyDescent="0.3">
      <c r="A263" s="13">
        <v>44452</v>
      </c>
      <c r="B263" s="1" t="s">
        <v>711</v>
      </c>
      <c r="C263" s="14" t="s">
        <v>255</v>
      </c>
      <c r="D263" s="1" t="s">
        <v>448</v>
      </c>
      <c r="E263" s="1" t="s">
        <v>112</v>
      </c>
      <c r="F263" s="1" t="s">
        <v>25</v>
      </c>
      <c r="G263" s="1"/>
      <c r="H263" s="7">
        <v>233.38</v>
      </c>
      <c r="I263" s="6">
        <v>4999.75</v>
      </c>
      <c r="J263" s="5">
        <v>21.422999999999998</v>
      </c>
      <c r="K263" s="5">
        <f t="shared" si="4"/>
        <v>21.422999999999998</v>
      </c>
      <c r="L26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63" s="1" t="s">
        <v>141</v>
      </c>
    </row>
    <row r="264" spans="1:13" x14ac:dyDescent="0.3">
      <c r="A264" s="13">
        <v>44452</v>
      </c>
      <c r="B264" s="1" t="s">
        <v>712</v>
      </c>
      <c r="C264" s="14" t="s">
        <v>255</v>
      </c>
      <c r="D264" s="1" t="s">
        <v>258</v>
      </c>
      <c r="E264" s="1" t="s">
        <v>16</v>
      </c>
      <c r="F264" s="1" t="s">
        <v>16</v>
      </c>
      <c r="G264" s="1"/>
      <c r="H264" s="7">
        <v>72.428100000000001</v>
      </c>
      <c r="I264" s="6">
        <v>4999.75</v>
      </c>
      <c r="J264" s="5">
        <v>69.031000000000006</v>
      </c>
      <c r="K264" s="5">
        <f t="shared" si="4"/>
        <v>69.031000000000006</v>
      </c>
      <c r="L26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64" s="1" t="s">
        <v>141</v>
      </c>
    </row>
    <row r="265" spans="1:13" x14ac:dyDescent="0.3">
      <c r="A265" s="13">
        <v>44452</v>
      </c>
      <c r="B265" s="1" t="s">
        <v>713</v>
      </c>
      <c r="C265" s="14" t="s">
        <v>255</v>
      </c>
      <c r="D265" s="1" t="s">
        <v>260</v>
      </c>
      <c r="E265" s="1" t="s">
        <v>35</v>
      </c>
      <c r="F265" s="1" t="s">
        <v>35</v>
      </c>
      <c r="G265" s="1"/>
      <c r="H265" s="7">
        <v>16.936299999999999</v>
      </c>
      <c r="I265" s="6">
        <v>4999.75</v>
      </c>
      <c r="J265" s="5">
        <v>295.209</v>
      </c>
      <c r="K265" s="5">
        <f t="shared" si="4"/>
        <v>295.209</v>
      </c>
      <c r="L26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65" s="1" t="s">
        <v>141</v>
      </c>
    </row>
    <row r="266" spans="1:13" ht="27.6" x14ac:dyDescent="0.3">
      <c r="A266" s="13">
        <v>44433</v>
      </c>
      <c r="B266" s="1" t="s">
        <v>714</v>
      </c>
      <c r="C266" s="14" t="s">
        <v>138</v>
      </c>
      <c r="D266" s="1" t="s">
        <v>576</v>
      </c>
      <c r="E266" s="1" t="s">
        <v>123</v>
      </c>
      <c r="F266" s="1" t="s">
        <v>45</v>
      </c>
      <c r="G266" s="1"/>
      <c r="H266" s="7">
        <v>10</v>
      </c>
      <c r="I266" s="6">
        <v>499975</v>
      </c>
      <c r="J266" s="5">
        <v>49997.5</v>
      </c>
      <c r="K266" s="5">
        <f t="shared" si="4"/>
        <v>49997.5</v>
      </c>
      <c r="L26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499975</v>
      </c>
      <c r="M266" s="1" t="s">
        <v>141</v>
      </c>
    </row>
    <row r="267" spans="1:13" x14ac:dyDescent="0.3">
      <c r="A267" s="13">
        <v>44433</v>
      </c>
      <c r="B267" s="1" t="s">
        <v>715</v>
      </c>
      <c r="C267" s="14" t="s">
        <v>255</v>
      </c>
      <c r="D267" s="1" t="s">
        <v>448</v>
      </c>
      <c r="E267" s="1" t="s">
        <v>111</v>
      </c>
      <c r="F267" s="1" t="s">
        <v>24</v>
      </c>
      <c r="G267" s="1"/>
      <c r="H267" s="7">
        <v>46.18</v>
      </c>
      <c r="I267" s="6">
        <v>2499.88</v>
      </c>
      <c r="J267" s="5">
        <v>54.133000000000003</v>
      </c>
      <c r="K267" s="5">
        <f t="shared" si="4"/>
        <v>54.133000000000003</v>
      </c>
      <c r="L26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67" s="1" t="s">
        <v>141</v>
      </c>
    </row>
    <row r="268" spans="1:13" ht="27.6" x14ac:dyDescent="0.3">
      <c r="A268" s="13">
        <v>44433</v>
      </c>
      <c r="B268" s="1" t="s">
        <v>716</v>
      </c>
      <c r="C268" s="14" t="s">
        <v>255</v>
      </c>
      <c r="D268" s="1" t="s">
        <v>446</v>
      </c>
      <c r="E268" s="1" t="s">
        <v>106</v>
      </c>
      <c r="F268" s="1" t="s">
        <v>17</v>
      </c>
      <c r="G268" s="1"/>
      <c r="H268" s="7">
        <v>152.13999999999999</v>
      </c>
      <c r="I268" s="6">
        <v>2499.88</v>
      </c>
      <c r="J268" s="5">
        <v>16.431000000000001</v>
      </c>
      <c r="K268" s="5">
        <f t="shared" si="4"/>
        <v>16.431000000000001</v>
      </c>
      <c r="L26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68" s="1" t="s">
        <v>141</v>
      </c>
    </row>
    <row r="269" spans="1:13" ht="27.6" x14ac:dyDescent="0.3">
      <c r="A269" s="13">
        <v>44433</v>
      </c>
      <c r="B269" s="1" t="s">
        <v>717</v>
      </c>
      <c r="C269" s="14" t="s">
        <v>255</v>
      </c>
      <c r="D269" s="1" t="s">
        <v>256</v>
      </c>
      <c r="E269" s="1" t="s">
        <v>116</v>
      </c>
      <c r="F269" s="1" t="s">
        <v>36</v>
      </c>
      <c r="G269" s="1"/>
      <c r="H269" s="7">
        <v>91.980999999999995</v>
      </c>
      <c r="I269" s="6">
        <v>2499.88</v>
      </c>
      <c r="J269" s="5">
        <v>27.178000000000001</v>
      </c>
      <c r="K269" s="5">
        <f t="shared" si="4"/>
        <v>27.178000000000001</v>
      </c>
      <c r="L26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69" s="1" t="s">
        <v>141</v>
      </c>
    </row>
    <row r="270" spans="1:13" x14ac:dyDescent="0.3">
      <c r="A270" s="13">
        <v>44433</v>
      </c>
      <c r="B270" s="1" t="s">
        <v>718</v>
      </c>
      <c r="C270" s="14" t="s">
        <v>255</v>
      </c>
      <c r="D270" s="1" t="s">
        <v>444</v>
      </c>
      <c r="E270" s="1" t="s">
        <v>121</v>
      </c>
      <c r="F270" s="1" t="s">
        <v>43</v>
      </c>
      <c r="G270" s="1"/>
      <c r="H270" s="7">
        <v>92.187799999999996</v>
      </c>
      <c r="I270" s="6">
        <v>2499.88</v>
      </c>
      <c r="J270" s="5">
        <v>27.117000000000001</v>
      </c>
      <c r="K270" s="5">
        <f t="shared" si="4"/>
        <v>27.117000000000001</v>
      </c>
      <c r="L27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70" s="1" t="s">
        <v>141</v>
      </c>
    </row>
    <row r="271" spans="1:13" ht="27.6" x14ac:dyDescent="0.3">
      <c r="A271" s="13">
        <v>44424</v>
      </c>
      <c r="B271" s="1" t="s">
        <v>719</v>
      </c>
      <c r="C271" s="14" t="s">
        <v>720</v>
      </c>
      <c r="D271" s="1" t="s">
        <v>576</v>
      </c>
      <c r="E271" s="1" t="s">
        <v>123</v>
      </c>
      <c r="F271" s="1" t="s">
        <v>45</v>
      </c>
      <c r="G271" s="1"/>
      <c r="H271" s="7"/>
      <c r="I271" s="6">
        <v>500000</v>
      </c>
      <c r="J271" s="5">
        <v>0</v>
      </c>
      <c r="K271" s="5">
        <f t="shared" si="4"/>
        <v>0</v>
      </c>
      <c r="L27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0</v>
      </c>
      <c r="M271" s="1" t="s">
        <v>141</v>
      </c>
    </row>
    <row r="272" spans="1:13" x14ac:dyDescent="0.3">
      <c r="A272" s="13">
        <v>44418</v>
      </c>
      <c r="B272" s="1" t="s">
        <v>721</v>
      </c>
      <c r="C272" s="14" t="s">
        <v>255</v>
      </c>
      <c r="D272" s="1" t="s">
        <v>448</v>
      </c>
      <c r="E272" s="1" t="s">
        <v>112</v>
      </c>
      <c r="F272" s="1" t="s">
        <v>25</v>
      </c>
      <c r="G272" s="1"/>
      <c r="H272" s="7">
        <v>224.38</v>
      </c>
      <c r="I272" s="6">
        <v>4999.75</v>
      </c>
      <c r="J272" s="5">
        <v>22.283000000000001</v>
      </c>
      <c r="K272" s="5">
        <f t="shared" si="4"/>
        <v>22.283000000000001</v>
      </c>
      <c r="L27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72" s="1" t="s">
        <v>141</v>
      </c>
    </row>
    <row r="273" spans="1:13" x14ac:dyDescent="0.3">
      <c r="A273" s="13">
        <v>44418</v>
      </c>
      <c r="B273" s="1" t="s">
        <v>722</v>
      </c>
      <c r="C273" s="14" t="s">
        <v>255</v>
      </c>
      <c r="D273" s="1" t="s">
        <v>258</v>
      </c>
      <c r="E273" s="1" t="s">
        <v>16</v>
      </c>
      <c r="F273" s="1" t="s">
        <v>16</v>
      </c>
      <c r="G273" s="1"/>
      <c r="H273" s="7">
        <v>69.535300000000007</v>
      </c>
      <c r="I273" s="6">
        <v>4999.75</v>
      </c>
      <c r="J273" s="5">
        <v>71.902000000000001</v>
      </c>
      <c r="K273" s="5">
        <f t="shared" si="4"/>
        <v>71.902000000000001</v>
      </c>
      <c r="L27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73" s="1" t="s">
        <v>141</v>
      </c>
    </row>
    <row r="274" spans="1:13" x14ac:dyDescent="0.3">
      <c r="A274" s="13">
        <v>44418</v>
      </c>
      <c r="B274" s="1" t="s">
        <v>723</v>
      </c>
      <c r="C274" s="14" t="s">
        <v>255</v>
      </c>
      <c r="D274" s="1" t="s">
        <v>260</v>
      </c>
      <c r="E274" s="1" t="s">
        <v>35</v>
      </c>
      <c r="F274" s="1" t="s">
        <v>35</v>
      </c>
      <c r="G274" s="1"/>
      <c r="H274" s="7">
        <v>16.058299999999999</v>
      </c>
      <c r="I274" s="6">
        <v>4999.75</v>
      </c>
      <c r="J274" s="5">
        <v>311.35000000000002</v>
      </c>
      <c r="K274" s="5">
        <f t="shared" si="4"/>
        <v>311.35000000000002</v>
      </c>
      <c r="L27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74" s="1" t="s">
        <v>141</v>
      </c>
    </row>
    <row r="275" spans="1:13" ht="27.6" x14ac:dyDescent="0.3">
      <c r="A275" s="13">
        <v>44418</v>
      </c>
      <c r="B275" s="1" t="s">
        <v>724</v>
      </c>
      <c r="C275" s="14" t="s">
        <v>255</v>
      </c>
      <c r="D275" s="1" t="s">
        <v>446</v>
      </c>
      <c r="E275" s="1" t="s">
        <v>106</v>
      </c>
      <c r="F275" s="1" t="s">
        <v>17</v>
      </c>
      <c r="G275" s="1"/>
      <c r="H275" s="7">
        <v>151.26</v>
      </c>
      <c r="I275" s="6">
        <v>4999.75</v>
      </c>
      <c r="J275" s="5">
        <v>33.054000000000002</v>
      </c>
      <c r="K275" s="5">
        <f t="shared" si="4"/>
        <v>33.054000000000002</v>
      </c>
      <c r="L27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75" s="1" t="s">
        <v>141</v>
      </c>
    </row>
    <row r="276" spans="1:13" x14ac:dyDescent="0.3">
      <c r="A276" s="13">
        <v>44403</v>
      </c>
      <c r="B276" s="1" t="s">
        <v>725</v>
      </c>
      <c r="C276" s="14" t="s">
        <v>255</v>
      </c>
      <c r="D276" s="1" t="s">
        <v>448</v>
      </c>
      <c r="E276" s="1" t="s">
        <v>111</v>
      </c>
      <c r="F276" s="1" t="s">
        <v>24</v>
      </c>
      <c r="G276" s="1"/>
      <c r="H276" s="7">
        <v>44.63</v>
      </c>
      <c r="I276" s="6">
        <v>2499.88</v>
      </c>
      <c r="J276" s="5">
        <v>56.012999999999998</v>
      </c>
      <c r="K276" s="5">
        <f t="shared" si="4"/>
        <v>56.012999999999998</v>
      </c>
      <c r="L27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76" s="1" t="s">
        <v>141</v>
      </c>
    </row>
    <row r="277" spans="1:13" ht="27.6" x14ac:dyDescent="0.3">
      <c r="A277" s="13">
        <v>44403</v>
      </c>
      <c r="B277" s="1" t="s">
        <v>726</v>
      </c>
      <c r="C277" s="14" t="s">
        <v>255</v>
      </c>
      <c r="D277" s="1" t="s">
        <v>446</v>
      </c>
      <c r="E277" s="1" t="s">
        <v>106</v>
      </c>
      <c r="F277" s="1" t="s">
        <v>17</v>
      </c>
      <c r="G277" s="1"/>
      <c r="H277" s="7">
        <v>149.65</v>
      </c>
      <c r="I277" s="6">
        <v>2499.88</v>
      </c>
      <c r="J277" s="5">
        <v>16.704999999999998</v>
      </c>
      <c r="K277" s="5">
        <f t="shared" si="4"/>
        <v>16.704999999999998</v>
      </c>
      <c r="L27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77" s="1" t="s">
        <v>141</v>
      </c>
    </row>
    <row r="278" spans="1:13" ht="27.6" x14ac:dyDescent="0.3">
      <c r="A278" s="13">
        <v>44403</v>
      </c>
      <c r="B278" s="1" t="s">
        <v>727</v>
      </c>
      <c r="C278" s="14" t="s">
        <v>255</v>
      </c>
      <c r="D278" s="1" t="s">
        <v>256</v>
      </c>
      <c r="E278" s="1" t="s">
        <v>116</v>
      </c>
      <c r="F278" s="1" t="s">
        <v>36</v>
      </c>
      <c r="G278" s="1"/>
      <c r="H278" s="7">
        <v>90.322999999999993</v>
      </c>
      <c r="I278" s="6">
        <v>2499.88</v>
      </c>
      <c r="J278" s="5">
        <v>27.677</v>
      </c>
      <c r="K278" s="5">
        <f t="shared" si="4"/>
        <v>27.677</v>
      </c>
      <c r="L27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78" s="1" t="s">
        <v>141</v>
      </c>
    </row>
    <row r="279" spans="1:13" x14ac:dyDescent="0.3">
      <c r="A279" s="13">
        <v>44403</v>
      </c>
      <c r="B279" s="1" t="s">
        <v>728</v>
      </c>
      <c r="C279" s="14" t="s">
        <v>255</v>
      </c>
      <c r="D279" s="1" t="s">
        <v>444</v>
      </c>
      <c r="E279" s="1" t="s">
        <v>121</v>
      </c>
      <c r="F279" s="1" t="s">
        <v>43</v>
      </c>
      <c r="G279" s="1"/>
      <c r="H279" s="7">
        <v>94.876999999999995</v>
      </c>
      <c r="I279" s="6">
        <v>2499.88</v>
      </c>
      <c r="J279" s="5">
        <v>26.349</v>
      </c>
      <c r="K279" s="5">
        <f t="shared" si="4"/>
        <v>26.349</v>
      </c>
      <c r="L27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79" s="1" t="s">
        <v>141</v>
      </c>
    </row>
    <row r="280" spans="1:13" ht="27.6" x14ac:dyDescent="0.3">
      <c r="A280" s="13">
        <v>44389</v>
      </c>
      <c r="B280" s="1" t="s">
        <v>729</v>
      </c>
      <c r="C280" s="14" t="s">
        <v>255</v>
      </c>
      <c r="D280" s="1" t="s">
        <v>446</v>
      </c>
      <c r="E280" s="1" t="s">
        <v>106</v>
      </c>
      <c r="F280" s="1" t="s">
        <v>17</v>
      </c>
      <c r="G280" s="1"/>
      <c r="H280" s="7">
        <v>147.05000000000001</v>
      </c>
      <c r="I280" s="6">
        <v>4999.75</v>
      </c>
      <c r="J280" s="5">
        <v>34</v>
      </c>
      <c r="K280" s="5">
        <f t="shared" si="4"/>
        <v>34</v>
      </c>
      <c r="L28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80" s="1" t="s">
        <v>141</v>
      </c>
    </row>
    <row r="281" spans="1:13" x14ac:dyDescent="0.3">
      <c r="A281" s="13">
        <v>44389</v>
      </c>
      <c r="B281" s="1" t="s">
        <v>730</v>
      </c>
      <c r="C281" s="14" t="s">
        <v>255</v>
      </c>
      <c r="D281" s="1" t="s">
        <v>260</v>
      </c>
      <c r="E281" s="1" t="s">
        <v>35</v>
      </c>
      <c r="F281" s="1" t="s">
        <v>35</v>
      </c>
      <c r="G281" s="1"/>
      <c r="H281" s="7">
        <v>15.997999999999999</v>
      </c>
      <c r="I281" s="6">
        <v>4999.75</v>
      </c>
      <c r="J281" s="5">
        <v>312.52300000000002</v>
      </c>
      <c r="K281" s="5">
        <f t="shared" si="4"/>
        <v>312.52300000000002</v>
      </c>
      <c r="L28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81" s="1" t="s">
        <v>141</v>
      </c>
    </row>
    <row r="282" spans="1:13" x14ac:dyDescent="0.3">
      <c r="A282" s="13">
        <v>44389</v>
      </c>
      <c r="B282" s="1" t="s">
        <v>731</v>
      </c>
      <c r="C282" s="14" t="s">
        <v>255</v>
      </c>
      <c r="D282" s="1" t="s">
        <v>258</v>
      </c>
      <c r="E282" s="1" t="s">
        <v>16</v>
      </c>
      <c r="F282" s="1" t="s">
        <v>16</v>
      </c>
      <c r="G282" s="1"/>
      <c r="H282" s="7">
        <v>68.046499999999995</v>
      </c>
      <c r="I282" s="6">
        <v>4999.75</v>
      </c>
      <c r="J282" s="5">
        <v>73.474999999999994</v>
      </c>
      <c r="K282" s="5">
        <f t="shared" si="4"/>
        <v>73.474999999999994</v>
      </c>
      <c r="L28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82" s="1" t="s">
        <v>141</v>
      </c>
    </row>
    <row r="283" spans="1:13" x14ac:dyDescent="0.3">
      <c r="A283" s="13">
        <v>44389</v>
      </c>
      <c r="B283" s="1" t="s">
        <v>732</v>
      </c>
      <c r="C283" s="14" t="s">
        <v>255</v>
      </c>
      <c r="D283" s="1" t="s">
        <v>448</v>
      </c>
      <c r="E283" s="1" t="s">
        <v>112</v>
      </c>
      <c r="F283" s="1" t="s">
        <v>25</v>
      </c>
      <c r="G283" s="1"/>
      <c r="H283" s="7">
        <v>214.98</v>
      </c>
      <c r="I283" s="6">
        <v>4999.75</v>
      </c>
      <c r="J283" s="5">
        <v>23.257000000000001</v>
      </c>
      <c r="K283" s="5">
        <f t="shared" si="4"/>
        <v>23.257000000000001</v>
      </c>
      <c r="L28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83" s="1" t="s">
        <v>141</v>
      </c>
    </row>
    <row r="284" spans="1:13" ht="27.6" x14ac:dyDescent="0.3">
      <c r="A284" s="13">
        <v>44372</v>
      </c>
      <c r="B284" s="1" t="s">
        <v>733</v>
      </c>
      <c r="C284" s="14" t="s">
        <v>255</v>
      </c>
      <c r="D284" s="1" t="s">
        <v>446</v>
      </c>
      <c r="E284" s="1" t="s">
        <v>106</v>
      </c>
      <c r="F284" s="1" t="s">
        <v>17</v>
      </c>
      <c r="G284" s="1"/>
      <c r="H284" s="7">
        <v>144.87</v>
      </c>
      <c r="I284" s="6">
        <v>2499.88</v>
      </c>
      <c r="J284" s="5">
        <v>17.256</v>
      </c>
      <c r="K284" s="5">
        <f t="shared" si="4"/>
        <v>17.256</v>
      </c>
      <c r="L28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84" s="1" t="s">
        <v>141</v>
      </c>
    </row>
    <row r="285" spans="1:13" x14ac:dyDescent="0.3">
      <c r="A285" s="13">
        <v>44372</v>
      </c>
      <c r="B285" s="1" t="s">
        <v>734</v>
      </c>
      <c r="C285" s="14" t="s">
        <v>255</v>
      </c>
      <c r="D285" s="1" t="s">
        <v>448</v>
      </c>
      <c r="E285" s="1" t="s">
        <v>111</v>
      </c>
      <c r="F285" s="1" t="s">
        <v>24</v>
      </c>
      <c r="G285" s="1"/>
      <c r="H285" s="7">
        <v>43.76</v>
      </c>
      <c r="I285" s="6">
        <v>2499.88</v>
      </c>
      <c r="J285" s="5">
        <v>57.127000000000002</v>
      </c>
      <c r="K285" s="5">
        <f t="shared" si="4"/>
        <v>57.127000000000002</v>
      </c>
      <c r="L28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85" s="1" t="s">
        <v>141</v>
      </c>
    </row>
    <row r="286" spans="1:13" x14ac:dyDescent="0.3">
      <c r="A286" s="13">
        <v>44372</v>
      </c>
      <c r="B286" s="1" t="s">
        <v>735</v>
      </c>
      <c r="C286" s="14" t="s">
        <v>255</v>
      </c>
      <c r="D286" s="1" t="s">
        <v>444</v>
      </c>
      <c r="E286" s="1" t="s">
        <v>121</v>
      </c>
      <c r="F286" s="1" t="s">
        <v>43</v>
      </c>
      <c r="G286" s="1"/>
      <c r="H286" s="7">
        <v>91.062299999999993</v>
      </c>
      <c r="I286" s="6">
        <v>2499.88</v>
      </c>
      <c r="J286" s="5">
        <v>27.452000000000002</v>
      </c>
      <c r="K286" s="5">
        <f t="shared" si="4"/>
        <v>27.452000000000002</v>
      </c>
      <c r="L28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86" s="1" t="s">
        <v>141</v>
      </c>
    </row>
    <row r="287" spans="1:13" ht="27.6" x14ac:dyDescent="0.3">
      <c r="A287" s="13">
        <v>44372</v>
      </c>
      <c r="B287" s="1" t="s">
        <v>736</v>
      </c>
      <c r="C287" s="14" t="s">
        <v>255</v>
      </c>
      <c r="D287" s="1" t="s">
        <v>256</v>
      </c>
      <c r="E287" s="1" t="s">
        <v>116</v>
      </c>
      <c r="F287" s="1" t="s">
        <v>36</v>
      </c>
      <c r="G287" s="1"/>
      <c r="H287" s="7">
        <v>87.8</v>
      </c>
      <c r="I287" s="6">
        <v>2499.88</v>
      </c>
      <c r="J287" s="5">
        <v>28.472000000000001</v>
      </c>
      <c r="K287" s="5">
        <f t="shared" si="4"/>
        <v>28.472000000000001</v>
      </c>
      <c r="L28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87" s="1" t="s">
        <v>141</v>
      </c>
    </row>
    <row r="288" spans="1:13" x14ac:dyDescent="0.3">
      <c r="A288" s="13">
        <v>44342</v>
      </c>
      <c r="B288" s="1" t="s">
        <v>737</v>
      </c>
      <c r="C288" s="14" t="s">
        <v>255</v>
      </c>
      <c r="D288" s="1" t="s">
        <v>448</v>
      </c>
      <c r="E288" s="1" t="s">
        <v>111</v>
      </c>
      <c r="F288" s="1" t="s">
        <v>24</v>
      </c>
      <c r="G288" s="1"/>
      <c r="H288" s="7">
        <v>42.36</v>
      </c>
      <c r="I288" s="6">
        <v>2499.88</v>
      </c>
      <c r="J288" s="5">
        <v>59.015000000000001</v>
      </c>
      <c r="K288" s="5">
        <f t="shared" si="4"/>
        <v>59.015000000000001</v>
      </c>
      <c r="L28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88" s="1" t="s">
        <v>141</v>
      </c>
    </row>
    <row r="289" spans="1:13" x14ac:dyDescent="0.3">
      <c r="A289" s="13">
        <v>44342</v>
      </c>
      <c r="B289" s="1" t="s">
        <v>738</v>
      </c>
      <c r="C289" s="14" t="s">
        <v>255</v>
      </c>
      <c r="D289" s="1" t="s">
        <v>258</v>
      </c>
      <c r="E289" s="1" t="s">
        <v>16</v>
      </c>
      <c r="F289" s="1" t="s">
        <v>16</v>
      </c>
      <c r="G289" s="1"/>
      <c r="H289" s="7">
        <v>65.515299999999996</v>
      </c>
      <c r="I289" s="6">
        <v>4999.75</v>
      </c>
      <c r="J289" s="5">
        <v>76.313999999999993</v>
      </c>
      <c r="K289" s="5">
        <f t="shared" si="4"/>
        <v>76.313999999999993</v>
      </c>
      <c r="L28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89" s="1" t="s">
        <v>141</v>
      </c>
    </row>
    <row r="290" spans="1:13" ht="27.6" x14ac:dyDescent="0.3">
      <c r="A290" s="13">
        <v>44342</v>
      </c>
      <c r="B290" s="1" t="s">
        <v>739</v>
      </c>
      <c r="C290" s="14" t="s">
        <v>255</v>
      </c>
      <c r="D290" s="1" t="s">
        <v>256</v>
      </c>
      <c r="E290" s="1" t="s">
        <v>116</v>
      </c>
      <c r="F290" s="1" t="s">
        <v>36</v>
      </c>
      <c r="G290" s="1"/>
      <c r="H290" s="7">
        <v>84.134</v>
      </c>
      <c r="I290" s="6">
        <v>2499.88</v>
      </c>
      <c r="J290" s="5">
        <v>29.713000000000001</v>
      </c>
      <c r="K290" s="5">
        <f t="shared" si="4"/>
        <v>29.713000000000001</v>
      </c>
      <c r="L29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90" s="1" t="s">
        <v>141</v>
      </c>
    </row>
    <row r="291" spans="1:13" x14ac:dyDescent="0.3">
      <c r="A291" s="13">
        <v>44342</v>
      </c>
      <c r="B291" s="1" t="s">
        <v>740</v>
      </c>
      <c r="C291" s="14" t="s">
        <v>255</v>
      </c>
      <c r="D291" s="1" t="s">
        <v>448</v>
      </c>
      <c r="E291" s="1" t="s">
        <v>112</v>
      </c>
      <c r="F291" s="1" t="s">
        <v>25</v>
      </c>
      <c r="G291" s="1"/>
      <c r="H291" s="7">
        <v>210.26</v>
      </c>
      <c r="I291" s="6">
        <v>4999.75</v>
      </c>
      <c r="J291" s="5">
        <v>23.779</v>
      </c>
      <c r="K291" s="5">
        <f t="shared" si="4"/>
        <v>23.779</v>
      </c>
      <c r="L29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91" s="1" t="s">
        <v>141</v>
      </c>
    </row>
    <row r="292" spans="1:13" ht="27.6" x14ac:dyDescent="0.3">
      <c r="A292" s="13">
        <v>44342</v>
      </c>
      <c r="B292" s="1" t="s">
        <v>741</v>
      </c>
      <c r="C292" s="14" t="s">
        <v>255</v>
      </c>
      <c r="D292" s="1" t="s">
        <v>446</v>
      </c>
      <c r="E292" s="1" t="s">
        <v>106</v>
      </c>
      <c r="F292" s="1" t="s">
        <v>17</v>
      </c>
      <c r="G292" s="1"/>
      <c r="H292" s="7">
        <v>136.16999999999999</v>
      </c>
      <c r="I292" s="6">
        <v>2499.88</v>
      </c>
      <c r="J292" s="5">
        <v>18.359000000000002</v>
      </c>
      <c r="K292" s="5">
        <f t="shared" si="4"/>
        <v>18.359000000000002</v>
      </c>
      <c r="L29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92" s="1" t="s">
        <v>141</v>
      </c>
    </row>
    <row r="293" spans="1:13" ht="27.6" x14ac:dyDescent="0.3">
      <c r="A293" s="13">
        <v>44342</v>
      </c>
      <c r="B293" s="1" t="s">
        <v>742</v>
      </c>
      <c r="C293" s="14" t="s">
        <v>255</v>
      </c>
      <c r="D293" s="1" t="s">
        <v>446</v>
      </c>
      <c r="E293" s="1" t="s">
        <v>106</v>
      </c>
      <c r="F293" s="1" t="s">
        <v>17</v>
      </c>
      <c r="G293" s="1"/>
      <c r="H293" s="7">
        <v>136.16999999999999</v>
      </c>
      <c r="I293" s="6">
        <v>4999.75</v>
      </c>
      <c r="J293" s="5">
        <v>36.716999999999999</v>
      </c>
      <c r="K293" s="5">
        <f t="shared" si="4"/>
        <v>36.716999999999999</v>
      </c>
      <c r="L29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93" s="1" t="s">
        <v>141</v>
      </c>
    </row>
    <row r="294" spans="1:13" x14ac:dyDescent="0.3">
      <c r="A294" s="13">
        <v>44342</v>
      </c>
      <c r="B294" s="1" t="s">
        <v>743</v>
      </c>
      <c r="C294" s="14" t="s">
        <v>255</v>
      </c>
      <c r="D294" s="1" t="s">
        <v>444</v>
      </c>
      <c r="E294" s="1" t="s">
        <v>121</v>
      </c>
      <c r="F294" s="1" t="s">
        <v>43</v>
      </c>
      <c r="G294" s="1"/>
      <c r="H294" s="7">
        <v>88.622699999999995</v>
      </c>
      <c r="I294" s="6">
        <v>2499.88</v>
      </c>
      <c r="J294" s="5">
        <v>28.207999999999998</v>
      </c>
      <c r="K294" s="5">
        <f t="shared" si="4"/>
        <v>28.207999999999998</v>
      </c>
      <c r="L29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94" s="1" t="s">
        <v>141</v>
      </c>
    </row>
    <row r="295" spans="1:13" x14ac:dyDescent="0.3">
      <c r="A295" s="13">
        <v>44342</v>
      </c>
      <c r="B295" s="1" t="s">
        <v>744</v>
      </c>
      <c r="C295" s="14" t="s">
        <v>255</v>
      </c>
      <c r="D295" s="1" t="s">
        <v>260</v>
      </c>
      <c r="E295" s="1" t="s">
        <v>35</v>
      </c>
      <c r="F295" s="1" t="s">
        <v>35</v>
      </c>
      <c r="G295" s="1"/>
      <c r="H295" s="7">
        <v>14.726699999999999</v>
      </c>
      <c r="I295" s="6">
        <v>4999.75</v>
      </c>
      <c r="J295" s="5">
        <v>339.50200000000001</v>
      </c>
      <c r="K295" s="5">
        <f t="shared" si="4"/>
        <v>339.50200000000001</v>
      </c>
      <c r="L29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4999.75</v>
      </c>
      <c r="M295" s="1" t="s">
        <v>141</v>
      </c>
    </row>
    <row r="296" spans="1:13" ht="27.6" x14ac:dyDescent="0.3">
      <c r="A296" s="13">
        <v>44313</v>
      </c>
      <c r="B296" s="1" t="s">
        <v>745</v>
      </c>
      <c r="C296" s="14" t="s">
        <v>255</v>
      </c>
      <c r="D296" s="1" t="s">
        <v>446</v>
      </c>
      <c r="E296" s="1" t="s">
        <v>106</v>
      </c>
      <c r="F296" s="1" t="s">
        <v>17</v>
      </c>
      <c r="G296" s="1"/>
      <c r="H296" s="7">
        <v>129.96</v>
      </c>
      <c r="I296" s="6">
        <v>2499.88</v>
      </c>
      <c r="J296" s="5">
        <v>19.236000000000001</v>
      </c>
      <c r="K296" s="5">
        <f t="shared" si="4"/>
        <v>19.236000000000001</v>
      </c>
      <c r="L29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96" s="1" t="s">
        <v>141</v>
      </c>
    </row>
    <row r="297" spans="1:13" ht="27.6" x14ac:dyDescent="0.3">
      <c r="A297" s="13">
        <v>44313</v>
      </c>
      <c r="B297" s="1" t="s">
        <v>746</v>
      </c>
      <c r="C297" s="14" t="s">
        <v>255</v>
      </c>
      <c r="D297" s="1" t="s">
        <v>256</v>
      </c>
      <c r="E297" s="1" t="s">
        <v>116</v>
      </c>
      <c r="F297" s="1" t="s">
        <v>36</v>
      </c>
      <c r="G297" s="1"/>
      <c r="H297" s="7">
        <v>79.349999999999994</v>
      </c>
      <c r="I297" s="6">
        <v>2499.88</v>
      </c>
      <c r="J297" s="5">
        <v>31.504000000000001</v>
      </c>
      <c r="K297" s="5">
        <f t="shared" si="4"/>
        <v>31.504000000000001</v>
      </c>
      <c r="L29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97" s="1" t="s">
        <v>141</v>
      </c>
    </row>
    <row r="298" spans="1:13" x14ac:dyDescent="0.3">
      <c r="A298" s="13">
        <v>44313</v>
      </c>
      <c r="B298" s="1" t="s">
        <v>747</v>
      </c>
      <c r="C298" s="14" t="s">
        <v>255</v>
      </c>
      <c r="D298" s="1" t="s">
        <v>448</v>
      </c>
      <c r="E298" s="1" t="s">
        <v>111</v>
      </c>
      <c r="F298" s="1" t="s">
        <v>24</v>
      </c>
      <c r="G298" s="1"/>
      <c r="H298" s="7">
        <v>39.47</v>
      </c>
      <c r="I298" s="6">
        <v>2499.88</v>
      </c>
      <c r="J298" s="5">
        <v>63.335999999999999</v>
      </c>
      <c r="K298" s="5">
        <f t="shared" si="4"/>
        <v>63.335999999999999</v>
      </c>
      <c r="L29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98" s="1" t="s">
        <v>141</v>
      </c>
    </row>
    <row r="299" spans="1:13" x14ac:dyDescent="0.3">
      <c r="A299" s="13">
        <v>44313</v>
      </c>
      <c r="B299" s="1" t="s">
        <v>748</v>
      </c>
      <c r="C299" s="14" t="s">
        <v>255</v>
      </c>
      <c r="D299" s="1" t="s">
        <v>444</v>
      </c>
      <c r="E299" s="1" t="s">
        <v>121</v>
      </c>
      <c r="F299" s="1" t="s">
        <v>43</v>
      </c>
      <c r="G299" s="1"/>
      <c r="H299" s="7">
        <v>81.623000000000005</v>
      </c>
      <c r="I299" s="6">
        <v>2499.88</v>
      </c>
      <c r="J299" s="5">
        <v>30.626999999999999</v>
      </c>
      <c r="K299" s="5">
        <f t="shared" si="4"/>
        <v>30.626999999999999</v>
      </c>
      <c r="L29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299" s="1" t="s">
        <v>141</v>
      </c>
    </row>
    <row r="300" spans="1:13" ht="27.6" x14ac:dyDescent="0.3">
      <c r="A300" s="13">
        <v>44286</v>
      </c>
      <c r="B300" s="1" t="s">
        <v>749</v>
      </c>
      <c r="C300" s="14" t="s">
        <v>138</v>
      </c>
      <c r="D300" s="1" t="s">
        <v>446</v>
      </c>
      <c r="E300" s="1" t="s">
        <v>106</v>
      </c>
      <c r="F300" s="1" t="s">
        <v>17</v>
      </c>
      <c r="G300" s="1"/>
      <c r="H300" s="7">
        <v>129.22</v>
      </c>
      <c r="I300" s="6">
        <v>74996.25</v>
      </c>
      <c r="J300" s="5">
        <v>580.37599999999998</v>
      </c>
      <c r="K300" s="5">
        <f t="shared" si="4"/>
        <v>580.37599999999998</v>
      </c>
      <c r="L30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74996.25</v>
      </c>
      <c r="M300" s="1" t="s">
        <v>141</v>
      </c>
    </row>
    <row r="301" spans="1:13" ht="27.6" x14ac:dyDescent="0.3">
      <c r="A301" s="13">
        <v>44286</v>
      </c>
      <c r="B301" s="1" t="s">
        <v>750</v>
      </c>
      <c r="C301" s="14" t="s">
        <v>138</v>
      </c>
      <c r="D301" s="1" t="s">
        <v>672</v>
      </c>
      <c r="E301" s="1" t="s">
        <v>39</v>
      </c>
      <c r="F301" s="1" t="s">
        <v>39</v>
      </c>
      <c r="G301" s="1"/>
      <c r="H301" s="7">
        <v>143.13999999999999</v>
      </c>
      <c r="I301" s="6">
        <v>74996.25</v>
      </c>
      <c r="J301" s="5">
        <v>523.93600000000004</v>
      </c>
      <c r="K301" s="5">
        <f t="shared" si="4"/>
        <v>523.93600000000004</v>
      </c>
      <c r="L30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74996.25</v>
      </c>
      <c r="M301" s="1" t="s">
        <v>141</v>
      </c>
    </row>
    <row r="302" spans="1:13" ht="27.6" x14ac:dyDescent="0.3">
      <c r="A302" s="13">
        <v>44271</v>
      </c>
      <c r="B302" s="1" t="s">
        <v>751</v>
      </c>
      <c r="C302" s="14" t="s">
        <v>255</v>
      </c>
      <c r="D302" s="1" t="s">
        <v>446</v>
      </c>
      <c r="E302" s="1" t="s">
        <v>106</v>
      </c>
      <c r="F302" s="1" t="s">
        <v>17</v>
      </c>
      <c r="G302" s="1"/>
      <c r="H302" s="7">
        <v>131.9</v>
      </c>
      <c r="I302" s="6">
        <v>2499.88</v>
      </c>
      <c r="J302" s="5">
        <v>18.952999999999999</v>
      </c>
      <c r="K302" s="5">
        <f t="shared" si="4"/>
        <v>18.952999999999999</v>
      </c>
      <c r="L30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02" s="1" t="s">
        <v>141</v>
      </c>
    </row>
    <row r="303" spans="1:13" x14ac:dyDescent="0.3">
      <c r="A303" s="13">
        <v>44271</v>
      </c>
      <c r="B303" s="1" t="s">
        <v>752</v>
      </c>
      <c r="C303" s="14" t="s">
        <v>255</v>
      </c>
      <c r="D303" s="1" t="s">
        <v>448</v>
      </c>
      <c r="E303" s="1" t="s">
        <v>111</v>
      </c>
      <c r="F303" s="1" t="s">
        <v>24</v>
      </c>
      <c r="G303" s="1"/>
      <c r="H303" s="7">
        <v>40.159999999999997</v>
      </c>
      <c r="I303" s="6">
        <v>2499.88</v>
      </c>
      <c r="J303" s="5">
        <v>62.247999999999998</v>
      </c>
      <c r="K303" s="5">
        <f t="shared" si="4"/>
        <v>62.247999999999998</v>
      </c>
      <c r="L303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03" s="1" t="s">
        <v>141</v>
      </c>
    </row>
    <row r="304" spans="1:13" x14ac:dyDescent="0.3">
      <c r="A304" s="13">
        <v>44271</v>
      </c>
      <c r="B304" s="1" t="s">
        <v>753</v>
      </c>
      <c r="C304" s="14" t="s">
        <v>255</v>
      </c>
      <c r="D304" s="1" t="s">
        <v>444</v>
      </c>
      <c r="E304" s="1" t="s">
        <v>121</v>
      </c>
      <c r="F304" s="1" t="s">
        <v>43</v>
      </c>
      <c r="G304" s="1"/>
      <c r="H304" s="7">
        <v>80.814999999999998</v>
      </c>
      <c r="I304" s="6">
        <v>2499.88</v>
      </c>
      <c r="J304" s="5">
        <v>30.933</v>
      </c>
      <c r="K304" s="5">
        <f t="shared" si="4"/>
        <v>30.933</v>
      </c>
      <c r="L30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04" s="1" t="s">
        <v>141</v>
      </c>
    </row>
    <row r="305" spans="1:13" ht="27.6" x14ac:dyDescent="0.3">
      <c r="A305" s="13">
        <v>44271</v>
      </c>
      <c r="B305" s="1" t="s">
        <v>754</v>
      </c>
      <c r="C305" s="14" t="s">
        <v>255</v>
      </c>
      <c r="D305" s="1" t="s">
        <v>256</v>
      </c>
      <c r="E305" s="1" t="s">
        <v>116</v>
      </c>
      <c r="F305" s="1" t="s">
        <v>36</v>
      </c>
      <c r="G305" s="1"/>
      <c r="H305" s="7">
        <v>79.456999999999994</v>
      </c>
      <c r="I305" s="6">
        <v>2499.88</v>
      </c>
      <c r="J305" s="5">
        <v>31.462</v>
      </c>
      <c r="K305" s="5">
        <f t="shared" si="4"/>
        <v>31.462</v>
      </c>
      <c r="L30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05" s="1" t="s">
        <v>141</v>
      </c>
    </row>
    <row r="306" spans="1:13" x14ac:dyDescent="0.3">
      <c r="A306" s="13">
        <v>46139</v>
      </c>
      <c r="C306" s="14" t="s">
        <v>255</v>
      </c>
      <c r="D306" t="s">
        <v>446</v>
      </c>
      <c r="E306" t="s">
        <v>106</v>
      </c>
      <c r="F306" t="s">
        <v>17</v>
      </c>
      <c r="H306">
        <v>246.29</v>
      </c>
      <c r="I306" s="6">
        <v>2499.88</v>
      </c>
      <c r="J306" s="5">
        <v>10.15</v>
      </c>
      <c r="K306" s="5">
        <f>IF(OR(EXACT(C306,"Redemption"),EXACT(C306,"Redeem"),EXACT(C306,"Switch Out"),EXACT(C306,"sell"),EXACT(C306,"Sell")),-J306,J306)</f>
        <v>10.15</v>
      </c>
      <c r="L30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06" s="1" t="s">
        <v>141</v>
      </c>
    </row>
    <row r="307" spans="1:13" x14ac:dyDescent="0.3">
      <c r="A307" s="13">
        <v>46139</v>
      </c>
      <c r="C307" s="14" t="s">
        <v>255</v>
      </c>
      <c r="D307" s="1" t="s">
        <v>256</v>
      </c>
      <c r="E307" s="1" t="s">
        <v>116</v>
      </c>
      <c r="F307" s="1" t="s">
        <v>36</v>
      </c>
      <c r="H307">
        <v>150.95400000000001</v>
      </c>
      <c r="I307" s="6">
        <v>2499.88</v>
      </c>
      <c r="J307" s="5">
        <v>16.561</v>
      </c>
      <c r="K307" s="5">
        <f>IF(OR(EXACT(C307,"Redemption"),EXACT(C307,"Redeem"),EXACT(C307,"Switch Out"),EXACT(C307,"sell"),EXACT(C307,"Sell")),-J307,J307)</f>
        <v>16.561</v>
      </c>
      <c r="L307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07" s="1" t="s">
        <v>141</v>
      </c>
    </row>
    <row r="308" spans="1:13" x14ac:dyDescent="0.3">
      <c r="A308" s="13">
        <v>46139</v>
      </c>
      <c r="C308" s="14" t="s">
        <v>255</v>
      </c>
      <c r="D308" s="1" t="s">
        <v>444</v>
      </c>
      <c r="E308" s="1" t="s">
        <v>121</v>
      </c>
      <c r="F308" s="1" t="s">
        <v>43</v>
      </c>
      <c r="G308" s="1"/>
      <c r="H308" s="7">
        <v>168.309</v>
      </c>
      <c r="I308" s="6">
        <v>2499.88</v>
      </c>
      <c r="J308" s="5">
        <v>14.853</v>
      </c>
      <c r="K308" s="5">
        <f>IF(OR(EXACT(C308,"Redemption"),EXACT(C308,"Redeem"),EXACT(C308,"Switch Out"),EXACT(C308,"sell"),EXACT(C308,"Sell")),-J308,J308)</f>
        <v>14.853</v>
      </c>
      <c r="L308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08" s="1" t="s">
        <v>141</v>
      </c>
    </row>
    <row r="309" spans="1:13" x14ac:dyDescent="0.3">
      <c r="A309" s="13">
        <v>46139</v>
      </c>
      <c r="C309" s="14" t="s">
        <v>255</v>
      </c>
      <c r="D309" s="1" t="s">
        <v>448</v>
      </c>
      <c r="E309" s="1" t="s">
        <v>111</v>
      </c>
      <c r="F309" s="1" t="s">
        <v>24</v>
      </c>
      <c r="G309" s="1"/>
      <c r="H309" s="7">
        <v>91.52</v>
      </c>
      <c r="I309" s="6">
        <v>2499.88</v>
      </c>
      <c r="J309" s="5">
        <v>27.315000000000001</v>
      </c>
      <c r="K309" s="5">
        <f t="shared" ref="K309" si="5">IF(OR(EXACT(C309,"Redemption"),EXACT(C309,"Redeem"),EXACT(C309,"Switch Out"),EXACT(C309,"sell"),EXACT(C309,"Sell")),-J309,J309)</f>
        <v>27.315000000000001</v>
      </c>
      <c r="L309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09" s="1" t="s">
        <v>141</v>
      </c>
    </row>
    <row r="310" spans="1:13" x14ac:dyDescent="0.3">
      <c r="A310" s="13">
        <v>46167</v>
      </c>
      <c r="C310" s="14" t="s">
        <v>255</v>
      </c>
      <c r="D310" t="s">
        <v>446</v>
      </c>
      <c r="E310" t="s">
        <v>106</v>
      </c>
      <c r="F310" t="s">
        <v>17</v>
      </c>
      <c r="H310">
        <v>246.29</v>
      </c>
      <c r="I310" s="6">
        <v>2499.88</v>
      </c>
      <c r="J310" s="5">
        <v>10.15</v>
      </c>
      <c r="K310" s="5">
        <f>IF(OR(EXACT(C310,"Redemption"),EXACT(C310,"Redeem"),EXACT(C310,"Switch Out"),EXACT(C310,"sell"),EXACT(C310,"Sell")),-J310,J310)</f>
        <v>10.15</v>
      </c>
      <c r="L310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10" s="1" t="s">
        <v>141</v>
      </c>
    </row>
    <row r="311" spans="1:13" x14ac:dyDescent="0.3">
      <c r="A311" s="13">
        <v>46167</v>
      </c>
      <c r="C311" s="14" t="s">
        <v>255</v>
      </c>
      <c r="D311" s="1" t="s">
        <v>256</v>
      </c>
      <c r="E311" s="1" t="s">
        <v>116</v>
      </c>
      <c r="F311" s="1" t="s">
        <v>36</v>
      </c>
      <c r="H311">
        <v>150.95400000000001</v>
      </c>
      <c r="I311" s="6">
        <v>2499.88</v>
      </c>
      <c r="J311" s="5">
        <v>16.561</v>
      </c>
      <c r="K311" s="5">
        <f>IF(OR(EXACT(C311,"Redemption"),EXACT(C311,"Redeem"),EXACT(C311,"Switch Out"),EXACT(C311,"sell"),EXACT(C311,"Sell")),-J311,J311)</f>
        <v>16.561</v>
      </c>
      <c r="L311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11" s="1" t="s">
        <v>141</v>
      </c>
    </row>
    <row r="312" spans="1:13" x14ac:dyDescent="0.3">
      <c r="A312" s="13">
        <v>46167</v>
      </c>
      <c r="C312" s="14" t="s">
        <v>255</v>
      </c>
      <c r="D312" s="1" t="s">
        <v>444</v>
      </c>
      <c r="E312" s="1" t="s">
        <v>121</v>
      </c>
      <c r="F312" s="1" t="s">
        <v>43</v>
      </c>
      <c r="G312" s="1"/>
      <c r="H312" s="7">
        <v>168.309</v>
      </c>
      <c r="I312" s="6">
        <v>2499.88</v>
      </c>
      <c r="J312" s="5">
        <v>14.853</v>
      </c>
      <c r="K312" s="5">
        <f>IF(OR(EXACT(C312,"Redemption"),EXACT(C312,"Redeem"),EXACT(C312,"Switch Out"),EXACT(C312,"sell"),EXACT(C312,"Sell")),-J312,J312)</f>
        <v>14.853</v>
      </c>
      <c r="L312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12" s="1" t="s">
        <v>141</v>
      </c>
    </row>
    <row r="313" spans="1:13" x14ac:dyDescent="0.3">
      <c r="A313" s="13">
        <v>46167</v>
      </c>
      <c r="B313" s="61"/>
      <c r="C313" s="57" t="s">
        <v>255</v>
      </c>
      <c r="D313" s="56" t="s">
        <v>448</v>
      </c>
      <c r="E313" s="56" t="s">
        <v>111</v>
      </c>
      <c r="F313" s="56" t="s">
        <v>24</v>
      </c>
      <c r="G313" s="56"/>
      <c r="H313" s="58">
        <v>91.52</v>
      </c>
      <c r="I313" s="59">
        <v>2499.88</v>
      </c>
      <c r="J313" s="60">
        <v>27.315000000000001</v>
      </c>
      <c r="K313" s="60">
        <f t="shared" ref="K313" si="6">IF(OR(EXACT(C313,"Redemption"),EXACT(C313,"Redeem"),EXACT(C313,"Switch Out"),EXACT(C313,"sell"),EXACT(C313,"Sell")),-J313,J313)</f>
        <v>27.315000000000001</v>
      </c>
      <c r="L313" s="59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13" s="56" t="s">
        <v>141</v>
      </c>
    </row>
    <row r="314" spans="1:13" x14ac:dyDescent="0.3">
      <c r="A314" s="13">
        <v>46198</v>
      </c>
      <c r="C314" s="14" t="s">
        <v>255</v>
      </c>
      <c r="D314" t="s">
        <v>446</v>
      </c>
      <c r="E314" t="s">
        <v>106</v>
      </c>
      <c r="F314" t="s">
        <v>17</v>
      </c>
      <c r="H314">
        <v>246.29</v>
      </c>
      <c r="I314" s="6">
        <v>2499.88</v>
      </c>
      <c r="J314" s="5">
        <v>10.15</v>
      </c>
      <c r="K314" s="5">
        <f>IF(OR(EXACT(C314,"Redemption"),EXACT(C314,"Redeem"),EXACT(C314,"Switch Out"),EXACT(C314,"sell"),EXACT(C314,"Sell")),-J314,J314)</f>
        <v>10.15</v>
      </c>
      <c r="L314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14" s="1" t="s">
        <v>141</v>
      </c>
    </row>
    <row r="315" spans="1:13" x14ac:dyDescent="0.3">
      <c r="A315" s="13">
        <v>46198</v>
      </c>
      <c r="C315" s="14" t="s">
        <v>255</v>
      </c>
      <c r="D315" s="1" t="s">
        <v>256</v>
      </c>
      <c r="E315" s="1" t="s">
        <v>116</v>
      </c>
      <c r="F315" s="1" t="s">
        <v>36</v>
      </c>
      <c r="H315">
        <v>150.95400000000001</v>
      </c>
      <c r="I315" s="6">
        <v>2499.88</v>
      </c>
      <c r="J315" s="5">
        <v>16.561</v>
      </c>
      <c r="K315" s="5">
        <f>IF(OR(EXACT(C315,"Redemption"),EXACT(C315,"Redeem"),EXACT(C315,"Switch Out"),EXACT(C315,"sell"),EXACT(C315,"Sell")),-J315,J315)</f>
        <v>16.561</v>
      </c>
      <c r="L315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15" s="1" t="s">
        <v>141</v>
      </c>
    </row>
    <row r="316" spans="1:13" x14ac:dyDescent="0.3">
      <c r="A316" s="13">
        <v>46198</v>
      </c>
      <c r="C316" s="14" t="s">
        <v>255</v>
      </c>
      <c r="D316" s="1" t="s">
        <v>444</v>
      </c>
      <c r="E316" s="1" t="s">
        <v>121</v>
      </c>
      <c r="F316" s="1" t="s">
        <v>43</v>
      </c>
      <c r="G316" s="1"/>
      <c r="H316" s="7">
        <v>168.309</v>
      </c>
      <c r="I316" s="6">
        <v>2499.88</v>
      </c>
      <c r="J316" s="5">
        <v>14.853</v>
      </c>
      <c r="K316" s="5">
        <f>IF(OR(EXACT(C316,"Redemption"),EXACT(C316,"Redeem"),EXACT(C316,"Switch Out"),EXACT(C316,"sell"),EXACT(C316,"Sell")),-J316,J316)</f>
        <v>14.853</v>
      </c>
      <c r="L316" s="6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16" s="1" t="s">
        <v>141</v>
      </c>
    </row>
    <row r="317" spans="1:13" x14ac:dyDescent="0.3">
      <c r="A317" s="13">
        <v>46198</v>
      </c>
      <c r="B317" s="61"/>
      <c r="C317" s="57" t="s">
        <v>255</v>
      </c>
      <c r="D317" s="56" t="s">
        <v>448</v>
      </c>
      <c r="E317" s="56" t="s">
        <v>111</v>
      </c>
      <c r="F317" s="56" t="s">
        <v>24</v>
      </c>
      <c r="G317" s="56"/>
      <c r="H317" s="58">
        <v>91.52</v>
      </c>
      <c r="I317" s="59">
        <v>2499.88</v>
      </c>
      <c r="J317" s="60">
        <v>27.315000000000001</v>
      </c>
      <c r="K317" s="60">
        <f t="shared" ref="K317" si="7">IF(OR(EXACT(C317,"Redemption"),EXACT(C317,"Redeem"),EXACT(C317,"Switch Out"),EXACT(C317,"sell"),EXACT(C317,"Sell")),-J317,J317)</f>
        <v>27.315000000000001</v>
      </c>
      <c r="L317" s="59">
        <f>IF(EXACT(tManiqHars[[#This Row],[Transaction Type]],"Initial Purchase Pre-Rejection"),0,IF(OR(EXACT(tManiqHars[[#This Row],[Transaction Type]],"Redemption"),EXACT(tManiqHars[[#This Row],[Transaction Type]],"Redeem"),EXACT(tManiqHars[[#This Row],[Transaction Type]],"Switch Out"),EXACT(tManiqHars[[#This Row],[Transaction Type]],"sell"),EXACT(tManiqHars[[#This Row],[Transaction Type]],"Sell")),-tManiqHars[[#This Row],[Amount]],tManiqHars[[#This Row],[Amount]]))</f>
        <v>2499.88</v>
      </c>
      <c r="M317" s="56" t="s">
        <v>141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"/>
  <sheetViews>
    <sheetView zoomScaleNormal="100" workbookViewId="0">
      <pane ySplit="4" topLeftCell="A5" activePane="bottomLeft" state="frozen"/>
      <selection pane="bottomLeft" activeCell="A10" sqref="A10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8" customWidth="1"/>
    <col min="4" max="4" width="22" customWidth="1"/>
    <col min="5" max="6" width="38" customWidth="1"/>
    <col min="7" max="11" width="14" customWidth="1"/>
    <col min="12" max="12" width="16" customWidth="1"/>
    <col min="13" max="13" width="12" customWidth="1"/>
  </cols>
  <sheetData>
    <row r="1" spans="1:13" ht="27.75" customHeight="1" x14ac:dyDescent="0.3">
      <c r="A1" s="54" t="s">
        <v>755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18" customHeight="1" x14ac:dyDescent="0.3">
      <c r="A2" s="47" t="s">
        <v>756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4" spans="1:13" ht="27.75" customHeight="1" x14ac:dyDescent="0.3">
      <c r="A4" s="4" t="s">
        <v>126</v>
      </c>
      <c r="B4" s="4" t="s">
        <v>127</v>
      </c>
      <c r="C4" s="4" t="s">
        <v>128</v>
      </c>
      <c r="D4" s="4" t="s">
        <v>129</v>
      </c>
      <c r="E4" s="4" t="s">
        <v>130</v>
      </c>
      <c r="F4" s="4" t="s">
        <v>8</v>
      </c>
      <c r="G4" s="4" t="s">
        <v>131</v>
      </c>
      <c r="H4" s="4" t="s">
        <v>132</v>
      </c>
      <c r="I4" s="4" t="s">
        <v>133</v>
      </c>
      <c r="J4" s="4" t="s">
        <v>134</v>
      </c>
      <c r="K4" s="4" t="s">
        <v>135</v>
      </c>
      <c r="L4" s="4" t="s">
        <v>136</v>
      </c>
      <c r="M4" s="4" t="s">
        <v>14</v>
      </c>
    </row>
    <row r="5" spans="1:13" ht="27.6" x14ac:dyDescent="0.3">
      <c r="A5" s="13">
        <v>45987</v>
      </c>
      <c r="B5" s="1" t="s">
        <v>757</v>
      </c>
      <c r="C5" s="14" t="s">
        <v>138</v>
      </c>
      <c r="D5" s="1" t="s">
        <v>256</v>
      </c>
      <c r="E5" s="1" t="s">
        <v>115</v>
      </c>
      <c r="F5" s="1" t="s">
        <v>36</v>
      </c>
      <c r="G5" s="1" t="s">
        <v>758</v>
      </c>
      <c r="H5" s="7">
        <v>178.28</v>
      </c>
      <c r="I5" s="6">
        <v>49997.56</v>
      </c>
      <c r="J5" s="5">
        <v>280.44400000000002</v>
      </c>
      <c r="K5" s="5">
        <f t="shared" ref="K5:K10" si="0">IF(OR(EXACT(C5,"Redemption"),EXACT(C5,"Redeem"),EXACT(C5,"Switch Out"),EXACT(C5,"sell"),EXACT(C5,"Sell")),-J5,J5)</f>
        <v>280.44400000000002</v>
      </c>
      <c r="L5" s="6">
        <f>IF(EXACT(tZerodhAshu[[#This Row],[Transaction Type]],"Initial Purchase Pre-Rejection"),0,IF(OR(EXACT(tZerodhAshu[[#This Row],[Transaction Type]],"Redemption"),EXACT(tZerodhAshu[[#This Row],[Transaction Type]],"Redeem"),EXACT(tZerodhAshu[[#This Row],[Transaction Type]],"Switch Out"),EXACT(tZerodhAshu[[#This Row],[Transaction Type]],"sell"),EXACT(tZerodhAshu[[#This Row],[Transaction Type]],"Sell")),-tZerodhAshu[[#This Row],[Amount]],tZerodhAshu[[#This Row],[Amount]]))</f>
        <v>49997.56</v>
      </c>
      <c r="M5" s="1" t="s">
        <v>141</v>
      </c>
    </row>
    <row r="6" spans="1:13" ht="27.6" x14ac:dyDescent="0.3">
      <c r="A6" s="13">
        <v>45980</v>
      </c>
      <c r="B6" s="1" t="s">
        <v>759</v>
      </c>
      <c r="C6" s="14" t="s">
        <v>138</v>
      </c>
      <c r="D6" s="1" t="s">
        <v>256</v>
      </c>
      <c r="E6" s="1" t="s">
        <v>115</v>
      </c>
      <c r="F6" s="1" t="s">
        <v>36</v>
      </c>
      <c r="G6" s="1" t="s">
        <v>758</v>
      </c>
      <c r="H6" s="7">
        <v>177.60499999999999</v>
      </c>
      <c r="I6" s="6">
        <v>49997.58</v>
      </c>
      <c r="J6" s="5">
        <v>281.51</v>
      </c>
      <c r="K6" s="5">
        <f t="shared" si="0"/>
        <v>281.51</v>
      </c>
      <c r="L6" s="6">
        <f>IF(EXACT(tZerodhAshu[[#This Row],[Transaction Type]],"Initial Purchase Pre-Rejection"),0,IF(OR(EXACT(tZerodhAshu[[#This Row],[Transaction Type]],"Redemption"),EXACT(tZerodhAshu[[#This Row],[Transaction Type]],"Redeem"),EXACT(tZerodhAshu[[#This Row],[Transaction Type]],"Switch Out"),EXACT(tZerodhAshu[[#This Row],[Transaction Type]],"sell"),EXACT(tZerodhAshu[[#This Row],[Transaction Type]],"Sell")),-tZerodhAshu[[#This Row],[Amount]],tZerodhAshu[[#This Row],[Amount]]))</f>
        <v>49997.58</v>
      </c>
      <c r="M6" s="1" t="s">
        <v>141</v>
      </c>
    </row>
    <row r="7" spans="1:13" ht="27.6" x14ac:dyDescent="0.3">
      <c r="A7" s="13">
        <v>45973</v>
      </c>
      <c r="B7" s="1" t="s">
        <v>760</v>
      </c>
      <c r="C7" s="14" t="s">
        <v>138</v>
      </c>
      <c r="D7" s="1" t="s">
        <v>761</v>
      </c>
      <c r="E7" s="1" t="s">
        <v>108</v>
      </c>
      <c r="F7" s="1" t="s">
        <v>20</v>
      </c>
      <c r="G7" s="1" t="s">
        <v>762</v>
      </c>
      <c r="H7" s="7">
        <v>38.759799999999998</v>
      </c>
      <c r="I7" s="6">
        <v>49997.51</v>
      </c>
      <c r="J7" s="5">
        <v>1289.932</v>
      </c>
      <c r="K7" s="5">
        <f t="shared" si="0"/>
        <v>1289.932</v>
      </c>
      <c r="L7" s="6">
        <f>IF(EXACT(tZerodhAshu[[#This Row],[Transaction Type]],"Initial Purchase Pre-Rejection"),0,IF(OR(EXACT(tZerodhAshu[[#This Row],[Transaction Type]],"Redemption"),EXACT(tZerodhAshu[[#This Row],[Transaction Type]],"Redeem"),EXACT(tZerodhAshu[[#This Row],[Transaction Type]],"Switch Out"),EXACT(tZerodhAshu[[#This Row],[Transaction Type]],"sell"),EXACT(tZerodhAshu[[#This Row],[Transaction Type]],"Sell")),-tZerodhAshu[[#This Row],[Amount]],tZerodhAshu[[#This Row],[Amount]]))</f>
        <v>49997.51</v>
      </c>
      <c r="M7" s="1" t="s">
        <v>141</v>
      </c>
    </row>
    <row r="8" spans="1:13" ht="27.6" x14ac:dyDescent="0.3">
      <c r="A8" s="13">
        <v>45897</v>
      </c>
      <c r="B8" s="1" t="s">
        <v>763</v>
      </c>
      <c r="C8" s="14" t="s">
        <v>138</v>
      </c>
      <c r="D8" s="1" t="s">
        <v>256</v>
      </c>
      <c r="E8" s="1" t="s">
        <v>115</v>
      </c>
      <c r="F8" s="1" t="s">
        <v>36</v>
      </c>
      <c r="G8" s="1" t="s">
        <v>758</v>
      </c>
      <c r="H8" s="7">
        <v>165.328</v>
      </c>
      <c r="I8" s="6">
        <v>49997.5</v>
      </c>
      <c r="J8" s="5">
        <v>302.41399999999999</v>
      </c>
      <c r="K8" s="5">
        <f t="shared" si="0"/>
        <v>302.41399999999999</v>
      </c>
      <c r="L8" s="6">
        <f>IF(EXACT(tZerodhAshu[[#This Row],[Transaction Type]],"Initial Purchase Pre-Rejection"),0,IF(OR(EXACT(tZerodhAshu[[#This Row],[Transaction Type]],"Redemption"),EXACT(tZerodhAshu[[#This Row],[Transaction Type]],"Redeem"),EXACT(tZerodhAshu[[#This Row],[Transaction Type]],"Switch Out"),EXACT(tZerodhAshu[[#This Row],[Transaction Type]],"sell"),EXACT(tZerodhAshu[[#This Row],[Transaction Type]],"Sell")),-tZerodhAshu[[#This Row],[Amount]],tZerodhAshu[[#This Row],[Amount]]))</f>
        <v>49997.5</v>
      </c>
      <c r="M8" s="1" t="s">
        <v>141</v>
      </c>
    </row>
    <row r="9" spans="1:13" x14ac:dyDescent="0.3">
      <c r="A9" s="13">
        <v>45866</v>
      </c>
      <c r="B9" s="1" t="s">
        <v>764</v>
      </c>
      <c r="C9" s="14" t="s">
        <v>138</v>
      </c>
      <c r="D9" s="1" t="s">
        <v>571</v>
      </c>
      <c r="E9" s="1" t="s">
        <v>27</v>
      </c>
      <c r="F9" s="1" t="s">
        <v>27</v>
      </c>
      <c r="G9" s="1" t="s">
        <v>765</v>
      </c>
      <c r="H9" s="7">
        <v>158.59</v>
      </c>
      <c r="I9" s="6">
        <v>49997.56</v>
      </c>
      <c r="J9" s="5">
        <v>315.26299999999998</v>
      </c>
      <c r="K9" s="5">
        <f t="shared" si="0"/>
        <v>315.26299999999998</v>
      </c>
      <c r="L9" s="6">
        <f>IF(EXACT(tZerodhAshu[[#This Row],[Transaction Type]],"Initial Purchase Pre-Rejection"),0,IF(OR(EXACT(tZerodhAshu[[#This Row],[Transaction Type]],"Redemption"),EXACT(tZerodhAshu[[#This Row],[Transaction Type]],"Redeem"),EXACT(tZerodhAshu[[#This Row],[Transaction Type]],"Switch Out"),EXACT(tZerodhAshu[[#This Row],[Transaction Type]],"sell"),EXACT(tZerodhAshu[[#This Row],[Transaction Type]],"Sell")),-tZerodhAshu[[#This Row],[Amount]],tZerodhAshu[[#This Row],[Amount]]))</f>
        <v>49997.56</v>
      </c>
      <c r="M9" s="1" t="s">
        <v>141</v>
      </c>
    </row>
    <row r="10" spans="1:13" x14ac:dyDescent="0.3">
      <c r="A10" s="13">
        <v>44294</v>
      </c>
      <c r="B10" s="1" t="s">
        <v>766</v>
      </c>
      <c r="C10" s="14" t="s">
        <v>138</v>
      </c>
      <c r="D10" s="1" t="s">
        <v>571</v>
      </c>
      <c r="E10" s="1" t="s">
        <v>27</v>
      </c>
      <c r="F10" s="1" t="s">
        <v>27</v>
      </c>
      <c r="G10" s="1" t="s">
        <v>765</v>
      </c>
      <c r="H10" s="7">
        <v>71.19</v>
      </c>
      <c r="I10" s="6">
        <v>49997.52</v>
      </c>
      <c r="J10" s="5">
        <v>702.31100000000004</v>
      </c>
      <c r="K10" s="5">
        <f t="shared" si="0"/>
        <v>702.31100000000004</v>
      </c>
      <c r="L10" s="6">
        <f>IF(EXACT(tZerodhAshu[[#This Row],[Transaction Type]],"Initial Purchase Pre-Rejection"),0,IF(OR(EXACT(tZerodhAshu[[#This Row],[Transaction Type]],"Redemption"),EXACT(tZerodhAshu[[#This Row],[Transaction Type]],"Redeem"),EXACT(tZerodhAshu[[#This Row],[Transaction Type]],"Switch Out"),EXACT(tZerodhAshu[[#This Row],[Transaction Type]],"sell"),EXACT(tZerodhAshu[[#This Row],[Transaction Type]],"Sell")),-tZerodhAshu[[#This Row],[Amount]],tZerodhAshu[[#This Row],[Amount]]))</f>
        <v>49997.52</v>
      </c>
      <c r="M10" s="1" t="s">
        <v>141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4"/>
  <sheetViews>
    <sheetView topLeftCell="E1" zoomScaleNormal="100" workbookViewId="0">
      <pane ySplit="4" topLeftCell="A11" activePane="bottomLeft" state="frozen"/>
      <selection pane="bottomLeft" activeCell="M24" sqref="M24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8" customWidth="1"/>
    <col min="4" max="4" width="22" customWidth="1"/>
    <col min="5" max="6" width="38" customWidth="1"/>
    <col min="7" max="11" width="14" customWidth="1"/>
    <col min="12" max="12" width="16" customWidth="1"/>
    <col min="13" max="13" width="12" customWidth="1"/>
  </cols>
  <sheetData>
    <row r="1" spans="1:13" ht="27.75" customHeight="1" x14ac:dyDescent="0.3">
      <c r="A1" s="54" t="s">
        <v>767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18" customHeight="1" x14ac:dyDescent="0.3">
      <c r="A2" s="47" t="s">
        <v>768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4" spans="1:13" ht="27.75" customHeight="1" x14ac:dyDescent="0.3">
      <c r="A4" s="4" t="s">
        <v>126</v>
      </c>
      <c r="B4" s="4" t="s">
        <v>127</v>
      </c>
      <c r="C4" s="4" t="s">
        <v>128</v>
      </c>
      <c r="D4" s="4" t="s">
        <v>129</v>
      </c>
      <c r="E4" s="4" t="s">
        <v>130</v>
      </c>
      <c r="F4" s="4" t="s">
        <v>8</v>
      </c>
      <c r="G4" s="4" t="s">
        <v>131</v>
      </c>
      <c r="H4" s="4" t="s">
        <v>132</v>
      </c>
      <c r="I4" s="4" t="s">
        <v>133</v>
      </c>
      <c r="J4" s="4" t="s">
        <v>134</v>
      </c>
      <c r="K4" s="4" t="s">
        <v>135</v>
      </c>
      <c r="L4" s="4" t="s">
        <v>136</v>
      </c>
      <c r="M4" s="4" t="s">
        <v>14</v>
      </c>
    </row>
    <row r="5" spans="1:13" ht="27.6" x14ac:dyDescent="0.3">
      <c r="A5" s="13">
        <v>46125</v>
      </c>
      <c r="B5" s="1" t="s">
        <v>769</v>
      </c>
      <c r="C5" s="14" t="s">
        <v>138</v>
      </c>
      <c r="D5" s="1" t="s">
        <v>448</v>
      </c>
      <c r="E5" s="1" t="s">
        <v>110</v>
      </c>
      <c r="F5" s="1" t="s">
        <v>23</v>
      </c>
      <c r="G5" s="1" t="s">
        <v>770</v>
      </c>
      <c r="H5" s="7">
        <v>84.78</v>
      </c>
      <c r="I5" s="6">
        <v>2499.91</v>
      </c>
      <c r="J5" s="5">
        <v>29.486999999999998</v>
      </c>
      <c r="K5" s="5">
        <f t="shared" ref="K5:K20" si="0">IF(OR(EXACT(C5,"Redemption"),EXACT(C5,"Redeem"),EXACT(C5,"Switch Out"),EXACT(C5,"sell"),EXACT(C5,"Sell")),-J5,J5)</f>
        <v>29.486999999999998</v>
      </c>
      <c r="L5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2499.91</v>
      </c>
      <c r="M5" s="1" t="s">
        <v>141</v>
      </c>
    </row>
    <row r="6" spans="1:13" ht="27.6" x14ac:dyDescent="0.3">
      <c r="A6" s="13">
        <v>46108</v>
      </c>
      <c r="B6" s="1" t="s">
        <v>771</v>
      </c>
      <c r="C6" s="14" t="s">
        <v>138</v>
      </c>
      <c r="D6" s="1" t="s">
        <v>448</v>
      </c>
      <c r="E6" s="1" t="s">
        <v>110</v>
      </c>
      <c r="F6" s="1" t="s">
        <v>23</v>
      </c>
      <c r="G6" s="1" t="s">
        <v>770</v>
      </c>
      <c r="H6" s="7">
        <v>81.56</v>
      </c>
      <c r="I6" s="6">
        <v>2499.9</v>
      </c>
      <c r="J6" s="5">
        <v>30.651</v>
      </c>
      <c r="K6" s="5">
        <f t="shared" si="0"/>
        <v>30.651</v>
      </c>
      <c r="L6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2499.9</v>
      </c>
      <c r="M6" s="1" t="s">
        <v>141</v>
      </c>
    </row>
    <row r="7" spans="1:13" ht="27.6" x14ac:dyDescent="0.3">
      <c r="A7" s="13">
        <v>46093</v>
      </c>
      <c r="B7" s="1" t="s">
        <v>772</v>
      </c>
      <c r="C7" s="14" t="s">
        <v>138</v>
      </c>
      <c r="D7" s="1" t="s">
        <v>448</v>
      </c>
      <c r="E7" s="1" t="s">
        <v>110</v>
      </c>
      <c r="F7" s="1" t="s">
        <v>23</v>
      </c>
      <c r="G7" s="1" t="s">
        <v>770</v>
      </c>
      <c r="H7" s="7">
        <v>83.15</v>
      </c>
      <c r="I7" s="6">
        <v>2499.9</v>
      </c>
      <c r="J7" s="5">
        <v>30.065000000000001</v>
      </c>
      <c r="K7" s="5">
        <f t="shared" si="0"/>
        <v>30.065000000000001</v>
      </c>
      <c r="L7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2499.9</v>
      </c>
      <c r="M7" s="1" t="s">
        <v>141</v>
      </c>
    </row>
    <row r="8" spans="1:13" ht="27.6" x14ac:dyDescent="0.3">
      <c r="A8" s="13">
        <v>46063</v>
      </c>
      <c r="B8" s="1" t="s">
        <v>773</v>
      </c>
      <c r="C8" s="14" t="s">
        <v>138</v>
      </c>
      <c r="D8" s="1" t="s">
        <v>448</v>
      </c>
      <c r="E8" s="1" t="s">
        <v>110</v>
      </c>
      <c r="F8" s="1" t="s">
        <v>23</v>
      </c>
      <c r="G8" s="1" t="s">
        <v>770</v>
      </c>
      <c r="H8" s="7">
        <v>87.34</v>
      </c>
      <c r="I8" s="6">
        <v>2499.85</v>
      </c>
      <c r="J8" s="5">
        <v>28.622</v>
      </c>
      <c r="K8" s="5">
        <f t="shared" si="0"/>
        <v>28.622</v>
      </c>
      <c r="L8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2499.85</v>
      </c>
      <c r="M8" s="1" t="s">
        <v>141</v>
      </c>
    </row>
    <row r="9" spans="1:13" ht="27.6" x14ac:dyDescent="0.3">
      <c r="A9" s="13">
        <v>46052</v>
      </c>
      <c r="B9" s="1" t="s">
        <v>774</v>
      </c>
      <c r="C9" s="14" t="s">
        <v>138</v>
      </c>
      <c r="D9" s="1" t="s">
        <v>761</v>
      </c>
      <c r="E9" s="1" t="s">
        <v>108</v>
      </c>
      <c r="F9" s="1" t="s">
        <v>20</v>
      </c>
      <c r="G9" s="1" t="s">
        <v>762</v>
      </c>
      <c r="H9" s="7">
        <v>49.786799999999999</v>
      </c>
      <c r="I9" s="6">
        <v>49997.5</v>
      </c>
      <c r="J9" s="5">
        <v>1004.232</v>
      </c>
      <c r="K9" s="5">
        <f t="shared" si="0"/>
        <v>1004.232</v>
      </c>
      <c r="L9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49997.5</v>
      </c>
      <c r="M9" s="1" t="s">
        <v>141</v>
      </c>
    </row>
    <row r="10" spans="1:13" x14ac:dyDescent="0.3">
      <c r="A10" s="13">
        <v>46052</v>
      </c>
      <c r="B10" s="1" t="s">
        <v>775</v>
      </c>
      <c r="C10" s="14" t="s">
        <v>138</v>
      </c>
      <c r="D10" s="1" t="s">
        <v>776</v>
      </c>
      <c r="E10" s="1" t="s">
        <v>22</v>
      </c>
      <c r="F10" s="1" t="s">
        <v>22</v>
      </c>
      <c r="G10" s="1" t="s">
        <v>777</v>
      </c>
      <c r="H10" s="7">
        <v>51.480899999999998</v>
      </c>
      <c r="I10" s="6">
        <v>49997.48</v>
      </c>
      <c r="J10" s="5">
        <v>971.18499999999995</v>
      </c>
      <c r="K10" s="5">
        <f t="shared" si="0"/>
        <v>971.18499999999995</v>
      </c>
      <c r="L10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49997.48</v>
      </c>
      <c r="M10" s="1" t="s">
        <v>141</v>
      </c>
    </row>
    <row r="11" spans="1:13" ht="27.6" x14ac:dyDescent="0.3">
      <c r="A11" s="13">
        <v>46052</v>
      </c>
      <c r="B11" s="1" t="s">
        <v>778</v>
      </c>
      <c r="C11" s="14" t="s">
        <v>138</v>
      </c>
      <c r="D11" s="1" t="s">
        <v>571</v>
      </c>
      <c r="E11" s="1" t="s">
        <v>26</v>
      </c>
      <c r="F11" s="1" t="s">
        <v>26</v>
      </c>
      <c r="G11" s="1" t="s">
        <v>779</v>
      </c>
      <c r="H11" s="7">
        <v>35.869100000000003</v>
      </c>
      <c r="I11" s="6">
        <v>49997.51</v>
      </c>
      <c r="J11" s="5">
        <v>1393.8879999999999</v>
      </c>
      <c r="K11" s="5">
        <f t="shared" si="0"/>
        <v>1393.8879999999999</v>
      </c>
      <c r="L11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49997.51</v>
      </c>
      <c r="M11" s="1" t="s">
        <v>141</v>
      </c>
    </row>
    <row r="12" spans="1:13" ht="27.6" x14ac:dyDescent="0.3">
      <c r="A12" s="13">
        <v>46052</v>
      </c>
      <c r="B12" s="1" t="s">
        <v>780</v>
      </c>
      <c r="C12" s="14" t="s">
        <v>138</v>
      </c>
      <c r="D12" s="1" t="s">
        <v>571</v>
      </c>
      <c r="E12" s="1" t="s">
        <v>26</v>
      </c>
      <c r="F12" s="1" t="s">
        <v>26</v>
      </c>
      <c r="G12" s="1" t="s">
        <v>779</v>
      </c>
      <c r="H12" s="7">
        <v>35.869100000000003</v>
      </c>
      <c r="I12" s="6">
        <v>49997.51</v>
      </c>
      <c r="J12" s="5">
        <v>1393.8879999999999</v>
      </c>
      <c r="K12" s="5">
        <f t="shared" si="0"/>
        <v>1393.8879999999999</v>
      </c>
      <c r="L12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49997.51</v>
      </c>
      <c r="M12" s="1" t="s">
        <v>141</v>
      </c>
    </row>
    <row r="13" spans="1:13" ht="27.6" x14ac:dyDescent="0.3">
      <c r="A13" s="13">
        <v>46049</v>
      </c>
      <c r="B13" s="1" t="s">
        <v>781</v>
      </c>
      <c r="C13" s="14" t="s">
        <v>138</v>
      </c>
      <c r="D13" s="1" t="s">
        <v>761</v>
      </c>
      <c r="E13" s="1" t="s">
        <v>108</v>
      </c>
      <c r="F13" s="1" t="s">
        <v>20</v>
      </c>
      <c r="G13" s="1" t="s">
        <v>762</v>
      </c>
      <c r="H13" s="7">
        <v>49.581600000000002</v>
      </c>
      <c r="I13" s="6">
        <v>49997.49</v>
      </c>
      <c r="J13" s="5">
        <v>1008.388</v>
      </c>
      <c r="K13" s="5">
        <f t="shared" si="0"/>
        <v>1008.388</v>
      </c>
      <c r="L13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49997.49</v>
      </c>
      <c r="M13" s="1" t="s">
        <v>141</v>
      </c>
    </row>
    <row r="14" spans="1:13" x14ac:dyDescent="0.3">
      <c r="A14" s="13">
        <v>46049</v>
      </c>
      <c r="B14" s="1" t="s">
        <v>782</v>
      </c>
      <c r="C14" s="14" t="s">
        <v>138</v>
      </c>
      <c r="D14" s="1" t="s">
        <v>776</v>
      </c>
      <c r="E14" s="1" t="s">
        <v>22</v>
      </c>
      <c r="F14" s="1" t="s">
        <v>22</v>
      </c>
      <c r="G14" s="1" t="s">
        <v>777</v>
      </c>
      <c r="H14" s="7">
        <v>55.785200000000003</v>
      </c>
      <c r="I14" s="6">
        <v>49997.49</v>
      </c>
      <c r="J14" s="5">
        <v>896.25</v>
      </c>
      <c r="K14" s="5">
        <f t="shared" si="0"/>
        <v>896.25</v>
      </c>
      <c r="L14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49997.49</v>
      </c>
      <c r="M14" s="1" t="s">
        <v>141</v>
      </c>
    </row>
    <row r="15" spans="1:13" ht="27.6" x14ac:dyDescent="0.3">
      <c r="A15" s="13">
        <v>46049</v>
      </c>
      <c r="B15" s="1" t="s">
        <v>783</v>
      </c>
      <c r="C15" s="14" t="s">
        <v>138</v>
      </c>
      <c r="D15" s="1" t="s">
        <v>448</v>
      </c>
      <c r="E15" s="1" t="s">
        <v>110</v>
      </c>
      <c r="F15" s="1" t="s">
        <v>23</v>
      </c>
      <c r="G15" s="1" t="s">
        <v>770</v>
      </c>
      <c r="H15" s="7">
        <v>85.34</v>
      </c>
      <c r="I15" s="6">
        <v>4999.7299999999996</v>
      </c>
      <c r="J15" s="5">
        <v>58.585999999999999</v>
      </c>
      <c r="K15" s="5">
        <f t="shared" si="0"/>
        <v>58.585999999999999</v>
      </c>
      <c r="L15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4999.7299999999996</v>
      </c>
      <c r="M15" s="1" t="s">
        <v>141</v>
      </c>
    </row>
    <row r="16" spans="1:13" x14ac:dyDescent="0.3">
      <c r="A16" s="13">
        <v>46028</v>
      </c>
      <c r="B16" s="1" t="s">
        <v>784</v>
      </c>
      <c r="C16" s="14" t="s">
        <v>138</v>
      </c>
      <c r="D16" s="1" t="s">
        <v>776</v>
      </c>
      <c r="E16" s="1" t="s">
        <v>22</v>
      </c>
      <c r="F16" s="1" t="s">
        <v>22</v>
      </c>
      <c r="G16" s="1" t="s">
        <v>777</v>
      </c>
      <c r="H16" s="7">
        <v>40.219099999999997</v>
      </c>
      <c r="I16" s="6">
        <v>9999.51</v>
      </c>
      <c r="J16" s="5">
        <v>248.626</v>
      </c>
      <c r="K16" s="5">
        <f t="shared" si="0"/>
        <v>248.626</v>
      </c>
      <c r="L16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9999.51</v>
      </c>
      <c r="M16" s="1" t="s">
        <v>141</v>
      </c>
    </row>
    <row r="17" spans="1:13" x14ac:dyDescent="0.3">
      <c r="A17" s="13">
        <v>46028</v>
      </c>
      <c r="B17" s="1" t="s">
        <v>785</v>
      </c>
      <c r="C17" s="14" t="s">
        <v>138</v>
      </c>
      <c r="D17" s="1" t="s">
        <v>776</v>
      </c>
      <c r="E17" s="1" t="s">
        <v>22</v>
      </c>
      <c r="F17" s="1" t="s">
        <v>22</v>
      </c>
      <c r="G17" s="1" t="s">
        <v>777</v>
      </c>
      <c r="H17" s="7">
        <v>40.219099999999997</v>
      </c>
      <c r="I17" s="6">
        <v>19998.990000000002</v>
      </c>
      <c r="J17" s="5">
        <v>497.25099999999998</v>
      </c>
      <c r="K17" s="5">
        <f t="shared" si="0"/>
        <v>497.25099999999998</v>
      </c>
      <c r="L17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19998.990000000002</v>
      </c>
      <c r="M17" s="1" t="s">
        <v>141</v>
      </c>
    </row>
    <row r="18" spans="1:13" ht="27.6" x14ac:dyDescent="0.3">
      <c r="A18" s="13">
        <v>45989</v>
      </c>
      <c r="B18" s="1" t="s">
        <v>786</v>
      </c>
      <c r="C18" s="14" t="s">
        <v>138</v>
      </c>
      <c r="D18" s="1" t="s">
        <v>787</v>
      </c>
      <c r="E18" s="1" t="s">
        <v>107</v>
      </c>
      <c r="F18" s="1" t="s">
        <v>19</v>
      </c>
      <c r="G18" s="1" t="s">
        <v>788</v>
      </c>
      <c r="H18" s="7">
        <v>2278.2510000000002</v>
      </c>
      <c r="I18" s="6">
        <v>49998.5</v>
      </c>
      <c r="J18" s="5">
        <v>21.946000000000002</v>
      </c>
      <c r="K18" s="5">
        <f t="shared" si="0"/>
        <v>21.946000000000002</v>
      </c>
      <c r="L18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49998.5</v>
      </c>
      <c r="M18" s="1" t="s">
        <v>141</v>
      </c>
    </row>
    <row r="19" spans="1:13" ht="27.6" x14ac:dyDescent="0.3">
      <c r="A19" s="13">
        <v>45989</v>
      </c>
      <c r="B19" s="1" t="s">
        <v>789</v>
      </c>
      <c r="C19" s="14" t="s">
        <v>138</v>
      </c>
      <c r="D19" s="1" t="s">
        <v>761</v>
      </c>
      <c r="E19" s="1" t="s">
        <v>108</v>
      </c>
      <c r="F19" s="1" t="s">
        <v>20</v>
      </c>
      <c r="G19" s="1" t="s">
        <v>762</v>
      </c>
      <c r="H19" s="7">
        <v>39.443899999999999</v>
      </c>
      <c r="I19" s="6">
        <v>49997.51</v>
      </c>
      <c r="J19" s="5">
        <v>1267.56</v>
      </c>
      <c r="K19" s="5">
        <f t="shared" si="0"/>
        <v>1267.56</v>
      </c>
      <c r="L19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49997.51</v>
      </c>
      <c r="M19" s="1" t="s">
        <v>141</v>
      </c>
    </row>
    <row r="20" spans="1:13" ht="27.6" x14ac:dyDescent="0.3">
      <c r="A20" s="13">
        <v>45971</v>
      </c>
      <c r="B20" s="1" t="s">
        <v>790</v>
      </c>
      <c r="C20" s="14" t="s">
        <v>138</v>
      </c>
      <c r="D20" s="1" t="s">
        <v>787</v>
      </c>
      <c r="E20" s="1" t="s">
        <v>107</v>
      </c>
      <c r="F20" s="1" t="s">
        <v>19</v>
      </c>
      <c r="G20" s="1" t="s">
        <v>788</v>
      </c>
      <c r="H20" s="7">
        <v>2250.201</v>
      </c>
      <c r="I20" s="6">
        <v>199991.11</v>
      </c>
      <c r="J20" s="5">
        <v>88.876999999999995</v>
      </c>
      <c r="K20" s="5">
        <f t="shared" si="0"/>
        <v>88.876999999999995</v>
      </c>
      <c r="L20" s="6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199991.11</v>
      </c>
      <c r="M20" s="1" t="s">
        <v>141</v>
      </c>
    </row>
    <row r="21" spans="1:13" ht="27.6" x14ac:dyDescent="0.3">
      <c r="A21" s="55">
        <v>46136</v>
      </c>
      <c r="B21" s="56" t="s">
        <v>769</v>
      </c>
      <c r="C21" s="57" t="s">
        <v>138</v>
      </c>
      <c r="D21" s="56" t="s">
        <v>448</v>
      </c>
      <c r="E21" s="56" t="s">
        <v>110</v>
      </c>
      <c r="F21" s="56" t="s">
        <v>23</v>
      </c>
      <c r="G21" s="56" t="s">
        <v>770</v>
      </c>
      <c r="H21" s="58">
        <v>84.78</v>
      </c>
      <c r="I21" s="59">
        <v>2499.91</v>
      </c>
      <c r="J21" s="60">
        <v>29.486999999999998</v>
      </c>
      <c r="K21" s="60">
        <f t="shared" ref="K21:K24" si="1">IF(OR(EXACT(C21,"Redemption"),EXACT(C21,"Redeem"),EXACT(C21,"Switch Out"),EXACT(C21,"sell"),EXACT(C21,"Sell")),-J21,J21)</f>
        <v>29.486999999999998</v>
      </c>
      <c r="L21" s="59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2499.91</v>
      </c>
      <c r="M21" s="56" t="s">
        <v>141</v>
      </c>
    </row>
    <row r="22" spans="1:13" ht="27.6" x14ac:dyDescent="0.3">
      <c r="A22" s="55">
        <v>46151</v>
      </c>
      <c r="B22" s="56" t="s">
        <v>769</v>
      </c>
      <c r="C22" s="57" t="s">
        <v>138</v>
      </c>
      <c r="D22" s="56" t="s">
        <v>448</v>
      </c>
      <c r="E22" s="56" t="s">
        <v>110</v>
      </c>
      <c r="F22" s="56" t="s">
        <v>23</v>
      </c>
      <c r="G22" s="56" t="s">
        <v>770</v>
      </c>
      <c r="H22" s="58">
        <v>84.78</v>
      </c>
      <c r="I22" s="59">
        <v>2499.91</v>
      </c>
      <c r="J22" s="60">
        <v>29.486999999999998</v>
      </c>
      <c r="K22" s="60">
        <f t="shared" si="1"/>
        <v>29.486999999999998</v>
      </c>
      <c r="L22" s="59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2499.91</v>
      </c>
      <c r="M22" s="56" t="s">
        <v>141</v>
      </c>
    </row>
    <row r="23" spans="1:13" ht="27.6" x14ac:dyDescent="0.3">
      <c r="A23" s="55">
        <v>46166</v>
      </c>
      <c r="B23" s="56" t="s">
        <v>769</v>
      </c>
      <c r="C23" s="57" t="s">
        <v>138</v>
      </c>
      <c r="D23" s="56" t="s">
        <v>448</v>
      </c>
      <c r="E23" s="56" t="s">
        <v>110</v>
      </c>
      <c r="F23" s="56" t="s">
        <v>23</v>
      </c>
      <c r="G23" s="56" t="s">
        <v>770</v>
      </c>
      <c r="H23" s="58">
        <v>84.78</v>
      </c>
      <c r="I23" s="59">
        <v>2499.91</v>
      </c>
      <c r="J23" s="60">
        <v>29.486999999999998</v>
      </c>
      <c r="K23" s="60">
        <f t="shared" si="1"/>
        <v>29.486999999999998</v>
      </c>
      <c r="L23" s="59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2499.91</v>
      </c>
      <c r="M23" s="56" t="s">
        <v>141</v>
      </c>
    </row>
    <row r="24" spans="1:13" ht="27.6" x14ac:dyDescent="0.3">
      <c r="A24" s="55">
        <v>46181</v>
      </c>
      <c r="B24" s="56" t="s">
        <v>769</v>
      </c>
      <c r="C24" s="57" t="s">
        <v>138</v>
      </c>
      <c r="D24" s="56" t="s">
        <v>448</v>
      </c>
      <c r="E24" s="56" t="s">
        <v>110</v>
      </c>
      <c r="F24" s="56" t="s">
        <v>23</v>
      </c>
      <c r="G24" s="56" t="s">
        <v>770</v>
      </c>
      <c r="H24" s="58">
        <v>84.78</v>
      </c>
      <c r="I24" s="59">
        <v>2499.91</v>
      </c>
      <c r="J24" s="60">
        <v>29.486999999999998</v>
      </c>
      <c r="K24" s="60">
        <f t="shared" si="1"/>
        <v>29.486999999999998</v>
      </c>
      <c r="L24" s="59">
        <f>IF(EXACT(tZerodhHars[[#This Row],[Transaction Type]],"Initial Purchase Pre-Rejection"),0,IF(OR(EXACT(tZerodhHars[[#This Row],[Transaction Type]],"Redemption"),EXACT(tZerodhHars[[#This Row],[Transaction Type]],"Redeem"),EXACT(tZerodhHars[[#This Row],[Transaction Type]],"Switch Out"),EXACT(tZerodhHars[[#This Row],[Transaction Type]],"sell"),EXACT(tZerodhHars[[#This Row],[Transaction Type]],"Sell")),-tZerodhHars[[#This Row],[Amount]],tZerodhHars[[#This Row],[Amount]]))</f>
        <v>2499.91</v>
      </c>
      <c r="M24" s="56" t="s">
        <v>141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91D3-A00F-4A18-8870-50329FE5D370}">
  <dimension ref="A1:I2"/>
  <sheetViews>
    <sheetView topLeftCell="A2" workbookViewId="0">
      <selection activeCell="A2" sqref="A2"/>
    </sheetView>
  </sheetViews>
  <sheetFormatPr defaultRowHeight="14.4" x14ac:dyDescent="0.3"/>
  <cols>
    <col min="1" max="1" width="22.88671875" bestFit="1" customWidth="1"/>
    <col min="2" max="2" width="16" customWidth="1"/>
    <col min="3" max="3" width="14.33203125" customWidth="1"/>
    <col min="4" max="4" width="11.21875" customWidth="1"/>
    <col min="5" max="5" width="11.6640625" customWidth="1"/>
    <col min="6" max="6" width="12.5546875" customWidth="1"/>
    <col min="7" max="7" width="9.88671875" customWidth="1"/>
    <col min="8" max="8" width="23.6640625" customWidth="1"/>
    <col min="9" max="9" width="26.21875" customWidth="1"/>
  </cols>
  <sheetData>
    <row r="1" spans="1:9" x14ac:dyDescent="0.3">
      <c r="A1" t="s">
        <v>47191</v>
      </c>
      <c r="B1" t="s">
        <v>8</v>
      </c>
      <c r="C1" t="s">
        <v>791</v>
      </c>
      <c r="D1" t="s">
        <v>47192</v>
      </c>
      <c r="E1" t="s">
        <v>46907</v>
      </c>
      <c r="F1" t="s">
        <v>47193</v>
      </c>
      <c r="G1" t="s">
        <v>48</v>
      </c>
      <c r="H1" t="s">
        <v>47194</v>
      </c>
      <c r="I1" t="s">
        <v>47195</v>
      </c>
    </row>
    <row r="2" spans="1:9" x14ac:dyDescent="0.3">
      <c r="A2" t="s">
        <v>47196</v>
      </c>
      <c r="B2" t="s">
        <v>29</v>
      </c>
      <c r="C2" s="16">
        <v>103040</v>
      </c>
      <c r="D2" s="43">
        <v>44305</v>
      </c>
      <c r="E2" t="s">
        <v>46906</v>
      </c>
      <c r="F2" s="39">
        <v>6000</v>
      </c>
      <c r="G2" t="s">
        <v>51</v>
      </c>
      <c r="I2" t="str">
        <f>IFERROR(INDEX(NAVAll[Scheme Name],MATCH(C2&amp;"",NAVAll[Scheme Code],0)),"⚠ code not found")</f>
        <v>Kotak Contra Fund - Regular Plan - Growth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4273-CDAC-4A1E-AD3E-029C61AE15F6}">
  <dimension ref="A1:F17505"/>
  <sheetViews>
    <sheetView topLeftCell="B7678" zoomScale="106" zoomScaleNormal="106" workbookViewId="0">
      <selection activeCell="E7671" sqref="E7671"/>
    </sheetView>
  </sheetViews>
  <sheetFormatPr defaultColWidth="9.109375" defaultRowHeight="14.4" x14ac:dyDescent="0.3"/>
  <cols>
    <col min="1" max="1" width="74.21875" style="15" bestFit="1" customWidth="1"/>
    <col min="2" max="2" width="28.109375" style="15" bestFit="1" customWidth="1"/>
    <col min="3" max="3" width="22" style="15" bestFit="1" customWidth="1"/>
    <col min="4" max="4" width="80.88671875" style="15" bestFit="1" customWidth="1"/>
    <col min="5" max="5" width="16.5546875" style="15" bestFit="1" customWidth="1"/>
    <col min="6" max="6" width="10.5546875" style="15" bestFit="1" customWidth="1"/>
    <col min="7" max="16384" width="9.109375" style="15"/>
  </cols>
  <sheetData>
    <row r="1" spans="1:6" x14ac:dyDescent="0.3">
      <c r="A1" s="15" t="s">
        <v>791</v>
      </c>
      <c r="B1" s="15" t="s">
        <v>792</v>
      </c>
      <c r="C1" s="15" t="s">
        <v>793</v>
      </c>
      <c r="D1" s="15" t="s">
        <v>130</v>
      </c>
      <c r="E1" s="15" t="s">
        <v>794</v>
      </c>
      <c r="F1" s="15" t="s">
        <v>126</v>
      </c>
    </row>
    <row r="2" spans="1:6" x14ac:dyDescent="0.3">
      <c r="A2" s="15" t="s">
        <v>33499</v>
      </c>
      <c r="B2" s="15" t="s">
        <v>795</v>
      </c>
      <c r="C2" s="15" t="s">
        <v>795</v>
      </c>
      <c r="D2" s="15" t="s">
        <v>795</v>
      </c>
      <c r="F2" s="42"/>
    </row>
    <row r="3" spans="1:6" x14ac:dyDescent="0.3">
      <c r="A3" s="15" t="s">
        <v>46902</v>
      </c>
      <c r="B3" s="15" t="s">
        <v>795</v>
      </c>
      <c r="C3" s="15" t="s">
        <v>795</v>
      </c>
      <c r="D3" s="15" t="s">
        <v>795</v>
      </c>
      <c r="F3" s="42"/>
    </row>
    <row r="4" spans="1:6" x14ac:dyDescent="0.3">
      <c r="A4" s="15" t="s">
        <v>33499</v>
      </c>
      <c r="B4" s="15" t="s">
        <v>795</v>
      </c>
      <c r="C4" s="15" t="s">
        <v>795</v>
      </c>
      <c r="D4" s="15" t="s">
        <v>795</v>
      </c>
      <c r="F4" s="42"/>
    </row>
    <row r="5" spans="1:6" x14ac:dyDescent="0.3">
      <c r="A5" s="15" t="s">
        <v>37122</v>
      </c>
      <c r="B5" s="15" t="s">
        <v>795</v>
      </c>
      <c r="C5" s="15" t="s">
        <v>795</v>
      </c>
      <c r="D5" s="15" t="s">
        <v>795</v>
      </c>
      <c r="F5" s="42"/>
    </row>
    <row r="6" spans="1:6" x14ac:dyDescent="0.3">
      <c r="A6" s="15" t="s">
        <v>33499</v>
      </c>
      <c r="B6" s="15" t="s">
        <v>795</v>
      </c>
      <c r="C6" s="15" t="s">
        <v>795</v>
      </c>
      <c r="D6" s="15" t="s">
        <v>795</v>
      </c>
      <c r="F6" s="42"/>
    </row>
    <row r="7" spans="1:6" x14ac:dyDescent="0.3">
      <c r="A7" s="15" t="s">
        <v>46901</v>
      </c>
      <c r="B7" s="15" t="s">
        <v>796</v>
      </c>
      <c r="C7" s="15" t="s">
        <v>797</v>
      </c>
      <c r="D7" s="15" t="s">
        <v>798</v>
      </c>
      <c r="E7" s="15">
        <v>106.3057</v>
      </c>
      <c r="F7" s="42">
        <v>46198</v>
      </c>
    </row>
    <row r="8" spans="1:6" x14ac:dyDescent="0.3">
      <c r="A8" s="15" t="s">
        <v>46900</v>
      </c>
      <c r="B8" s="15" t="s">
        <v>799</v>
      </c>
      <c r="C8" s="15" t="s">
        <v>800</v>
      </c>
      <c r="D8" s="15" t="s">
        <v>801</v>
      </c>
      <c r="E8" s="15">
        <v>117.4995</v>
      </c>
      <c r="F8" s="42">
        <v>46198</v>
      </c>
    </row>
    <row r="9" spans="1:6" x14ac:dyDescent="0.3">
      <c r="A9" s="15" t="s">
        <v>46899</v>
      </c>
      <c r="B9" s="15" t="s">
        <v>802</v>
      </c>
      <c r="C9" s="15" t="s">
        <v>800</v>
      </c>
      <c r="D9" s="15" t="s">
        <v>803</v>
      </c>
      <c r="E9" s="15">
        <v>104.34869999999999</v>
      </c>
      <c r="F9" s="42">
        <v>46198</v>
      </c>
    </row>
    <row r="10" spans="1:6" x14ac:dyDescent="0.3">
      <c r="A10" s="15" t="s">
        <v>46898</v>
      </c>
      <c r="B10" s="15" t="s">
        <v>804</v>
      </c>
      <c r="C10" s="15" t="s">
        <v>805</v>
      </c>
      <c r="D10" s="15" t="s">
        <v>806</v>
      </c>
      <c r="E10" s="15">
        <v>148.8252</v>
      </c>
      <c r="F10" s="42">
        <v>46198</v>
      </c>
    </row>
    <row r="11" spans="1:6" x14ac:dyDescent="0.3">
      <c r="A11" s="15" t="s">
        <v>46897</v>
      </c>
      <c r="B11" s="15" t="s">
        <v>807</v>
      </c>
      <c r="C11" s="15" t="s">
        <v>800</v>
      </c>
      <c r="D11" s="15" t="s">
        <v>808</v>
      </c>
      <c r="E11" s="15">
        <v>112.7942</v>
      </c>
      <c r="F11" s="42">
        <v>46198</v>
      </c>
    </row>
    <row r="12" spans="1:6" x14ac:dyDescent="0.3">
      <c r="A12" s="15" t="s">
        <v>46896</v>
      </c>
      <c r="B12" s="15" t="s">
        <v>809</v>
      </c>
      <c r="C12" s="15" t="s">
        <v>800</v>
      </c>
      <c r="D12" s="15" t="s">
        <v>810</v>
      </c>
      <c r="E12" s="15">
        <v>101.967</v>
      </c>
      <c r="F12" s="42">
        <v>46198</v>
      </c>
    </row>
    <row r="13" spans="1:6" x14ac:dyDescent="0.3">
      <c r="A13" s="15" t="s">
        <v>46895</v>
      </c>
      <c r="B13" s="15" t="s">
        <v>811</v>
      </c>
      <c r="C13" s="15" t="s">
        <v>800</v>
      </c>
      <c r="D13" s="15" t="s">
        <v>812</v>
      </c>
      <c r="E13" s="15">
        <v>385.5394</v>
      </c>
      <c r="F13" s="42">
        <v>46198</v>
      </c>
    </row>
    <row r="14" spans="1:6" x14ac:dyDescent="0.3">
      <c r="A14" s="15" t="s">
        <v>46894</v>
      </c>
      <c r="B14" s="15" t="s">
        <v>813</v>
      </c>
      <c r="C14" s="15" t="s">
        <v>800</v>
      </c>
      <c r="D14" s="15" t="s">
        <v>814</v>
      </c>
      <c r="E14" s="15">
        <v>401.4726</v>
      </c>
      <c r="F14" s="42">
        <v>46198</v>
      </c>
    </row>
    <row r="15" spans="1:6" x14ac:dyDescent="0.3">
      <c r="A15" s="15" t="s">
        <v>33499</v>
      </c>
      <c r="B15" s="15" t="s">
        <v>795</v>
      </c>
      <c r="C15" s="15" t="s">
        <v>795</v>
      </c>
      <c r="D15" s="15" t="s">
        <v>795</v>
      </c>
      <c r="F15" s="42"/>
    </row>
    <row r="16" spans="1:6" x14ac:dyDescent="0.3">
      <c r="A16" s="15" t="s">
        <v>37087</v>
      </c>
      <c r="B16" s="15" t="s">
        <v>795</v>
      </c>
      <c r="C16" s="15" t="s">
        <v>795</v>
      </c>
      <c r="D16" s="15" t="s">
        <v>795</v>
      </c>
      <c r="F16" s="42"/>
    </row>
    <row r="17" spans="1:6" x14ac:dyDescent="0.3">
      <c r="A17" s="15" t="s">
        <v>33499</v>
      </c>
      <c r="B17" s="15" t="s">
        <v>795</v>
      </c>
      <c r="C17" s="15" t="s">
        <v>795</v>
      </c>
      <c r="D17" s="15" t="s">
        <v>795</v>
      </c>
      <c r="F17" s="42"/>
    </row>
    <row r="18" spans="1:6" x14ac:dyDescent="0.3">
      <c r="A18" s="15" t="s">
        <v>46893</v>
      </c>
      <c r="B18" s="15" t="s">
        <v>815</v>
      </c>
      <c r="C18" s="15" t="s">
        <v>800</v>
      </c>
      <c r="D18" s="15" t="s">
        <v>816</v>
      </c>
      <c r="E18" s="15">
        <v>1532.8271999999999</v>
      </c>
      <c r="F18" s="42">
        <v>42900</v>
      </c>
    </row>
    <row r="19" spans="1:6" x14ac:dyDescent="0.3">
      <c r="A19" s="15" t="s">
        <v>46892</v>
      </c>
      <c r="B19" s="15" t="s">
        <v>800</v>
      </c>
      <c r="C19" s="15" t="s">
        <v>817</v>
      </c>
      <c r="D19" s="15" t="s">
        <v>818</v>
      </c>
      <c r="E19" s="15">
        <v>1039.1310000000001</v>
      </c>
      <c r="F19" s="42">
        <v>46198</v>
      </c>
    </row>
    <row r="20" spans="1:6" x14ac:dyDescent="0.3">
      <c r="A20" s="15" t="s">
        <v>46891</v>
      </c>
      <c r="B20" s="15" t="s">
        <v>819</v>
      </c>
      <c r="C20" s="15" t="s">
        <v>800</v>
      </c>
      <c r="D20" s="15" t="s">
        <v>820</v>
      </c>
      <c r="E20" s="15">
        <v>2874.9114</v>
      </c>
      <c r="F20" s="42">
        <v>46198</v>
      </c>
    </row>
    <row r="21" spans="1:6" x14ac:dyDescent="0.3">
      <c r="A21" s="15" t="s">
        <v>46890</v>
      </c>
      <c r="B21" s="15" t="s">
        <v>821</v>
      </c>
      <c r="C21" s="15" t="s">
        <v>822</v>
      </c>
      <c r="D21" s="15" t="s">
        <v>823</v>
      </c>
      <c r="E21" s="15">
        <v>1032.8188</v>
      </c>
      <c r="F21" s="42">
        <v>46198</v>
      </c>
    </row>
    <row r="22" spans="1:6" x14ac:dyDescent="0.3">
      <c r="A22" s="15" t="s">
        <v>46889</v>
      </c>
      <c r="B22" s="15" t="s">
        <v>824</v>
      </c>
      <c r="C22" s="15" t="s">
        <v>825</v>
      </c>
      <c r="D22" s="15" t="s">
        <v>826</v>
      </c>
      <c r="E22" s="15">
        <v>1040.9475</v>
      </c>
      <c r="F22" s="42">
        <v>46198</v>
      </c>
    </row>
    <row r="23" spans="1:6" x14ac:dyDescent="0.3">
      <c r="A23" s="15" t="s">
        <v>46888</v>
      </c>
      <c r="B23" s="15" t="s">
        <v>827</v>
      </c>
      <c r="C23" s="15" t="s">
        <v>800</v>
      </c>
      <c r="D23" s="15" t="s">
        <v>828</v>
      </c>
      <c r="E23" s="15">
        <v>1289.4075</v>
      </c>
      <c r="F23" s="42">
        <v>42142</v>
      </c>
    </row>
    <row r="24" spans="1:6" x14ac:dyDescent="0.3">
      <c r="A24" s="15" t="s">
        <v>46887</v>
      </c>
      <c r="B24" s="15" t="s">
        <v>800</v>
      </c>
      <c r="C24" s="15" t="s">
        <v>829</v>
      </c>
      <c r="D24" s="15" t="s">
        <v>830</v>
      </c>
      <c r="E24" s="15">
        <v>1039.1303</v>
      </c>
      <c r="F24" s="42">
        <v>46198</v>
      </c>
    </row>
    <row r="25" spans="1:6" x14ac:dyDescent="0.3">
      <c r="A25" s="15" t="s">
        <v>46886</v>
      </c>
      <c r="B25" s="15" t="s">
        <v>831</v>
      </c>
      <c r="C25" s="15" t="s">
        <v>800</v>
      </c>
      <c r="D25" s="15" t="s">
        <v>832</v>
      </c>
      <c r="E25" s="15">
        <v>2780.2687999999998</v>
      </c>
      <c r="F25" s="42">
        <v>46198</v>
      </c>
    </row>
    <row r="26" spans="1:6" x14ac:dyDescent="0.3">
      <c r="A26" s="15" t="s">
        <v>46885</v>
      </c>
      <c r="B26" s="15" t="s">
        <v>833</v>
      </c>
      <c r="C26" s="15" t="s">
        <v>834</v>
      </c>
      <c r="D26" s="15" t="s">
        <v>835</v>
      </c>
      <c r="E26" s="15">
        <v>1032.8101999999999</v>
      </c>
      <c r="F26" s="42">
        <v>46198</v>
      </c>
    </row>
    <row r="27" spans="1:6" x14ac:dyDescent="0.3">
      <c r="A27" s="15" t="s">
        <v>46884</v>
      </c>
      <c r="B27" s="15" t="s">
        <v>836</v>
      </c>
      <c r="C27" s="15" t="s">
        <v>837</v>
      </c>
      <c r="D27" s="15" t="s">
        <v>838</v>
      </c>
      <c r="E27" s="15">
        <v>1040.9204</v>
      </c>
      <c r="F27" s="42">
        <v>46198</v>
      </c>
    </row>
    <row r="28" spans="1:6" x14ac:dyDescent="0.3">
      <c r="A28" s="15" t="s">
        <v>33499</v>
      </c>
      <c r="B28" s="15" t="s">
        <v>795</v>
      </c>
      <c r="C28" s="15" t="s">
        <v>795</v>
      </c>
      <c r="D28" s="15" t="s">
        <v>795</v>
      </c>
      <c r="F28" s="42"/>
    </row>
    <row r="29" spans="1:6" x14ac:dyDescent="0.3">
      <c r="A29" s="15" t="s">
        <v>37923</v>
      </c>
      <c r="B29" s="15" t="s">
        <v>795</v>
      </c>
      <c r="C29" s="15" t="s">
        <v>795</v>
      </c>
      <c r="D29" s="15" t="s">
        <v>795</v>
      </c>
      <c r="F29" s="42"/>
    </row>
    <row r="30" spans="1:6" x14ac:dyDescent="0.3">
      <c r="A30" s="15" t="s">
        <v>33499</v>
      </c>
      <c r="B30" s="15" t="s">
        <v>795</v>
      </c>
      <c r="C30" s="15" t="s">
        <v>795</v>
      </c>
      <c r="D30" s="15" t="s">
        <v>795</v>
      </c>
      <c r="F30" s="42"/>
    </row>
    <row r="31" spans="1:6" x14ac:dyDescent="0.3">
      <c r="A31" s="15" t="s">
        <v>46883</v>
      </c>
      <c r="B31" s="15" t="s">
        <v>839</v>
      </c>
      <c r="C31" s="15" t="s">
        <v>840</v>
      </c>
      <c r="D31" s="15" t="s">
        <v>841</v>
      </c>
      <c r="E31" s="15">
        <v>11.014099999999999</v>
      </c>
      <c r="F31" s="42">
        <v>46198</v>
      </c>
    </row>
    <row r="32" spans="1:6" x14ac:dyDescent="0.3">
      <c r="A32" s="15" t="s">
        <v>46882</v>
      </c>
      <c r="B32" s="15" t="s">
        <v>842</v>
      </c>
      <c r="C32" s="15" t="s">
        <v>843</v>
      </c>
      <c r="D32" s="15" t="s">
        <v>844</v>
      </c>
      <c r="E32" s="15">
        <v>12.134399999999999</v>
      </c>
      <c r="F32" s="42">
        <v>46198</v>
      </c>
    </row>
    <row r="33" spans="1:6" x14ac:dyDescent="0.3">
      <c r="A33" s="15" t="s">
        <v>46881</v>
      </c>
      <c r="B33" s="15" t="s">
        <v>845</v>
      </c>
      <c r="C33" s="15" t="s">
        <v>800</v>
      </c>
      <c r="D33" s="15" t="s">
        <v>846</v>
      </c>
      <c r="E33" s="15">
        <v>11.9611</v>
      </c>
      <c r="F33" s="42">
        <v>46198</v>
      </c>
    </row>
    <row r="34" spans="1:6" x14ac:dyDescent="0.3">
      <c r="A34" s="15" t="s">
        <v>46880</v>
      </c>
      <c r="B34" s="15" t="s">
        <v>847</v>
      </c>
      <c r="C34" s="15" t="s">
        <v>848</v>
      </c>
      <c r="D34" s="15" t="s">
        <v>849</v>
      </c>
      <c r="E34" s="15">
        <v>11.9611</v>
      </c>
      <c r="F34" s="42">
        <v>46198</v>
      </c>
    </row>
    <row r="35" spans="1:6" x14ac:dyDescent="0.3">
      <c r="A35" s="15" t="s">
        <v>46879</v>
      </c>
      <c r="B35" s="15" t="s">
        <v>850</v>
      </c>
      <c r="C35" s="15" t="s">
        <v>800</v>
      </c>
      <c r="D35" s="15" t="s">
        <v>851</v>
      </c>
      <c r="E35" s="15">
        <v>12.134399999999999</v>
      </c>
      <c r="F35" s="42">
        <v>46198</v>
      </c>
    </row>
    <row r="36" spans="1:6" x14ac:dyDescent="0.3">
      <c r="A36" s="15" t="s">
        <v>46878</v>
      </c>
      <c r="B36" s="15" t="s">
        <v>852</v>
      </c>
      <c r="C36" s="15" t="s">
        <v>853</v>
      </c>
      <c r="D36" s="15" t="s">
        <v>854</v>
      </c>
      <c r="E36" s="15">
        <v>10.9438</v>
      </c>
      <c r="F36" s="42">
        <v>46198</v>
      </c>
    </row>
    <row r="37" spans="1:6" x14ac:dyDescent="0.3">
      <c r="A37" s="15" t="s">
        <v>33499</v>
      </c>
      <c r="B37" s="15" t="s">
        <v>795</v>
      </c>
      <c r="C37" s="15" t="s">
        <v>795</v>
      </c>
      <c r="D37" s="15" t="s">
        <v>795</v>
      </c>
      <c r="F37" s="42"/>
    </row>
    <row r="38" spans="1:6" x14ac:dyDescent="0.3">
      <c r="A38" s="15" t="s">
        <v>37073</v>
      </c>
      <c r="B38" s="15" t="s">
        <v>795</v>
      </c>
      <c r="C38" s="15" t="s">
        <v>795</v>
      </c>
      <c r="D38" s="15" t="s">
        <v>795</v>
      </c>
      <c r="F38" s="42"/>
    </row>
    <row r="39" spans="1:6" x14ac:dyDescent="0.3">
      <c r="A39" s="15" t="s">
        <v>33499</v>
      </c>
      <c r="B39" s="15" t="s">
        <v>795</v>
      </c>
      <c r="C39" s="15" t="s">
        <v>795</v>
      </c>
      <c r="D39" s="15" t="s">
        <v>795</v>
      </c>
      <c r="F39" s="42"/>
    </row>
    <row r="40" spans="1:6" x14ac:dyDescent="0.3">
      <c r="A40" s="15" t="s">
        <v>46877</v>
      </c>
      <c r="B40" s="15" t="s">
        <v>855</v>
      </c>
      <c r="C40" s="15" t="s">
        <v>800</v>
      </c>
      <c r="D40" s="15" t="s">
        <v>856</v>
      </c>
      <c r="E40" s="15">
        <v>12.304500000000001</v>
      </c>
      <c r="F40" s="42">
        <v>46198</v>
      </c>
    </row>
    <row r="41" spans="1:6" x14ac:dyDescent="0.3">
      <c r="A41" s="15" t="s">
        <v>46876</v>
      </c>
      <c r="B41" s="15" t="s">
        <v>800</v>
      </c>
      <c r="C41" s="15" t="s">
        <v>857</v>
      </c>
      <c r="D41" s="15" t="s">
        <v>858</v>
      </c>
      <c r="E41" s="15">
        <v>10.476800000000001</v>
      </c>
      <c r="F41" s="42">
        <v>46198</v>
      </c>
    </row>
    <row r="42" spans="1:6" x14ac:dyDescent="0.3">
      <c r="A42" s="15" t="s">
        <v>46875</v>
      </c>
      <c r="B42" s="15" t="s">
        <v>800</v>
      </c>
      <c r="C42" s="15" t="s">
        <v>859</v>
      </c>
      <c r="D42" s="15" t="s">
        <v>860</v>
      </c>
      <c r="E42" s="15">
        <v>10.505800000000001</v>
      </c>
      <c r="F42" s="42">
        <v>46198</v>
      </c>
    </row>
    <row r="43" spans="1:6" x14ac:dyDescent="0.3">
      <c r="A43" s="15" t="s">
        <v>46874</v>
      </c>
      <c r="B43" s="15" t="s">
        <v>861</v>
      </c>
      <c r="C43" s="15" t="s">
        <v>800</v>
      </c>
      <c r="D43" s="15" t="s">
        <v>862</v>
      </c>
      <c r="E43" s="15">
        <v>26.892499999999998</v>
      </c>
      <c r="F43" s="42">
        <v>46198</v>
      </c>
    </row>
    <row r="44" spans="1:6" x14ac:dyDescent="0.3">
      <c r="A44" s="15" t="s">
        <v>46873</v>
      </c>
      <c r="B44" s="15" t="s">
        <v>863</v>
      </c>
      <c r="C44" s="15" t="s">
        <v>864</v>
      </c>
      <c r="D44" s="15" t="s">
        <v>865</v>
      </c>
      <c r="E44" s="15">
        <v>14.146000000000001</v>
      </c>
      <c r="F44" s="42">
        <v>46198</v>
      </c>
    </row>
    <row r="45" spans="1:6" x14ac:dyDescent="0.3">
      <c r="A45" s="15" t="s">
        <v>46872</v>
      </c>
      <c r="B45" s="15" t="s">
        <v>800</v>
      </c>
      <c r="C45" s="15" t="s">
        <v>866</v>
      </c>
      <c r="D45" s="15" t="s">
        <v>867</v>
      </c>
      <c r="E45" s="15">
        <v>10.616</v>
      </c>
      <c r="F45" s="42">
        <v>46198</v>
      </c>
    </row>
    <row r="46" spans="1:6" x14ac:dyDescent="0.3">
      <c r="A46" s="15" t="s">
        <v>46871</v>
      </c>
      <c r="B46" s="15" t="s">
        <v>868</v>
      </c>
      <c r="C46" s="15" t="s">
        <v>800</v>
      </c>
      <c r="D46" s="15" t="s">
        <v>869</v>
      </c>
      <c r="E46" s="15">
        <v>11.2019</v>
      </c>
      <c r="F46" s="42">
        <v>46198</v>
      </c>
    </row>
    <row r="47" spans="1:6" x14ac:dyDescent="0.3">
      <c r="A47" s="15" t="s">
        <v>46870</v>
      </c>
      <c r="B47" s="15" t="s">
        <v>870</v>
      </c>
      <c r="C47" s="15" t="s">
        <v>800</v>
      </c>
      <c r="D47" s="15" t="s">
        <v>871</v>
      </c>
      <c r="E47" s="15">
        <v>11.324299999999999</v>
      </c>
      <c r="F47" s="42">
        <v>46198</v>
      </c>
    </row>
    <row r="48" spans="1:6" x14ac:dyDescent="0.3">
      <c r="A48" s="15" t="s">
        <v>46869</v>
      </c>
      <c r="B48" s="15" t="s">
        <v>800</v>
      </c>
      <c r="C48" s="15" t="s">
        <v>872</v>
      </c>
      <c r="D48" s="15" t="s">
        <v>873</v>
      </c>
      <c r="E48" s="15">
        <v>10.8788</v>
      </c>
      <c r="F48" s="42">
        <v>46198</v>
      </c>
    </row>
    <row r="49" spans="1:6" x14ac:dyDescent="0.3">
      <c r="A49" s="15" t="s">
        <v>46868</v>
      </c>
      <c r="B49" s="15" t="s">
        <v>800</v>
      </c>
      <c r="C49" s="15" t="s">
        <v>874</v>
      </c>
      <c r="D49" s="15" t="s">
        <v>875</v>
      </c>
      <c r="E49" s="15">
        <v>10.6614</v>
      </c>
      <c r="F49" s="42">
        <v>46198</v>
      </c>
    </row>
    <row r="50" spans="1:6" x14ac:dyDescent="0.3">
      <c r="A50" s="15" t="s">
        <v>46867</v>
      </c>
      <c r="B50" s="15" t="s">
        <v>876</v>
      </c>
      <c r="C50" s="15" t="s">
        <v>800</v>
      </c>
      <c r="D50" s="15" t="s">
        <v>877</v>
      </c>
      <c r="E50" s="15">
        <v>26.0533</v>
      </c>
      <c r="F50" s="42">
        <v>46198</v>
      </c>
    </row>
    <row r="51" spans="1:6" x14ac:dyDescent="0.3">
      <c r="A51" s="15" t="s">
        <v>46866</v>
      </c>
      <c r="B51" s="15" t="s">
        <v>878</v>
      </c>
      <c r="C51" s="15" t="s">
        <v>879</v>
      </c>
      <c r="D51" s="15" t="s">
        <v>880</v>
      </c>
      <c r="E51" s="15">
        <v>14.0686</v>
      </c>
      <c r="F51" s="42">
        <v>46198</v>
      </c>
    </row>
    <row r="52" spans="1:6" x14ac:dyDescent="0.3">
      <c r="A52" s="15" t="s">
        <v>46865</v>
      </c>
      <c r="B52" s="15" t="s">
        <v>800</v>
      </c>
      <c r="C52" s="15" t="s">
        <v>881</v>
      </c>
      <c r="D52" s="15" t="s">
        <v>882</v>
      </c>
      <c r="E52" s="15">
        <v>10.862</v>
      </c>
      <c r="F52" s="42">
        <v>46198</v>
      </c>
    </row>
    <row r="53" spans="1:6" x14ac:dyDescent="0.3">
      <c r="A53" s="15" t="s">
        <v>46864</v>
      </c>
      <c r="B53" s="15" t="s">
        <v>883</v>
      </c>
      <c r="C53" s="15" t="s">
        <v>800</v>
      </c>
      <c r="D53" s="15" t="s">
        <v>884</v>
      </c>
      <c r="E53" s="15">
        <v>11.089</v>
      </c>
      <c r="F53" s="42">
        <v>46198</v>
      </c>
    </row>
    <row r="54" spans="1:6" x14ac:dyDescent="0.3">
      <c r="A54" s="15" t="s">
        <v>33499</v>
      </c>
      <c r="B54" s="15" t="s">
        <v>795</v>
      </c>
      <c r="C54" s="15" t="s">
        <v>795</v>
      </c>
      <c r="D54" s="15" t="s">
        <v>795</v>
      </c>
      <c r="F54" s="42"/>
    </row>
    <row r="55" spans="1:6" x14ac:dyDescent="0.3">
      <c r="A55" s="15" t="s">
        <v>40284</v>
      </c>
      <c r="B55" s="15" t="s">
        <v>795</v>
      </c>
      <c r="C55" s="15" t="s">
        <v>795</v>
      </c>
      <c r="D55" s="15" t="s">
        <v>795</v>
      </c>
      <c r="F55" s="42"/>
    </row>
    <row r="56" spans="1:6" x14ac:dyDescent="0.3">
      <c r="A56" s="15" t="s">
        <v>33499</v>
      </c>
      <c r="B56" s="15" t="s">
        <v>795</v>
      </c>
      <c r="C56" s="15" t="s">
        <v>795</v>
      </c>
      <c r="D56" s="15" t="s">
        <v>795</v>
      </c>
      <c r="F56" s="42"/>
    </row>
    <row r="57" spans="1:6" x14ac:dyDescent="0.3">
      <c r="A57" s="15" t="s">
        <v>46863</v>
      </c>
      <c r="B57" s="15" t="s">
        <v>885</v>
      </c>
      <c r="C57" s="15" t="s">
        <v>800</v>
      </c>
      <c r="D57" s="15" t="s">
        <v>886</v>
      </c>
      <c r="E57" s="15">
        <v>12.8231</v>
      </c>
      <c r="F57" s="42">
        <v>46198</v>
      </c>
    </row>
    <row r="58" spans="1:6" x14ac:dyDescent="0.3">
      <c r="A58" s="15" t="s">
        <v>46862</v>
      </c>
      <c r="B58" s="15" t="s">
        <v>887</v>
      </c>
      <c r="C58" s="15" t="s">
        <v>888</v>
      </c>
      <c r="D58" s="15" t="s">
        <v>889</v>
      </c>
      <c r="E58" s="15">
        <v>11.020099999999999</v>
      </c>
      <c r="F58" s="42">
        <v>46198</v>
      </c>
    </row>
    <row r="59" spans="1:6" x14ac:dyDescent="0.3">
      <c r="A59" s="15" t="s">
        <v>46861</v>
      </c>
      <c r="B59" s="15" t="s">
        <v>890</v>
      </c>
      <c r="C59" s="15" t="s">
        <v>800</v>
      </c>
      <c r="D59" s="15" t="s">
        <v>891</v>
      </c>
      <c r="E59" s="15">
        <v>12.6745</v>
      </c>
      <c r="F59" s="42">
        <v>46198</v>
      </c>
    </row>
    <row r="60" spans="1:6" x14ac:dyDescent="0.3">
      <c r="A60" s="15" t="s">
        <v>46860</v>
      </c>
      <c r="B60" s="15" t="s">
        <v>892</v>
      </c>
      <c r="C60" s="15" t="s">
        <v>893</v>
      </c>
      <c r="D60" s="15" t="s">
        <v>894</v>
      </c>
      <c r="E60" s="15">
        <v>10.904500000000001</v>
      </c>
      <c r="F60" s="42">
        <v>46198</v>
      </c>
    </row>
    <row r="61" spans="1:6" x14ac:dyDescent="0.3">
      <c r="A61" s="15" t="s">
        <v>33499</v>
      </c>
      <c r="B61" s="15" t="s">
        <v>795</v>
      </c>
      <c r="C61" s="15" t="s">
        <v>795</v>
      </c>
      <c r="D61" s="15" t="s">
        <v>795</v>
      </c>
      <c r="F61" s="42"/>
    </row>
    <row r="62" spans="1:6" x14ac:dyDescent="0.3">
      <c r="A62" s="15" t="s">
        <v>37061</v>
      </c>
      <c r="B62" s="15" t="s">
        <v>795</v>
      </c>
      <c r="C62" s="15" t="s">
        <v>795</v>
      </c>
      <c r="D62" s="15" t="s">
        <v>795</v>
      </c>
      <c r="F62" s="42"/>
    </row>
    <row r="63" spans="1:6" x14ac:dyDescent="0.3">
      <c r="A63" s="15" t="s">
        <v>33499</v>
      </c>
      <c r="B63" s="15" t="s">
        <v>795</v>
      </c>
      <c r="C63" s="15" t="s">
        <v>795</v>
      </c>
      <c r="D63" s="15" t="s">
        <v>795</v>
      </c>
      <c r="F63" s="42"/>
    </row>
    <row r="64" spans="1:6" x14ac:dyDescent="0.3">
      <c r="A64" s="15" t="s">
        <v>46859</v>
      </c>
      <c r="B64" s="15" t="s">
        <v>895</v>
      </c>
      <c r="C64" s="15" t="s">
        <v>800</v>
      </c>
      <c r="D64" s="15" t="s">
        <v>896</v>
      </c>
      <c r="E64" s="15">
        <v>26.197700000000001</v>
      </c>
      <c r="F64" s="42">
        <v>46198</v>
      </c>
    </row>
    <row r="65" spans="1:6" x14ac:dyDescent="0.3">
      <c r="A65" s="15" t="s">
        <v>46858</v>
      </c>
      <c r="B65" s="15" t="s">
        <v>897</v>
      </c>
      <c r="C65" s="15" t="s">
        <v>898</v>
      </c>
      <c r="D65" s="15" t="s">
        <v>899</v>
      </c>
      <c r="E65" s="15">
        <v>10.572800000000001</v>
      </c>
      <c r="F65" s="42">
        <v>46198</v>
      </c>
    </row>
    <row r="66" spans="1:6" x14ac:dyDescent="0.3">
      <c r="A66" s="15" t="s">
        <v>46857</v>
      </c>
      <c r="B66" s="15" t="s">
        <v>800</v>
      </c>
      <c r="C66" s="15" t="s">
        <v>900</v>
      </c>
      <c r="D66" s="15" t="s">
        <v>901</v>
      </c>
      <c r="E66" s="15">
        <v>10.1889</v>
      </c>
      <c r="F66" s="42">
        <v>46198</v>
      </c>
    </row>
    <row r="67" spans="1:6" x14ac:dyDescent="0.3">
      <c r="A67" s="15" t="s">
        <v>46856</v>
      </c>
      <c r="B67" s="15" t="s">
        <v>902</v>
      </c>
      <c r="C67" s="15" t="s">
        <v>903</v>
      </c>
      <c r="D67" s="15" t="s">
        <v>904</v>
      </c>
      <c r="E67" s="15">
        <v>10.576700000000001</v>
      </c>
      <c r="F67" s="42">
        <v>46198</v>
      </c>
    </row>
    <row r="68" spans="1:6" x14ac:dyDescent="0.3">
      <c r="A68" s="15" t="s">
        <v>46855</v>
      </c>
      <c r="B68" s="15" t="s">
        <v>905</v>
      </c>
      <c r="C68" s="15" t="s">
        <v>906</v>
      </c>
      <c r="D68" s="15" t="s">
        <v>907</v>
      </c>
      <c r="E68" s="15">
        <v>10.6351</v>
      </c>
      <c r="F68" s="42">
        <v>46198</v>
      </c>
    </row>
    <row r="69" spans="1:6" x14ac:dyDescent="0.3">
      <c r="A69" s="15" t="s">
        <v>46854</v>
      </c>
      <c r="B69" s="15" t="s">
        <v>908</v>
      </c>
      <c r="C69" s="15" t="s">
        <v>909</v>
      </c>
      <c r="D69" s="15" t="s">
        <v>910</v>
      </c>
      <c r="E69" s="15">
        <v>10.1845</v>
      </c>
      <c r="F69" s="42">
        <v>46198</v>
      </c>
    </row>
    <row r="70" spans="1:6" x14ac:dyDescent="0.3">
      <c r="A70" s="15" t="s">
        <v>46853</v>
      </c>
      <c r="B70" s="15" t="s">
        <v>911</v>
      </c>
      <c r="C70" s="15" t="s">
        <v>800</v>
      </c>
      <c r="D70" s="15" t="s">
        <v>912</v>
      </c>
      <c r="E70" s="15">
        <v>25.234000000000002</v>
      </c>
      <c r="F70" s="42">
        <v>46198</v>
      </c>
    </row>
    <row r="71" spans="1:6" x14ac:dyDescent="0.3">
      <c r="A71" s="15" t="s">
        <v>46852</v>
      </c>
      <c r="B71" s="15" t="s">
        <v>913</v>
      </c>
      <c r="C71" s="15" t="s">
        <v>914</v>
      </c>
      <c r="D71" s="15" t="s">
        <v>915</v>
      </c>
      <c r="E71" s="15">
        <v>10.5626</v>
      </c>
      <c r="F71" s="42">
        <v>46198</v>
      </c>
    </row>
    <row r="72" spans="1:6" x14ac:dyDescent="0.3">
      <c r="A72" s="15" t="s">
        <v>46851</v>
      </c>
      <c r="B72" s="15" t="s">
        <v>800</v>
      </c>
      <c r="C72" s="15" t="s">
        <v>916</v>
      </c>
      <c r="D72" s="15" t="s">
        <v>917</v>
      </c>
      <c r="E72" s="15">
        <v>10.188800000000001</v>
      </c>
      <c r="F72" s="42">
        <v>46198</v>
      </c>
    </row>
    <row r="73" spans="1:6" x14ac:dyDescent="0.3">
      <c r="A73" s="15" t="s">
        <v>46850</v>
      </c>
      <c r="B73" s="15" t="s">
        <v>918</v>
      </c>
      <c r="C73" s="15" t="s">
        <v>919</v>
      </c>
      <c r="D73" s="15" t="s">
        <v>920</v>
      </c>
      <c r="E73" s="15">
        <v>10.5557</v>
      </c>
      <c r="F73" s="42">
        <v>46198</v>
      </c>
    </row>
    <row r="74" spans="1:6" x14ac:dyDescent="0.3">
      <c r="A74" s="15" t="s">
        <v>46849</v>
      </c>
      <c r="B74" s="15" t="s">
        <v>921</v>
      </c>
      <c r="C74" s="15" t="s">
        <v>922</v>
      </c>
      <c r="D74" s="15" t="s">
        <v>923</v>
      </c>
      <c r="E74" s="15">
        <v>10.62</v>
      </c>
      <c r="F74" s="42">
        <v>46198</v>
      </c>
    </row>
    <row r="75" spans="1:6" x14ac:dyDescent="0.3">
      <c r="A75" s="15" t="s">
        <v>46848</v>
      </c>
      <c r="B75" s="15" t="s">
        <v>924</v>
      </c>
      <c r="C75" s="15" t="s">
        <v>925</v>
      </c>
      <c r="D75" s="15" t="s">
        <v>926</v>
      </c>
      <c r="E75" s="15">
        <v>10.1845</v>
      </c>
      <c r="F75" s="42">
        <v>46198</v>
      </c>
    </row>
    <row r="76" spans="1:6" x14ac:dyDescent="0.3">
      <c r="A76" s="15" t="s">
        <v>33499</v>
      </c>
      <c r="B76" s="15" t="s">
        <v>795</v>
      </c>
      <c r="C76" s="15" t="s">
        <v>795</v>
      </c>
      <c r="D76" s="15" t="s">
        <v>795</v>
      </c>
      <c r="F76" s="42"/>
    </row>
    <row r="77" spans="1:6" x14ac:dyDescent="0.3">
      <c r="A77" s="15" t="s">
        <v>37895</v>
      </c>
      <c r="B77" s="15" t="s">
        <v>795</v>
      </c>
      <c r="C77" s="15" t="s">
        <v>795</v>
      </c>
      <c r="D77" s="15" t="s">
        <v>795</v>
      </c>
      <c r="F77" s="42"/>
    </row>
    <row r="78" spans="1:6" x14ac:dyDescent="0.3">
      <c r="A78" s="15" t="s">
        <v>33499</v>
      </c>
      <c r="B78" s="15" t="s">
        <v>795</v>
      </c>
      <c r="C78" s="15" t="s">
        <v>795</v>
      </c>
      <c r="D78" s="15" t="s">
        <v>795</v>
      </c>
      <c r="F78" s="42"/>
    </row>
    <row r="79" spans="1:6" x14ac:dyDescent="0.3">
      <c r="A79" s="15" t="s">
        <v>46847</v>
      </c>
      <c r="B79" s="15" t="s">
        <v>927</v>
      </c>
      <c r="C79" s="15" t="s">
        <v>800</v>
      </c>
      <c r="D79" s="15" t="s">
        <v>928</v>
      </c>
      <c r="E79" s="15">
        <v>26.799900000000001</v>
      </c>
      <c r="F79" s="42">
        <v>46198</v>
      </c>
    </row>
    <row r="80" spans="1:6" x14ac:dyDescent="0.3">
      <c r="A80" s="15" t="s">
        <v>46846</v>
      </c>
      <c r="B80" s="15" t="s">
        <v>929</v>
      </c>
      <c r="C80" s="15" t="s">
        <v>930</v>
      </c>
      <c r="D80" s="15" t="s">
        <v>931</v>
      </c>
      <c r="E80" s="15">
        <v>18.5639</v>
      </c>
      <c r="F80" s="42">
        <v>46198</v>
      </c>
    </row>
    <row r="81" spans="1:6" x14ac:dyDescent="0.3">
      <c r="A81" s="15" t="s">
        <v>46845</v>
      </c>
      <c r="B81" s="15" t="s">
        <v>932</v>
      </c>
      <c r="C81" s="15" t="s">
        <v>800</v>
      </c>
      <c r="D81" s="15" t="s">
        <v>933</v>
      </c>
      <c r="E81" s="15">
        <v>14.394600000000001</v>
      </c>
      <c r="F81" s="42">
        <v>46198</v>
      </c>
    </row>
    <row r="82" spans="1:6" x14ac:dyDescent="0.3">
      <c r="A82" s="15" t="s">
        <v>46844</v>
      </c>
      <c r="B82" s="15" t="s">
        <v>934</v>
      </c>
      <c r="C82" s="15" t="s">
        <v>935</v>
      </c>
      <c r="D82" s="15" t="s">
        <v>936</v>
      </c>
      <c r="E82" s="15">
        <v>11.042299999999999</v>
      </c>
      <c r="F82" s="42">
        <v>46198</v>
      </c>
    </row>
    <row r="83" spans="1:6" x14ac:dyDescent="0.3">
      <c r="A83" s="15" t="s">
        <v>46843</v>
      </c>
      <c r="B83" s="15" t="s">
        <v>937</v>
      </c>
      <c r="C83" s="15" t="s">
        <v>800</v>
      </c>
      <c r="D83" s="15" t="s">
        <v>938</v>
      </c>
      <c r="E83" s="15">
        <v>10.5656</v>
      </c>
      <c r="F83" s="42">
        <v>46198</v>
      </c>
    </row>
    <row r="84" spans="1:6" x14ac:dyDescent="0.3">
      <c r="A84" s="15" t="s">
        <v>46842</v>
      </c>
      <c r="B84" s="15" t="s">
        <v>939</v>
      </c>
      <c r="C84" s="15" t="s">
        <v>800</v>
      </c>
      <c r="D84" s="15" t="s">
        <v>940</v>
      </c>
      <c r="E84" s="15">
        <v>25.7879</v>
      </c>
      <c r="F84" s="42">
        <v>46198</v>
      </c>
    </row>
    <row r="85" spans="1:6" x14ac:dyDescent="0.3">
      <c r="A85" s="15" t="s">
        <v>46841</v>
      </c>
      <c r="B85" s="15" t="s">
        <v>941</v>
      </c>
      <c r="C85" s="15" t="s">
        <v>942</v>
      </c>
      <c r="D85" s="15" t="s">
        <v>943</v>
      </c>
      <c r="E85" s="15">
        <v>17.629100000000001</v>
      </c>
      <c r="F85" s="42">
        <v>46198</v>
      </c>
    </row>
    <row r="86" spans="1:6" x14ac:dyDescent="0.3">
      <c r="A86" s="15" t="s">
        <v>46840</v>
      </c>
      <c r="B86" s="15" t="s">
        <v>944</v>
      </c>
      <c r="C86" s="15" t="s">
        <v>800</v>
      </c>
      <c r="D86" s="15" t="s">
        <v>945</v>
      </c>
      <c r="E86" s="15">
        <v>13.915900000000001</v>
      </c>
      <c r="F86" s="42">
        <v>46198</v>
      </c>
    </row>
    <row r="87" spans="1:6" x14ac:dyDescent="0.3">
      <c r="A87" s="15" t="s">
        <v>46839</v>
      </c>
      <c r="B87" s="15" t="s">
        <v>946</v>
      </c>
      <c r="C87" s="15" t="s">
        <v>947</v>
      </c>
      <c r="D87" s="15" t="s">
        <v>948</v>
      </c>
      <c r="E87" s="15">
        <v>11.286300000000001</v>
      </c>
      <c r="F87" s="42">
        <v>46198</v>
      </c>
    </row>
    <row r="88" spans="1:6" x14ac:dyDescent="0.3">
      <c r="A88" s="15" t="s">
        <v>46838</v>
      </c>
      <c r="B88" s="15" t="s">
        <v>949</v>
      </c>
      <c r="C88" s="15" t="s">
        <v>800</v>
      </c>
      <c r="D88" s="15" t="s">
        <v>950</v>
      </c>
      <c r="E88" s="15">
        <v>10.1591</v>
      </c>
      <c r="F88" s="42">
        <v>46198</v>
      </c>
    </row>
    <row r="89" spans="1:6" x14ac:dyDescent="0.3">
      <c r="A89" s="15" t="s">
        <v>33499</v>
      </c>
      <c r="B89" s="15" t="s">
        <v>795</v>
      </c>
      <c r="C89" s="15" t="s">
        <v>795</v>
      </c>
      <c r="D89" s="15" t="s">
        <v>795</v>
      </c>
      <c r="F89" s="42"/>
    </row>
    <row r="90" spans="1:6" x14ac:dyDescent="0.3">
      <c r="A90" s="15" t="s">
        <v>37044</v>
      </c>
      <c r="B90" s="15" t="s">
        <v>795</v>
      </c>
      <c r="C90" s="15" t="s">
        <v>795</v>
      </c>
      <c r="D90" s="15" t="s">
        <v>795</v>
      </c>
      <c r="F90" s="42"/>
    </row>
    <row r="91" spans="1:6" x14ac:dyDescent="0.3">
      <c r="A91" s="15" t="s">
        <v>33499</v>
      </c>
      <c r="B91" s="15" t="s">
        <v>795</v>
      </c>
      <c r="C91" s="15" t="s">
        <v>795</v>
      </c>
      <c r="D91" s="15" t="s">
        <v>795</v>
      </c>
      <c r="F91" s="42"/>
    </row>
    <row r="92" spans="1:6" x14ac:dyDescent="0.3">
      <c r="A92" s="15" t="s">
        <v>46837</v>
      </c>
      <c r="B92" s="15" t="s">
        <v>951</v>
      </c>
      <c r="C92" s="15" t="s">
        <v>800</v>
      </c>
      <c r="D92" s="15" t="s">
        <v>952</v>
      </c>
      <c r="E92" s="15">
        <v>24.9466</v>
      </c>
      <c r="F92" s="42">
        <v>46198</v>
      </c>
    </row>
    <row r="93" spans="1:6" x14ac:dyDescent="0.3">
      <c r="A93" s="15" t="s">
        <v>46836</v>
      </c>
      <c r="B93" s="15" t="s">
        <v>953</v>
      </c>
      <c r="C93" s="15" t="s">
        <v>800</v>
      </c>
      <c r="D93" s="15" t="s">
        <v>954</v>
      </c>
      <c r="E93" s="15">
        <v>23.8078</v>
      </c>
      <c r="F93" s="42">
        <v>46198</v>
      </c>
    </row>
    <row r="94" spans="1:6" x14ac:dyDescent="0.3">
      <c r="A94" s="15" t="s">
        <v>46835</v>
      </c>
      <c r="B94" s="15" t="s">
        <v>955</v>
      </c>
      <c r="C94" s="15" t="s">
        <v>956</v>
      </c>
      <c r="D94" s="15" t="s">
        <v>957</v>
      </c>
      <c r="E94" s="15">
        <v>11.466200000000001</v>
      </c>
      <c r="F94" s="42">
        <v>46198</v>
      </c>
    </row>
    <row r="95" spans="1:6" x14ac:dyDescent="0.3">
      <c r="A95" s="15" t="s">
        <v>46834</v>
      </c>
      <c r="B95" s="15" t="s">
        <v>958</v>
      </c>
      <c r="C95" s="15" t="s">
        <v>959</v>
      </c>
      <c r="D95" s="15" t="s">
        <v>960</v>
      </c>
      <c r="E95" s="15">
        <v>10.8439</v>
      </c>
      <c r="F95" s="42">
        <v>46198</v>
      </c>
    </row>
    <row r="96" spans="1:6" x14ac:dyDescent="0.3">
      <c r="A96" s="15" t="s">
        <v>33499</v>
      </c>
      <c r="B96" s="15" t="s">
        <v>795</v>
      </c>
      <c r="C96" s="15" t="s">
        <v>795</v>
      </c>
      <c r="D96" s="15" t="s">
        <v>795</v>
      </c>
      <c r="F96" s="42"/>
    </row>
    <row r="97" spans="1:6" x14ac:dyDescent="0.3">
      <c r="A97" s="15" t="s">
        <v>37043</v>
      </c>
      <c r="B97" s="15" t="s">
        <v>795</v>
      </c>
      <c r="C97" s="15" t="s">
        <v>795</v>
      </c>
      <c r="D97" s="15" t="s">
        <v>795</v>
      </c>
      <c r="F97" s="42"/>
    </row>
    <row r="98" spans="1:6" x14ac:dyDescent="0.3">
      <c r="A98" s="15" t="s">
        <v>33499</v>
      </c>
      <c r="B98" s="15" t="s">
        <v>795</v>
      </c>
      <c r="C98" s="15" t="s">
        <v>795</v>
      </c>
      <c r="D98" s="15" t="s">
        <v>795</v>
      </c>
      <c r="F98" s="42"/>
    </row>
    <row r="99" spans="1:6" x14ac:dyDescent="0.3">
      <c r="A99" s="15" t="s">
        <v>46833</v>
      </c>
      <c r="B99" s="15" t="s">
        <v>961</v>
      </c>
      <c r="C99" s="15" t="s">
        <v>800</v>
      </c>
      <c r="D99" s="15" t="s">
        <v>962</v>
      </c>
      <c r="E99" s="15">
        <v>24.249099999999999</v>
      </c>
      <c r="F99" s="42">
        <v>46198</v>
      </c>
    </row>
    <row r="100" spans="1:6" x14ac:dyDescent="0.3">
      <c r="A100" s="15" t="s">
        <v>46832</v>
      </c>
      <c r="B100" s="15" t="s">
        <v>963</v>
      </c>
      <c r="C100" s="15" t="s">
        <v>800</v>
      </c>
      <c r="D100" s="15" t="s">
        <v>964</v>
      </c>
      <c r="E100" s="15">
        <v>25.341899999999999</v>
      </c>
      <c r="F100" s="42">
        <v>46198</v>
      </c>
    </row>
    <row r="101" spans="1:6" x14ac:dyDescent="0.3">
      <c r="A101" s="15" t="s">
        <v>46831</v>
      </c>
      <c r="B101" s="15" t="s">
        <v>965</v>
      </c>
      <c r="C101" s="15" t="s">
        <v>966</v>
      </c>
      <c r="D101" s="15" t="s">
        <v>967</v>
      </c>
      <c r="E101" s="15">
        <v>10.1709</v>
      </c>
      <c r="F101" s="42">
        <v>46198</v>
      </c>
    </row>
    <row r="102" spans="1:6" x14ac:dyDescent="0.3">
      <c r="A102" s="15" t="s">
        <v>46830</v>
      </c>
      <c r="B102" s="15" t="s">
        <v>968</v>
      </c>
      <c r="C102" s="15" t="s">
        <v>969</v>
      </c>
      <c r="D102" s="15" t="s">
        <v>970</v>
      </c>
      <c r="E102" s="15">
        <v>10.061</v>
      </c>
      <c r="F102" s="42">
        <v>46198</v>
      </c>
    </row>
    <row r="103" spans="1:6" x14ac:dyDescent="0.3">
      <c r="A103" s="15" t="s">
        <v>33499</v>
      </c>
      <c r="B103" s="15" t="s">
        <v>795</v>
      </c>
      <c r="C103" s="15" t="s">
        <v>795</v>
      </c>
      <c r="D103" s="15" t="s">
        <v>795</v>
      </c>
      <c r="F103" s="42"/>
    </row>
    <row r="104" spans="1:6" x14ac:dyDescent="0.3">
      <c r="A104" s="15" t="s">
        <v>36815</v>
      </c>
      <c r="B104" s="15" t="s">
        <v>795</v>
      </c>
      <c r="C104" s="15" t="s">
        <v>795</v>
      </c>
      <c r="D104" s="15" t="s">
        <v>795</v>
      </c>
      <c r="F104" s="42"/>
    </row>
    <row r="105" spans="1:6" x14ac:dyDescent="0.3">
      <c r="A105" s="15" t="s">
        <v>33499</v>
      </c>
      <c r="B105" s="15" t="s">
        <v>795</v>
      </c>
      <c r="C105" s="15" t="s">
        <v>795</v>
      </c>
      <c r="D105" s="15" t="s">
        <v>795</v>
      </c>
      <c r="F105" s="42"/>
    </row>
    <row r="106" spans="1:6" x14ac:dyDescent="0.3">
      <c r="A106" s="15" t="s">
        <v>46829</v>
      </c>
      <c r="B106" s="15" t="s">
        <v>800</v>
      </c>
      <c r="C106" s="15" t="s">
        <v>971</v>
      </c>
      <c r="D106" s="15" t="s">
        <v>972</v>
      </c>
      <c r="E106" s="15">
        <v>11.1907</v>
      </c>
      <c r="F106" s="42">
        <v>46198</v>
      </c>
    </row>
    <row r="107" spans="1:6" x14ac:dyDescent="0.3">
      <c r="A107" s="15" t="s">
        <v>46828</v>
      </c>
      <c r="B107" s="15" t="s">
        <v>973</v>
      </c>
      <c r="C107" s="15" t="s">
        <v>800</v>
      </c>
      <c r="D107" s="15" t="s">
        <v>974</v>
      </c>
      <c r="E107" s="15">
        <v>27.0258</v>
      </c>
      <c r="F107" s="42">
        <v>46198</v>
      </c>
    </row>
    <row r="108" spans="1:6" x14ac:dyDescent="0.3">
      <c r="A108" s="15" t="s">
        <v>46827</v>
      </c>
      <c r="B108" s="15" t="s">
        <v>975</v>
      </c>
      <c r="C108" s="15" t="s">
        <v>976</v>
      </c>
      <c r="D108" s="15" t="s">
        <v>977</v>
      </c>
      <c r="E108" s="15">
        <v>11.241099999999999</v>
      </c>
      <c r="F108" s="42">
        <v>46198</v>
      </c>
    </row>
    <row r="109" spans="1:6" x14ac:dyDescent="0.3">
      <c r="A109" s="15" t="s">
        <v>46826</v>
      </c>
      <c r="B109" s="15" t="s">
        <v>800</v>
      </c>
      <c r="C109" s="15" t="s">
        <v>978</v>
      </c>
      <c r="D109" s="15" t="s">
        <v>979</v>
      </c>
      <c r="E109" s="15">
        <v>10.3703</v>
      </c>
      <c r="F109" s="42">
        <v>46198</v>
      </c>
    </row>
    <row r="110" spans="1:6" x14ac:dyDescent="0.3">
      <c r="A110" s="15" t="s">
        <v>46825</v>
      </c>
      <c r="B110" s="15" t="s">
        <v>800</v>
      </c>
      <c r="C110" s="15" t="s">
        <v>980</v>
      </c>
      <c r="D110" s="15" t="s">
        <v>981</v>
      </c>
      <c r="E110" s="15">
        <v>11.116</v>
      </c>
      <c r="F110" s="42">
        <v>46198</v>
      </c>
    </row>
    <row r="111" spans="1:6" x14ac:dyDescent="0.3">
      <c r="A111" s="15" t="s">
        <v>46824</v>
      </c>
      <c r="B111" s="15" t="s">
        <v>982</v>
      </c>
      <c r="C111" s="15" t="s">
        <v>800</v>
      </c>
      <c r="D111" s="15" t="s">
        <v>983</v>
      </c>
      <c r="E111" s="15">
        <v>25.5746</v>
      </c>
      <c r="F111" s="42">
        <v>46198</v>
      </c>
    </row>
    <row r="112" spans="1:6" x14ac:dyDescent="0.3">
      <c r="A112" s="15" t="s">
        <v>46823</v>
      </c>
      <c r="B112" s="15" t="s">
        <v>984</v>
      </c>
      <c r="C112" s="15" t="s">
        <v>985</v>
      </c>
      <c r="D112" s="15" t="s">
        <v>986</v>
      </c>
      <c r="E112" s="15">
        <v>10.4374</v>
      </c>
      <c r="F112" s="42">
        <v>46198</v>
      </c>
    </row>
    <row r="113" spans="1:6" x14ac:dyDescent="0.3">
      <c r="A113" s="15" t="s">
        <v>46822</v>
      </c>
      <c r="B113" s="15" t="s">
        <v>800</v>
      </c>
      <c r="C113" s="15" t="s">
        <v>987</v>
      </c>
      <c r="D113" s="15" t="s">
        <v>988</v>
      </c>
      <c r="E113" s="15">
        <v>10.3431</v>
      </c>
      <c r="F113" s="42">
        <v>46198</v>
      </c>
    </row>
    <row r="114" spans="1:6" x14ac:dyDescent="0.3">
      <c r="A114" s="15" t="s">
        <v>33499</v>
      </c>
      <c r="B114" s="15" t="s">
        <v>795</v>
      </c>
      <c r="C114" s="15" t="s">
        <v>795</v>
      </c>
      <c r="D114" s="15" t="s">
        <v>795</v>
      </c>
      <c r="F114" s="42"/>
    </row>
    <row r="115" spans="1:6" x14ac:dyDescent="0.3">
      <c r="A115" s="15" t="s">
        <v>36764</v>
      </c>
      <c r="B115" s="15" t="s">
        <v>795</v>
      </c>
      <c r="C115" s="15" t="s">
        <v>795</v>
      </c>
      <c r="D115" s="15" t="s">
        <v>795</v>
      </c>
      <c r="F115" s="42"/>
    </row>
    <row r="116" spans="1:6" x14ac:dyDescent="0.3">
      <c r="A116" s="15" t="s">
        <v>33499</v>
      </c>
      <c r="B116" s="15" t="s">
        <v>795</v>
      </c>
      <c r="C116" s="15" t="s">
        <v>795</v>
      </c>
      <c r="D116" s="15" t="s">
        <v>795</v>
      </c>
      <c r="F116" s="42"/>
    </row>
    <row r="117" spans="1:6" x14ac:dyDescent="0.3">
      <c r="A117" s="15" t="s">
        <v>46821</v>
      </c>
      <c r="B117" s="15" t="s">
        <v>989</v>
      </c>
      <c r="C117" s="15" t="s">
        <v>990</v>
      </c>
      <c r="D117" s="15" t="s">
        <v>991</v>
      </c>
      <c r="E117" s="15">
        <v>10.0549</v>
      </c>
      <c r="F117" s="42">
        <v>44820</v>
      </c>
    </row>
    <row r="118" spans="1:6" x14ac:dyDescent="0.3">
      <c r="A118" s="15" t="s">
        <v>46820</v>
      </c>
      <c r="B118" s="15" t="s">
        <v>992</v>
      </c>
      <c r="C118" s="15" t="s">
        <v>993</v>
      </c>
      <c r="D118" s="15" t="s">
        <v>994</v>
      </c>
      <c r="E118" s="15">
        <v>10.242699999999999</v>
      </c>
      <c r="F118" s="42">
        <v>44820</v>
      </c>
    </row>
    <row r="119" spans="1:6" x14ac:dyDescent="0.3">
      <c r="A119" s="15" t="s">
        <v>46819</v>
      </c>
      <c r="B119" s="15" t="s">
        <v>995</v>
      </c>
      <c r="C119" s="15" t="s">
        <v>800</v>
      </c>
      <c r="D119" s="15" t="s">
        <v>996</v>
      </c>
      <c r="E119" s="15">
        <v>15.8889</v>
      </c>
      <c r="F119" s="42">
        <v>43945</v>
      </c>
    </row>
    <row r="120" spans="1:6" x14ac:dyDescent="0.3">
      <c r="A120" s="15" t="s">
        <v>46818</v>
      </c>
      <c r="B120" s="15" t="s">
        <v>997</v>
      </c>
      <c r="C120" s="15" t="s">
        <v>998</v>
      </c>
      <c r="D120" s="15" t="s">
        <v>999</v>
      </c>
      <c r="E120" s="15">
        <v>10.2538</v>
      </c>
      <c r="F120" s="42">
        <v>44820</v>
      </c>
    </row>
    <row r="121" spans="1:6" x14ac:dyDescent="0.3">
      <c r="A121" s="15" t="s">
        <v>46817</v>
      </c>
      <c r="B121" s="15" t="s">
        <v>1000</v>
      </c>
      <c r="C121" s="15" t="s">
        <v>800</v>
      </c>
      <c r="D121" s="15" t="s">
        <v>1001</v>
      </c>
      <c r="E121" s="15">
        <v>36.242800000000003</v>
      </c>
      <c r="F121" s="42">
        <v>46198</v>
      </c>
    </row>
    <row r="122" spans="1:6" x14ac:dyDescent="0.3">
      <c r="A122" s="15" t="s">
        <v>46816</v>
      </c>
      <c r="B122" s="15" t="s">
        <v>1002</v>
      </c>
      <c r="C122" s="15" t="s">
        <v>1003</v>
      </c>
      <c r="D122" s="15" t="s">
        <v>1004</v>
      </c>
      <c r="E122" s="15">
        <v>13.1439</v>
      </c>
      <c r="F122" s="42">
        <v>46198</v>
      </c>
    </row>
    <row r="123" spans="1:6" x14ac:dyDescent="0.3">
      <c r="A123" s="15" t="s">
        <v>46815</v>
      </c>
      <c r="B123" s="15" t="s">
        <v>1005</v>
      </c>
      <c r="C123" s="15" t="s">
        <v>1006</v>
      </c>
      <c r="D123" s="15" t="s">
        <v>1007</v>
      </c>
      <c r="E123" s="15">
        <v>10.370799999999999</v>
      </c>
      <c r="F123" s="42">
        <v>44820</v>
      </c>
    </row>
    <row r="124" spans="1:6" x14ac:dyDescent="0.3">
      <c r="A124" s="15" t="s">
        <v>46814</v>
      </c>
      <c r="B124" s="15" t="s">
        <v>1008</v>
      </c>
      <c r="C124" s="15" t="s">
        <v>800</v>
      </c>
      <c r="D124" s="15" t="s">
        <v>1009</v>
      </c>
      <c r="E124" s="15">
        <v>13.8665</v>
      </c>
      <c r="F124" s="42">
        <v>43200</v>
      </c>
    </row>
    <row r="125" spans="1:6" x14ac:dyDescent="0.3">
      <c r="A125" s="15" t="s">
        <v>46813</v>
      </c>
      <c r="B125" s="15" t="s">
        <v>1010</v>
      </c>
      <c r="C125" s="15" t="s">
        <v>1011</v>
      </c>
      <c r="D125" s="15" t="s">
        <v>1012</v>
      </c>
      <c r="E125" s="15">
        <v>13.1098</v>
      </c>
      <c r="F125" s="42">
        <v>44820</v>
      </c>
    </row>
    <row r="126" spans="1:6" x14ac:dyDescent="0.3">
      <c r="A126" s="15" t="s">
        <v>46812</v>
      </c>
      <c r="B126" s="15" t="s">
        <v>1013</v>
      </c>
      <c r="C126" s="15" t="s">
        <v>800</v>
      </c>
      <c r="D126" s="15" t="s">
        <v>1014</v>
      </c>
      <c r="E126" s="15">
        <v>34.6526</v>
      </c>
      <c r="F126" s="42">
        <v>46198</v>
      </c>
    </row>
    <row r="127" spans="1:6" x14ac:dyDescent="0.3">
      <c r="A127" s="15" t="s">
        <v>46811</v>
      </c>
      <c r="B127" s="15" t="s">
        <v>1015</v>
      </c>
      <c r="C127" s="15" t="s">
        <v>1016</v>
      </c>
      <c r="D127" s="15" t="s">
        <v>1017</v>
      </c>
      <c r="E127" s="15">
        <v>11.125299999999999</v>
      </c>
      <c r="F127" s="42">
        <v>46198</v>
      </c>
    </row>
    <row r="128" spans="1:6" x14ac:dyDescent="0.3">
      <c r="A128" s="15" t="s">
        <v>46810</v>
      </c>
      <c r="B128" s="15" t="s">
        <v>1018</v>
      </c>
      <c r="C128" s="15" t="s">
        <v>1019</v>
      </c>
      <c r="D128" s="15" t="s">
        <v>1020</v>
      </c>
      <c r="E128" s="15">
        <v>12.9261</v>
      </c>
      <c r="F128" s="42">
        <v>44820</v>
      </c>
    </row>
    <row r="129" spans="1:6" x14ac:dyDescent="0.3">
      <c r="A129" s="15" t="s">
        <v>46809</v>
      </c>
      <c r="B129" s="15" t="s">
        <v>1021</v>
      </c>
      <c r="C129" s="15" t="s">
        <v>1022</v>
      </c>
      <c r="D129" s="15" t="s">
        <v>1023</v>
      </c>
      <c r="E129" s="15">
        <v>10.0122</v>
      </c>
      <c r="F129" s="42">
        <v>43945</v>
      </c>
    </row>
    <row r="130" spans="1:6" x14ac:dyDescent="0.3">
      <c r="A130" s="15" t="s">
        <v>46808</v>
      </c>
      <c r="B130" s="15" t="s">
        <v>1024</v>
      </c>
      <c r="C130" s="15" t="s">
        <v>800</v>
      </c>
      <c r="D130" s="15" t="s">
        <v>1025</v>
      </c>
      <c r="E130" s="15">
        <v>21.631</v>
      </c>
      <c r="F130" s="42">
        <v>43945</v>
      </c>
    </row>
    <row r="131" spans="1:6" x14ac:dyDescent="0.3">
      <c r="A131" s="15" t="s">
        <v>46807</v>
      </c>
      <c r="B131" s="15" t="s">
        <v>1026</v>
      </c>
      <c r="C131" s="15" t="s">
        <v>1027</v>
      </c>
      <c r="D131" s="15" t="s">
        <v>1028</v>
      </c>
      <c r="E131" s="15">
        <v>10.330500000000001</v>
      </c>
      <c r="F131" s="42">
        <v>42236</v>
      </c>
    </row>
    <row r="132" spans="1:6" x14ac:dyDescent="0.3">
      <c r="A132" s="15" t="s">
        <v>33499</v>
      </c>
      <c r="B132" s="15" t="s">
        <v>795</v>
      </c>
      <c r="C132" s="15" t="s">
        <v>795</v>
      </c>
      <c r="D132" s="15" t="s">
        <v>795</v>
      </c>
      <c r="F132" s="42"/>
    </row>
    <row r="133" spans="1:6" x14ac:dyDescent="0.3">
      <c r="A133" s="15" t="s">
        <v>37807</v>
      </c>
      <c r="B133" s="15" t="s">
        <v>795</v>
      </c>
      <c r="C133" s="15" t="s">
        <v>795</v>
      </c>
      <c r="D133" s="15" t="s">
        <v>795</v>
      </c>
      <c r="F133" s="42"/>
    </row>
    <row r="134" spans="1:6" x14ac:dyDescent="0.3">
      <c r="A134" s="15" t="s">
        <v>33499</v>
      </c>
      <c r="B134" s="15" t="s">
        <v>795</v>
      </c>
      <c r="C134" s="15" t="s">
        <v>795</v>
      </c>
      <c r="D134" s="15" t="s">
        <v>795</v>
      </c>
      <c r="F134" s="42"/>
    </row>
    <row r="135" spans="1:6" x14ac:dyDescent="0.3">
      <c r="A135" s="15" t="s">
        <v>46806</v>
      </c>
      <c r="B135" s="15" t="s">
        <v>1029</v>
      </c>
      <c r="C135" s="15" t="s">
        <v>800</v>
      </c>
      <c r="D135" s="15" t="s">
        <v>1030</v>
      </c>
      <c r="E135" s="15">
        <v>2560.9962</v>
      </c>
      <c r="F135" s="42">
        <v>46198</v>
      </c>
    </row>
    <row r="136" spans="1:6" x14ac:dyDescent="0.3">
      <c r="A136" s="15" t="s">
        <v>46805</v>
      </c>
      <c r="B136" s="15" t="s">
        <v>800</v>
      </c>
      <c r="C136" s="15" t="s">
        <v>1031</v>
      </c>
      <c r="D136" s="15" t="s">
        <v>1032</v>
      </c>
      <c r="E136" s="15">
        <v>1064.4930999999999</v>
      </c>
      <c r="F136" s="42">
        <v>46198</v>
      </c>
    </row>
    <row r="137" spans="1:6" x14ac:dyDescent="0.3">
      <c r="A137" s="15" t="s">
        <v>46804</v>
      </c>
      <c r="B137" s="15" t="s">
        <v>1033</v>
      </c>
      <c r="C137" s="15" t="s">
        <v>1034</v>
      </c>
      <c r="D137" s="15" t="s">
        <v>1035</v>
      </c>
      <c r="E137" s="15">
        <v>1028.1258</v>
      </c>
      <c r="F137" s="42">
        <v>46198</v>
      </c>
    </row>
    <row r="138" spans="1:6" x14ac:dyDescent="0.3">
      <c r="A138" s="15" t="s">
        <v>46803</v>
      </c>
      <c r="B138" s="15" t="s">
        <v>800</v>
      </c>
      <c r="C138" s="15" t="s">
        <v>1036</v>
      </c>
      <c r="D138" s="15" t="s">
        <v>1037</v>
      </c>
      <c r="E138" s="15">
        <v>1051.3689999999999</v>
      </c>
      <c r="F138" s="42">
        <v>46198</v>
      </c>
    </row>
    <row r="139" spans="1:6" x14ac:dyDescent="0.3">
      <c r="A139" s="15" t="s">
        <v>46802</v>
      </c>
      <c r="B139" s="15" t="s">
        <v>1038</v>
      </c>
      <c r="C139" s="15" t="s">
        <v>800</v>
      </c>
      <c r="D139" s="15" t="s">
        <v>1039</v>
      </c>
      <c r="E139" s="15">
        <v>2383.3674999999998</v>
      </c>
      <c r="F139" s="42">
        <v>46198</v>
      </c>
    </row>
    <row r="140" spans="1:6" x14ac:dyDescent="0.3">
      <c r="A140" s="15" t="s">
        <v>46801</v>
      </c>
      <c r="B140" s="15" t="s">
        <v>1040</v>
      </c>
      <c r="C140" s="15" t="s">
        <v>1041</v>
      </c>
      <c r="D140" s="15" t="s">
        <v>1042</v>
      </c>
      <c r="E140" s="15">
        <v>1079.5859</v>
      </c>
      <c r="F140" s="42">
        <v>46198</v>
      </c>
    </row>
    <row r="141" spans="1:6" x14ac:dyDescent="0.3">
      <c r="A141" s="15" t="s">
        <v>33499</v>
      </c>
      <c r="B141" s="15" t="s">
        <v>795</v>
      </c>
      <c r="C141" s="15" t="s">
        <v>795</v>
      </c>
      <c r="D141" s="15" t="s">
        <v>795</v>
      </c>
      <c r="F141" s="42"/>
    </row>
    <row r="142" spans="1:6" x14ac:dyDescent="0.3">
      <c r="A142" s="15" t="s">
        <v>40577</v>
      </c>
      <c r="B142" s="15" t="s">
        <v>795</v>
      </c>
      <c r="C142" s="15" t="s">
        <v>795</v>
      </c>
      <c r="D142" s="15" t="s">
        <v>795</v>
      </c>
      <c r="F142" s="42"/>
    </row>
    <row r="143" spans="1:6" x14ac:dyDescent="0.3">
      <c r="A143" s="15" t="s">
        <v>33499</v>
      </c>
      <c r="B143" s="15" t="s">
        <v>795</v>
      </c>
      <c r="C143" s="15" t="s">
        <v>795</v>
      </c>
      <c r="D143" s="15" t="s">
        <v>795</v>
      </c>
      <c r="F143" s="42"/>
    </row>
    <row r="144" spans="1:6" x14ac:dyDescent="0.3">
      <c r="A144" s="15" t="s">
        <v>46800</v>
      </c>
      <c r="B144" s="15" t="s">
        <v>1043</v>
      </c>
      <c r="C144" s="15" t="s">
        <v>800</v>
      </c>
      <c r="D144" s="15" t="s">
        <v>1044</v>
      </c>
      <c r="E144" s="15">
        <v>14.0938</v>
      </c>
      <c r="F144" s="42">
        <v>46198</v>
      </c>
    </row>
    <row r="145" spans="1:6" x14ac:dyDescent="0.3">
      <c r="A145" s="15" t="s">
        <v>46799</v>
      </c>
      <c r="B145" s="15" t="s">
        <v>1045</v>
      </c>
      <c r="C145" s="15" t="s">
        <v>1046</v>
      </c>
      <c r="D145" s="15" t="s">
        <v>1047</v>
      </c>
      <c r="E145" s="15">
        <v>14.0922</v>
      </c>
      <c r="F145" s="42">
        <v>46198</v>
      </c>
    </row>
    <row r="146" spans="1:6" x14ac:dyDescent="0.3">
      <c r="A146" s="15" t="s">
        <v>46798</v>
      </c>
      <c r="B146" s="15" t="s">
        <v>1048</v>
      </c>
      <c r="C146" s="15" t="s">
        <v>800</v>
      </c>
      <c r="D146" s="15" t="s">
        <v>1049</v>
      </c>
      <c r="E146" s="15">
        <v>13.661300000000001</v>
      </c>
      <c r="F146" s="42">
        <v>46198</v>
      </c>
    </row>
    <row r="147" spans="1:6" x14ac:dyDescent="0.3">
      <c r="A147" s="15" t="s">
        <v>46797</v>
      </c>
      <c r="B147" s="15" t="s">
        <v>1050</v>
      </c>
      <c r="C147" s="15" t="s">
        <v>1051</v>
      </c>
      <c r="D147" s="15" t="s">
        <v>1052</v>
      </c>
      <c r="E147" s="15">
        <v>13.6624</v>
      </c>
      <c r="F147" s="42">
        <v>46198</v>
      </c>
    </row>
    <row r="148" spans="1:6" x14ac:dyDescent="0.3">
      <c r="A148" s="15" t="s">
        <v>33499</v>
      </c>
      <c r="B148" s="15" t="s">
        <v>795</v>
      </c>
      <c r="C148" s="15" t="s">
        <v>795</v>
      </c>
      <c r="D148" s="15" t="s">
        <v>795</v>
      </c>
      <c r="F148" s="42"/>
    </row>
    <row r="149" spans="1:6" x14ac:dyDescent="0.3">
      <c r="A149" s="15" t="s">
        <v>139</v>
      </c>
      <c r="B149" s="15" t="s">
        <v>795</v>
      </c>
      <c r="C149" s="15" t="s">
        <v>795</v>
      </c>
      <c r="D149" s="15" t="s">
        <v>795</v>
      </c>
      <c r="F149" s="42"/>
    </row>
    <row r="150" spans="1:6" x14ac:dyDescent="0.3">
      <c r="A150" s="15" t="s">
        <v>33499</v>
      </c>
      <c r="B150" s="15" t="s">
        <v>795</v>
      </c>
      <c r="C150" s="15" t="s">
        <v>795</v>
      </c>
      <c r="D150" s="15" t="s">
        <v>795</v>
      </c>
      <c r="F150" s="42"/>
    </row>
    <row r="151" spans="1:6" x14ac:dyDescent="0.3">
      <c r="A151" s="15" t="s">
        <v>46796</v>
      </c>
      <c r="B151" s="15" t="s">
        <v>1053</v>
      </c>
      <c r="C151" s="15" t="s">
        <v>800</v>
      </c>
      <c r="D151" s="15" t="s">
        <v>1054</v>
      </c>
      <c r="E151" s="15">
        <v>69.164400000000001</v>
      </c>
      <c r="F151" s="42">
        <v>46198</v>
      </c>
    </row>
    <row r="152" spans="1:6" x14ac:dyDescent="0.3">
      <c r="A152" s="15" t="s">
        <v>46795</v>
      </c>
      <c r="B152" s="15" t="s">
        <v>1055</v>
      </c>
      <c r="C152" s="15" t="s">
        <v>1056</v>
      </c>
      <c r="D152" s="15" t="s">
        <v>1057</v>
      </c>
      <c r="E152" s="15">
        <v>12.9946</v>
      </c>
      <c r="F152" s="42">
        <v>46198</v>
      </c>
    </row>
    <row r="153" spans="1:6" x14ac:dyDescent="0.3">
      <c r="A153" s="15" t="s">
        <v>46794</v>
      </c>
      <c r="B153" s="15" t="s">
        <v>1058</v>
      </c>
      <c r="C153" s="15" t="s">
        <v>1059</v>
      </c>
      <c r="D153" s="15" t="s">
        <v>1060</v>
      </c>
      <c r="E153" s="15">
        <v>17.142700000000001</v>
      </c>
      <c r="F153" s="42">
        <v>42993</v>
      </c>
    </row>
    <row r="154" spans="1:6" x14ac:dyDescent="0.3">
      <c r="A154" s="15" t="s">
        <v>46793</v>
      </c>
      <c r="B154" s="15" t="s">
        <v>1061</v>
      </c>
      <c r="C154" s="15" t="s">
        <v>800</v>
      </c>
      <c r="D154" s="15" t="s">
        <v>1062</v>
      </c>
      <c r="E154" s="15">
        <v>72.313199999999995</v>
      </c>
      <c r="F154" s="42">
        <v>46198</v>
      </c>
    </row>
    <row r="155" spans="1:6" x14ac:dyDescent="0.3">
      <c r="A155" s="15" t="s">
        <v>46792</v>
      </c>
      <c r="B155" s="15" t="s">
        <v>1063</v>
      </c>
      <c r="C155" s="15" t="s">
        <v>1064</v>
      </c>
      <c r="D155" s="15" t="s">
        <v>1065</v>
      </c>
      <c r="E155" s="15">
        <v>10.3005</v>
      </c>
      <c r="F155" s="42">
        <v>46198</v>
      </c>
    </row>
    <row r="156" spans="1:6" x14ac:dyDescent="0.3">
      <c r="A156" s="15" t="s">
        <v>33499</v>
      </c>
      <c r="B156" s="15" t="s">
        <v>795</v>
      </c>
      <c r="C156" s="15" t="s">
        <v>795</v>
      </c>
      <c r="D156" s="15" t="s">
        <v>795</v>
      </c>
      <c r="F156" s="42"/>
    </row>
    <row r="157" spans="1:6" x14ac:dyDescent="0.3">
      <c r="A157" s="15" t="s">
        <v>37618</v>
      </c>
      <c r="B157" s="15" t="s">
        <v>795</v>
      </c>
      <c r="C157" s="15" t="s">
        <v>795</v>
      </c>
      <c r="D157" s="15" t="s">
        <v>795</v>
      </c>
      <c r="F157" s="42"/>
    </row>
    <row r="158" spans="1:6" x14ac:dyDescent="0.3">
      <c r="A158" s="15" t="s">
        <v>33499</v>
      </c>
      <c r="B158" s="15" t="s">
        <v>795</v>
      </c>
      <c r="C158" s="15" t="s">
        <v>795</v>
      </c>
      <c r="D158" s="15" t="s">
        <v>795</v>
      </c>
      <c r="F158" s="42"/>
    </row>
    <row r="159" spans="1:6" x14ac:dyDescent="0.3">
      <c r="A159" s="15" t="s">
        <v>46791</v>
      </c>
      <c r="B159" s="15" t="s">
        <v>1066</v>
      </c>
      <c r="C159" s="15" t="s">
        <v>1067</v>
      </c>
      <c r="D159" s="15" t="s">
        <v>1068</v>
      </c>
      <c r="E159" s="15">
        <v>14.317600000000001</v>
      </c>
      <c r="F159" s="42">
        <v>46198</v>
      </c>
    </row>
    <row r="160" spans="1:6" x14ac:dyDescent="0.3">
      <c r="A160" s="15" t="s">
        <v>46790</v>
      </c>
      <c r="B160" s="15" t="s">
        <v>1069</v>
      </c>
      <c r="C160" s="15" t="s">
        <v>800</v>
      </c>
      <c r="D160" s="15" t="s">
        <v>1070</v>
      </c>
      <c r="E160" s="15">
        <v>39.712899999999998</v>
      </c>
      <c r="F160" s="42">
        <v>46198</v>
      </c>
    </row>
    <row r="161" spans="1:6" x14ac:dyDescent="0.3">
      <c r="A161" s="15" t="s">
        <v>46789</v>
      </c>
      <c r="B161" s="15" t="s">
        <v>1071</v>
      </c>
      <c r="C161" s="15" t="s">
        <v>1072</v>
      </c>
      <c r="D161" s="15" t="s">
        <v>1073</v>
      </c>
      <c r="E161" s="15">
        <v>14.9564</v>
      </c>
      <c r="F161" s="42">
        <v>46198</v>
      </c>
    </row>
    <row r="162" spans="1:6" x14ac:dyDescent="0.3">
      <c r="A162" s="15" t="s">
        <v>46788</v>
      </c>
      <c r="B162" s="15" t="s">
        <v>1074</v>
      </c>
      <c r="C162" s="15" t="s">
        <v>1075</v>
      </c>
      <c r="D162" s="15" t="s">
        <v>1076</v>
      </c>
      <c r="E162" s="15">
        <v>10.071099999999999</v>
      </c>
      <c r="F162" s="42">
        <v>46198</v>
      </c>
    </row>
    <row r="163" spans="1:6" x14ac:dyDescent="0.3">
      <c r="A163" s="15" t="s">
        <v>46787</v>
      </c>
      <c r="B163" s="15" t="s">
        <v>1077</v>
      </c>
      <c r="C163" s="15" t="s">
        <v>1078</v>
      </c>
      <c r="D163" s="15" t="s">
        <v>1079</v>
      </c>
      <c r="E163" s="15">
        <v>11.761799999999999</v>
      </c>
      <c r="F163" s="42">
        <v>46198</v>
      </c>
    </row>
    <row r="164" spans="1:6" x14ac:dyDescent="0.3">
      <c r="A164" s="15" t="s">
        <v>46786</v>
      </c>
      <c r="B164" s="15" t="s">
        <v>1080</v>
      </c>
      <c r="C164" s="15" t="s">
        <v>800</v>
      </c>
      <c r="D164" s="15" t="s">
        <v>1081</v>
      </c>
      <c r="E164" s="15">
        <v>36.659700000000001</v>
      </c>
      <c r="F164" s="42">
        <v>46198</v>
      </c>
    </row>
    <row r="165" spans="1:6" x14ac:dyDescent="0.3">
      <c r="A165" s="15" t="s">
        <v>46785</v>
      </c>
      <c r="B165" s="15" t="s">
        <v>1082</v>
      </c>
      <c r="C165" s="15" t="s">
        <v>1083</v>
      </c>
      <c r="D165" s="15" t="s">
        <v>1084</v>
      </c>
      <c r="E165" s="15">
        <v>13.7204</v>
      </c>
      <c r="F165" s="42">
        <v>46198</v>
      </c>
    </row>
    <row r="166" spans="1:6" x14ac:dyDescent="0.3">
      <c r="A166" s="15" t="s">
        <v>46784</v>
      </c>
      <c r="B166" s="15" t="s">
        <v>1085</v>
      </c>
      <c r="C166" s="15" t="s">
        <v>1086</v>
      </c>
      <c r="D166" s="15" t="s">
        <v>1087</v>
      </c>
      <c r="E166" s="15">
        <v>10.4034</v>
      </c>
      <c r="F166" s="42">
        <v>46198</v>
      </c>
    </row>
    <row r="167" spans="1:6" x14ac:dyDescent="0.3">
      <c r="A167" s="15" t="s">
        <v>33499</v>
      </c>
      <c r="B167" s="15" t="s">
        <v>795</v>
      </c>
      <c r="C167" s="15" t="s">
        <v>795</v>
      </c>
      <c r="D167" s="15" t="s">
        <v>795</v>
      </c>
      <c r="F167" s="42"/>
    </row>
    <row r="168" spans="1:6" x14ac:dyDescent="0.3">
      <c r="A168" s="15" t="s">
        <v>37780</v>
      </c>
      <c r="B168" s="15" t="s">
        <v>795</v>
      </c>
      <c r="C168" s="15" t="s">
        <v>795</v>
      </c>
      <c r="D168" s="15" t="s">
        <v>795</v>
      </c>
      <c r="F168" s="42"/>
    </row>
    <row r="169" spans="1:6" x14ac:dyDescent="0.3">
      <c r="A169" s="15" t="s">
        <v>33499</v>
      </c>
      <c r="B169" s="15" t="s">
        <v>795</v>
      </c>
      <c r="C169" s="15" t="s">
        <v>795</v>
      </c>
      <c r="D169" s="15" t="s">
        <v>795</v>
      </c>
      <c r="F169" s="42"/>
    </row>
    <row r="170" spans="1:6" x14ac:dyDescent="0.3">
      <c r="A170" s="15" t="s">
        <v>46783</v>
      </c>
      <c r="B170" s="15" t="s">
        <v>1088</v>
      </c>
      <c r="C170" s="15" t="s">
        <v>800</v>
      </c>
      <c r="D170" s="15" t="s">
        <v>1089</v>
      </c>
      <c r="E170" s="15">
        <v>13.9337</v>
      </c>
      <c r="F170" s="42">
        <v>46198</v>
      </c>
    </row>
    <row r="171" spans="1:6" x14ac:dyDescent="0.3">
      <c r="A171" s="15" t="s">
        <v>46782</v>
      </c>
      <c r="B171" s="15" t="s">
        <v>1090</v>
      </c>
      <c r="C171" s="15" t="s">
        <v>1091</v>
      </c>
      <c r="D171" s="15" t="s">
        <v>1092</v>
      </c>
      <c r="E171" s="15">
        <v>13.926600000000001</v>
      </c>
      <c r="F171" s="42">
        <v>46198</v>
      </c>
    </row>
    <row r="172" spans="1:6" x14ac:dyDescent="0.3">
      <c r="A172" s="15" t="s">
        <v>46781</v>
      </c>
      <c r="B172" s="15" t="s">
        <v>1093</v>
      </c>
      <c r="C172" s="15" t="s">
        <v>800</v>
      </c>
      <c r="D172" s="15" t="s">
        <v>1094</v>
      </c>
      <c r="E172" s="15">
        <v>13.5679</v>
      </c>
      <c r="F172" s="42">
        <v>46198</v>
      </c>
    </row>
    <row r="173" spans="1:6" x14ac:dyDescent="0.3">
      <c r="A173" s="15" t="s">
        <v>46780</v>
      </c>
      <c r="B173" s="15" t="s">
        <v>1095</v>
      </c>
      <c r="C173" s="15" t="s">
        <v>1096</v>
      </c>
      <c r="D173" s="15" t="s">
        <v>1097</v>
      </c>
      <c r="E173" s="15">
        <v>13.569000000000001</v>
      </c>
      <c r="F173" s="42">
        <v>46198</v>
      </c>
    </row>
    <row r="174" spans="1:6" x14ac:dyDescent="0.3">
      <c r="A174" s="15" t="s">
        <v>33499</v>
      </c>
      <c r="B174" s="15" t="s">
        <v>795</v>
      </c>
      <c r="C174" s="15" t="s">
        <v>795</v>
      </c>
      <c r="D174" s="15" t="s">
        <v>795</v>
      </c>
      <c r="F174" s="42"/>
    </row>
    <row r="175" spans="1:6" x14ac:dyDescent="0.3">
      <c r="A175" s="15" t="s">
        <v>208</v>
      </c>
      <c r="B175" s="15" t="s">
        <v>795</v>
      </c>
      <c r="C175" s="15" t="s">
        <v>795</v>
      </c>
      <c r="D175" s="15" t="s">
        <v>795</v>
      </c>
      <c r="F175" s="42"/>
    </row>
    <row r="176" spans="1:6" x14ac:dyDescent="0.3">
      <c r="A176" s="15" t="s">
        <v>33499</v>
      </c>
      <c r="B176" s="15" t="s">
        <v>795</v>
      </c>
      <c r="C176" s="15" t="s">
        <v>795</v>
      </c>
      <c r="D176" s="15" t="s">
        <v>795</v>
      </c>
      <c r="F176" s="42"/>
    </row>
    <row r="177" spans="1:6" x14ac:dyDescent="0.3">
      <c r="A177" s="15" t="s">
        <v>46779</v>
      </c>
      <c r="B177" s="15" t="s">
        <v>1098</v>
      </c>
      <c r="C177" s="15" t="s">
        <v>1099</v>
      </c>
      <c r="D177" s="15" t="s">
        <v>1100</v>
      </c>
      <c r="E177" s="15">
        <v>22.769200000000001</v>
      </c>
      <c r="F177" s="42">
        <v>46198</v>
      </c>
    </row>
    <row r="178" spans="1:6" x14ac:dyDescent="0.3">
      <c r="A178" s="15" t="s">
        <v>46778</v>
      </c>
      <c r="B178" s="15" t="s">
        <v>1101</v>
      </c>
      <c r="C178" s="15" t="s">
        <v>1102</v>
      </c>
      <c r="D178" s="15" t="s">
        <v>1103</v>
      </c>
      <c r="E178" s="15">
        <v>10.309200000000001</v>
      </c>
      <c r="F178" s="42">
        <v>46198</v>
      </c>
    </row>
    <row r="179" spans="1:6" x14ac:dyDescent="0.3">
      <c r="A179" s="15" t="s">
        <v>46777</v>
      </c>
      <c r="B179" s="15" t="s">
        <v>1104</v>
      </c>
      <c r="C179" s="15" t="s">
        <v>800</v>
      </c>
      <c r="D179" s="15" t="s">
        <v>1105</v>
      </c>
      <c r="E179" s="15">
        <v>22.769200000000001</v>
      </c>
      <c r="F179" s="42">
        <v>46198</v>
      </c>
    </row>
    <row r="180" spans="1:6" x14ac:dyDescent="0.3">
      <c r="A180" s="15" t="s">
        <v>46776</v>
      </c>
      <c r="B180" s="15" t="s">
        <v>1106</v>
      </c>
      <c r="C180" s="15" t="s">
        <v>1107</v>
      </c>
      <c r="D180" s="15" t="s">
        <v>1108</v>
      </c>
      <c r="E180" s="15">
        <v>10.802</v>
      </c>
      <c r="F180" s="42">
        <v>46198</v>
      </c>
    </row>
    <row r="181" spans="1:6" x14ac:dyDescent="0.3">
      <c r="A181" s="15" t="s">
        <v>46775</v>
      </c>
      <c r="B181" s="15" t="s">
        <v>1109</v>
      </c>
      <c r="C181" s="15" t="s">
        <v>1110</v>
      </c>
      <c r="D181" s="15" t="s">
        <v>1111</v>
      </c>
      <c r="E181" s="15">
        <v>10.8582</v>
      </c>
      <c r="F181" s="42">
        <v>46198</v>
      </c>
    </row>
    <row r="182" spans="1:6" x14ac:dyDescent="0.3">
      <c r="A182" s="15" t="s">
        <v>46774</v>
      </c>
      <c r="B182" s="15" t="s">
        <v>1112</v>
      </c>
      <c r="C182" s="15" t="s">
        <v>1113</v>
      </c>
      <c r="D182" s="15" t="s">
        <v>1114</v>
      </c>
      <c r="E182" s="15">
        <v>10.3085</v>
      </c>
      <c r="F182" s="42">
        <v>46198</v>
      </c>
    </row>
    <row r="183" spans="1:6" x14ac:dyDescent="0.3">
      <c r="A183" s="15" t="s">
        <v>46773</v>
      </c>
      <c r="B183" s="15" t="s">
        <v>1115</v>
      </c>
      <c r="C183" s="15" t="s">
        <v>1116</v>
      </c>
      <c r="D183" s="15" t="s">
        <v>1117</v>
      </c>
      <c r="E183" s="15">
        <v>21.855799999999999</v>
      </c>
      <c r="F183" s="42">
        <v>46198</v>
      </c>
    </row>
    <row r="184" spans="1:6" x14ac:dyDescent="0.3">
      <c r="A184" s="15" t="s">
        <v>46772</v>
      </c>
      <c r="B184" s="15" t="s">
        <v>1118</v>
      </c>
      <c r="C184" s="15" t="s">
        <v>1119</v>
      </c>
      <c r="D184" s="15" t="s">
        <v>1120</v>
      </c>
      <c r="E184" s="15">
        <v>10.732200000000001</v>
      </c>
      <c r="F184" s="42">
        <v>46198</v>
      </c>
    </row>
    <row r="185" spans="1:6" x14ac:dyDescent="0.3">
      <c r="A185" s="15" t="s">
        <v>46771</v>
      </c>
      <c r="B185" s="15" t="s">
        <v>1121</v>
      </c>
      <c r="C185" s="15" t="s">
        <v>1122</v>
      </c>
      <c r="D185" s="15" t="s">
        <v>1123</v>
      </c>
      <c r="E185" s="15">
        <v>10.795299999999999</v>
      </c>
      <c r="F185" s="42">
        <v>46198</v>
      </c>
    </row>
    <row r="186" spans="1:6" x14ac:dyDescent="0.3">
      <c r="A186" s="15" t="s">
        <v>46770</v>
      </c>
      <c r="B186" s="15" t="s">
        <v>1124</v>
      </c>
      <c r="C186" s="15" t="s">
        <v>800</v>
      </c>
      <c r="D186" s="15" t="s">
        <v>1125</v>
      </c>
      <c r="E186" s="15">
        <v>22.7685</v>
      </c>
      <c r="F186" s="42">
        <v>46198</v>
      </c>
    </row>
    <row r="187" spans="1:6" x14ac:dyDescent="0.3">
      <c r="A187" s="15" t="s">
        <v>46769</v>
      </c>
      <c r="B187" s="15" t="s">
        <v>1126</v>
      </c>
      <c r="C187" s="15" t="s">
        <v>800</v>
      </c>
      <c r="D187" s="15" t="s">
        <v>1127</v>
      </c>
      <c r="E187" s="15">
        <v>12.3452</v>
      </c>
      <c r="F187" s="42">
        <v>43133</v>
      </c>
    </row>
    <row r="188" spans="1:6" x14ac:dyDescent="0.3">
      <c r="A188" s="15" t="s">
        <v>46768</v>
      </c>
      <c r="B188" s="15" t="s">
        <v>1128</v>
      </c>
      <c r="C188" s="15" t="s">
        <v>800</v>
      </c>
      <c r="D188" s="15" t="s">
        <v>1129</v>
      </c>
      <c r="E188" s="15">
        <v>21.855799999999999</v>
      </c>
      <c r="F188" s="42">
        <v>46198</v>
      </c>
    </row>
    <row r="189" spans="1:6" x14ac:dyDescent="0.3">
      <c r="A189" s="15" t="s">
        <v>33499</v>
      </c>
      <c r="B189" s="15" t="s">
        <v>795</v>
      </c>
      <c r="C189" s="15" t="s">
        <v>795</v>
      </c>
      <c r="D189" s="15" t="s">
        <v>795</v>
      </c>
      <c r="F189" s="42"/>
    </row>
    <row r="190" spans="1:6" x14ac:dyDescent="0.3">
      <c r="A190" s="15" t="s">
        <v>33636</v>
      </c>
      <c r="B190" s="15" t="s">
        <v>795</v>
      </c>
      <c r="C190" s="15" t="s">
        <v>795</v>
      </c>
      <c r="D190" s="15" t="s">
        <v>795</v>
      </c>
      <c r="F190" s="42"/>
    </row>
    <row r="191" spans="1:6" x14ac:dyDescent="0.3">
      <c r="A191" s="15" t="s">
        <v>33499</v>
      </c>
      <c r="B191" s="15" t="s">
        <v>795</v>
      </c>
      <c r="C191" s="15" t="s">
        <v>795</v>
      </c>
      <c r="D191" s="15" t="s">
        <v>795</v>
      </c>
      <c r="F191" s="42"/>
    </row>
    <row r="192" spans="1:6" x14ac:dyDescent="0.3">
      <c r="A192" s="15" t="s">
        <v>46767</v>
      </c>
      <c r="B192" s="15" t="s">
        <v>800</v>
      </c>
      <c r="C192" s="15" t="s">
        <v>1130</v>
      </c>
      <c r="D192" s="15" t="s">
        <v>1131</v>
      </c>
      <c r="E192" s="15">
        <v>1539.9834000000001</v>
      </c>
      <c r="F192" s="42">
        <v>46198</v>
      </c>
    </row>
    <row r="193" spans="1:6" x14ac:dyDescent="0.3">
      <c r="A193" s="15" t="s">
        <v>46766</v>
      </c>
      <c r="B193" s="15" t="s">
        <v>1132</v>
      </c>
      <c r="C193" s="15" t="s">
        <v>800</v>
      </c>
      <c r="D193" s="15" t="s">
        <v>1133</v>
      </c>
      <c r="E193" s="15">
        <v>3496.2098000000001</v>
      </c>
      <c r="F193" s="42">
        <v>46198</v>
      </c>
    </row>
    <row r="194" spans="1:6" x14ac:dyDescent="0.3">
      <c r="A194" s="15" t="s">
        <v>46765</v>
      </c>
      <c r="B194" s="15" t="s">
        <v>1134</v>
      </c>
      <c r="C194" s="15" t="s">
        <v>1135</v>
      </c>
      <c r="D194" s="15" t="s">
        <v>1136</v>
      </c>
      <c r="E194" s="15">
        <v>1313.4641999999999</v>
      </c>
      <c r="F194" s="42">
        <v>46198</v>
      </c>
    </row>
    <row r="195" spans="1:6" x14ac:dyDescent="0.3">
      <c r="A195" s="15" t="s">
        <v>46764</v>
      </c>
      <c r="B195" s="15" t="s">
        <v>1137</v>
      </c>
      <c r="C195" s="15" t="s">
        <v>1138</v>
      </c>
      <c r="D195" s="15" t="s">
        <v>1139</v>
      </c>
      <c r="E195" s="15">
        <v>1536.5642</v>
      </c>
      <c r="F195" s="42">
        <v>46198</v>
      </c>
    </row>
    <row r="196" spans="1:6" x14ac:dyDescent="0.3">
      <c r="A196" s="15" t="s">
        <v>46763</v>
      </c>
      <c r="B196" s="15" t="s">
        <v>1140</v>
      </c>
      <c r="C196" s="15" t="s">
        <v>800</v>
      </c>
      <c r="D196" s="15" t="s">
        <v>1141</v>
      </c>
      <c r="E196" s="15">
        <v>3277.4254999999998</v>
      </c>
      <c r="F196" s="42">
        <v>46198</v>
      </c>
    </row>
    <row r="197" spans="1:6" x14ac:dyDescent="0.3">
      <c r="A197" s="15" t="s">
        <v>46762</v>
      </c>
      <c r="B197" s="15" t="s">
        <v>800</v>
      </c>
      <c r="C197" s="15" t="s">
        <v>1142</v>
      </c>
      <c r="D197" s="15" t="s">
        <v>1143</v>
      </c>
      <c r="E197" s="15">
        <v>1495.2529999999999</v>
      </c>
      <c r="F197" s="42">
        <v>46198</v>
      </c>
    </row>
    <row r="198" spans="1:6" x14ac:dyDescent="0.3">
      <c r="A198" s="15" t="s">
        <v>46761</v>
      </c>
      <c r="B198" s="15" t="s">
        <v>1144</v>
      </c>
      <c r="C198" s="15" t="s">
        <v>1145</v>
      </c>
      <c r="D198" s="15" t="s">
        <v>1146</v>
      </c>
      <c r="E198" s="15">
        <v>1223.1777</v>
      </c>
      <c r="F198" s="42">
        <v>46198</v>
      </c>
    </row>
    <row r="199" spans="1:6" x14ac:dyDescent="0.3">
      <c r="A199" s="15" t="s">
        <v>46760</v>
      </c>
      <c r="B199" s="15" t="s">
        <v>1147</v>
      </c>
      <c r="C199" s="15" t="s">
        <v>1148</v>
      </c>
      <c r="D199" s="15" t="s">
        <v>1149</v>
      </c>
      <c r="E199" s="15">
        <v>1494.8964000000001</v>
      </c>
      <c r="F199" s="42">
        <v>46198</v>
      </c>
    </row>
    <row r="200" spans="1:6" x14ac:dyDescent="0.3">
      <c r="A200" s="15" t="s">
        <v>33499</v>
      </c>
      <c r="B200" s="15" t="s">
        <v>795</v>
      </c>
      <c r="C200" s="15" t="s">
        <v>795</v>
      </c>
      <c r="D200" s="15" t="s">
        <v>795</v>
      </c>
      <c r="F200" s="42"/>
    </row>
    <row r="201" spans="1:6" x14ac:dyDescent="0.3">
      <c r="A201" s="15" t="s">
        <v>37414</v>
      </c>
      <c r="B201" s="15" t="s">
        <v>795</v>
      </c>
      <c r="C201" s="15" t="s">
        <v>795</v>
      </c>
      <c r="D201" s="15" t="s">
        <v>795</v>
      </c>
      <c r="F201" s="42"/>
    </row>
    <row r="202" spans="1:6" x14ac:dyDescent="0.3">
      <c r="A202" s="15" t="s">
        <v>33499</v>
      </c>
      <c r="B202" s="15" t="s">
        <v>795</v>
      </c>
      <c r="C202" s="15" t="s">
        <v>795</v>
      </c>
      <c r="D202" s="15" t="s">
        <v>795</v>
      </c>
      <c r="F202" s="42"/>
    </row>
    <row r="203" spans="1:6" x14ac:dyDescent="0.3">
      <c r="A203" s="15" t="s">
        <v>46759</v>
      </c>
      <c r="B203" s="15" t="s">
        <v>1150</v>
      </c>
      <c r="C203" s="15" t="s">
        <v>800</v>
      </c>
      <c r="D203" s="15" t="s">
        <v>1151</v>
      </c>
      <c r="E203" s="15">
        <v>11.7065</v>
      </c>
      <c r="F203" s="42">
        <v>42811</v>
      </c>
    </row>
    <row r="204" spans="1:6" x14ac:dyDescent="0.3">
      <c r="A204" s="15" t="s">
        <v>46758</v>
      </c>
      <c r="B204" s="15" t="s">
        <v>1152</v>
      </c>
      <c r="C204" s="15" t="s">
        <v>1153</v>
      </c>
      <c r="D204" s="15" t="s">
        <v>1154</v>
      </c>
      <c r="E204" s="15">
        <v>11.4008</v>
      </c>
      <c r="F204" s="42">
        <v>42811</v>
      </c>
    </row>
    <row r="205" spans="1:6" x14ac:dyDescent="0.3">
      <c r="A205" s="15" t="s">
        <v>46757</v>
      </c>
      <c r="B205" s="15" t="s">
        <v>1155</v>
      </c>
      <c r="C205" s="15" t="s">
        <v>1156</v>
      </c>
      <c r="D205" s="15" t="s">
        <v>1157</v>
      </c>
      <c r="E205" s="15">
        <v>10.6356</v>
      </c>
      <c r="F205" s="42">
        <v>42460</v>
      </c>
    </row>
    <row r="206" spans="1:6" x14ac:dyDescent="0.3">
      <c r="A206" s="15" t="s">
        <v>46756</v>
      </c>
      <c r="B206" s="15" t="s">
        <v>1158</v>
      </c>
      <c r="C206" s="15" t="s">
        <v>800</v>
      </c>
      <c r="D206" s="15" t="s">
        <v>1159</v>
      </c>
      <c r="E206" s="15">
        <v>11.6319</v>
      </c>
      <c r="F206" s="42">
        <v>42783</v>
      </c>
    </row>
    <row r="207" spans="1:6" x14ac:dyDescent="0.3">
      <c r="A207" s="15" t="s">
        <v>46755</v>
      </c>
      <c r="B207" s="15" t="s">
        <v>800</v>
      </c>
      <c r="C207" s="15" t="s">
        <v>1160</v>
      </c>
      <c r="D207" s="15" t="s">
        <v>1161</v>
      </c>
      <c r="E207" s="15">
        <v>11.658200000000001</v>
      </c>
      <c r="F207" s="42">
        <v>42811</v>
      </c>
    </row>
    <row r="208" spans="1:6" x14ac:dyDescent="0.3">
      <c r="A208" s="15" t="s">
        <v>46754</v>
      </c>
      <c r="B208" s="15" t="s">
        <v>1162</v>
      </c>
      <c r="C208" s="15" t="s">
        <v>800</v>
      </c>
      <c r="D208" s="15" t="s">
        <v>1163</v>
      </c>
      <c r="E208" s="15">
        <v>11.6493</v>
      </c>
      <c r="F208" s="42">
        <v>42811</v>
      </c>
    </row>
    <row r="209" spans="1:6" x14ac:dyDescent="0.3">
      <c r="A209" s="15" t="s">
        <v>46753</v>
      </c>
      <c r="B209" s="15" t="s">
        <v>1164</v>
      </c>
      <c r="C209" s="15" t="s">
        <v>1165</v>
      </c>
      <c r="D209" s="15" t="s">
        <v>1166</v>
      </c>
      <c r="E209" s="15">
        <v>11.1411</v>
      </c>
      <c r="F209" s="42">
        <v>42811</v>
      </c>
    </row>
    <row r="210" spans="1:6" x14ac:dyDescent="0.3">
      <c r="A210" s="15" t="s">
        <v>46752</v>
      </c>
      <c r="B210" s="15" t="s">
        <v>1167</v>
      </c>
      <c r="C210" s="15" t="s">
        <v>800</v>
      </c>
      <c r="D210" s="15" t="s">
        <v>1168</v>
      </c>
      <c r="E210" s="15">
        <v>11.168100000000001</v>
      </c>
      <c r="F210" s="42">
        <v>42598</v>
      </c>
    </row>
    <row r="211" spans="1:6" x14ac:dyDescent="0.3">
      <c r="A211" s="15" t="s">
        <v>46751</v>
      </c>
      <c r="B211" s="15" t="s">
        <v>1169</v>
      </c>
      <c r="C211" s="15" t="s">
        <v>1170</v>
      </c>
      <c r="D211" s="15" t="s">
        <v>1171</v>
      </c>
      <c r="E211" s="15">
        <v>11.0236</v>
      </c>
      <c r="F211" s="42">
        <v>42811</v>
      </c>
    </row>
    <row r="212" spans="1:6" x14ac:dyDescent="0.3">
      <c r="A212" s="15" t="s">
        <v>46750</v>
      </c>
      <c r="B212" s="15" t="s">
        <v>1172</v>
      </c>
      <c r="C212" s="15" t="s">
        <v>1173</v>
      </c>
      <c r="D212" s="15" t="s">
        <v>1174</v>
      </c>
      <c r="E212" s="15">
        <v>10.1418</v>
      </c>
      <c r="F212" s="42">
        <v>42811</v>
      </c>
    </row>
    <row r="213" spans="1:6" x14ac:dyDescent="0.3">
      <c r="A213" s="15" t="s">
        <v>46749</v>
      </c>
      <c r="B213" s="15" t="s">
        <v>1175</v>
      </c>
      <c r="C213" s="15" t="s">
        <v>800</v>
      </c>
      <c r="D213" s="15" t="s">
        <v>1176</v>
      </c>
      <c r="E213" s="15">
        <v>21.898099999999999</v>
      </c>
      <c r="F213" s="42">
        <v>45835</v>
      </c>
    </row>
    <row r="214" spans="1:6" x14ac:dyDescent="0.3">
      <c r="A214" s="15" t="s">
        <v>46748</v>
      </c>
      <c r="B214" s="15" t="s">
        <v>800</v>
      </c>
      <c r="C214" s="15" t="s">
        <v>1177</v>
      </c>
      <c r="D214" s="15" t="s">
        <v>1178</v>
      </c>
      <c r="E214" s="15">
        <v>10.23</v>
      </c>
      <c r="F214" s="42">
        <v>45471</v>
      </c>
    </row>
    <row r="215" spans="1:6" x14ac:dyDescent="0.3">
      <c r="A215" s="15" t="s">
        <v>46747</v>
      </c>
      <c r="B215" s="15" t="s">
        <v>1179</v>
      </c>
      <c r="C215" s="15" t="s">
        <v>800</v>
      </c>
      <c r="D215" s="15" t="s">
        <v>1180</v>
      </c>
      <c r="E215" s="15">
        <v>46.1004</v>
      </c>
      <c r="F215" s="42">
        <v>46198</v>
      </c>
    </row>
    <row r="216" spans="1:6" x14ac:dyDescent="0.3">
      <c r="A216" s="15" t="s">
        <v>46746</v>
      </c>
      <c r="B216" s="15" t="s">
        <v>1181</v>
      </c>
      <c r="C216" s="15" t="s">
        <v>1182</v>
      </c>
      <c r="D216" s="15" t="s">
        <v>1183</v>
      </c>
      <c r="E216" s="15">
        <v>11.476800000000001</v>
      </c>
      <c r="F216" s="42">
        <v>46198</v>
      </c>
    </row>
    <row r="217" spans="1:6" x14ac:dyDescent="0.3">
      <c r="A217" s="15" t="s">
        <v>46745</v>
      </c>
      <c r="B217" s="15" t="s">
        <v>1184</v>
      </c>
      <c r="C217" s="15" t="s">
        <v>800</v>
      </c>
      <c r="D217" s="15" t="s">
        <v>1185</v>
      </c>
      <c r="E217" s="15">
        <v>21.764399999999998</v>
      </c>
      <c r="F217" s="42">
        <v>45835</v>
      </c>
    </row>
    <row r="218" spans="1:6" x14ac:dyDescent="0.3">
      <c r="A218" s="15" t="s">
        <v>46744</v>
      </c>
      <c r="B218" s="15" t="s">
        <v>800</v>
      </c>
      <c r="C218" s="15" t="s">
        <v>1186</v>
      </c>
      <c r="D218" s="15" t="s">
        <v>1187</v>
      </c>
      <c r="E218" s="15">
        <v>10.355</v>
      </c>
      <c r="F218" s="42">
        <v>45471</v>
      </c>
    </row>
    <row r="219" spans="1:6" x14ac:dyDescent="0.3">
      <c r="A219" s="15" t="s">
        <v>46743</v>
      </c>
      <c r="B219" s="15" t="s">
        <v>1188</v>
      </c>
      <c r="C219" s="15" t="s">
        <v>800</v>
      </c>
      <c r="D219" s="15" t="s">
        <v>1189</v>
      </c>
      <c r="E219" s="15">
        <v>45.386600000000001</v>
      </c>
      <c r="F219" s="42">
        <v>46198</v>
      </c>
    </row>
    <row r="220" spans="1:6" x14ac:dyDescent="0.3">
      <c r="A220" s="15" t="s">
        <v>46742</v>
      </c>
      <c r="B220" s="15" t="s">
        <v>1190</v>
      </c>
      <c r="C220" s="15" t="s">
        <v>1191</v>
      </c>
      <c r="D220" s="15" t="s">
        <v>1192</v>
      </c>
      <c r="E220" s="15">
        <v>11.501899999999999</v>
      </c>
      <c r="F220" s="42">
        <v>46198</v>
      </c>
    </row>
    <row r="221" spans="1:6" x14ac:dyDescent="0.3">
      <c r="A221" s="15" t="s">
        <v>46741</v>
      </c>
      <c r="B221" s="15" t="s">
        <v>800</v>
      </c>
      <c r="C221" s="15" t="s">
        <v>1193</v>
      </c>
      <c r="D221" s="15" t="s">
        <v>1194</v>
      </c>
      <c r="E221" s="15">
        <v>12.1035</v>
      </c>
      <c r="F221" s="42">
        <v>45471</v>
      </c>
    </row>
    <row r="222" spans="1:6" x14ac:dyDescent="0.3">
      <c r="A222" s="15" t="s">
        <v>46740</v>
      </c>
      <c r="B222" s="15" t="s">
        <v>1195</v>
      </c>
      <c r="C222" s="15" t="s">
        <v>800</v>
      </c>
      <c r="D222" s="15" t="s">
        <v>1196</v>
      </c>
      <c r="E222" s="15">
        <v>35.620600000000003</v>
      </c>
      <c r="F222" s="42">
        <v>45471</v>
      </c>
    </row>
    <row r="223" spans="1:6" x14ac:dyDescent="0.3">
      <c r="A223" s="15" t="s">
        <v>46739</v>
      </c>
      <c r="B223" s="15" t="s">
        <v>1197</v>
      </c>
      <c r="C223" s="15" t="s">
        <v>1198</v>
      </c>
      <c r="D223" s="15" t="s">
        <v>1199</v>
      </c>
      <c r="E223" s="15">
        <v>11.4908</v>
      </c>
      <c r="F223" s="42">
        <v>45471</v>
      </c>
    </row>
    <row r="224" spans="1:6" x14ac:dyDescent="0.3">
      <c r="A224" s="15" t="s">
        <v>33499</v>
      </c>
      <c r="B224" s="15" t="s">
        <v>795</v>
      </c>
      <c r="C224" s="15" t="s">
        <v>795</v>
      </c>
      <c r="D224" s="15" t="s">
        <v>795</v>
      </c>
      <c r="F224" s="42"/>
    </row>
    <row r="225" spans="1:6" x14ac:dyDescent="0.3">
      <c r="A225" s="15" t="s">
        <v>33500</v>
      </c>
      <c r="B225" s="15" t="s">
        <v>795</v>
      </c>
      <c r="C225" s="15" t="s">
        <v>795</v>
      </c>
      <c r="D225" s="15" t="s">
        <v>795</v>
      </c>
      <c r="F225" s="42"/>
    </row>
    <row r="226" spans="1:6" x14ac:dyDescent="0.3">
      <c r="A226" s="15" t="s">
        <v>33499</v>
      </c>
      <c r="B226" s="15" t="s">
        <v>795</v>
      </c>
      <c r="C226" s="15" t="s">
        <v>795</v>
      </c>
      <c r="D226" s="15" t="s">
        <v>795</v>
      </c>
      <c r="F226" s="42"/>
    </row>
    <row r="227" spans="1:6" x14ac:dyDescent="0.3">
      <c r="A227" s="15" t="s">
        <v>46738</v>
      </c>
      <c r="B227" s="15" t="s">
        <v>1200</v>
      </c>
      <c r="C227" s="15" t="s">
        <v>1201</v>
      </c>
      <c r="D227" s="15" t="s">
        <v>1202</v>
      </c>
      <c r="E227" s="15">
        <v>13.553900000000001</v>
      </c>
      <c r="F227" s="42">
        <v>46198</v>
      </c>
    </row>
    <row r="228" spans="1:6" x14ac:dyDescent="0.3">
      <c r="A228" s="15" t="s">
        <v>46737</v>
      </c>
      <c r="B228" s="15" t="s">
        <v>1203</v>
      </c>
      <c r="C228" s="15" t="s">
        <v>1204</v>
      </c>
      <c r="D228" s="15" t="s">
        <v>1205</v>
      </c>
      <c r="E228" s="15">
        <v>20.395900000000001</v>
      </c>
      <c r="F228" s="42">
        <v>46198</v>
      </c>
    </row>
    <row r="229" spans="1:6" x14ac:dyDescent="0.3">
      <c r="A229" s="15" t="s">
        <v>46736</v>
      </c>
      <c r="B229" s="15" t="s">
        <v>1206</v>
      </c>
      <c r="C229" s="15" t="s">
        <v>800</v>
      </c>
      <c r="D229" s="15" t="s">
        <v>1207</v>
      </c>
      <c r="E229" s="15">
        <v>23.668399999999998</v>
      </c>
      <c r="F229" s="42">
        <v>46198</v>
      </c>
    </row>
    <row r="230" spans="1:6" x14ac:dyDescent="0.3">
      <c r="A230" s="15" t="s">
        <v>46735</v>
      </c>
      <c r="B230" s="15" t="s">
        <v>1208</v>
      </c>
      <c r="C230" s="15" t="s">
        <v>1209</v>
      </c>
      <c r="D230" s="15" t="s">
        <v>1210</v>
      </c>
      <c r="E230" s="15">
        <v>15.7058</v>
      </c>
      <c r="F230" s="42">
        <v>46198</v>
      </c>
    </row>
    <row r="231" spans="1:6" x14ac:dyDescent="0.3">
      <c r="A231" s="15" t="s">
        <v>46734</v>
      </c>
      <c r="B231" s="15" t="s">
        <v>1211</v>
      </c>
      <c r="C231" s="15" t="s">
        <v>1212</v>
      </c>
      <c r="D231" s="15" t="s">
        <v>1213</v>
      </c>
      <c r="E231" s="15">
        <v>13.6661</v>
      </c>
      <c r="F231" s="42">
        <v>46198</v>
      </c>
    </row>
    <row r="232" spans="1:6" x14ac:dyDescent="0.3">
      <c r="A232" s="15" t="s">
        <v>46733</v>
      </c>
      <c r="B232" s="15" t="s">
        <v>1214</v>
      </c>
      <c r="C232" s="15" t="s">
        <v>1215</v>
      </c>
      <c r="D232" s="15" t="s">
        <v>1216</v>
      </c>
      <c r="E232" s="15">
        <v>17.616099999999999</v>
      </c>
      <c r="F232" s="42">
        <v>46198</v>
      </c>
    </row>
    <row r="233" spans="1:6" x14ac:dyDescent="0.3">
      <c r="A233" s="15" t="s">
        <v>46732</v>
      </c>
      <c r="B233" s="15" t="s">
        <v>1217</v>
      </c>
      <c r="C233" s="15" t="s">
        <v>1218</v>
      </c>
      <c r="D233" s="15" t="s">
        <v>1219</v>
      </c>
      <c r="E233" s="15">
        <v>13.2639</v>
      </c>
      <c r="F233" s="42">
        <v>46198</v>
      </c>
    </row>
    <row r="234" spans="1:6" x14ac:dyDescent="0.3">
      <c r="A234" s="15" t="s">
        <v>46731</v>
      </c>
      <c r="B234" s="15" t="s">
        <v>1220</v>
      </c>
      <c r="C234" s="15" t="s">
        <v>1221</v>
      </c>
      <c r="D234" s="15" t="s">
        <v>1222</v>
      </c>
      <c r="E234" s="15">
        <v>15.567399999999999</v>
      </c>
      <c r="F234" s="42">
        <v>46198</v>
      </c>
    </row>
    <row r="235" spans="1:6" x14ac:dyDescent="0.3">
      <c r="A235" s="15" t="s">
        <v>46730</v>
      </c>
      <c r="B235" s="15" t="s">
        <v>1223</v>
      </c>
      <c r="C235" s="15" t="s">
        <v>1224</v>
      </c>
      <c r="D235" s="15" t="s">
        <v>1225</v>
      </c>
      <c r="E235" s="15">
        <v>15.5022</v>
      </c>
      <c r="F235" s="42">
        <v>46198</v>
      </c>
    </row>
    <row r="236" spans="1:6" x14ac:dyDescent="0.3">
      <c r="A236" s="15" t="s">
        <v>46729</v>
      </c>
      <c r="B236" s="15" t="s">
        <v>1226</v>
      </c>
      <c r="C236" s="15" t="s">
        <v>1227</v>
      </c>
      <c r="D236" s="15" t="s">
        <v>1228</v>
      </c>
      <c r="E236" s="15">
        <v>13.396800000000001</v>
      </c>
      <c r="F236" s="42">
        <v>46198</v>
      </c>
    </row>
    <row r="237" spans="1:6" x14ac:dyDescent="0.3">
      <c r="A237" s="15" t="s">
        <v>46728</v>
      </c>
      <c r="B237" s="15" t="s">
        <v>1229</v>
      </c>
      <c r="C237" s="15" t="s">
        <v>1230</v>
      </c>
      <c r="D237" s="15" t="s">
        <v>1231</v>
      </c>
      <c r="E237" s="15">
        <v>15.9305</v>
      </c>
      <c r="F237" s="42">
        <v>46198</v>
      </c>
    </row>
    <row r="238" spans="1:6" x14ac:dyDescent="0.3">
      <c r="A238" s="15" t="s">
        <v>46727</v>
      </c>
      <c r="B238" s="15" t="s">
        <v>1232</v>
      </c>
      <c r="C238" s="15" t="s">
        <v>800</v>
      </c>
      <c r="D238" s="15" t="s">
        <v>1233</v>
      </c>
      <c r="E238" s="15">
        <v>23.213799999999999</v>
      </c>
      <c r="F238" s="42">
        <v>46198</v>
      </c>
    </row>
    <row r="239" spans="1:6" x14ac:dyDescent="0.3">
      <c r="A239" s="15" t="s">
        <v>33499</v>
      </c>
      <c r="B239" s="15" t="s">
        <v>795</v>
      </c>
      <c r="C239" s="15" t="s">
        <v>795</v>
      </c>
      <c r="D239" s="15" t="s">
        <v>795</v>
      </c>
      <c r="F239" s="42"/>
    </row>
    <row r="240" spans="1:6" x14ac:dyDescent="0.3">
      <c r="A240" s="15" t="s">
        <v>46726</v>
      </c>
      <c r="B240" s="15" t="s">
        <v>795</v>
      </c>
      <c r="C240" s="15" t="s">
        <v>795</v>
      </c>
      <c r="D240" s="15" t="s">
        <v>795</v>
      </c>
      <c r="F240" s="42"/>
    </row>
    <row r="241" spans="1:6" x14ac:dyDescent="0.3">
      <c r="A241" s="15" t="s">
        <v>33499</v>
      </c>
      <c r="B241" s="15" t="s">
        <v>795</v>
      </c>
      <c r="C241" s="15" t="s">
        <v>795</v>
      </c>
      <c r="D241" s="15" t="s">
        <v>795</v>
      </c>
      <c r="F241" s="42"/>
    </row>
    <row r="242" spans="1:6" x14ac:dyDescent="0.3">
      <c r="A242" s="15" t="s">
        <v>37122</v>
      </c>
      <c r="B242" s="15" t="s">
        <v>795</v>
      </c>
      <c r="C242" s="15" t="s">
        <v>795</v>
      </c>
      <c r="D242" s="15" t="s">
        <v>795</v>
      </c>
      <c r="F242" s="42"/>
    </row>
    <row r="243" spans="1:6" x14ac:dyDescent="0.3">
      <c r="A243" s="15" t="s">
        <v>33499</v>
      </c>
      <c r="B243" s="15" t="s">
        <v>795</v>
      </c>
      <c r="C243" s="15" t="s">
        <v>795</v>
      </c>
      <c r="D243" s="15" t="s">
        <v>795</v>
      </c>
      <c r="F243" s="42"/>
    </row>
    <row r="244" spans="1:6" x14ac:dyDescent="0.3">
      <c r="A244" s="15" t="s">
        <v>46725</v>
      </c>
      <c r="B244" s="15" t="s">
        <v>1234</v>
      </c>
      <c r="C244" s="15" t="s">
        <v>800</v>
      </c>
      <c r="D244" s="15" t="s">
        <v>1235</v>
      </c>
      <c r="E244" s="15">
        <v>121.0865</v>
      </c>
      <c r="F244" s="42">
        <v>46198</v>
      </c>
    </row>
    <row r="245" spans="1:6" x14ac:dyDescent="0.3">
      <c r="A245" s="15" t="s">
        <v>46724</v>
      </c>
      <c r="B245" s="15" t="s">
        <v>1236</v>
      </c>
      <c r="C245" s="15" t="s">
        <v>800</v>
      </c>
      <c r="D245" s="15" t="s">
        <v>1237</v>
      </c>
      <c r="E245" s="15">
        <v>118.8476</v>
      </c>
      <c r="F245" s="42">
        <v>46198</v>
      </c>
    </row>
    <row r="246" spans="1:6" x14ac:dyDescent="0.3">
      <c r="A246" s="15" t="s">
        <v>46723</v>
      </c>
      <c r="B246" s="15" t="s">
        <v>1238</v>
      </c>
      <c r="C246" s="15" t="s">
        <v>800</v>
      </c>
      <c r="D246" s="15" t="s">
        <v>1239</v>
      </c>
      <c r="E246" s="15">
        <v>10.597300000000001</v>
      </c>
      <c r="F246" s="42">
        <v>46198</v>
      </c>
    </row>
    <row r="247" spans="1:6" x14ac:dyDescent="0.3">
      <c r="A247" s="15" t="s">
        <v>46722</v>
      </c>
      <c r="B247" s="15" t="s">
        <v>1240</v>
      </c>
      <c r="C247" s="15" t="s">
        <v>1241</v>
      </c>
      <c r="D247" s="15" t="s">
        <v>1242</v>
      </c>
      <c r="E247" s="15">
        <v>12.849</v>
      </c>
      <c r="F247" s="42">
        <v>46198</v>
      </c>
    </row>
    <row r="248" spans="1:6" x14ac:dyDescent="0.3">
      <c r="A248" s="15" t="s">
        <v>46721</v>
      </c>
      <c r="B248" s="15" t="s">
        <v>1243</v>
      </c>
      <c r="C248" s="15" t="s">
        <v>800</v>
      </c>
      <c r="D248" s="15" t="s">
        <v>1244</v>
      </c>
      <c r="E248" s="15">
        <v>11.880100000000001</v>
      </c>
      <c r="F248" s="42">
        <v>46198</v>
      </c>
    </row>
    <row r="249" spans="1:6" x14ac:dyDescent="0.3">
      <c r="A249" s="15" t="s">
        <v>46720</v>
      </c>
      <c r="B249" s="15" t="s">
        <v>1245</v>
      </c>
      <c r="C249" s="15" t="s">
        <v>1246</v>
      </c>
      <c r="D249" s="15" t="s">
        <v>1247</v>
      </c>
      <c r="E249" s="15">
        <v>12.628299999999999</v>
      </c>
      <c r="F249" s="42">
        <v>46198</v>
      </c>
    </row>
    <row r="250" spans="1:6" x14ac:dyDescent="0.3">
      <c r="A250" s="15" t="s">
        <v>33499</v>
      </c>
      <c r="B250" s="15" t="s">
        <v>795</v>
      </c>
      <c r="C250" s="15" t="s">
        <v>795</v>
      </c>
      <c r="D250" s="15" t="s">
        <v>795</v>
      </c>
      <c r="F250" s="42"/>
    </row>
    <row r="251" spans="1:6" x14ac:dyDescent="0.3">
      <c r="A251" s="15" t="s">
        <v>37087</v>
      </c>
      <c r="B251" s="15" t="s">
        <v>795</v>
      </c>
      <c r="C251" s="15" t="s">
        <v>795</v>
      </c>
      <c r="D251" s="15" t="s">
        <v>795</v>
      </c>
      <c r="F251" s="42"/>
    </row>
    <row r="252" spans="1:6" x14ac:dyDescent="0.3">
      <c r="A252" s="15" t="s">
        <v>33499</v>
      </c>
      <c r="B252" s="15" t="s">
        <v>795</v>
      </c>
      <c r="C252" s="15" t="s">
        <v>795</v>
      </c>
      <c r="D252" s="15" t="s">
        <v>795</v>
      </c>
      <c r="F252" s="42"/>
    </row>
    <row r="253" spans="1:6" x14ac:dyDescent="0.3">
      <c r="A253" s="15" t="s">
        <v>46719</v>
      </c>
      <c r="B253" s="15" t="s">
        <v>1248</v>
      </c>
      <c r="C253" s="15" t="s">
        <v>800</v>
      </c>
      <c r="D253" s="15" t="s">
        <v>1249</v>
      </c>
      <c r="E253" s="15">
        <v>10.2348</v>
      </c>
      <c r="F253" s="42">
        <v>46198</v>
      </c>
    </row>
    <row r="254" spans="1:6" x14ac:dyDescent="0.3">
      <c r="A254" s="15" t="s">
        <v>46718</v>
      </c>
      <c r="B254" s="15" t="s">
        <v>1250</v>
      </c>
      <c r="C254" s="15" t="s">
        <v>1251</v>
      </c>
      <c r="D254" s="15" t="s">
        <v>1252</v>
      </c>
      <c r="E254" s="15">
        <v>10.190300000000001</v>
      </c>
      <c r="F254" s="42">
        <v>46198</v>
      </c>
    </row>
    <row r="255" spans="1:6" x14ac:dyDescent="0.3">
      <c r="A255" s="15" t="s">
        <v>46717</v>
      </c>
      <c r="B255" s="15" t="s">
        <v>1253</v>
      </c>
      <c r="C255" s="15" t="s">
        <v>1254</v>
      </c>
      <c r="D255" s="15" t="s">
        <v>1255</v>
      </c>
      <c r="E255" s="15">
        <v>14.9955</v>
      </c>
      <c r="F255" s="42">
        <v>46198</v>
      </c>
    </row>
    <row r="256" spans="1:6" x14ac:dyDescent="0.3">
      <c r="A256" s="15" t="s">
        <v>46716</v>
      </c>
      <c r="B256" s="15" t="s">
        <v>1256</v>
      </c>
      <c r="C256" s="15" t="s">
        <v>1257</v>
      </c>
      <c r="D256" s="15" t="s">
        <v>1258</v>
      </c>
      <c r="E256" s="15">
        <v>10.3962</v>
      </c>
      <c r="F256" s="42">
        <v>46198</v>
      </c>
    </row>
    <row r="257" spans="1:6" x14ac:dyDescent="0.3">
      <c r="A257" s="15" t="s">
        <v>46715</v>
      </c>
      <c r="B257" s="15" t="s">
        <v>1259</v>
      </c>
      <c r="C257" s="15" t="s">
        <v>800</v>
      </c>
      <c r="D257" s="15" t="s">
        <v>1260</v>
      </c>
      <c r="E257" s="15">
        <v>19.2212</v>
      </c>
      <c r="F257" s="42">
        <v>46198</v>
      </c>
    </row>
    <row r="258" spans="1:6" x14ac:dyDescent="0.3">
      <c r="A258" s="15" t="s">
        <v>46714</v>
      </c>
      <c r="B258" s="15" t="s">
        <v>1261</v>
      </c>
      <c r="C258" s="15" t="s">
        <v>800</v>
      </c>
      <c r="D258" s="15" t="s">
        <v>1262</v>
      </c>
      <c r="E258" s="15">
        <v>10.2347</v>
      </c>
      <c r="F258" s="42">
        <v>46198</v>
      </c>
    </row>
    <row r="259" spans="1:6" x14ac:dyDescent="0.3">
      <c r="A259" s="15" t="s">
        <v>46713</v>
      </c>
      <c r="B259" s="15" t="s">
        <v>1263</v>
      </c>
      <c r="C259" s="15" t="s">
        <v>1264</v>
      </c>
      <c r="D259" s="15" t="s">
        <v>1265</v>
      </c>
      <c r="E259" s="15">
        <v>10.1875</v>
      </c>
      <c r="F259" s="42">
        <v>46198</v>
      </c>
    </row>
    <row r="260" spans="1:6" x14ac:dyDescent="0.3">
      <c r="A260" s="15" t="s">
        <v>46712</v>
      </c>
      <c r="B260" s="15" t="s">
        <v>1266</v>
      </c>
      <c r="C260" s="15" t="s">
        <v>1267</v>
      </c>
      <c r="D260" s="15" t="s">
        <v>1268</v>
      </c>
      <c r="E260" s="15">
        <v>13.950699999999999</v>
      </c>
      <c r="F260" s="42">
        <v>46198</v>
      </c>
    </row>
    <row r="261" spans="1:6" x14ac:dyDescent="0.3">
      <c r="A261" s="15" t="s">
        <v>46711</v>
      </c>
      <c r="B261" s="15" t="s">
        <v>1269</v>
      </c>
      <c r="C261" s="15" t="s">
        <v>1270</v>
      </c>
      <c r="D261" s="15" t="s">
        <v>1271</v>
      </c>
      <c r="E261" s="15">
        <v>10.2774</v>
      </c>
      <c r="F261" s="42">
        <v>46198</v>
      </c>
    </row>
    <row r="262" spans="1:6" x14ac:dyDescent="0.3">
      <c r="A262" s="15" t="s">
        <v>46710</v>
      </c>
      <c r="B262" s="15" t="s">
        <v>1272</v>
      </c>
      <c r="C262" s="15" t="s">
        <v>800</v>
      </c>
      <c r="D262" s="15" t="s">
        <v>1273</v>
      </c>
      <c r="E262" s="15">
        <v>18.056999999999999</v>
      </c>
      <c r="F262" s="42">
        <v>46198</v>
      </c>
    </row>
    <row r="263" spans="1:6" x14ac:dyDescent="0.3">
      <c r="A263" s="15" t="s">
        <v>33499</v>
      </c>
      <c r="B263" s="15" t="s">
        <v>795</v>
      </c>
      <c r="C263" s="15" t="s">
        <v>795</v>
      </c>
      <c r="D263" s="15" t="s">
        <v>795</v>
      </c>
      <c r="F263" s="42"/>
    </row>
    <row r="264" spans="1:6" x14ac:dyDescent="0.3">
      <c r="A264" s="15" t="s">
        <v>37073</v>
      </c>
      <c r="B264" s="15" t="s">
        <v>795</v>
      </c>
      <c r="C264" s="15" t="s">
        <v>795</v>
      </c>
      <c r="D264" s="15" t="s">
        <v>795</v>
      </c>
      <c r="F264" s="42"/>
    </row>
    <row r="265" spans="1:6" x14ac:dyDescent="0.3">
      <c r="A265" s="15" t="s">
        <v>33499</v>
      </c>
      <c r="B265" s="15" t="s">
        <v>795</v>
      </c>
      <c r="C265" s="15" t="s">
        <v>795</v>
      </c>
      <c r="D265" s="15" t="s">
        <v>795</v>
      </c>
      <c r="F265" s="42"/>
    </row>
    <row r="266" spans="1:6" x14ac:dyDescent="0.3">
      <c r="A266" s="15" t="s">
        <v>46709</v>
      </c>
      <c r="B266" s="15" t="s">
        <v>1274</v>
      </c>
      <c r="C266" s="15" t="s">
        <v>1275</v>
      </c>
      <c r="D266" s="15" t="s">
        <v>1276</v>
      </c>
      <c r="E266" s="15">
        <v>10.4819</v>
      </c>
      <c r="F266" s="42">
        <v>46198</v>
      </c>
    </row>
    <row r="267" spans="1:6" x14ac:dyDescent="0.3">
      <c r="A267" s="15" t="s">
        <v>46708</v>
      </c>
      <c r="B267" s="15" t="s">
        <v>1277</v>
      </c>
      <c r="C267" s="15" t="s">
        <v>800</v>
      </c>
      <c r="D267" s="15" t="s">
        <v>1278</v>
      </c>
      <c r="E267" s="15">
        <v>21.039200000000001</v>
      </c>
      <c r="F267" s="42">
        <v>46198</v>
      </c>
    </row>
    <row r="268" spans="1:6" x14ac:dyDescent="0.3">
      <c r="A268" s="15" t="s">
        <v>46707</v>
      </c>
      <c r="B268" s="15" t="s">
        <v>1279</v>
      </c>
      <c r="C268" s="15" t="s">
        <v>1280</v>
      </c>
      <c r="D268" s="15" t="s">
        <v>1281</v>
      </c>
      <c r="E268" s="15">
        <v>11.7995</v>
      </c>
      <c r="F268" s="42">
        <v>46198</v>
      </c>
    </row>
    <row r="269" spans="1:6" x14ac:dyDescent="0.3">
      <c r="A269" s="15" t="s">
        <v>46706</v>
      </c>
      <c r="B269" s="15" t="s">
        <v>1282</v>
      </c>
      <c r="C269" s="15" t="s">
        <v>1283</v>
      </c>
      <c r="D269" s="15" t="s">
        <v>1284</v>
      </c>
      <c r="E269" s="15">
        <v>10.5284</v>
      </c>
      <c r="F269" s="42">
        <v>46198</v>
      </c>
    </row>
    <row r="270" spans="1:6" x14ac:dyDescent="0.3">
      <c r="A270" s="15" t="s">
        <v>46705</v>
      </c>
      <c r="B270" s="15" t="s">
        <v>1285</v>
      </c>
      <c r="C270" s="15" t="s">
        <v>1286</v>
      </c>
      <c r="D270" s="15" t="s">
        <v>1287</v>
      </c>
      <c r="E270" s="15">
        <v>13.958299999999999</v>
      </c>
      <c r="F270" s="42">
        <v>46198</v>
      </c>
    </row>
    <row r="271" spans="1:6" x14ac:dyDescent="0.3">
      <c r="A271" s="15" t="s">
        <v>46704</v>
      </c>
      <c r="B271" s="15" t="s">
        <v>1288</v>
      </c>
      <c r="C271" s="15" t="s">
        <v>1289</v>
      </c>
      <c r="D271" s="15" t="s">
        <v>1290</v>
      </c>
      <c r="E271" s="15">
        <v>10.879899999999999</v>
      </c>
      <c r="F271" s="42">
        <v>46198</v>
      </c>
    </row>
    <row r="272" spans="1:6" x14ac:dyDescent="0.3">
      <c r="A272" s="15" t="s">
        <v>46703</v>
      </c>
      <c r="B272" s="15" t="s">
        <v>1291</v>
      </c>
      <c r="C272" s="15" t="s">
        <v>1292</v>
      </c>
      <c r="D272" s="15" t="s">
        <v>1293</v>
      </c>
      <c r="E272" s="15">
        <v>10.465400000000001</v>
      </c>
      <c r="F272" s="42">
        <v>46198</v>
      </c>
    </row>
    <row r="273" spans="1:6" x14ac:dyDescent="0.3">
      <c r="A273" s="15" t="s">
        <v>46702</v>
      </c>
      <c r="B273" s="15" t="s">
        <v>1294</v>
      </c>
      <c r="C273" s="15" t="s">
        <v>800</v>
      </c>
      <c r="D273" s="15" t="s">
        <v>1295</v>
      </c>
      <c r="E273" s="15">
        <v>20.3674</v>
      </c>
      <c r="F273" s="42">
        <v>46198</v>
      </c>
    </row>
    <row r="274" spans="1:6" x14ac:dyDescent="0.3">
      <c r="A274" s="15" t="s">
        <v>46701</v>
      </c>
      <c r="B274" s="15" t="s">
        <v>1296</v>
      </c>
      <c r="C274" s="15" t="s">
        <v>1297</v>
      </c>
      <c r="D274" s="15" t="s">
        <v>1298</v>
      </c>
      <c r="E274" s="15">
        <v>11.1684</v>
      </c>
      <c r="F274" s="42">
        <v>46198</v>
      </c>
    </row>
    <row r="275" spans="1:6" x14ac:dyDescent="0.3">
      <c r="A275" s="15" t="s">
        <v>46700</v>
      </c>
      <c r="B275" s="15" t="s">
        <v>1299</v>
      </c>
      <c r="C275" s="15" t="s">
        <v>1300</v>
      </c>
      <c r="D275" s="15" t="s">
        <v>1301</v>
      </c>
      <c r="E275" s="15">
        <v>10.783899999999999</v>
      </c>
      <c r="F275" s="42">
        <v>46198</v>
      </c>
    </row>
    <row r="276" spans="1:6" x14ac:dyDescent="0.3">
      <c r="A276" s="15" t="s">
        <v>46699</v>
      </c>
      <c r="B276" s="15" t="s">
        <v>1302</v>
      </c>
      <c r="C276" s="15" t="s">
        <v>1303</v>
      </c>
      <c r="D276" s="15" t="s">
        <v>1304</v>
      </c>
      <c r="E276" s="15">
        <v>13.7303</v>
      </c>
      <c r="F276" s="42">
        <v>46198</v>
      </c>
    </row>
    <row r="277" spans="1:6" x14ac:dyDescent="0.3">
      <c r="A277" s="15" t="s">
        <v>46698</v>
      </c>
      <c r="B277" s="15" t="s">
        <v>1305</v>
      </c>
      <c r="C277" s="15" t="s">
        <v>1306</v>
      </c>
      <c r="D277" s="15" t="s">
        <v>1307</v>
      </c>
      <c r="E277" s="15">
        <v>10.905200000000001</v>
      </c>
      <c r="F277" s="42">
        <v>46198</v>
      </c>
    </row>
    <row r="278" spans="1:6" x14ac:dyDescent="0.3">
      <c r="A278" s="15" t="s">
        <v>33499</v>
      </c>
      <c r="B278" s="15" t="s">
        <v>795</v>
      </c>
      <c r="C278" s="15" t="s">
        <v>795</v>
      </c>
      <c r="D278" s="15" t="s">
        <v>795</v>
      </c>
      <c r="F278" s="42"/>
    </row>
    <row r="279" spans="1:6" x14ac:dyDescent="0.3">
      <c r="A279" s="15" t="s">
        <v>37566</v>
      </c>
      <c r="B279" s="15" t="s">
        <v>795</v>
      </c>
      <c r="C279" s="15" t="s">
        <v>795</v>
      </c>
      <c r="D279" s="15" t="s">
        <v>795</v>
      </c>
      <c r="F279" s="42"/>
    </row>
    <row r="280" spans="1:6" x14ac:dyDescent="0.3">
      <c r="A280" s="15" t="s">
        <v>33499</v>
      </c>
      <c r="B280" s="15" t="s">
        <v>795</v>
      </c>
      <c r="C280" s="15" t="s">
        <v>795</v>
      </c>
      <c r="D280" s="15" t="s">
        <v>795</v>
      </c>
      <c r="F280" s="42"/>
    </row>
    <row r="281" spans="1:6" x14ac:dyDescent="0.3">
      <c r="A281" s="15" t="s">
        <v>46697</v>
      </c>
      <c r="B281" s="15" t="s">
        <v>1308</v>
      </c>
      <c r="C281" s="15" t="s">
        <v>1309</v>
      </c>
      <c r="D281" s="15" t="s">
        <v>1310</v>
      </c>
      <c r="E281" s="15">
        <v>12.1493</v>
      </c>
      <c r="F281" s="42">
        <v>46198</v>
      </c>
    </row>
    <row r="282" spans="1:6" x14ac:dyDescent="0.3">
      <c r="A282" s="15" t="s">
        <v>46696</v>
      </c>
      <c r="B282" s="15" t="s">
        <v>1311</v>
      </c>
      <c r="C282" s="15" t="s">
        <v>800</v>
      </c>
      <c r="D282" s="15" t="s">
        <v>1312</v>
      </c>
      <c r="E282" s="15">
        <v>33.751399999999997</v>
      </c>
      <c r="F282" s="42">
        <v>46198</v>
      </c>
    </row>
    <row r="283" spans="1:6" x14ac:dyDescent="0.3">
      <c r="A283" s="15" t="s">
        <v>46695</v>
      </c>
      <c r="B283" s="15" t="s">
        <v>1313</v>
      </c>
      <c r="C283" s="15" t="s">
        <v>1314</v>
      </c>
      <c r="D283" s="15" t="s">
        <v>1315</v>
      </c>
      <c r="E283" s="15">
        <v>10.3931</v>
      </c>
      <c r="F283" s="42">
        <v>46198</v>
      </c>
    </row>
    <row r="284" spans="1:6" x14ac:dyDescent="0.3">
      <c r="A284" s="15" t="s">
        <v>46694</v>
      </c>
      <c r="B284" s="15" t="s">
        <v>1316</v>
      </c>
      <c r="C284" s="15" t="s">
        <v>1317</v>
      </c>
      <c r="D284" s="15" t="s">
        <v>1318</v>
      </c>
      <c r="E284" s="15">
        <v>10.4986</v>
      </c>
      <c r="F284" s="42">
        <v>46198</v>
      </c>
    </row>
    <row r="285" spans="1:6" x14ac:dyDescent="0.3">
      <c r="A285" s="15" t="s">
        <v>46693</v>
      </c>
      <c r="B285" s="15" t="s">
        <v>1319</v>
      </c>
      <c r="C285" s="15" t="s">
        <v>1320</v>
      </c>
      <c r="D285" s="15" t="s">
        <v>1321</v>
      </c>
      <c r="E285" s="15">
        <v>12.4476</v>
      </c>
      <c r="F285" s="42">
        <v>46198</v>
      </c>
    </row>
    <row r="286" spans="1:6" x14ac:dyDescent="0.3">
      <c r="A286" s="15" t="s">
        <v>46692</v>
      </c>
      <c r="B286" s="15" t="s">
        <v>1322</v>
      </c>
      <c r="C286" s="15" t="s">
        <v>800</v>
      </c>
      <c r="D286" s="15" t="s">
        <v>1323</v>
      </c>
      <c r="E286" s="15">
        <v>31.054200000000002</v>
      </c>
      <c r="F286" s="42">
        <v>46198</v>
      </c>
    </row>
    <row r="287" spans="1:6" x14ac:dyDescent="0.3">
      <c r="A287" s="15" t="s">
        <v>46691</v>
      </c>
      <c r="B287" s="15" t="s">
        <v>1324</v>
      </c>
      <c r="C287" s="15" t="s">
        <v>1325</v>
      </c>
      <c r="D287" s="15" t="s">
        <v>1326</v>
      </c>
      <c r="E287" s="15">
        <v>10.6067</v>
      </c>
      <c r="F287" s="42">
        <v>46198</v>
      </c>
    </row>
    <row r="288" spans="1:6" x14ac:dyDescent="0.3">
      <c r="A288" s="15" t="s">
        <v>46690</v>
      </c>
      <c r="B288" s="15" t="s">
        <v>1327</v>
      </c>
      <c r="C288" s="15" t="s">
        <v>1328</v>
      </c>
      <c r="D288" s="15" t="s">
        <v>1329</v>
      </c>
      <c r="E288" s="15">
        <v>10.748699999999999</v>
      </c>
      <c r="F288" s="42">
        <v>46198</v>
      </c>
    </row>
    <row r="289" spans="1:6" x14ac:dyDescent="0.3">
      <c r="A289" s="15" t="s">
        <v>46689</v>
      </c>
      <c r="B289" s="15" t="s">
        <v>1330</v>
      </c>
      <c r="C289" s="15" t="s">
        <v>1331</v>
      </c>
      <c r="D289" s="15" t="s">
        <v>1332</v>
      </c>
      <c r="E289" s="15">
        <v>12.0707</v>
      </c>
      <c r="F289" s="42">
        <v>46198</v>
      </c>
    </row>
    <row r="290" spans="1:6" x14ac:dyDescent="0.3">
      <c r="A290" s="15" t="s">
        <v>46688</v>
      </c>
      <c r="B290" s="15" t="s">
        <v>1333</v>
      </c>
      <c r="C290" s="15" t="s">
        <v>800</v>
      </c>
      <c r="D290" s="15" t="s">
        <v>1334</v>
      </c>
      <c r="E290" s="15">
        <v>29.160900000000002</v>
      </c>
      <c r="F290" s="42">
        <v>46198</v>
      </c>
    </row>
    <row r="291" spans="1:6" x14ac:dyDescent="0.3">
      <c r="A291" s="15" t="s">
        <v>46687</v>
      </c>
      <c r="B291" s="15" t="s">
        <v>1335</v>
      </c>
      <c r="C291" s="15" t="s">
        <v>1336</v>
      </c>
      <c r="D291" s="15" t="s">
        <v>1337</v>
      </c>
      <c r="E291" s="15">
        <v>10.4381</v>
      </c>
      <c r="F291" s="42">
        <v>46198</v>
      </c>
    </row>
    <row r="292" spans="1:6" x14ac:dyDescent="0.3">
      <c r="A292" s="15" t="s">
        <v>46686</v>
      </c>
      <c r="B292" s="15" t="s">
        <v>1338</v>
      </c>
      <c r="C292" s="15" t="s">
        <v>1339</v>
      </c>
      <c r="D292" s="15" t="s">
        <v>1340</v>
      </c>
      <c r="E292" s="15">
        <v>10.511100000000001</v>
      </c>
      <c r="F292" s="42">
        <v>46198</v>
      </c>
    </row>
    <row r="293" spans="1:6" x14ac:dyDescent="0.3">
      <c r="A293" s="15" t="s">
        <v>33499</v>
      </c>
      <c r="B293" s="15" t="s">
        <v>795</v>
      </c>
      <c r="C293" s="15" t="s">
        <v>795</v>
      </c>
      <c r="D293" s="15" t="s">
        <v>795</v>
      </c>
      <c r="F293" s="42"/>
    </row>
    <row r="294" spans="1:6" x14ac:dyDescent="0.3">
      <c r="A294" s="15" t="s">
        <v>40284</v>
      </c>
      <c r="B294" s="15" t="s">
        <v>795</v>
      </c>
      <c r="C294" s="15" t="s">
        <v>795</v>
      </c>
      <c r="D294" s="15" t="s">
        <v>795</v>
      </c>
      <c r="F294" s="42"/>
    </row>
    <row r="295" spans="1:6" x14ac:dyDescent="0.3">
      <c r="A295" s="15" t="s">
        <v>33499</v>
      </c>
      <c r="B295" s="15" t="s">
        <v>795</v>
      </c>
      <c r="C295" s="15" t="s">
        <v>795</v>
      </c>
      <c r="D295" s="15" t="s">
        <v>795</v>
      </c>
      <c r="F295" s="42"/>
    </row>
    <row r="296" spans="1:6" x14ac:dyDescent="0.3">
      <c r="A296" s="15" t="s">
        <v>46685</v>
      </c>
      <c r="B296" s="15" t="s">
        <v>1341</v>
      </c>
      <c r="C296" s="15" t="s">
        <v>800</v>
      </c>
      <c r="D296" s="15" t="s">
        <v>1342</v>
      </c>
      <c r="E296" s="15">
        <v>24.470800000000001</v>
      </c>
      <c r="F296" s="42">
        <v>46198</v>
      </c>
    </row>
    <row r="297" spans="1:6" x14ac:dyDescent="0.3">
      <c r="A297" s="15" t="s">
        <v>46684</v>
      </c>
      <c r="B297" s="15" t="s">
        <v>1343</v>
      </c>
      <c r="C297" s="15" t="s">
        <v>1344</v>
      </c>
      <c r="D297" s="15" t="s">
        <v>1345</v>
      </c>
      <c r="E297" s="15">
        <v>12.701000000000001</v>
      </c>
      <c r="F297" s="42">
        <v>46198</v>
      </c>
    </row>
    <row r="298" spans="1:6" x14ac:dyDescent="0.3">
      <c r="A298" s="15" t="s">
        <v>46683</v>
      </c>
      <c r="B298" s="15" t="s">
        <v>1346</v>
      </c>
      <c r="C298" s="15" t="s">
        <v>800</v>
      </c>
      <c r="D298" s="15" t="s">
        <v>1347</v>
      </c>
      <c r="E298" s="15">
        <v>22.694400000000002</v>
      </c>
      <c r="F298" s="42">
        <v>46198</v>
      </c>
    </row>
    <row r="299" spans="1:6" x14ac:dyDescent="0.3">
      <c r="A299" s="15" t="s">
        <v>46682</v>
      </c>
      <c r="B299" s="15" t="s">
        <v>1348</v>
      </c>
      <c r="C299" s="15" t="s">
        <v>1349</v>
      </c>
      <c r="D299" s="15" t="s">
        <v>1350</v>
      </c>
      <c r="E299" s="15">
        <v>11.7959</v>
      </c>
      <c r="F299" s="42">
        <v>46198</v>
      </c>
    </row>
    <row r="300" spans="1:6" x14ac:dyDescent="0.3">
      <c r="A300" s="15" t="s">
        <v>33499</v>
      </c>
      <c r="B300" s="15" t="s">
        <v>795</v>
      </c>
      <c r="C300" s="15" t="s">
        <v>795</v>
      </c>
      <c r="D300" s="15" t="s">
        <v>795</v>
      </c>
      <c r="F300" s="42"/>
    </row>
    <row r="301" spans="1:6" x14ac:dyDescent="0.3">
      <c r="A301" s="15" t="s">
        <v>37061</v>
      </c>
      <c r="B301" s="15" t="s">
        <v>795</v>
      </c>
      <c r="C301" s="15" t="s">
        <v>795</v>
      </c>
      <c r="D301" s="15" t="s">
        <v>795</v>
      </c>
      <c r="F301" s="42"/>
    </row>
    <row r="302" spans="1:6" x14ac:dyDescent="0.3">
      <c r="A302" s="15" t="s">
        <v>33499</v>
      </c>
      <c r="B302" s="15" t="s">
        <v>795</v>
      </c>
      <c r="C302" s="15" t="s">
        <v>795</v>
      </c>
      <c r="D302" s="15" t="s">
        <v>795</v>
      </c>
      <c r="F302" s="42"/>
    </row>
    <row r="303" spans="1:6" x14ac:dyDescent="0.3">
      <c r="A303" s="15" t="s">
        <v>46681</v>
      </c>
      <c r="B303" s="15" t="s">
        <v>1351</v>
      </c>
      <c r="C303" s="15" t="s">
        <v>800</v>
      </c>
      <c r="D303" s="15" t="s">
        <v>1352</v>
      </c>
      <c r="E303" s="15">
        <v>17.2315</v>
      </c>
      <c r="F303" s="42">
        <v>46198</v>
      </c>
    </row>
    <row r="304" spans="1:6" x14ac:dyDescent="0.3">
      <c r="A304" s="15" t="s">
        <v>46680</v>
      </c>
      <c r="B304" s="15" t="s">
        <v>1353</v>
      </c>
      <c r="C304" s="15" t="s">
        <v>1354</v>
      </c>
      <c r="D304" s="15" t="s">
        <v>1355</v>
      </c>
      <c r="E304" s="15">
        <v>11.452999999999999</v>
      </c>
      <c r="F304" s="42">
        <v>46198</v>
      </c>
    </row>
    <row r="305" spans="1:6" x14ac:dyDescent="0.3">
      <c r="A305" s="15" t="s">
        <v>46679</v>
      </c>
      <c r="B305" s="15" t="s">
        <v>1356</v>
      </c>
      <c r="C305" s="15" t="s">
        <v>1357</v>
      </c>
      <c r="D305" s="15" t="s">
        <v>1358</v>
      </c>
      <c r="E305" s="15">
        <v>10.695600000000001</v>
      </c>
      <c r="F305" s="42">
        <v>46198</v>
      </c>
    </row>
    <row r="306" spans="1:6" x14ac:dyDescent="0.3">
      <c r="A306" s="15" t="s">
        <v>46678</v>
      </c>
      <c r="B306" s="15" t="s">
        <v>1359</v>
      </c>
      <c r="C306" s="15" t="s">
        <v>1360</v>
      </c>
      <c r="D306" s="15" t="s">
        <v>1361</v>
      </c>
      <c r="E306" s="15">
        <v>11.553699999999999</v>
      </c>
      <c r="F306" s="42">
        <v>46198</v>
      </c>
    </row>
    <row r="307" spans="1:6" x14ac:dyDescent="0.3">
      <c r="A307" s="15" t="s">
        <v>46677</v>
      </c>
      <c r="B307" s="15" t="s">
        <v>1362</v>
      </c>
      <c r="C307" s="15" t="s">
        <v>800</v>
      </c>
      <c r="D307" s="15" t="s">
        <v>1363</v>
      </c>
      <c r="E307" s="15">
        <v>16.894600000000001</v>
      </c>
      <c r="F307" s="42">
        <v>46198</v>
      </c>
    </row>
    <row r="308" spans="1:6" x14ac:dyDescent="0.3">
      <c r="A308" s="15" t="s">
        <v>46676</v>
      </c>
      <c r="B308" s="15" t="s">
        <v>1364</v>
      </c>
      <c r="C308" s="15" t="s">
        <v>1365</v>
      </c>
      <c r="D308" s="15" t="s">
        <v>1366</v>
      </c>
      <c r="E308" s="15">
        <v>11.423500000000001</v>
      </c>
      <c r="F308" s="42">
        <v>46198</v>
      </c>
    </row>
    <row r="309" spans="1:6" x14ac:dyDescent="0.3">
      <c r="A309" s="15" t="s">
        <v>46675</v>
      </c>
      <c r="B309" s="15" t="s">
        <v>1367</v>
      </c>
      <c r="C309" s="15" t="s">
        <v>1368</v>
      </c>
      <c r="D309" s="15" t="s">
        <v>1369</v>
      </c>
      <c r="E309" s="15">
        <v>10.6693</v>
      </c>
      <c r="F309" s="42">
        <v>46198</v>
      </c>
    </row>
    <row r="310" spans="1:6" x14ac:dyDescent="0.3">
      <c r="A310" s="15" t="s">
        <v>46674</v>
      </c>
      <c r="B310" s="15" t="s">
        <v>1370</v>
      </c>
      <c r="C310" s="15" t="s">
        <v>1371</v>
      </c>
      <c r="D310" s="15" t="s">
        <v>1372</v>
      </c>
      <c r="E310" s="15">
        <v>10.8881</v>
      </c>
      <c r="F310" s="42">
        <v>46198</v>
      </c>
    </row>
    <row r="311" spans="1:6" x14ac:dyDescent="0.3">
      <c r="A311" s="15" t="s">
        <v>33499</v>
      </c>
      <c r="B311" s="15" t="s">
        <v>795</v>
      </c>
      <c r="C311" s="15" t="s">
        <v>795</v>
      </c>
      <c r="D311" s="15" t="s">
        <v>795</v>
      </c>
      <c r="F311" s="42"/>
    </row>
    <row r="312" spans="1:6" x14ac:dyDescent="0.3">
      <c r="A312" s="15" t="s">
        <v>37044</v>
      </c>
      <c r="B312" s="15" t="s">
        <v>795</v>
      </c>
      <c r="C312" s="15" t="s">
        <v>795</v>
      </c>
      <c r="D312" s="15" t="s">
        <v>795</v>
      </c>
      <c r="F312" s="42"/>
    </row>
    <row r="313" spans="1:6" x14ac:dyDescent="0.3">
      <c r="A313" s="15" t="s">
        <v>33499</v>
      </c>
      <c r="B313" s="15" t="s">
        <v>795</v>
      </c>
      <c r="C313" s="15" t="s">
        <v>795</v>
      </c>
      <c r="D313" s="15" t="s">
        <v>795</v>
      </c>
      <c r="F313" s="42"/>
    </row>
    <row r="314" spans="1:6" x14ac:dyDescent="0.3">
      <c r="A314" s="15" t="s">
        <v>46673</v>
      </c>
      <c r="B314" s="15" t="s">
        <v>1373</v>
      </c>
      <c r="C314" s="15" t="s">
        <v>800</v>
      </c>
      <c r="D314" s="15" t="s">
        <v>1374</v>
      </c>
      <c r="E314" s="15">
        <v>0</v>
      </c>
      <c r="F314" s="42">
        <v>42132</v>
      </c>
    </row>
    <row r="315" spans="1:6" x14ac:dyDescent="0.3">
      <c r="A315" s="15" t="s">
        <v>46672</v>
      </c>
      <c r="B315" s="15" t="s">
        <v>1375</v>
      </c>
      <c r="C315" s="15" t="s">
        <v>800</v>
      </c>
      <c r="D315" s="15" t="s">
        <v>1376</v>
      </c>
      <c r="E315" s="15">
        <v>114.7983</v>
      </c>
      <c r="F315" s="42">
        <v>46198</v>
      </c>
    </row>
    <row r="316" spans="1:6" x14ac:dyDescent="0.3">
      <c r="A316" s="15" t="s">
        <v>46671</v>
      </c>
      <c r="B316" s="15" t="s">
        <v>1377</v>
      </c>
      <c r="C316" s="15" t="s">
        <v>800</v>
      </c>
      <c r="D316" s="15" t="s">
        <v>1378</v>
      </c>
      <c r="E316" s="15">
        <v>105.4628</v>
      </c>
      <c r="F316" s="42">
        <v>46198</v>
      </c>
    </row>
    <row r="317" spans="1:6" x14ac:dyDescent="0.3">
      <c r="A317" s="15" t="s">
        <v>46670</v>
      </c>
      <c r="B317" s="15" t="s">
        <v>1379</v>
      </c>
      <c r="C317" s="15" t="s">
        <v>800</v>
      </c>
      <c r="D317" s="15" t="s">
        <v>1380</v>
      </c>
      <c r="E317" s="15">
        <v>0</v>
      </c>
      <c r="F317" s="42">
        <v>42163</v>
      </c>
    </row>
    <row r="318" spans="1:6" x14ac:dyDescent="0.3">
      <c r="A318" s="15" t="s">
        <v>46669</v>
      </c>
      <c r="B318" s="15" t="s">
        <v>1381</v>
      </c>
      <c r="C318" s="15" t="s">
        <v>1382</v>
      </c>
      <c r="D318" s="15" t="s">
        <v>1383</v>
      </c>
      <c r="E318" s="15">
        <v>16.8325</v>
      </c>
      <c r="F318" s="42">
        <v>46198</v>
      </c>
    </row>
    <row r="319" spans="1:6" x14ac:dyDescent="0.3">
      <c r="A319" s="15" t="s">
        <v>46668</v>
      </c>
      <c r="B319" s="15" t="s">
        <v>1384</v>
      </c>
      <c r="C319" s="15" t="s">
        <v>1385</v>
      </c>
      <c r="D319" s="15" t="s">
        <v>1386</v>
      </c>
      <c r="E319" s="15">
        <v>18.892600000000002</v>
      </c>
      <c r="F319" s="42">
        <v>46198</v>
      </c>
    </row>
    <row r="320" spans="1:6" x14ac:dyDescent="0.3">
      <c r="A320" s="15" t="s">
        <v>46667</v>
      </c>
      <c r="B320" s="15" t="s">
        <v>1387</v>
      </c>
      <c r="C320" s="15" t="s">
        <v>1388</v>
      </c>
      <c r="D320" s="15" t="s">
        <v>1389</v>
      </c>
      <c r="E320" s="15">
        <v>14.8124</v>
      </c>
      <c r="F320" s="42">
        <v>46198</v>
      </c>
    </row>
    <row r="321" spans="1:6" x14ac:dyDescent="0.3">
      <c r="A321" s="15" t="s">
        <v>46666</v>
      </c>
      <c r="B321" s="15" t="s">
        <v>1390</v>
      </c>
      <c r="C321" s="15" t="s">
        <v>1391</v>
      </c>
      <c r="D321" s="15" t="s">
        <v>1392</v>
      </c>
      <c r="E321" s="15">
        <v>16.934999999999999</v>
      </c>
      <c r="F321" s="42">
        <v>46198</v>
      </c>
    </row>
    <row r="322" spans="1:6" x14ac:dyDescent="0.3">
      <c r="A322" s="15" t="s">
        <v>46665</v>
      </c>
      <c r="B322" s="15" t="s">
        <v>1393</v>
      </c>
      <c r="C322" s="15" t="s">
        <v>1394</v>
      </c>
      <c r="D322" s="15" t="s">
        <v>1395</v>
      </c>
      <c r="E322" s="15">
        <v>13.5381</v>
      </c>
      <c r="F322" s="42">
        <v>46198</v>
      </c>
    </row>
    <row r="323" spans="1:6" x14ac:dyDescent="0.3">
      <c r="A323" s="15" t="s">
        <v>46664</v>
      </c>
      <c r="B323" s="15" t="s">
        <v>1396</v>
      </c>
      <c r="C323" s="15" t="s">
        <v>1397</v>
      </c>
      <c r="D323" s="15" t="s">
        <v>1398</v>
      </c>
      <c r="E323" s="15">
        <v>12.5512</v>
      </c>
      <c r="F323" s="42">
        <v>46198</v>
      </c>
    </row>
    <row r="324" spans="1:6" x14ac:dyDescent="0.3">
      <c r="A324" s="15" t="s">
        <v>46663</v>
      </c>
      <c r="B324" s="15" t="s">
        <v>1399</v>
      </c>
      <c r="C324" s="15" t="s">
        <v>1400</v>
      </c>
      <c r="D324" s="15" t="s">
        <v>1401</v>
      </c>
      <c r="E324" s="15">
        <v>15.1744</v>
      </c>
      <c r="F324" s="42">
        <v>46198</v>
      </c>
    </row>
    <row r="325" spans="1:6" x14ac:dyDescent="0.3">
      <c r="A325" s="15" t="s">
        <v>46662</v>
      </c>
      <c r="B325" s="15" t="s">
        <v>1402</v>
      </c>
      <c r="C325" s="15" t="s">
        <v>1403</v>
      </c>
      <c r="D325" s="15" t="s">
        <v>1404</v>
      </c>
      <c r="E325" s="15">
        <v>11.9541</v>
      </c>
      <c r="F325" s="42">
        <v>46198</v>
      </c>
    </row>
    <row r="326" spans="1:6" x14ac:dyDescent="0.3">
      <c r="A326" s="15" t="s">
        <v>33499</v>
      </c>
      <c r="B326" s="15" t="s">
        <v>795</v>
      </c>
      <c r="C326" s="15" t="s">
        <v>795</v>
      </c>
      <c r="D326" s="15" t="s">
        <v>795</v>
      </c>
      <c r="F326" s="42"/>
    </row>
    <row r="327" spans="1:6" x14ac:dyDescent="0.3">
      <c r="A327" s="15" t="s">
        <v>37043</v>
      </c>
      <c r="B327" s="15" t="s">
        <v>795</v>
      </c>
      <c r="C327" s="15" t="s">
        <v>795</v>
      </c>
      <c r="D327" s="15" t="s">
        <v>795</v>
      </c>
      <c r="F327" s="42"/>
    </row>
    <row r="328" spans="1:6" x14ac:dyDescent="0.3">
      <c r="A328" s="15" t="s">
        <v>33499</v>
      </c>
      <c r="B328" s="15" t="s">
        <v>795</v>
      </c>
      <c r="C328" s="15" t="s">
        <v>795</v>
      </c>
      <c r="D328" s="15" t="s">
        <v>795</v>
      </c>
      <c r="F328" s="42"/>
    </row>
    <row r="329" spans="1:6" x14ac:dyDescent="0.3">
      <c r="A329" s="15" t="s">
        <v>46661</v>
      </c>
      <c r="B329" s="15" t="s">
        <v>1405</v>
      </c>
      <c r="C329" s="15" t="s">
        <v>800</v>
      </c>
      <c r="D329" s="15" t="s">
        <v>1406</v>
      </c>
      <c r="E329" s="15">
        <v>34.227699999999999</v>
      </c>
      <c r="F329" s="42">
        <v>46198</v>
      </c>
    </row>
    <row r="330" spans="1:6" x14ac:dyDescent="0.3">
      <c r="A330" s="15" t="s">
        <v>46660</v>
      </c>
      <c r="B330" s="15" t="s">
        <v>1407</v>
      </c>
      <c r="C330" s="15" t="s">
        <v>800</v>
      </c>
      <c r="D330" s="15" t="s">
        <v>1408</v>
      </c>
      <c r="E330" s="15">
        <v>35.062100000000001</v>
      </c>
      <c r="F330" s="42">
        <v>46198</v>
      </c>
    </row>
    <row r="331" spans="1:6" x14ac:dyDescent="0.3">
      <c r="A331" s="15" t="s">
        <v>46659</v>
      </c>
      <c r="B331" s="15" t="s">
        <v>1409</v>
      </c>
      <c r="C331" s="15" t="s">
        <v>1410</v>
      </c>
      <c r="D331" s="15" t="s">
        <v>1411</v>
      </c>
      <c r="E331" s="15">
        <v>20.720300000000002</v>
      </c>
      <c r="F331" s="42">
        <v>46198</v>
      </c>
    </row>
    <row r="332" spans="1:6" x14ac:dyDescent="0.3">
      <c r="A332" s="15" t="s">
        <v>46658</v>
      </c>
      <c r="B332" s="15" t="s">
        <v>1412</v>
      </c>
      <c r="C332" s="15" t="s">
        <v>800</v>
      </c>
      <c r="D332" s="15" t="s">
        <v>1413</v>
      </c>
      <c r="E332" s="15">
        <v>21.483599999999999</v>
      </c>
      <c r="F332" s="42">
        <v>46198</v>
      </c>
    </row>
    <row r="333" spans="1:6" x14ac:dyDescent="0.3">
      <c r="A333" s="15" t="s">
        <v>46657</v>
      </c>
      <c r="B333" s="15" t="s">
        <v>1414</v>
      </c>
      <c r="C333" s="15" t="s">
        <v>1415</v>
      </c>
      <c r="D333" s="15" t="s">
        <v>1416</v>
      </c>
      <c r="E333" s="15">
        <v>10.723100000000001</v>
      </c>
      <c r="F333" s="42">
        <v>46198</v>
      </c>
    </row>
    <row r="334" spans="1:6" x14ac:dyDescent="0.3">
      <c r="A334" s="15" t="s">
        <v>46656</v>
      </c>
      <c r="B334" s="15" t="s">
        <v>1417</v>
      </c>
      <c r="C334" s="15" t="s">
        <v>1418</v>
      </c>
      <c r="D334" s="15" t="s">
        <v>1419</v>
      </c>
      <c r="E334" s="15">
        <v>10.625999999999999</v>
      </c>
      <c r="F334" s="42">
        <v>46198</v>
      </c>
    </row>
    <row r="335" spans="1:6" x14ac:dyDescent="0.3">
      <c r="A335" s="15" t="s">
        <v>33499</v>
      </c>
      <c r="B335" s="15" t="s">
        <v>795</v>
      </c>
      <c r="C335" s="15" t="s">
        <v>795</v>
      </c>
      <c r="D335" s="15" t="s">
        <v>795</v>
      </c>
      <c r="F335" s="42"/>
    </row>
    <row r="336" spans="1:6" x14ac:dyDescent="0.3">
      <c r="A336" s="15" t="s">
        <v>36815</v>
      </c>
      <c r="B336" s="15" t="s">
        <v>795</v>
      </c>
      <c r="C336" s="15" t="s">
        <v>795</v>
      </c>
      <c r="D336" s="15" t="s">
        <v>795</v>
      </c>
      <c r="F336" s="42"/>
    </row>
    <row r="337" spans="1:6" x14ac:dyDescent="0.3">
      <c r="A337" s="15" t="s">
        <v>33499</v>
      </c>
      <c r="B337" s="15" t="s">
        <v>795</v>
      </c>
      <c r="C337" s="15" t="s">
        <v>795</v>
      </c>
      <c r="D337" s="15" t="s">
        <v>795</v>
      </c>
      <c r="F337" s="42"/>
    </row>
    <row r="338" spans="1:6" x14ac:dyDescent="0.3">
      <c r="A338" s="15" t="s">
        <v>46655</v>
      </c>
      <c r="B338" s="15" t="s">
        <v>1420</v>
      </c>
      <c r="C338" s="15" t="s">
        <v>1421</v>
      </c>
      <c r="D338" s="15" t="s">
        <v>1422</v>
      </c>
      <c r="E338" s="15">
        <v>11.718400000000001</v>
      </c>
      <c r="F338" s="42">
        <v>46198</v>
      </c>
    </row>
    <row r="339" spans="1:6" x14ac:dyDescent="0.3">
      <c r="A339" s="15" t="s">
        <v>46654</v>
      </c>
      <c r="B339" s="15" t="s">
        <v>1423</v>
      </c>
      <c r="C339" s="15" t="s">
        <v>800</v>
      </c>
      <c r="D339" s="15" t="s">
        <v>1424</v>
      </c>
      <c r="E339" s="15">
        <v>82.499799999999993</v>
      </c>
      <c r="F339" s="42">
        <v>46198</v>
      </c>
    </row>
    <row r="340" spans="1:6" x14ac:dyDescent="0.3">
      <c r="A340" s="15" t="s">
        <v>46653</v>
      </c>
      <c r="B340" s="15" t="s">
        <v>1425</v>
      </c>
      <c r="C340" s="15" t="s">
        <v>1426</v>
      </c>
      <c r="D340" s="15" t="s">
        <v>1427</v>
      </c>
      <c r="E340" s="15">
        <v>11.4437</v>
      </c>
      <c r="F340" s="42">
        <v>46198</v>
      </c>
    </row>
    <row r="341" spans="1:6" x14ac:dyDescent="0.3">
      <c r="A341" s="15" t="s">
        <v>46652</v>
      </c>
      <c r="B341" s="15" t="s">
        <v>1428</v>
      </c>
      <c r="C341" s="15" t="s">
        <v>1429</v>
      </c>
      <c r="D341" s="15" t="s">
        <v>1430</v>
      </c>
      <c r="E341" s="15">
        <v>19.9405</v>
      </c>
      <c r="F341" s="42">
        <v>46198</v>
      </c>
    </row>
    <row r="342" spans="1:6" x14ac:dyDescent="0.3">
      <c r="A342" s="15" t="s">
        <v>46651</v>
      </c>
      <c r="B342" s="15" t="s">
        <v>1431</v>
      </c>
      <c r="C342" s="15" t="s">
        <v>1432</v>
      </c>
      <c r="D342" s="15" t="s">
        <v>1433</v>
      </c>
      <c r="E342" s="15">
        <v>11.433400000000001</v>
      </c>
      <c r="F342" s="42">
        <v>46198</v>
      </c>
    </row>
    <row r="343" spans="1:6" x14ac:dyDescent="0.3">
      <c r="A343" s="15" t="s">
        <v>46650</v>
      </c>
      <c r="B343" s="15" t="s">
        <v>1434</v>
      </c>
      <c r="C343" s="15" t="s">
        <v>800</v>
      </c>
      <c r="D343" s="15" t="s">
        <v>1435</v>
      </c>
      <c r="E343" s="15">
        <v>77.240200000000002</v>
      </c>
      <c r="F343" s="42">
        <v>46198</v>
      </c>
    </row>
    <row r="344" spans="1:6" x14ac:dyDescent="0.3">
      <c r="A344" s="15" t="s">
        <v>46649</v>
      </c>
      <c r="B344" s="15" t="s">
        <v>1436</v>
      </c>
      <c r="C344" s="15" t="s">
        <v>1437</v>
      </c>
      <c r="D344" s="15" t="s">
        <v>1438</v>
      </c>
      <c r="E344" s="15">
        <v>11.018700000000001</v>
      </c>
      <c r="F344" s="42">
        <v>46198</v>
      </c>
    </row>
    <row r="345" spans="1:6" x14ac:dyDescent="0.3">
      <c r="A345" s="15" t="s">
        <v>46648</v>
      </c>
      <c r="B345" s="15" t="s">
        <v>1439</v>
      </c>
      <c r="C345" s="15" t="s">
        <v>1440</v>
      </c>
      <c r="D345" s="15" t="s">
        <v>1441</v>
      </c>
      <c r="E345" s="15">
        <v>16.628699999999998</v>
      </c>
      <c r="F345" s="42">
        <v>46198</v>
      </c>
    </row>
    <row r="346" spans="1:6" x14ac:dyDescent="0.3">
      <c r="A346" s="15" t="s">
        <v>46647</v>
      </c>
      <c r="B346" s="15" t="s">
        <v>1442</v>
      </c>
      <c r="C346" s="15" t="s">
        <v>800</v>
      </c>
      <c r="D346" s="15" t="s">
        <v>1443</v>
      </c>
      <c r="E346" s="15">
        <v>29.3399</v>
      </c>
      <c r="F346" s="42">
        <v>46198</v>
      </c>
    </row>
    <row r="347" spans="1:6" x14ac:dyDescent="0.3">
      <c r="A347" s="15" t="s">
        <v>33499</v>
      </c>
      <c r="B347" s="15" t="s">
        <v>795</v>
      </c>
      <c r="C347" s="15" t="s">
        <v>795</v>
      </c>
      <c r="D347" s="15" t="s">
        <v>795</v>
      </c>
      <c r="F347" s="42"/>
    </row>
    <row r="348" spans="1:6" x14ac:dyDescent="0.3">
      <c r="A348" s="15" t="s">
        <v>36764</v>
      </c>
      <c r="B348" s="15" t="s">
        <v>795</v>
      </c>
      <c r="C348" s="15" t="s">
        <v>795</v>
      </c>
      <c r="D348" s="15" t="s">
        <v>795</v>
      </c>
      <c r="F348" s="42"/>
    </row>
    <row r="349" spans="1:6" x14ac:dyDescent="0.3">
      <c r="A349" s="15" t="s">
        <v>33499</v>
      </c>
      <c r="B349" s="15" t="s">
        <v>795</v>
      </c>
      <c r="C349" s="15" t="s">
        <v>795</v>
      </c>
      <c r="D349" s="15" t="s">
        <v>795</v>
      </c>
      <c r="F349" s="42"/>
    </row>
    <row r="350" spans="1:6" x14ac:dyDescent="0.3">
      <c r="A350" s="15" t="s">
        <v>46646</v>
      </c>
      <c r="B350" s="15" t="s">
        <v>1444</v>
      </c>
      <c r="C350" s="15" t="s">
        <v>800</v>
      </c>
      <c r="D350" s="15" t="s">
        <v>1445</v>
      </c>
      <c r="E350" s="15">
        <v>14.978199999999999</v>
      </c>
      <c r="F350" s="42">
        <v>43945</v>
      </c>
    </row>
    <row r="351" spans="1:6" x14ac:dyDescent="0.3">
      <c r="A351" s="15" t="s">
        <v>46645</v>
      </c>
      <c r="B351" s="15" t="s">
        <v>1446</v>
      </c>
      <c r="C351" s="15" t="s">
        <v>800</v>
      </c>
      <c r="D351" s="15" t="s">
        <v>1447</v>
      </c>
      <c r="E351" s="15">
        <v>10.1065</v>
      </c>
      <c r="F351" s="42">
        <v>44820</v>
      </c>
    </row>
    <row r="352" spans="1:6" x14ac:dyDescent="0.3">
      <c r="A352" s="15" t="s">
        <v>46644</v>
      </c>
      <c r="B352" s="15" t="s">
        <v>1448</v>
      </c>
      <c r="C352" s="15" t="s">
        <v>800</v>
      </c>
      <c r="D352" s="15" t="s">
        <v>1449</v>
      </c>
      <c r="E352" s="15">
        <v>10.1008</v>
      </c>
      <c r="F352" s="42">
        <v>44820</v>
      </c>
    </row>
    <row r="353" spans="1:6" x14ac:dyDescent="0.3">
      <c r="A353" s="15" t="s">
        <v>46643</v>
      </c>
      <c r="B353" s="15" t="s">
        <v>1450</v>
      </c>
      <c r="C353" s="15" t="s">
        <v>1451</v>
      </c>
      <c r="D353" s="15" t="s">
        <v>1452</v>
      </c>
      <c r="E353" s="15">
        <v>12.1669</v>
      </c>
      <c r="F353" s="42">
        <v>44820</v>
      </c>
    </row>
    <row r="354" spans="1:6" x14ac:dyDescent="0.3">
      <c r="A354" s="15" t="s">
        <v>46642</v>
      </c>
      <c r="B354" s="15" t="s">
        <v>1453</v>
      </c>
      <c r="C354" s="15" t="s">
        <v>800</v>
      </c>
      <c r="D354" s="15" t="s">
        <v>1454</v>
      </c>
      <c r="E354" s="15">
        <v>33.278799999999997</v>
      </c>
      <c r="F354" s="42">
        <v>46198</v>
      </c>
    </row>
    <row r="355" spans="1:6" x14ac:dyDescent="0.3">
      <c r="A355" s="15" t="s">
        <v>46641</v>
      </c>
      <c r="B355" s="15" t="s">
        <v>1455</v>
      </c>
      <c r="C355" s="15" t="s">
        <v>1456</v>
      </c>
      <c r="D355" s="15" t="s">
        <v>1457</v>
      </c>
      <c r="E355" s="15">
        <v>12.8827</v>
      </c>
      <c r="F355" s="42">
        <v>44820</v>
      </c>
    </row>
    <row r="356" spans="1:6" x14ac:dyDescent="0.3">
      <c r="A356" s="15" t="s">
        <v>46640</v>
      </c>
      <c r="B356" s="15" t="s">
        <v>1458</v>
      </c>
      <c r="C356" s="15" t="s">
        <v>1459</v>
      </c>
      <c r="D356" s="15" t="s">
        <v>1460</v>
      </c>
      <c r="E356" s="15">
        <v>10.387</v>
      </c>
      <c r="F356" s="42">
        <v>46198</v>
      </c>
    </row>
    <row r="357" spans="1:6" x14ac:dyDescent="0.3">
      <c r="A357" s="15" t="s">
        <v>46639</v>
      </c>
      <c r="B357" s="15" t="s">
        <v>1461</v>
      </c>
      <c r="C357" s="15" t="s">
        <v>1462</v>
      </c>
      <c r="D357" s="15" t="s">
        <v>1463</v>
      </c>
      <c r="E357" s="15">
        <v>15.648099999999999</v>
      </c>
      <c r="F357" s="42">
        <v>46198</v>
      </c>
    </row>
    <row r="358" spans="1:6" x14ac:dyDescent="0.3">
      <c r="A358" s="15" t="s">
        <v>46638</v>
      </c>
      <c r="B358" s="15" t="s">
        <v>1464</v>
      </c>
      <c r="C358" s="15" t="s">
        <v>1465</v>
      </c>
      <c r="D358" s="15" t="s">
        <v>1466</v>
      </c>
      <c r="E358" s="15">
        <v>10.2332</v>
      </c>
      <c r="F358" s="42">
        <v>44820</v>
      </c>
    </row>
    <row r="359" spans="1:6" x14ac:dyDescent="0.3">
      <c r="A359" s="15" t="s">
        <v>46637</v>
      </c>
      <c r="B359" s="15" t="s">
        <v>1467</v>
      </c>
      <c r="C359" s="15" t="s">
        <v>1468</v>
      </c>
      <c r="D359" s="15" t="s">
        <v>1469</v>
      </c>
      <c r="E359" s="15">
        <v>10.224299999999999</v>
      </c>
      <c r="F359" s="42">
        <v>44820</v>
      </c>
    </row>
    <row r="360" spans="1:6" x14ac:dyDescent="0.3">
      <c r="A360" s="15" t="s">
        <v>46636</v>
      </c>
      <c r="B360" s="15" t="s">
        <v>1470</v>
      </c>
      <c r="C360" s="15" t="s">
        <v>800</v>
      </c>
      <c r="D360" s="15" t="s">
        <v>1471</v>
      </c>
      <c r="E360" s="15">
        <v>31.703399999999998</v>
      </c>
      <c r="F360" s="42">
        <v>46198</v>
      </c>
    </row>
    <row r="361" spans="1:6" x14ac:dyDescent="0.3">
      <c r="A361" s="15" t="s">
        <v>46635</v>
      </c>
      <c r="B361" s="15" t="s">
        <v>1472</v>
      </c>
      <c r="C361" s="15" t="s">
        <v>1473</v>
      </c>
      <c r="D361" s="15" t="s">
        <v>1474</v>
      </c>
      <c r="E361" s="15">
        <v>12.6555</v>
      </c>
      <c r="F361" s="42">
        <v>44820</v>
      </c>
    </row>
    <row r="362" spans="1:6" x14ac:dyDescent="0.3">
      <c r="A362" s="15" t="s">
        <v>46634</v>
      </c>
      <c r="B362" s="15" t="s">
        <v>1475</v>
      </c>
      <c r="C362" s="15" t="s">
        <v>1476</v>
      </c>
      <c r="D362" s="15" t="s">
        <v>1477</v>
      </c>
      <c r="E362" s="15">
        <v>10.542400000000001</v>
      </c>
      <c r="F362" s="42">
        <v>46198</v>
      </c>
    </row>
    <row r="363" spans="1:6" x14ac:dyDescent="0.3">
      <c r="A363" s="15" t="s">
        <v>46633</v>
      </c>
      <c r="B363" s="15" t="s">
        <v>1478</v>
      </c>
      <c r="C363" s="15" t="s">
        <v>800</v>
      </c>
      <c r="D363" s="15" t="s">
        <v>1479</v>
      </c>
      <c r="E363" s="15">
        <v>10.027699999999999</v>
      </c>
      <c r="F363" s="42">
        <v>43945</v>
      </c>
    </row>
    <row r="364" spans="1:6" x14ac:dyDescent="0.3">
      <c r="A364" s="15" t="s">
        <v>46632</v>
      </c>
      <c r="B364" s="15" t="s">
        <v>1480</v>
      </c>
      <c r="C364" s="15" t="s">
        <v>800</v>
      </c>
      <c r="D364" s="15" t="s">
        <v>1481</v>
      </c>
      <c r="E364" s="15">
        <v>10.077</v>
      </c>
      <c r="F364" s="42">
        <v>42220</v>
      </c>
    </row>
    <row r="365" spans="1:6" x14ac:dyDescent="0.3">
      <c r="A365" s="15" t="s">
        <v>46631</v>
      </c>
      <c r="B365" s="15" t="s">
        <v>1482</v>
      </c>
      <c r="C365" s="15" t="s">
        <v>1483</v>
      </c>
      <c r="D365" s="15" t="s">
        <v>1484</v>
      </c>
      <c r="E365" s="15">
        <v>10.304</v>
      </c>
      <c r="F365" s="42">
        <v>44820</v>
      </c>
    </row>
    <row r="366" spans="1:6" x14ac:dyDescent="0.3">
      <c r="A366" s="15" t="s">
        <v>46630</v>
      </c>
      <c r="B366" s="15" t="s">
        <v>1485</v>
      </c>
      <c r="C366" s="15" t="s">
        <v>1486</v>
      </c>
      <c r="D366" s="15" t="s">
        <v>1487</v>
      </c>
      <c r="E366" s="15">
        <v>11.310600000000001</v>
      </c>
      <c r="F366" s="42">
        <v>46198</v>
      </c>
    </row>
    <row r="367" spans="1:6" x14ac:dyDescent="0.3">
      <c r="A367" s="15" t="s">
        <v>46629</v>
      </c>
      <c r="B367" s="15" t="s">
        <v>1488</v>
      </c>
      <c r="C367" s="15" t="s">
        <v>800</v>
      </c>
      <c r="D367" s="15" t="s">
        <v>1489</v>
      </c>
      <c r="E367" s="15">
        <v>10.0275</v>
      </c>
      <c r="F367" s="42">
        <v>43945</v>
      </c>
    </row>
    <row r="368" spans="1:6" x14ac:dyDescent="0.3">
      <c r="A368" s="15" t="s">
        <v>46628</v>
      </c>
      <c r="B368" s="15" t="s">
        <v>1490</v>
      </c>
      <c r="C368" s="15" t="s">
        <v>1491</v>
      </c>
      <c r="D368" s="15" t="s">
        <v>1492</v>
      </c>
      <c r="E368" s="15">
        <v>10.3041</v>
      </c>
      <c r="F368" s="42">
        <v>43945</v>
      </c>
    </row>
    <row r="369" spans="1:6" x14ac:dyDescent="0.3">
      <c r="A369" s="15" t="s">
        <v>46627</v>
      </c>
      <c r="B369" s="15" t="s">
        <v>1493</v>
      </c>
      <c r="C369" s="15" t="s">
        <v>800</v>
      </c>
      <c r="D369" s="15" t="s">
        <v>1494</v>
      </c>
      <c r="E369" s="15">
        <v>22.785299999999999</v>
      </c>
      <c r="F369" s="42">
        <v>43945</v>
      </c>
    </row>
    <row r="370" spans="1:6" x14ac:dyDescent="0.3">
      <c r="A370" s="15" t="s">
        <v>46626</v>
      </c>
      <c r="B370" s="15" t="s">
        <v>1495</v>
      </c>
      <c r="C370" s="15" t="s">
        <v>1496</v>
      </c>
      <c r="D370" s="15" t="s">
        <v>1497</v>
      </c>
      <c r="E370" s="15">
        <v>10.300800000000001</v>
      </c>
      <c r="F370" s="42">
        <v>43945</v>
      </c>
    </row>
    <row r="371" spans="1:6" x14ac:dyDescent="0.3">
      <c r="A371" s="15" t="s">
        <v>46625</v>
      </c>
      <c r="B371" s="15" t="s">
        <v>1498</v>
      </c>
      <c r="C371" s="15" t="s">
        <v>1499</v>
      </c>
      <c r="D371" s="15" t="s">
        <v>1500</v>
      </c>
      <c r="E371" s="15">
        <v>10.9335</v>
      </c>
      <c r="F371" s="42">
        <v>43945</v>
      </c>
    </row>
    <row r="372" spans="1:6" x14ac:dyDescent="0.3">
      <c r="A372" s="15" t="s">
        <v>46624</v>
      </c>
      <c r="B372" s="15" t="s">
        <v>1501</v>
      </c>
      <c r="C372" s="15" t="s">
        <v>1502</v>
      </c>
      <c r="D372" s="15" t="s">
        <v>1503</v>
      </c>
      <c r="E372" s="15">
        <v>10.2202</v>
      </c>
      <c r="F372" s="42">
        <v>43945</v>
      </c>
    </row>
    <row r="373" spans="1:6" x14ac:dyDescent="0.3">
      <c r="A373" s="15" t="s">
        <v>33499</v>
      </c>
      <c r="B373" s="15" t="s">
        <v>795</v>
      </c>
      <c r="C373" s="15" t="s">
        <v>795</v>
      </c>
      <c r="D373" s="15" t="s">
        <v>795</v>
      </c>
      <c r="F373" s="42"/>
    </row>
    <row r="374" spans="1:6" x14ac:dyDescent="0.3">
      <c r="A374" s="15" t="s">
        <v>37807</v>
      </c>
      <c r="B374" s="15" t="s">
        <v>795</v>
      </c>
      <c r="C374" s="15" t="s">
        <v>795</v>
      </c>
      <c r="D374" s="15" t="s">
        <v>795</v>
      </c>
      <c r="F374" s="42"/>
    </row>
    <row r="375" spans="1:6" x14ac:dyDescent="0.3">
      <c r="A375" s="15" t="s">
        <v>33499</v>
      </c>
      <c r="B375" s="15" t="s">
        <v>795</v>
      </c>
      <c r="C375" s="15" t="s">
        <v>795</v>
      </c>
      <c r="D375" s="15" t="s">
        <v>795</v>
      </c>
      <c r="F375" s="42"/>
    </row>
    <row r="376" spans="1:6" x14ac:dyDescent="0.3">
      <c r="A376" s="15" t="s">
        <v>46623</v>
      </c>
      <c r="B376" s="15" t="s">
        <v>1504</v>
      </c>
      <c r="C376" s="15" t="s">
        <v>1505</v>
      </c>
      <c r="D376" s="15" t="s">
        <v>1506</v>
      </c>
      <c r="E376" s="15">
        <v>1236.6677</v>
      </c>
      <c r="F376" s="42">
        <v>46198</v>
      </c>
    </row>
    <row r="377" spans="1:6" x14ac:dyDescent="0.3">
      <c r="A377" s="15" t="s">
        <v>46622</v>
      </c>
      <c r="B377" s="15" t="s">
        <v>1507</v>
      </c>
      <c r="C377" s="15" t="s">
        <v>1508</v>
      </c>
      <c r="D377" s="15" t="s">
        <v>1509</v>
      </c>
      <c r="E377" s="15">
        <v>3600.9713000000002</v>
      </c>
      <c r="F377" s="42">
        <v>46198</v>
      </c>
    </row>
    <row r="378" spans="1:6" x14ac:dyDescent="0.3">
      <c r="A378" s="15" t="s">
        <v>46621</v>
      </c>
      <c r="B378" s="15" t="s">
        <v>1510</v>
      </c>
      <c r="C378" s="15" t="s">
        <v>800</v>
      </c>
      <c r="D378" s="15" t="s">
        <v>1511</v>
      </c>
      <c r="E378" s="15">
        <v>3599.8215</v>
      </c>
      <c r="F378" s="42">
        <v>46198</v>
      </c>
    </row>
    <row r="379" spans="1:6" x14ac:dyDescent="0.3">
      <c r="A379" s="15" t="s">
        <v>46620</v>
      </c>
      <c r="B379" s="15" t="s">
        <v>1512</v>
      </c>
      <c r="C379" s="15" t="s">
        <v>1513</v>
      </c>
      <c r="D379" s="15" t="s">
        <v>1514</v>
      </c>
      <c r="E379" s="15">
        <v>1278.2733000000001</v>
      </c>
      <c r="F379" s="42">
        <v>46198</v>
      </c>
    </row>
    <row r="380" spans="1:6" x14ac:dyDescent="0.3">
      <c r="A380" s="15" t="s">
        <v>46619</v>
      </c>
      <c r="B380" s="15" t="s">
        <v>1515</v>
      </c>
      <c r="C380" s="15" t="s">
        <v>1516</v>
      </c>
      <c r="D380" s="15" t="s">
        <v>1517</v>
      </c>
      <c r="E380" s="15">
        <v>1167.1262999999999</v>
      </c>
      <c r="F380" s="42">
        <v>46198</v>
      </c>
    </row>
    <row r="381" spans="1:6" x14ac:dyDescent="0.3">
      <c r="A381" s="15" t="s">
        <v>46618</v>
      </c>
      <c r="B381" s="15" t="s">
        <v>1518</v>
      </c>
      <c r="C381" s="15" t="s">
        <v>1519</v>
      </c>
      <c r="D381" s="15" t="s">
        <v>1520</v>
      </c>
      <c r="E381" s="15">
        <v>1332.0053</v>
      </c>
      <c r="F381" s="42">
        <v>46198</v>
      </c>
    </row>
    <row r="382" spans="1:6" x14ac:dyDescent="0.3">
      <c r="A382" s="15" t="s">
        <v>46617</v>
      </c>
      <c r="B382" s="15" t="s">
        <v>1521</v>
      </c>
      <c r="C382" s="15" t="s">
        <v>1522</v>
      </c>
      <c r="D382" s="15" t="s">
        <v>1523</v>
      </c>
      <c r="E382" s="15">
        <v>3515.3987999999999</v>
      </c>
      <c r="F382" s="42">
        <v>46198</v>
      </c>
    </row>
    <row r="383" spans="1:6" x14ac:dyDescent="0.3">
      <c r="A383" s="15" t="s">
        <v>46616</v>
      </c>
      <c r="B383" s="15" t="s">
        <v>1524</v>
      </c>
      <c r="C383" s="15" t="s">
        <v>800</v>
      </c>
      <c r="D383" s="15" t="s">
        <v>1525</v>
      </c>
      <c r="E383" s="15">
        <v>3346.0515999999998</v>
      </c>
      <c r="F383" s="42">
        <v>46198</v>
      </c>
    </row>
    <row r="384" spans="1:6" x14ac:dyDescent="0.3">
      <c r="A384" s="15" t="s">
        <v>46615</v>
      </c>
      <c r="B384" s="15" t="s">
        <v>1526</v>
      </c>
      <c r="C384" s="15" t="s">
        <v>1527</v>
      </c>
      <c r="D384" s="15" t="s">
        <v>1528</v>
      </c>
      <c r="E384" s="15">
        <v>1917.8447000000001</v>
      </c>
      <c r="F384" s="42">
        <v>46198</v>
      </c>
    </row>
    <row r="385" spans="1:6" x14ac:dyDescent="0.3">
      <c r="A385" s="15" t="s">
        <v>46614</v>
      </c>
      <c r="B385" s="15" t="s">
        <v>1529</v>
      </c>
      <c r="C385" s="15" t="s">
        <v>1530</v>
      </c>
      <c r="D385" s="15" t="s">
        <v>1531</v>
      </c>
      <c r="E385" s="15">
        <v>1162.0902000000001</v>
      </c>
      <c r="F385" s="42">
        <v>46198</v>
      </c>
    </row>
    <row r="386" spans="1:6" x14ac:dyDescent="0.3">
      <c r="A386" s="15" t="s">
        <v>33499</v>
      </c>
      <c r="B386" s="15" t="s">
        <v>795</v>
      </c>
      <c r="C386" s="15" t="s">
        <v>795</v>
      </c>
      <c r="D386" s="15" t="s">
        <v>795</v>
      </c>
      <c r="F386" s="42"/>
    </row>
    <row r="387" spans="1:6" x14ac:dyDescent="0.3">
      <c r="A387" s="15" t="s">
        <v>139</v>
      </c>
      <c r="B387" s="15" t="s">
        <v>795</v>
      </c>
      <c r="C387" s="15" t="s">
        <v>795</v>
      </c>
      <c r="D387" s="15" t="s">
        <v>795</v>
      </c>
      <c r="F387" s="42"/>
    </row>
    <row r="388" spans="1:6" x14ac:dyDescent="0.3">
      <c r="A388" s="15" t="s">
        <v>33499</v>
      </c>
      <c r="B388" s="15" t="s">
        <v>795</v>
      </c>
      <c r="C388" s="15" t="s">
        <v>795</v>
      </c>
      <c r="D388" s="15" t="s">
        <v>795</v>
      </c>
      <c r="F388" s="42"/>
    </row>
    <row r="389" spans="1:6" x14ac:dyDescent="0.3">
      <c r="A389" s="15" t="s">
        <v>46613</v>
      </c>
      <c r="B389" s="15" t="s">
        <v>800</v>
      </c>
      <c r="C389" s="15" t="s">
        <v>800</v>
      </c>
      <c r="D389" s="15" t="s">
        <v>1532</v>
      </c>
      <c r="E389" s="15">
        <v>2034.9063000000001</v>
      </c>
      <c r="F389" s="42">
        <v>42664</v>
      </c>
    </row>
    <row r="390" spans="1:6" x14ac:dyDescent="0.3">
      <c r="A390" s="15" t="s">
        <v>46612</v>
      </c>
      <c r="B390" s="15" t="s">
        <v>1533</v>
      </c>
      <c r="C390" s="15" t="s">
        <v>800</v>
      </c>
      <c r="D390" s="15" t="s">
        <v>1534</v>
      </c>
      <c r="E390" s="15">
        <v>4171.8446000000004</v>
      </c>
      <c r="F390" s="42">
        <v>46198</v>
      </c>
    </row>
    <row r="391" spans="1:6" x14ac:dyDescent="0.3">
      <c r="A391" s="15" t="s">
        <v>46611</v>
      </c>
      <c r="B391" s="15" t="s">
        <v>1535</v>
      </c>
      <c r="C391" s="15" t="s">
        <v>800</v>
      </c>
      <c r="D391" s="15" t="s">
        <v>1536</v>
      </c>
      <c r="E391" s="15">
        <v>1077.9618</v>
      </c>
      <c r="F391" s="42">
        <v>46198</v>
      </c>
    </row>
    <row r="392" spans="1:6" x14ac:dyDescent="0.3">
      <c r="A392" s="15" t="s">
        <v>46610</v>
      </c>
      <c r="B392" s="15" t="s">
        <v>1537</v>
      </c>
      <c r="C392" s="15" t="s">
        <v>800</v>
      </c>
      <c r="D392" s="15" t="s">
        <v>1538</v>
      </c>
      <c r="E392" s="15">
        <v>2090.4924000000001</v>
      </c>
      <c r="F392" s="42">
        <v>42664</v>
      </c>
    </row>
    <row r="393" spans="1:6" x14ac:dyDescent="0.3">
      <c r="A393" s="15" t="s">
        <v>46609</v>
      </c>
      <c r="B393" s="15" t="s">
        <v>1539</v>
      </c>
      <c r="C393" s="15" t="s">
        <v>800</v>
      </c>
      <c r="D393" s="15" t="s">
        <v>1540</v>
      </c>
      <c r="E393" s="15">
        <v>3982.4697999999999</v>
      </c>
      <c r="F393" s="42">
        <v>46198</v>
      </c>
    </row>
    <row r="394" spans="1:6" x14ac:dyDescent="0.3">
      <c r="A394" s="15" t="s">
        <v>46608</v>
      </c>
      <c r="B394" s="15" t="s">
        <v>1541</v>
      </c>
      <c r="C394" s="15" t="s">
        <v>1542</v>
      </c>
      <c r="D394" s="15" t="s">
        <v>1543</v>
      </c>
      <c r="E394" s="15">
        <v>1297.3378</v>
      </c>
      <c r="F394" s="42">
        <v>46198</v>
      </c>
    </row>
    <row r="395" spans="1:6" x14ac:dyDescent="0.3">
      <c r="A395" s="15" t="s">
        <v>46607</v>
      </c>
      <c r="B395" s="15" t="s">
        <v>1544</v>
      </c>
      <c r="C395" s="15" t="s">
        <v>800</v>
      </c>
      <c r="D395" s="15" t="s">
        <v>1545</v>
      </c>
      <c r="E395" s="15">
        <v>1066.6837</v>
      </c>
      <c r="F395" s="42">
        <v>42993</v>
      </c>
    </row>
    <row r="396" spans="1:6" x14ac:dyDescent="0.3">
      <c r="A396" s="15" t="s">
        <v>46606</v>
      </c>
      <c r="B396" s="15" t="s">
        <v>1546</v>
      </c>
      <c r="C396" s="15" t="s">
        <v>800</v>
      </c>
      <c r="D396" s="15" t="s">
        <v>1547</v>
      </c>
      <c r="E396" s="15">
        <v>1040.0537999999999</v>
      </c>
      <c r="F396" s="42">
        <v>42664</v>
      </c>
    </row>
    <row r="397" spans="1:6" x14ac:dyDescent="0.3">
      <c r="A397" s="15" t="s">
        <v>46605</v>
      </c>
      <c r="B397" s="15" t="s">
        <v>1548</v>
      </c>
      <c r="C397" s="15" t="s">
        <v>800</v>
      </c>
      <c r="D397" s="15" t="s">
        <v>1549</v>
      </c>
      <c r="E397" s="15">
        <v>1052.3061</v>
      </c>
      <c r="F397" s="42">
        <v>42664</v>
      </c>
    </row>
    <row r="398" spans="1:6" x14ac:dyDescent="0.3">
      <c r="A398" s="15" t="s">
        <v>46604</v>
      </c>
      <c r="B398" s="15" t="s">
        <v>800</v>
      </c>
      <c r="C398" s="15" t="s">
        <v>800</v>
      </c>
      <c r="D398" s="15" t="s">
        <v>1550</v>
      </c>
      <c r="E398" s="15">
        <v>1052.6393</v>
      </c>
      <c r="F398" s="42">
        <v>42664</v>
      </c>
    </row>
    <row r="399" spans="1:6" x14ac:dyDescent="0.3">
      <c r="A399" s="15" t="s">
        <v>46603</v>
      </c>
      <c r="B399" s="15" t="s">
        <v>1551</v>
      </c>
      <c r="C399" s="15" t="s">
        <v>800</v>
      </c>
      <c r="D399" s="15" t="s">
        <v>1552</v>
      </c>
      <c r="E399" s="15">
        <v>1052.7994000000001</v>
      </c>
      <c r="F399" s="42">
        <v>42664</v>
      </c>
    </row>
    <row r="400" spans="1:6" x14ac:dyDescent="0.3">
      <c r="A400" s="15" t="s">
        <v>46602</v>
      </c>
      <c r="B400" s="15" t="s">
        <v>800</v>
      </c>
      <c r="C400" s="15" t="s">
        <v>1553</v>
      </c>
      <c r="D400" s="15" t="s">
        <v>1554</v>
      </c>
      <c r="E400" s="15">
        <v>1202.9938999999999</v>
      </c>
      <c r="F400" s="42">
        <v>42664</v>
      </c>
    </row>
    <row r="401" spans="1:6" x14ac:dyDescent="0.3">
      <c r="A401" s="15" t="s">
        <v>33499</v>
      </c>
      <c r="B401" s="15" t="s">
        <v>795</v>
      </c>
      <c r="C401" s="15" t="s">
        <v>795</v>
      </c>
      <c r="D401" s="15" t="s">
        <v>795</v>
      </c>
      <c r="F401" s="42"/>
    </row>
    <row r="402" spans="1:6" x14ac:dyDescent="0.3">
      <c r="A402" s="15" t="s">
        <v>37780</v>
      </c>
      <c r="B402" s="15" t="s">
        <v>795</v>
      </c>
      <c r="C402" s="15" t="s">
        <v>795</v>
      </c>
      <c r="D402" s="15" t="s">
        <v>795</v>
      </c>
      <c r="F402" s="42"/>
    </row>
    <row r="403" spans="1:6" x14ac:dyDescent="0.3">
      <c r="A403" s="15" t="s">
        <v>33499</v>
      </c>
      <c r="B403" s="15" t="s">
        <v>795</v>
      </c>
      <c r="C403" s="15" t="s">
        <v>795</v>
      </c>
      <c r="D403" s="15" t="s">
        <v>795</v>
      </c>
      <c r="F403" s="42"/>
    </row>
    <row r="404" spans="1:6" x14ac:dyDescent="0.3">
      <c r="A404" s="15" t="s">
        <v>46601</v>
      </c>
      <c r="B404" s="15" t="s">
        <v>1555</v>
      </c>
      <c r="C404" s="15" t="s">
        <v>800</v>
      </c>
      <c r="D404" s="15" t="s">
        <v>1556</v>
      </c>
      <c r="E404" s="15">
        <v>13.7254</v>
      </c>
      <c r="F404" s="42">
        <v>46198</v>
      </c>
    </row>
    <row r="405" spans="1:6" x14ac:dyDescent="0.3">
      <c r="A405" s="15" t="s">
        <v>46600</v>
      </c>
      <c r="B405" s="15" t="s">
        <v>1557</v>
      </c>
      <c r="C405" s="15" t="s">
        <v>1558</v>
      </c>
      <c r="D405" s="15" t="s">
        <v>1559</v>
      </c>
      <c r="E405" s="15">
        <v>13.7219</v>
      </c>
      <c r="F405" s="42">
        <v>46198</v>
      </c>
    </row>
    <row r="406" spans="1:6" x14ac:dyDescent="0.3">
      <c r="A406" s="15" t="s">
        <v>46599</v>
      </c>
      <c r="B406" s="15" t="s">
        <v>1560</v>
      </c>
      <c r="C406" s="15" t="s">
        <v>800</v>
      </c>
      <c r="D406" s="15" t="s">
        <v>1561</v>
      </c>
      <c r="E406" s="15">
        <v>13.4115</v>
      </c>
      <c r="F406" s="42">
        <v>46198</v>
      </c>
    </row>
    <row r="407" spans="1:6" x14ac:dyDescent="0.3">
      <c r="A407" s="15" t="s">
        <v>46598</v>
      </c>
      <c r="B407" s="15" t="s">
        <v>1562</v>
      </c>
      <c r="C407" s="15" t="s">
        <v>1563</v>
      </c>
      <c r="D407" s="15" t="s">
        <v>1564</v>
      </c>
      <c r="E407" s="15">
        <v>13.4115</v>
      </c>
      <c r="F407" s="42">
        <v>46198</v>
      </c>
    </row>
    <row r="408" spans="1:6" x14ac:dyDescent="0.3">
      <c r="A408" s="15" t="s">
        <v>33499</v>
      </c>
      <c r="B408" s="15" t="s">
        <v>795</v>
      </c>
      <c r="C408" s="15" t="s">
        <v>795</v>
      </c>
      <c r="D408" s="15" t="s">
        <v>795</v>
      </c>
      <c r="F408" s="42"/>
    </row>
    <row r="409" spans="1:6" x14ac:dyDescent="0.3">
      <c r="A409" s="15" t="s">
        <v>208</v>
      </c>
      <c r="B409" s="15" t="s">
        <v>795</v>
      </c>
      <c r="C409" s="15" t="s">
        <v>795</v>
      </c>
      <c r="D409" s="15" t="s">
        <v>795</v>
      </c>
      <c r="F409" s="42"/>
    </row>
    <row r="410" spans="1:6" x14ac:dyDescent="0.3">
      <c r="A410" s="15" t="s">
        <v>33499</v>
      </c>
      <c r="B410" s="15" t="s">
        <v>795</v>
      </c>
      <c r="C410" s="15" t="s">
        <v>795</v>
      </c>
      <c r="D410" s="15" t="s">
        <v>795</v>
      </c>
      <c r="F410" s="42"/>
    </row>
    <row r="411" spans="1:6" x14ac:dyDescent="0.3">
      <c r="A411" s="15" t="s">
        <v>46597</v>
      </c>
      <c r="B411" s="15" t="s">
        <v>800</v>
      </c>
      <c r="C411" s="15" t="s">
        <v>1565</v>
      </c>
      <c r="D411" s="15" t="s">
        <v>1566</v>
      </c>
      <c r="E411" s="15">
        <v>17.0959</v>
      </c>
      <c r="F411" s="42">
        <v>46198</v>
      </c>
    </row>
    <row r="412" spans="1:6" x14ac:dyDescent="0.3">
      <c r="A412" s="15" t="s">
        <v>46596</v>
      </c>
      <c r="B412" s="15" t="s">
        <v>800</v>
      </c>
      <c r="C412" s="15" t="s">
        <v>1567</v>
      </c>
      <c r="D412" s="15" t="s">
        <v>1568</v>
      </c>
      <c r="E412" s="15">
        <v>17.0959</v>
      </c>
      <c r="F412" s="42">
        <v>46198</v>
      </c>
    </row>
    <row r="413" spans="1:6" x14ac:dyDescent="0.3">
      <c r="A413" s="15" t="s">
        <v>46595</v>
      </c>
      <c r="B413" s="15" t="s">
        <v>1569</v>
      </c>
      <c r="C413" s="15" t="s">
        <v>1570</v>
      </c>
      <c r="D413" s="15" t="s">
        <v>1571</v>
      </c>
      <c r="E413" s="15">
        <v>21.132300000000001</v>
      </c>
      <c r="F413" s="42">
        <v>46198</v>
      </c>
    </row>
    <row r="414" spans="1:6" x14ac:dyDescent="0.3">
      <c r="A414" s="15" t="s">
        <v>46594</v>
      </c>
      <c r="B414" s="15" t="s">
        <v>1572</v>
      </c>
      <c r="C414" s="15" t="s">
        <v>1573</v>
      </c>
      <c r="D414" s="15" t="s">
        <v>1574</v>
      </c>
      <c r="E414" s="15">
        <v>11.806900000000001</v>
      </c>
      <c r="F414" s="42">
        <v>46198</v>
      </c>
    </row>
    <row r="415" spans="1:6" x14ac:dyDescent="0.3">
      <c r="A415" s="15" t="s">
        <v>46593</v>
      </c>
      <c r="B415" s="15" t="s">
        <v>1575</v>
      </c>
      <c r="C415" s="15" t="s">
        <v>1576</v>
      </c>
      <c r="D415" s="15" t="s">
        <v>1577</v>
      </c>
      <c r="E415" s="15">
        <v>12.151300000000001</v>
      </c>
      <c r="F415" s="42">
        <v>46198</v>
      </c>
    </row>
    <row r="416" spans="1:6" x14ac:dyDescent="0.3">
      <c r="A416" s="15" t="s">
        <v>46592</v>
      </c>
      <c r="B416" s="15" t="s">
        <v>1578</v>
      </c>
      <c r="C416" s="15" t="s">
        <v>1579</v>
      </c>
      <c r="D416" s="15" t="s">
        <v>1580</v>
      </c>
      <c r="E416" s="15">
        <v>17.138999999999999</v>
      </c>
      <c r="F416" s="42">
        <v>46198</v>
      </c>
    </row>
    <row r="417" spans="1:6" x14ac:dyDescent="0.3">
      <c r="A417" s="15" t="s">
        <v>46591</v>
      </c>
      <c r="B417" s="15" t="s">
        <v>1581</v>
      </c>
      <c r="C417" s="15" t="s">
        <v>800</v>
      </c>
      <c r="D417" s="15" t="s">
        <v>1582</v>
      </c>
      <c r="E417" s="15">
        <v>47.613300000000002</v>
      </c>
      <c r="F417" s="42">
        <v>46198</v>
      </c>
    </row>
    <row r="418" spans="1:6" x14ac:dyDescent="0.3">
      <c r="A418" s="15" t="s">
        <v>46590</v>
      </c>
      <c r="B418" s="15" t="s">
        <v>1583</v>
      </c>
      <c r="C418" s="15" t="s">
        <v>800</v>
      </c>
      <c r="D418" s="15" t="s">
        <v>1584</v>
      </c>
      <c r="E418" s="15">
        <v>66.69</v>
      </c>
      <c r="F418" s="42">
        <v>46198</v>
      </c>
    </row>
    <row r="419" spans="1:6" x14ac:dyDescent="0.3">
      <c r="A419" s="15" t="s">
        <v>46589</v>
      </c>
      <c r="B419" s="15" t="s">
        <v>1585</v>
      </c>
      <c r="C419" s="15" t="s">
        <v>800</v>
      </c>
      <c r="D419" s="15" t="s">
        <v>1586</v>
      </c>
      <c r="E419" s="15">
        <v>45.210099999999997</v>
      </c>
      <c r="F419" s="42">
        <v>46198</v>
      </c>
    </row>
    <row r="420" spans="1:6" x14ac:dyDescent="0.3">
      <c r="A420" s="15" t="s">
        <v>46588</v>
      </c>
      <c r="B420" s="15" t="s">
        <v>1587</v>
      </c>
      <c r="C420" s="15" t="s">
        <v>800</v>
      </c>
      <c r="D420" s="15" t="s">
        <v>1588</v>
      </c>
      <c r="E420" s="15">
        <v>63.302300000000002</v>
      </c>
      <c r="F420" s="42">
        <v>46198</v>
      </c>
    </row>
    <row r="421" spans="1:6" x14ac:dyDescent="0.3">
      <c r="A421" s="15" t="s">
        <v>46587</v>
      </c>
      <c r="B421" s="15" t="s">
        <v>1589</v>
      </c>
      <c r="C421" s="15" t="s">
        <v>1590</v>
      </c>
      <c r="D421" s="15" t="s">
        <v>1591</v>
      </c>
      <c r="E421" s="15">
        <v>20.2803</v>
      </c>
      <c r="F421" s="42">
        <v>46198</v>
      </c>
    </row>
    <row r="422" spans="1:6" x14ac:dyDescent="0.3">
      <c r="A422" s="15" t="s">
        <v>46586</v>
      </c>
      <c r="B422" s="15" t="s">
        <v>1592</v>
      </c>
      <c r="C422" s="15" t="s">
        <v>1593</v>
      </c>
      <c r="D422" s="15" t="s">
        <v>1594</v>
      </c>
      <c r="E422" s="15">
        <v>11.675599999999999</v>
      </c>
      <c r="F422" s="42">
        <v>46198</v>
      </c>
    </row>
    <row r="423" spans="1:6" x14ac:dyDescent="0.3">
      <c r="A423" s="15" t="s">
        <v>46585</v>
      </c>
      <c r="B423" s="15" t="s">
        <v>1595</v>
      </c>
      <c r="C423" s="15" t="s">
        <v>1596</v>
      </c>
      <c r="D423" s="15" t="s">
        <v>1597</v>
      </c>
      <c r="E423" s="15">
        <v>11.9933</v>
      </c>
      <c r="F423" s="42">
        <v>46198</v>
      </c>
    </row>
    <row r="424" spans="1:6" x14ac:dyDescent="0.3">
      <c r="A424" s="15" t="s">
        <v>46584</v>
      </c>
      <c r="B424" s="15" t="s">
        <v>1598</v>
      </c>
      <c r="C424" s="15" t="s">
        <v>1599</v>
      </c>
      <c r="D424" s="15" t="s">
        <v>1600</v>
      </c>
      <c r="E424" s="15">
        <v>17.1387</v>
      </c>
      <c r="F424" s="42">
        <v>46198</v>
      </c>
    </row>
    <row r="425" spans="1:6" x14ac:dyDescent="0.3">
      <c r="A425" s="15" t="s">
        <v>33499</v>
      </c>
      <c r="B425" s="15" t="s">
        <v>795</v>
      </c>
      <c r="C425" s="15" t="s">
        <v>795</v>
      </c>
      <c r="D425" s="15" t="s">
        <v>795</v>
      </c>
      <c r="F425" s="42"/>
    </row>
    <row r="426" spans="1:6" x14ac:dyDescent="0.3">
      <c r="A426" s="15" t="s">
        <v>37523</v>
      </c>
      <c r="B426" s="15" t="s">
        <v>795</v>
      </c>
      <c r="C426" s="15" t="s">
        <v>795</v>
      </c>
      <c r="D426" s="15" t="s">
        <v>795</v>
      </c>
      <c r="F426" s="42"/>
    </row>
    <row r="427" spans="1:6" x14ac:dyDescent="0.3">
      <c r="A427" s="15" t="s">
        <v>33499</v>
      </c>
      <c r="B427" s="15" t="s">
        <v>795</v>
      </c>
      <c r="C427" s="15" t="s">
        <v>795</v>
      </c>
      <c r="D427" s="15" t="s">
        <v>795</v>
      </c>
      <c r="F427" s="42"/>
    </row>
    <row r="428" spans="1:6" x14ac:dyDescent="0.3">
      <c r="A428" s="15" t="s">
        <v>46583</v>
      </c>
      <c r="B428" s="15" t="s">
        <v>1601</v>
      </c>
      <c r="C428" s="15" t="s">
        <v>1602</v>
      </c>
      <c r="D428" s="15" t="s">
        <v>1603</v>
      </c>
      <c r="E428" s="15">
        <v>10.2277</v>
      </c>
      <c r="F428" s="42">
        <v>46198</v>
      </c>
    </row>
    <row r="429" spans="1:6" x14ac:dyDescent="0.3">
      <c r="A429" s="15" t="s">
        <v>46582</v>
      </c>
      <c r="B429" s="15" t="s">
        <v>1604</v>
      </c>
      <c r="C429" s="15" t="s">
        <v>800</v>
      </c>
      <c r="D429" s="15" t="s">
        <v>1605</v>
      </c>
      <c r="E429" s="15">
        <v>15.815</v>
      </c>
      <c r="F429" s="42">
        <v>46198</v>
      </c>
    </row>
    <row r="430" spans="1:6" x14ac:dyDescent="0.3">
      <c r="A430" s="15" t="s">
        <v>46581</v>
      </c>
      <c r="B430" s="15" t="s">
        <v>1606</v>
      </c>
      <c r="C430" s="15" t="s">
        <v>800</v>
      </c>
      <c r="D430" s="15" t="s">
        <v>1607</v>
      </c>
      <c r="E430" s="15">
        <v>50.784999999999997</v>
      </c>
      <c r="F430" s="42">
        <v>46198</v>
      </c>
    </row>
    <row r="431" spans="1:6" x14ac:dyDescent="0.3">
      <c r="A431" s="15" t="s">
        <v>46580</v>
      </c>
      <c r="B431" s="15" t="s">
        <v>1608</v>
      </c>
      <c r="C431" s="15" t="s">
        <v>800</v>
      </c>
      <c r="D431" s="15" t="s">
        <v>1609</v>
      </c>
      <c r="E431" s="15">
        <v>14.614100000000001</v>
      </c>
      <c r="F431" s="42">
        <v>46198</v>
      </c>
    </row>
    <row r="432" spans="1:6" x14ac:dyDescent="0.3">
      <c r="A432" s="15" t="s">
        <v>46579</v>
      </c>
      <c r="B432" s="15" t="s">
        <v>1610</v>
      </c>
      <c r="C432" s="15" t="s">
        <v>1611</v>
      </c>
      <c r="D432" s="15" t="s">
        <v>1612</v>
      </c>
      <c r="E432" s="15">
        <v>13.079800000000001</v>
      </c>
      <c r="F432" s="42">
        <v>46198</v>
      </c>
    </row>
    <row r="433" spans="1:6" x14ac:dyDescent="0.3">
      <c r="A433" s="15" t="s">
        <v>46578</v>
      </c>
      <c r="B433" s="15" t="s">
        <v>1613</v>
      </c>
      <c r="C433" s="15" t="s">
        <v>800</v>
      </c>
      <c r="D433" s="15" t="s">
        <v>1614</v>
      </c>
      <c r="E433" s="15">
        <v>45.255000000000003</v>
      </c>
      <c r="F433" s="42">
        <v>46198</v>
      </c>
    </row>
    <row r="434" spans="1:6" x14ac:dyDescent="0.3">
      <c r="A434" s="15" t="s">
        <v>46577</v>
      </c>
      <c r="B434" s="15" t="s">
        <v>1615</v>
      </c>
      <c r="C434" s="15" t="s">
        <v>1616</v>
      </c>
      <c r="D434" s="15" t="s">
        <v>1617</v>
      </c>
      <c r="E434" s="15">
        <v>12.505699999999999</v>
      </c>
      <c r="F434" s="42">
        <v>46198</v>
      </c>
    </row>
    <row r="435" spans="1:6" x14ac:dyDescent="0.3">
      <c r="A435" s="15" t="s">
        <v>46576</v>
      </c>
      <c r="B435" s="15" t="s">
        <v>1618</v>
      </c>
      <c r="C435" s="15" t="s">
        <v>800</v>
      </c>
      <c r="D435" s="15" t="s">
        <v>1619</v>
      </c>
      <c r="E435" s="15">
        <v>21.588000000000001</v>
      </c>
      <c r="F435" s="42">
        <v>44582</v>
      </c>
    </row>
    <row r="436" spans="1:6" x14ac:dyDescent="0.3">
      <c r="A436" s="15" t="s">
        <v>46575</v>
      </c>
      <c r="B436" s="15" t="s">
        <v>1620</v>
      </c>
      <c r="C436" s="15" t="s">
        <v>1621</v>
      </c>
      <c r="D436" s="15" t="s">
        <v>1622</v>
      </c>
      <c r="E436" s="15">
        <v>11.477499999999999</v>
      </c>
      <c r="F436" s="42">
        <v>46198</v>
      </c>
    </row>
    <row r="437" spans="1:6" x14ac:dyDescent="0.3">
      <c r="A437" s="15" t="s">
        <v>46574</v>
      </c>
      <c r="B437" s="15" t="s">
        <v>1623</v>
      </c>
      <c r="C437" s="15" t="s">
        <v>800</v>
      </c>
      <c r="D437" s="15" t="s">
        <v>1624</v>
      </c>
      <c r="E437" s="15">
        <v>24.933399999999999</v>
      </c>
      <c r="F437" s="42">
        <v>42583</v>
      </c>
    </row>
    <row r="438" spans="1:6" x14ac:dyDescent="0.3">
      <c r="A438" s="15" t="s">
        <v>46573</v>
      </c>
      <c r="B438" s="15" t="s">
        <v>1625</v>
      </c>
      <c r="C438" s="15" t="s">
        <v>800</v>
      </c>
      <c r="D438" s="15" t="s">
        <v>1626</v>
      </c>
      <c r="E438" s="15">
        <v>15.226000000000001</v>
      </c>
      <c r="F438" s="42">
        <v>42583</v>
      </c>
    </row>
    <row r="439" spans="1:6" x14ac:dyDescent="0.3">
      <c r="A439" s="15" t="s">
        <v>46572</v>
      </c>
      <c r="B439" s="15" t="s">
        <v>1627</v>
      </c>
      <c r="C439" s="15" t="s">
        <v>800</v>
      </c>
      <c r="D439" s="15" t="s">
        <v>1628</v>
      </c>
      <c r="E439" s="15">
        <v>13.2164</v>
      </c>
      <c r="F439" s="42">
        <v>42583</v>
      </c>
    </row>
    <row r="440" spans="1:6" x14ac:dyDescent="0.3">
      <c r="A440" s="15" t="s">
        <v>46571</v>
      </c>
      <c r="B440" s="15" t="s">
        <v>1629</v>
      </c>
      <c r="C440" s="15" t="s">
        <v>800</v>
      </c>
      <c r="D440" s="15" t="s">
        <v>1630</v>
      </c>
      <c r="E440" s="15">
        <v>13.5688</v>
      </c>
      <c r="F440" s="42">
        <v>43609</v>
      </c>
    </row>
    <row r="441" spans="1:6" x14ac:dyDescent="0.3">
      <c r="A441" s="15" t="s">
        <v>33499</v>
      </c>
      <c r="B441" s="15" t="s">
        <v>795</v>
      </c>
      <c r="C441" s="15" t="s">
        <v>795</v>
      </c>
      <c r="D441" s="15" t="s">
        <v>795</v>
      </c>
      <c r="F441" s="42"/>
    </row>
    <row r="442" spans="1:6" x14ac:dyDescent="0.3">
      <c r="A442" s="15" t="s">
        <v>33636</v>
      </c>
      <c r="B442" s="15" t="s">
        <v>795</v>
      </c>
      <c r="C442" s="15" t="s">
        <v>795</v>
      </c>
      <c r="D442" s="15" t="s">
        <v>795</v>
      </c>
      <c r="F442" s="42"/>
    </row>
    <row r="443" spans="1:6" x14ac:dyDescent="0.3">
      <c r="A443" s="15" t="s">
        <v>33499</v>
      </c>
      <c r="B443" s="15" t="s">
        <v>795</v>
      </c>
      <c r="C443" s="15" t="s">
        <v>795</v>
      </c>
      <c r="D443" s="15" t="s">
        <v>795</v>
      </c>
      <c r="F443" s="42"/>
    </row>
    <row r="444" spans="1:6" x14ac:dyDescent="0.3">
      <c r="A444" s="15" t="s">
        <v>46570</v>
      </c>
      <c r="B444" s="15" t="s">
        <v>1631</v>
      </c>
      <c r="C444" s="15" t="s">
        <v>800</v>
      </c>
      <c r="D444" s="15" t="s">
        <v>1632</v>
      </c>
      <c r="E444" s="15">
        <v>16.8752</v>
      </c>
      <c r="F444" s="42">
        <v>46198</v>
      </c>
    </row>
    <row r="445" spans="1:6" x14ac:dyDescent="0.3">
      <c r="A445" s="15" t="s">
        <v>46569</v>
      </c>
      <c r="B445" s="15" t="s">
        <v>1633</v>
      </c>
      <c r="C445" s="15" t="s">
        <v>1634</v>
      </c>
      <c r="D445" s="15" t="s">
        <v>1635</v>
      </c>
      <c r="E445" s="15">
        <v>15.9285</v>
      </c>
      <c r="F445" s="42">
        <v>46198</v>
      </c>
    </row>
    <row r="446" spans="1:6" x14ac:dyDescent="0.3">
      <c r="A446" s="15" t="s">
        <v>46568</v>
      </c>
      <c r="B446" s="15" t="s">
        <v>1636</v>
      </c>
      <c r="C446" s="15" t="s">
        <v>1637</v>
      </c>
      <c r="D446" s="15" t="s">
        <v>1638</v>
      </c>
      <c r="E446" s="15">
        <v>16.405000000000001</v>
      </c>
      <c r="F446" s="42">
        <v>46198</v>
      </c>
    </row>
    <row r="447" spans="1:6" x14ac:dyDescent="0.3">
      <c r="A447" s="15" t="s">
        <v>46567</v>
      </c>
      <c r="B447" s="15" t="s">
        <v>1639</v>
      </c>
      <c r="C447" s="15" t="s">
        <v>800</v>
      </c>
      <c r="D447" s="15" t="s">
        <v>1640</v>
      </c>
      <c r="E447" s="15">
        <v>16.314299999999999</v>
      </c>
      <c r="F447" s="42">
        <v>46198</v>
      </c>
    </row>
    <row r="448" spans="1:6" x14ac:dyDescent="0.3">
      <c r="A448" s="15" t="s">
        <v>46566</v>
      </c>
      <c r="B448" s="15" t="s">
        <v>1641</v>
      </c>
      <c r="C448" s="15" t="s">
        <v>1642</v>
      </c>
      <c r="D448" s="15" t="s">
        <v>1643</v>
      </c>
      <c r="E448" s="15">
        <v>15.396599999999999</v>
      </c>
      <c r="F448" s="42">
        <v>46198</v>
      </c>
    </row>
    <row r="449" spans="1:6" x14ac:dyDescent="0.3">
      <c r="A449" s="15" t="s">
        <v>46565</v>
      </c>
      <c r="B449" s="15" t="s">
        <v>1644</v>
      </c>
      <c r="C449" s="15" t="s">
        <v>1645</v>
      </c>
      <c r="D449" s="15" t="s">
        <v>1646</v>
      </c>
      <c r="E449" s="15">
        <v>15.8512</v>
      </c>
      <c r="F449" s="42">
        <v>46198</v>
      </c>
    </row>
    <row r="450" spans="1:6" x14ac:dyDescent="0.3">
      <c r="A450" s="15" t="s">
        <v>33499</v>
      </c>
      <c r="B450" s="15" t="s">
        <v>795</v>
      </c>
      <c r="C450" s="15" t="s">
        <v>795</v>
      </c>
      <c r="D450" s="15" t="s">
        <v>795</v>
      </c>
      <c r="F450" s="42"/>
    </row>
    <row r="451" spans="1:6" x14ac:dyDescent="0.3">
      <c r="A451" s="15" t="s">
        <v>37414</v>
      </c>
      <c r="B451" s="15" t="s">
        <v>795</v>
      </c>
      <c r="C451" s="15" t="s">
        <v>795</v>
      </c>
      <c r="D451" s="15" t="s">
        <v>795</v>
      </c>
      <c r="F451" s="42"/>
    </row>
    <row r="452" spans="1:6" x14ac:dyDescent="0.3">
      <c r="A452" s="15" t="s">
        <v>33499</v>
      </c>
      <c r="B452" s="15" t="s">
        <v>795</v>
      </c>
      <c r="C452" s="15" t="s">
        <v>795</v>
      </c>
      <c r="D452" s="15" t="s">
        <v>795</v>
      </c>
      <c r="F452" s="42"/>
    </row>
    <row r="453" spans="1:6" x14ac:dyDescent="0.3">
      <c r="A453" s="15" t="s">
        <v>46564</v>
      </c>
      <c r="B453" s="15" t="s">
        <v>800</v>
      </c>
      <c r="C453" s="15" t="s">
        <v>1647</v>
      </c>
      <c r="D453" s="15" t="s">
        <v>1648</v>
      </c>
      <c r="E453" s="15">
        <v>13.0091</v>
      </c>
      <c r="F453" s="42">
        <v>45471</v>
      </c>
    </row>
    <row r="454" spans="1:6" x14ac:dyDescent="0.3">
      <c r="A454" s="15" t="s">
        <v>46563</v>
      </c>
      <c r="B454" s="15" t="s">
        <v>1649</v>
      </c>
      <c r="C454" s="15" t="s">
        <v>800</v>
      </c>
      <c r="D454" s="15" t="s">
        <v>1650</v>
      </c>
      <c r="E454" s="15">
        <v>43.782899999999998</v>
      </c>
      <c r="F454" s="42">
        <v>46198</v>
      </c>
    </row>
    <row r="455" spans="1:6" x14ac:dyDescent="0.3">
      <c r="A455" s="15" t="s">
        <v>46562</v>
      </c>
      <c r="B455" s="15" t="s">
        <v>1651</v>
      </c>
      <c r="C455" s="15" t="s">
        <v>1652</v>
      </c>
      <c r="D455" s="15" t="s">
        <v>1653</v>
      </c>
      <c r="E455" s="15">
        <v>17.770600000000002</v>
      </c>
      <c r="F455" s="42">
        <v>45835</v>
      </c>
    </row>
    <row r="456" spans="1:6" x14ac:dyDescent="0.3">
      <c r="A456" s="15" t="s">
        <v>46561</v>
      </c>
      <c r="B456" s="15" t="s">
        <v>1654</v>
      </c>
      <c r="C456" s="15" t="s">
        <v>1655</v>
      </c>
      <c r="D456" s="15" t="s">
        <v>1656</v>
      </c>
      <c r="E456" s="15">
        <v>17.967300000000002</v>
      </c>
      <c r="F456" s="42">
        <v>45835</v>
      </c>
    </row>
    <row r="457" spans="1:6" x14ac:dyDescent="0.3">
      <c r="A457" s="15" t="s">
        <v>46560</v>
      </c>
      <c r="B457" s="15" t="s">
        <v>1657</v>
      </c>
      <c r="C457" s="15" t="s">
        <v>1658</v>
      </c>
      <c r="D457" s="15" t="s">
        <v>1659</v>
      </c>
      <c r="E457" s="15">
        <v>18.529599999999999</v>
      </c>
      <c r="F457" s="42">
        <v>45835</v>
      </c>
    </row>
    <row r="458" spans="1:6" x14ac:dyDescent="0.3">
      <c r="A458" s="15" t="s">
        <v>46559</v>
      </c>
      <c r="B458" s="15" t="s">
        <v>1660</v>
      </c>
      <c r="C458" s="15" t="s">
        <v>1661</v>
      </c>
      <c r="D458" s="15" t="s">
        <v>1662</v>
      </c>
      <c r="E458" s="15">
        <v>19.544499999999999</v>
      </c>
      <c r="F458" s="42">
        <v>46198</v>
      </c>
    </row>
    <row r="459" spans="1:6" x14ac:dyDescent="0.3">
      <c r="A459" s="15" t="s">
        <v>46558</v>
      </c>
      <c r="B459" s="15" t="s">
        <v>1663</v>
      </c>
      <c r="C459" s="15" t="s">
        <v>1664</v>
      </c>
      <c r="D459" s="15" t="s">
        <v>1665</v>
      </c>
      <c r="E459" s="15">
        <v>18.886299999999999</v>
      </c>
      <c r="F459" s="42">
        <v>46198</v>
      </c>
    </row>
    <row r="460" spans="1:6" x14ac:dyDescent="0.3">
      <c r="A460" s="15" t="s">
        <v>46557</v>
      </c>
      <c r="B460" s="15" t="s">
        <v>1666</v>
      </c>
      <c r="C460" s="15" t="s">
        <v>1667</v>
      </c>
      <c r="D460" s="15" t="s">
        <v>1668</v>
      </c>
      <c r="E460" s="15">
        <v>16.954799999999999</v>
      </c>
      <c r="F460" s="42">
        <v>45835</v>
      </c>
    </row>
    <row r="461" spans="1:6" x14ac:dyDescent="0.3">
      <c r="A461" s="15" t="s">
        <v>46556</v>
      </c>
      <c r="B461" s="15" t="s">
        <v>1669</v>
      </c>
      <c r="C461" s="15" t="s">
        <v>800</v>
      </c>
      <c r="D461" s="15" t="s">
        <v>1670</v>
      </c>
      <c r="E461" s="15">
        <v>42.235300000000002</v>
      </c>
      <c r="F461" s="42">
        <v>46198</v>
      </c>
    </row>
    <row r="462" spans="1:6" x14ac:dyDescent="0.3">
      <c r="A462" s="15" t="s">
        <v>46555</v>
      </c>
      <c r="B462" s="15" t="s">
        <v>1671</v>
      </c>
      <c r="C462" s="15" t="s">
        <v>1672</v>
      </c>
      <c r="D462" s="15" t="s">
        <v>1673</v>
      </c>
      <c r="E462" s="15">
        <v>17.956099999999999</v>
      </c>
      <c r="F462" s="42">
        <v>45835</v>
      </c>
    </row>
    <row r="463" spans="1:6" x14ac:dyDescent="0.3">
      <c r="A463" s="15" t="s">
        <v>46554</v>
      </c>
      <c r="B463" s="15" t="s">
        <v>1674</v>
      </c>
      <c r="C463" s="15" t="s">
        <v>1675</v>
      </c>
      <c r="D463" s="15" t="s">
        <v>1676</v>
      </c>
      <c r="E463" s="15">
        <v>17.630199999999999</v>
      </c>
      <c r="F463" s="42">
        <v>45835</v>
      </c>
    </row>
    <row r="464" spans="1:6" x14ac:dyDescent="0.3">
      <c r="A464" s="15" t="s">
        <v>33499</v>
      </c>
      <c r="B464" s="15" t="s">
        <v>795</v>
      </c>
      <c r="C464" s="15" t="s">
        <v>795</v>
      </c>
      <c r="D464" s="15" t="s">
        <v>795</v>
      </c>
      <c r="F464" s="42"/>
    </row>
    <row r="465" spans="1:6" x14ac:dyDescent="0.3">
      <c r="A465" s="15" t="s">
        <v>33519</v>
      </c>
      <c r="B465" s="15" t="s">
        <v>795</v>
      </c>
      <c r="C465" s="15" t="s">
        <v>795</v>
      </c>
      <c r="D465" s="15" t="s">
        <v>795</v>
      </c>
      <c r="F465" s="42"/>
    </row>
    <row r="466" spans="1:6" x14ac:dyDescent="0.3">
      <c r="A466" s="15" t="s">
        <v>33499</v>
      </c>
      <c r="B466" s="15" t="s">
        <v>795</v>
      </c>
      <c r="C466" s="15" t="s">
        <v>795</v>
      </c>
      <c r="D466" s="15" t="s">
        <v>795</v>
      </c>
      <c r="F466" s="42"/>
    </row>
    <row r="467" spans="1:6" x14ac:dyDescent="0.3">
      <c r="A467" s="15" t="s">
        <v>46553</v>
      </c>
      <c r="B467" s="15" t="s">
        <v>1677</v>
      </c>
      <c r="C467" s="15" t="s">
        <v>800</v>
      </c>
      <c r="D467" s="15" t="s">
        <v>1678</v>
      </c>
      <c r="E467" s="15">
        <v>13.337999999999999</v>
      </c>
      <c r="F467" s="42">
        <v>46198</v>
      </c>
    </row>
    <row r="468" spans="1:6" x14ac:dyDescent="0.3">
      <c r="A468" s="15" t="s">
        <v>46552</v>
      </c>
      <c r="B468" s="15" t="s">
        <v>1679</v>
      </c>
      <c r="C468" s="15" t="s">
        <v>800</v>
      </c>
      <c r="D468" s="15" t="s">
        <v>1680</v>
      </c>
      <c r="E468" s="15">
        <v>13.337999999999999</v>
      </c>
      <c r="F468" s="42">
        <v>46198</v>
      </c>
    </row>
    <row r="469" spans="1:6" x14ac:dyDescent="0.3">
      <c r="A469" s="15" t="s">
        <v>46551</v>
      </c>
      <c r="B469" s="15" t="s">
        <v>800</v>
      </c>
      <c r="C469" s="15" t="s">
        <v>1681</v>
      </c>
      <c r="D469" s="15" t="s">
        <v>1682</v>
      </c>
      <c r="E469" s="15">
        <v>13.337999999999999</v>
      </c>
      <c r="F469" s="42">
        <v>46198</v>
      </c>
    </row>
    <row r="470" spans="1:6" x14ac:dyDescent="0.3">
      <c r="A470" s="15" t="s">
        <v>46550</v>
      </c>
      <c r="B470" s="15" t="s">
        <v>1683</v>
      </c>
      <c r="C470" s="15" t="s">
        <v>800</v>
      </c>
      <c r="D470" s="15" t="s">
        <v>1684</v>
      </c>
      <c r="E470" s="15">
        <v>13.337999999999999</v>
      </c>
      <c r="F470" s="42">
        <v>46198</v>
      </c>
    </row>
    <row r="471" spans="1:6" x14ac:dyDescent="0.3">
      <c r="A471" s="15" t="s">
        <v>46549</v>
      </c>
      <c r="B471" s="15" t="s">
        <v>800</v>
      </c>
      <c r="C471" s="15" t="s">
        <v>1685</v>
      </c>
      <c r="D471" s="15" t="s">
        <v>1686</v>
      </c>
      <c r="E471" s="15">
        <v>13.337999999999999</v>
      </c>
      <c r="F471" s="42">
        <v>46198</v>
      </c>
    </row>
    <row r="472" spans="1:6" x14ac:dyDescent="0.3">
      <c r="A472" s="15" t="s">
        <v>46548</v>
      </c>
      <c r="B472" s="15" t="s">
        <v>1687</v>
      </c>
      <c r="C472" s="15" t="s">
        <v>800</v>
      </c>
      <c r="D472" s="15" t="s">
        <v>1688</v>
      </c>
      <c r="E472" s="15">
        <v>13.337999999999999</v>
      </c>
      <c r="F472" s="42">
        <v>46198</v>
      </c>
    </row>
    <row r="473" spans="1:6" x14ac:dyDescent="0.3">
      <c r="A473" s="15" t="s">
        <v>46547</v>
      </c>
      <c r="B473" s="15" t="s">
        <v>800</v>
      </c>
      <c r="C473" s="15" t="s">
        <v>1689</v>
      </c>
      <c r="D473" s="15" t="s">
        <v>1690</v>
      </c>
      <c r="E473" s="15">
        <v>13.337999999999999</v>
      </c>
      <c r="F473" s="42">
        <v>46198</v>
      </c>
    </row>
    <row r="474" spans="1:6" x14ac:dyDescent="0.3">
      <c r="A474" s="15" t="s">
        <v>46546</v>
      </c>
      <c r="B474" s="15" t="s">
        <v>1691</v>
      </c>
      <c r="C474" s="15" t="s">
        <v>800</v>
      </c>
      <c r="D474" s="15" t="s">
        <v>1692</v>
      </c>
      <c r="E474" s="15">
        <v>12.999000000000001</v>
      </c>
      <c r="F474" s="42">
        <v>46198</v>
      </c>
    </row>
    <row r="475" spans="1:6" x14ac:dyDescent="0.3">
      <c r="A475" s="15" t="s">
        <v>46545</v>
      </c>
      <c r="B475" s="15" t="s">
        <v>1693</v>
      </c>
      <c r="C475" s="15" t="s">
        <v>800</v>
      </c>
      <c r="D475" s="15" t="s">
        <v>1694</v>
      </c>
      <c r="E475" s="15">
        <v>12.999000000000001</v>
      </c>
      <c r="F475" s="42">
        <v>46198</v>
      </c>
    </row>
    <row r="476" spans="1:6" x14ac:dyDescent="0.3">
      <c r="A476" s="15" t="s">
        <v>46544</v>
      </c>
      <c r="B476" s="15" t="s">
        <v>800</v>
      </c>
      <c r="C476" s="15" t="s">
        <v>1695</v>
      </c>
      <c r="D476" s="15" t="s">
        <v>1696</v>
      </c>
      <c r="E476" s="15">
        <v>12.999000000000001</v>
      </c>
      <c r="F476" s="42">
        <v>46198</v>
      </c>
    </row>
    <row r="477" spans="1:6" x14ac:dyDescent="0.3">
      <c r="A477" s="15" t="s">
        <v>46543</v>
      </c>
      <c r="B477" s="15" t="s">
        <v>1697</v>
      </c>
      <c r="C477" s="15" t="s">
        <v>800</v>
      </c>
      <c r="D477" s="15" t="s">
        <v>1698</v>
      </c>
      <c r="E477" s="15">
        <v>12.999000000000001</v>
      </c>
      <c r="F477" s="42">
        <v>46198</v>
      </c>
    </row>
    <row r="478" spans="1:6" x14ac:dyDescent="0.3">
      <c r="A478" s="15" t="s">
        <v>46542</v>
      </c>
      <c r="B478" s="15" t="s">
        <v>800</v>
      </c>
      <c r="C478" s="15" t="s">
        <v>1699</v>
      </c>
      <c r="D478" s="15" t="s">
        <v>1700</v>
      </c>
      <c r="E478" s="15">
        <v>12.999000000000001</v>
      </c>
      <c r="F478" s="42">
        <v>46198</v>
      </c>
    </row>
    <row r="479" spans="1:6" x14ac:dyDescent="0.3">
      <c r="A479" s="15" t="s">
        <v>46541</v>
      </c>
      <c r="B479" s="15" t="s">
        <v>1701</v>
      </c>
      <c r="C479" s="15" t="s">
        <v>800</v>
      </c>
      <c r="D479" s="15" t="s">
        <v>1702</v>
      </c>
      <c r="E479" s="15">
        <v>12.999000000000001</v>
      </c>
      <c r="F479" s="42">
        <v>46198</v>
      </c>
    </row>
    <row r="480" spans="1:6" x14ac:dyDescent="0.3">
      <c r="A480" s="15" t="s">
        <v>46540</v>
      </c>
      <c r="B480" s="15" t="s">
        <v>800</v>
      </c>
      <c r="C480" s="15" t="s">
        <v>1703</v>
      </c>
      <c r="D480" s="15" t="s">
        <v>1704</v>
      </c>
      <c r="E480" s="15">
        <v>12.999000000000001</v>
      </c>
      <c r="F480" s="42">
        <v>46198</v>
      </c>
    </row>
    <row r="481" spans="1:6" x14ac:dyDescent="0.3">
      <c r="A481" s="15" t="s">
        <v>33499</v>
      </c>
      <c r="B481" s="15" t="s">
        <v>795</v>
      </c>
      <c r="C481" s="15" t="s">
        <v>795</v>
      </c>
      <c r="D481" s="15" t="s">
        <v>795</v>
      </c>
      <c r="F481" s="42"/>
    </row>
    <row r="482" spans="1:6" x14ac:dyDescent="0.3">
      <c r="A482" s="15" t="s">
        <v>33508</v>
      </c>
      <c r="B482" s="15" t="s">
        <v>795</v>
      </c>
      <c r="C482" s="15" t="s">
        <v>795</v>
      </c>
      <c r="D482" s="15" t="s">
        <v>795</v>
      </c>
      <c r="F482" s="42"/>
    </row>
    <row r="483" spans="1:6" x14ac:dyDescent="0.3">
      <c r="A483" s="15" t="s">
        <v>33499</v>
      </c>
      <c r="B483" s="15" t="s">
        <v>795</v>
      </c>
      <c r="C483" s="15" t="s">
        <v>795</v>
      </c>
      <c r="D483" s="15" t="s">
        <v>795</v>
      </c>
      <c r="F483" s="42"/>
    </row>
    <row r="484" spans="1:6" x14ac:dyDescent="0.3">
      <c r="A484" s="15" t="s">
        <v>46539</v>
      </c>
      <c r="B484" s="15" t="s">
        <v>1705</v>
      </c>
      <c r="C484" s="15" t="s">
        <v>800</v>
      </c>
      <c r="D484" s="15" t="s">
        <v>1706</v>
      </c>
      <c r="E484" s="15">
        <v>1266.5126</v>
      </c>
      <c r="F484" s="42">
        <v>46198</v>
      </c>
    </row>
    <row r="485" spans="1:6" x14ac:dyDescent="0.3">
      <c r="A485" s="15" t="s">
        <v>46538</v>
      </c>
      <c r="B485" s="15" t="s">
        <v>1707</v>
      </c>
      <c r="C485" s="15" t="s">
        <v>1708</v>
      </c>
      <c r="D485" s="15" t="s">
        <v>1709</v>
      </c>
      <c r="E485" s="15">
        <v>1183.6027999999999</v>
      </c>
      <c r="F485" s="42">
        <v>46198</v>
      </c>
    </row>
    <row r="486" spans="1:6" x14ac:dyDescent="0.3">
      <c r="A486" s="15" t="s">
        <v>46537</v>
      </c>
      <c r="B486" s="15" t="s">
        <v>1710</v>
      </c>
      <c r="C486" s="15" t="s">
        <v>800</v>
      </c>
      <c r="D486" s="15" t="s">
        <v>1711</v>
      </c>
      <c r="E486" s="15">
        <v>1249.1917000000001</v>
      </c>
      <c r="F486" s="42">
        <v>46198</v>
      </c>
    </row>
    <row r="487" spans="1:6" x14ac:dyDescent="0.3">
      <c r="A487" s="15" t="s">
        <v>46536</v>
      </c>
      <c r="B487" s="15" t="s">
        <v>1712</v>
      </c>
      <c r="C487" s="15" t="s">
        <v>1713</v>
      </c>
      <c r="D487" s="15" t="s">
        <v>1714</v>
      </c>
      <c r="E487" s="15">
        <v>1164.4374</v>
      </c>
      <c r="F487" s="42">
        <v>46198</v>
      </c>
    </row>
    <row r="488" spans="1:6" x14ac:dyDescent="0.3">
      <c r="A488" s="15" t="s">
        <v>33499</v>
      </c>
      <c r="B488" s="15" t="s">
        <v>795</v>
      </c>
      <c r="C488" s="15" t="s">
        <v>795</v>
      </c>
      <c r="D488" s="15" t="s">
        <v>795</v>
      </c>
      <c r="F488" s="42"/>
    </row>
    <row r="489" spans="1:6" x14ac:dyDescent="0.3">
      <c r="A489" s="15" t="s">
        <v>33504</v>
      </c>
      <c r="B489" s="15" t="s">
        <v>795</v>
      </c>
      <c r="C489" s="15" t="s">
        <v>795</v>
      </c>
      <c r="D489" s="15" t="s">
        <v>795</v>
      </c>
      <c r="F489" s="42"/>
    </row>
    <row r="490" spans="1:6" x14ac:dyDescent="0.3">
      <c r="A490" s="15" t="s">
        <v>33499</v>
      </c>
      <c r="B490" s="15" t="s">
        <v>795</v>
      </c>
      <c r="C490" s="15" t="s">
        <v>795</v>
      </c>
      <c r="D490" s="15" t="s">
        <v>795</v>
      </c>
      <c r="F490" s="42"/>
    </row>
    <row r="491" spans="1:6" x14ac:dyDescent="0.3">
      <c r="A491" s="15" t="s">
        <v>46535</v>
      </c>
      <c r="B491" s="15" t="s">
        <v>1715</v>
      </c>
      <c r="C491" s="15" t="s">
        <v>800</v>
      </c>
      <c r="D491" s="15" t="s">
        <v>1716</v>
      </c>
      <c r="E491" s="15">
        <v>16.454000000000001</v>
      </c>
      <c r="F491" s="42">
        <v>46198</v>
      </c>
    </row>
    <row r="492" spans="1:6" x14ac:dyDescent="0.3">
      <c r="A492" s="15" t="s">
        <v>46534</v>
      </c>
      <c r="B492" s="15" t="s">
        <v>1717</v>
      </c>
      <c r="C492" s="15" t="s">
        <v>1718</v>
      </c>
      <c r="D492" s="15" t="s">
        <v>1719</v>
      </c>
      <c r="E492" s="15">
        <v>16.454000000000001</v>
      </c>
      <c r="F492" s="42">
        <v>46198</v>
      </c>
    </row>
    <row r="493" spans="1:6" x14ac:dyDescent="0.3">
      <c r="A493" s="15" t="s">
        <v>46533</v>
      </c>
      <c r="B493" s="15" t="s">
        <v>1720</v>
      </c>
      <c r="C493" s="15" t="s">
        <v>800</v>
      </c>
      <c r="D493" s="15" t="s">
        <v>1721</v>
      </c>
      <c r="E493" s="15">
        <v>16.041799999999999</v>
      </c>
      <c r="F493" s="42">
        <v>46198</v>
      </c>
    </row>
    <row r="494" spans="1:6" x14ac:dyDescent="0.3">
      <c r="A494" s="15" t="s">
        <v>46532</v>
      </c>
      <c r="B494" s="15" t="s">
        <v>1722</v>
      </c>
      <c r="C494" s="15" t="s">
        <v>1723</v>
      </c>
      <c r="D494" s="15" t="s">
        <v>1724</v>
      </c>
      <c r="E494" s="15">
        <v>16.041799999999999</v>
      </c>
      <c r="F494" s="42">
        <v>46198</v>
      </c>
    </row>
    <row r="495" spans="1:6" x14ac:dyDescent="0.3">
      <c r="A495" s="15" t="s">
        <v>33499</v>
      </c>
      <c r="B495" s="15" t="s">
        <v>795</v>
      </c>
      <c r="C495" s="15" t="s">
        <v>795</v>
      </c>
      <c r="D495" s="15" t="s">
        <v>795</v>
      </c>
      <c r="F495" s="42"/>
    </row>
    <row r="496" spans="1:6" x14ac:dyDescent="0.3">
      <c r="A496" s="15" t="s">
        <v>33500</v>
      </c>
      <c r="B496" s="15" t="s">
        <v>795</v>
      </c>
      <c r="C496" s="15" t="s">
        <v>795</v>
      </c>
      <c r="D496" s="15" t="s">
        <v>795</v>
      </c>
      <c r="F496" s="42"/>
    </row>
    <row r="497" spans="1:6" x14ac:dyDescent="0.3">
      <c r="A497" s="15" t="s">
        <v>33499</v>
      </c>
      <c r="B497" s="15" t="s">
        <v>795</v>
      </c>
      <c r="C497" s="15" t="s">
        <v>795</v>
      </c>
      <c r="D497" s="15" t="s">
        <v>795</v>
      </c>
      <c r="F497" s="42"/>
    </row>
    <row r="498" spans="1:6" x14ac:dyDescent="0.3">
      <c r="A498" s="15" t="s">
        <v>46531</v>
      </c>
      <c r="B498" s="15" t="s">
        <v>1725</v>
      </c>
      <c r="C498" s="15" t="s">
        <v>800</v>
      </c>
      <c r="D498" s="15" t="s">
        <v>1726</v>
      </c>
      <c r="E498" s="15">
        <v>6.8146000000000004</v>
      </c>
      <c r="F498" s="42">
        <v>44588</v>
      </c>
    </row>
    <row r="499" spans="1:6" x14ac:dyDescent="0.3">
      <c r="A499" s="15" t="s">
        <v>46530</v>
      </c>
      <c r="B499" s="15" t="s">
        <v>1727</v>
      </c>
      <c r="C499" s="15" t="s">
        <v>800</v>
      </c>
      <c r="D499" s="15" t="s">
        <v>1728</v>
      </c>
      <c r="E499" s="15">
        <v>7.3483999999999998</v>
      </c>
      <c r="F499" s="42">
        <v>44588</v>
      </c>
    </row>
    <row r="500" spans="1:6" x14ac:dyDescent="0.3">
      <c r="A500" s="15" t="s">
        <v>46529</v>
      </c>
      <c r="B500" s="15" t="s">
        <v>1729</v>
      </c>
      <c r="C500" s="15" t="s">
        <v>1730</v>
      </c>
      <c r="D500" s="15" t="s">
        <v>1731</v>
      </c>
      <c r="E500" s="15">
        <v>1.504</v>
      </c>
      <c r="F500" s="42">
        <v>44588</v>
      </c>
    </row>
    <row r="501" spans="1:6" x14ac:dyDescent="0.3">
      <c r="A501" s="15" t="s">
        <v>46528</v>
      </c>
      <c r="B501" s="15" t="s">
        <v>1732</v>
      </c>
      <c r="C501" s="15" t="s">
        <v>1733</v>
      </c>
      <c r="D501" s="15" t="s">
        <v>1734</v>
      </c>
      <c r="E501" s="15">
        <v>1.4941</v>
      </c>
      <c r="F501" s="42">
        <v>44588</v>
      </c>
    </row>
    <row r="502" spans="1:6" x14ac:dyDescent="0.3">
      <c r="A502" s="15" t="s">
        <v>46527</v>
      </c>
      <c r="B502" s="15" t="s">
        <v>1735</v>
      </c>
      <c r="C502" s="15" t="s">
        <v>1736</v>
      </c>
      <c r="D502" s="15" t="s">
        <v>1737</v>
      </c>
      <c r="E502" s="15">
        <v>1.4429000000000001</v>
      </c>
      <c r="F502" s="42">
        <v>44588</v>
      </c>
    </row>
    <row r="503" spans="1:6" x14ac:dyDescent="0.3">
      <c r="A503" s="15" t="s">
        <v>46526</v>
      </c>
      <c r="B503" s="15" t="s">
        <v>1738</v>
      </c>
      <c r="C503" s="15" t="s">
        <v>1739</v>
      </c>
      <c r="D503" s="15" t="s">
        <v>1740</v>
      </c>
      <c r="E503" s="15">
        <v>2.3466999999999998</v>
      </c>
      <c r="F503" s="42">
        <v>44588</v>
      </c>
    </row>
    <row r="504" spans="1:6" x14ac:dyDescent="0.3">
      <c r="A504" s="15" t="s">
        <v>46525</v>
      </c>
      <c r="B504" s="15" t="s">
        <v>1741</v>
      </c>
      <c r="C504" s="15" t="s">
        <v>1742</v>
      </c>
      <c r="D504" s="15" t="s">
        <v>1743</v>
      </c>
      <c r="E504" s="15">
        <v>1.4416</v>
      </c>
      <c r="F504" s="42">
        <v>44588</v>
      </c>
    </row>
    <row r="505" spans="1:6" x14ac:dyDescent="0.3">
      <c r="A505" s="15" t="s">
        <v>46524</v>
      </c>
      <c r="B505" s="15" t="s">
        <v>1744</v>
      </c>
      <c r="C505" s="15" t="s">
        <v>1745</v>
      </c>
      <c r="D505" s="15" t="s">
        <v>1746</v>
      </c>
      <c r="E505" s="15">
        <v>1.4408000000000001</v>
      </c>
      <c r="F505" s="42">
        <v>44588</v>
      </c>
    </row>
    <row r="506" spans="1:6" x14ac:dyDescent="0.3">
      <c r="A506" s="15" t="s">
        <v>46523</v>
      </c>
      <c r="B506" s="15" t="s">
        <v>1747</v>
      </c>
      <c r="C506" s="15" t="s">
        <v>1748</v>
      </c>
      <c r="D506" s="15" t="s">
        <v>1749</v>
      </c>
      <c r="E506" s="15">
        <v>1.4131</v>
      </c>
      <c r="F506" s="42">
        <v>44588</v>
      </c>
    </row>
    <row r="507" spans="1:6" x14ac:dyDescent="0.3">
      <c r="A507" s="15" t="s">
        <v>46522</v>
      </c>
      <c r="B507" s="15" t="s">
        <v>1750</v>
      </c>
      <c r="C507" s="15" t="s">
        <v>1751</v>
      </c>
      <c r="D507" s="15" t="s">
        <v>1752</v>
      </c>
      <c r="E507" s="15">
        <v>1.8744000000000001</v>
      </c>
      <c r="F507" s="42">
        <v>44588</v>
      </c>
    </row>
    <row r="508" spans="1:6" x14ac:dyDescent="0.3">
      <c r="A508" s="15" t="s">
        <v>46521</v>
      </c>
      <c r="B508" s="15" t="s">
        <v>1753</v>
      </c>
      <c r="C508" s="15" t="s">
        <v>1754</v>
      </c>
      <c r="D508" s="15" t="s">
        <v>1755</v>
      </c>
      <c r="E508" s="15">
        <v>13.805</v>
      </c>
      <c r="F508" s="42">
        <v>46198</v>
      </c>
    </row>
    <row r="509" spans="1:6" x14ac:dyDescent="0.3">
      <c r="A509" s="15" t="s">
        <v>46520</v>
      </c>
      <c r="B509" s="15" t="s">
        <v>1756</v>
      </c>
      <c r="C509" s="15" t="s">
        <v>1757</v>
      </c>
      <c r="D509" s="15" t="s">
        <v>1758</v>
      </c>
      <c r="E509" s="15">
        <v>15.635</v>
      </c>
      <c r="F509" s="42">
        <v>46198</v>
      </c>
    </row>
    <row r="510" spans="1:6" x14ac:dyDescent="0.3">
      <c r="A510" s="15" t="s">
        <v>46519</v>
      </c>
      <c r="B510" s="15" t="s">
        <v>1759</v>
      </c>
      <c r="C510" s="15" t="s">
        <v>800</v>
      </c>
      <c r="D510" s="15" t="s">
        <v>1760</v>
      </c>
      <c r="E510" s="15">
        <v>17.7392</v>
      </c>
      <c r="F510" s="42">
        <v>46198</v>
      </c>
    </row>
    <row r="511" spans="1:6" x14ac:dyDescent="0.3">
      <c r="A511" s="15" t="s">
        <v>46518</v>
      </c>
      <c r="B511" s="15" t="s">
        <v>1761</v>
      </c>
      <c r="C511" s="15" t="s">
        <v>1762</v>
      </c>
      <c r="D511" s="15" t="s">
        <v>1763</v>
      </c>
      <c r="E511" s="15">
        <v>15.1577</v>
      </c>
      <c r="F511" s="42">
        <v>46198</v>
      </c>
    </row>
    <row r="512" spans="1:6" x14ac:dyDescent="0.3">
      <c r="A512" s="15" t="s">
        <v>46517</v>
      </c>
      <c r="B512" s="15" t="s">
        <v>1764</v>
      </c>
      <c r="C512" s="15" t="s">
        <v>1765</v>
      </c>
      <c r="D512" s="15" t="s">
        <v>1766</v>
      </c>
      <c r="E512" s="15">
        <v>15.514699999999999</v>
      </c>
      <c r="F512" s="42">
        <v>46198</v>
      </c>
    </row>
    <row r="513" spans="1:6" x14ac:dyDescent="0.3">
      <c r="A513" s="15" t="s">
        <v>46516</v>
      </c>
      <c r="B513" s="15" t="s">
        <v>1767</v>
      </c>
      <c r="C513" s="15" t="s">
        <v>1768</v>
      </c>
      <c r="D513" s="15" t="s">
        <v>1769</v>
      </c>
      <c r="E513" s="15">
        <v>13.420299999999999</v>
      </c>
      <c r="F513" s="42">
        <v>46198</v>
      </c>
    </row>
    <row r="514" spans="1:6" x14ac:dyDescent="0.3">
      <c r="A514" s="15" t="s">
        <v>46515</v>
      </c>
      <c r="B514" s="15" t="s">
        <v>1770</v>
      </c>
      <c r="C514" s="15" t="s">
        <v>1771</v>
      </c>
      <c r="D514" s="15" t="s">
        <v>1772</v>
      </c>
      <c r="E514" s="15">
        <v>15.241</v>
      </c>
      <c r="F514" s="42">
        <v>46198</v>
      </c>
    </row>
    <row r="515" spans="1:6" x14ac:dyDescent="0.3">
      <c r="A515" s="15" t="s">
        <v>46514</v>
      </c>
      <c r="B515" s="15" t="s">
        <v>1773</v>
      </c>
      <c r="C515" s="15" t="s">
        <v>800</v>
      </c>
      <c r="D515" s="15" t="s">
        <v>1774</v>
      </c>
      <c r="E515" s="15">
        <v>17.308399999999999</v>
      </c>
      <c r="F515" s="42">
        <v>46198</v>
      </c>
    </row>
    <row r="516" spans="1:6" x14ac:dyDescent="0.3">
      <c r="A516" s="15" t="s">
        <v>46513</v>
      </c>
      <c r="B516" s="15" t="s">
        <v>1775</v>
      </c>
      <c r="C516" s="15" t="s">
        <v>1776</v>
      </c>
      <c r="D516" s="15" t="s">
        <v>1777</v>
      </c>
      <c r="E516" s="15">
        <v>14.6243</v>
      </c>
      <c r="F516" s="42">
        <v>46198</v>
      </c>
    </row>
    <row r="517" spans="1:6" x14ac:dyDescent="0.3">
      <c r="A517" s="15" t="s">
        <v>46512</v>
      </c>
      <c r="B517" s="15" t="s">
        <v>1778</v>
      </c>
      <c r="C517" s="15" t="s">
        <v>1779</v>
      </c>
      <c r="D517" s="15" t="s">
        <v>1780</v>
      </c>
      <c r="E517" s="15">
        <v>15.050800000000001</v>
      </c>
      <c r="F517" s="42">
        <v>46198</v>
      </c>
    </row>
    <row r="518" spans="1:6" x14ac:dyDescent="0.3">
      <c r="A518" s="15" t="s">
        <v>33499</v>
      </c>
      <c r="B518" s="15" t="s">
        <v>795</v>
      </c>
      <c r="C518" s="15" t="s">
        <v>795</v>
      </c>
      <c r="D518" s="15" t="s">
        <v>795</v>
      </c>
      <c r="F518" s="42"/>
    </row>
    <row r="519" spans="1:6" x14ac:dyDescent="0.3">
      <c r="A519" s="15" t="s">
        <v>46511</v>
      </c>
      <c r="B519" s="15" t="s">
        <v>795</v>
      </c>
      <c r="C519" s="15" t="s">
        <v>795</v>
      </c>
      <c r="D519" s="15" t="s">
        <v>795</v>
      </c>
      <c r="F519" s="42"/>
    </row>
    <row r="520" spans="1:6" x14ac:dyDescent="0.3">
      <c r="A520" s="15" t="s">
        <v>33499</v>
      </c>
      <c r="B520" s="15" t="s">
        <v>795</v>
      </c>
      <c r="C520" s="15" t="s">
        <v>795</v>
      </c>
      <c r="D520" s="15" t="s">
        <v>795</v>
      </c>
      <c r="F520" s="42"/>
    </row>
    <row r="521" spans="1:6" x14ac:dyDescent="0.3">
      <c r="A521" s="15" t="s">
        <v>37122</v>
      </c>
      <c r="B521" s="15" t="s">
        <v>795</v>
      </c>
      <c r="C521" s="15" t="s">
        <v>795</v>
      </c>
      <c r="D521" s="15" t="s">
        <v>795</v>
      </c>
      <c r="F521" s="42"/>
    </row>
    <row r="522" spans="1:6" x14ac:dyDescent="0.3">
      <c r="A522" s="15" t="s">
        <v>33499</v>
      </c>
      <c r="B522" s="15" t="s">
        <v>795</v>
      </c>
      <c r="C522" s="15" t="s">
        <v>795</v>
      </c>
      <c r="D522" s="15" t="s">
        <v>795</v>
      </c>
      <c r="F522" s="42"/>
    </row>
    <row r="523" spans="1:6" x14ac:dyDescent="0.3">
      <c r="A523" s="15" t="s">
        <v>46510</v>
      </c>
      <c r="B523" s="15" t="s">
        <v>1781</v>
      </c>
      <c r="C523" s="15" t="s">
        <v>1782</v>
      </c>
      <c r="D523" s="15" t="s">
        <v>1783</v>
      </c>
      <c r="E523" s="15">
        <v>14.472300000000001</v>
      </c>
      <c r="F523" s="42">
        <v>46198</v>
      </c>
    </row>
    <row r="524" spans="1:6" x14ac:dyDescent="0.3">
      <c r="A524" s="15" t="s">
        <v>46509</v>
      </c>
      <c r="B524" s="15" t="s">
        <v>1784</v>
      </c>
      <c r="C524" s="15" t="s">
        <v>800</v>
      </c>
      <c r="D524" s="15" t="s">
        <v>1785</v>
      </c>
      <c r="E524" s="15">
        <v>27.665099999999999</v>
      </c>
      <c r="F524" s="42">
        <v>46198</v>
      </c>
    </row>
    <row r="525" spans="1:6" x14ac:dyDescent="0.3">
      <c r="A525" s="15" t="s">
        <v>46508</v>
      </c>
      <c r="B525" s="15" t="s">
        <v>1786</v>
      </c>
      <c r="C525" s="15" t="s">
        <v>800</v>
      </c>
      <c r="D525" s="15" t="s">
        <v>1787</v>
      </c>
      <c r="E525" s="15">
        <v>27.6663</v>
      </c>
      <c r="F525" s="42">
        <v>46198</v>
      </c>
    </row>
    <row r="526" spans="1:6" x14ac:dyDescent="0.3">
      <c r="A526" s="15" t="s">
        <v>46507</v>
      </c>
      <c r="B526" s="15" t="s">
        <v>1788</v>
      </c>
      <c r="C526" s="15" t="s">
        <v>1789</v>
      </c>
      <c r="D526" s="15" t="s">
        <v>1790</v>
      </c>
      <c r="E526" s="15">
        <v>13.085100000000001</v>
      </c>
      <c r="F526" s="42">
        <v>46198</v>
      </c>
    </row>
    <row r="527" spans="1:6" x14ac:dyDescent="0.3">
      <c r="A527" s="15" t="s">
        <v>46506</v>
      </c>
      <c r="B527" s="15" t="s">
        <v>1791</v>
      </c>
      <c r="C527" s="15" t="s">
        <v>800</v>
      </c>
      <c r="D527" s="15" t="s">
        <v>1792</v>
      </c>
      <c r="E527" s="15">
        <v>17.700399999999998</v>
      </c>
      <c r="F527" s="42">
        <v>45069</v>
      </c>
    </row>
    <row r="528" spans="1:6" x14ac:dyDescent="0.3">
      <c r="A528" s="15" t="s">
        <v>46505</v>
      </c>
      <c r="B528" s="15" t="s">
        <v>1793</v>
      </c>
      <c r="C528" s="15" t="s">
        <v>800</v>
      </c>
      <c r="D528" s="15" t="s">
        <v>1794</v>
      </c>
      <c r="E528" s="15">
        <v>25.0365</v>
      </c>
      <c r="F528" s="42">
        <v>46198</v>
      </c>
    </row>
    <row r="529" spans="1:6" x14ac:dyDescent="0.3">
      <c r="A529" s="15" t="s">
        <v>33499</v>
      </c>
      <c r="B529" s="15" t="s">
        <v>795</v>
      </c>
      <c r="C529" s="15" t="s">
        <v>795</v>
      </c>
      <c r="D529" s="15" t="s">
        <v>795</v>
      </c>
      <c r="F529" s="42"/>
    </row>
    <row r="530" spans="1:6" x14ac:dyDescent="0.3">
      <c r="A530" s="15" t="s">
        <v>37087</v>
      </c>
      <c r="B530" s="15" t="s">
        <v>795</v>
      </c>
      <c r="C530" s="15" t="s">
        <v>795</v>
      </c>
      <c r="D530" s="15" t="s">
        <v>795</v>
      </c>
      <c r="F530" s="42"/>
    </row>
    <row r="531" spans="1:6" x14ac:dyDescent="0.3">
      <c r="A531" s="15" t="s">
        <v>33499</v>
      </c>
      <c r="B531" s="15" t="s">
        <v>795</v>
      </c>
      <c r="C531" s="15" t="s">
        <v>795</v>
      </c>
      <c r="D531" s="15" t="s">
        <v>795</v>
      </c>
      <c r="F531" s="42"/>
    </row>
    <row r="532" spans="1:6" x14ac:dyDescent="0.3">
      <c r="A532" s="15" t="s">
        <v>46504</v>
      </c>
      <c r="B532" s="15" t="s">
        <v>1795</v>
      </c>
      <c r="C532" s="15" t="s">
        <v>800</v>
      </c>
      <c r="D532" s="15" t="s">
        <v>1796</v>
      </c>
      <c r="E532" s="15">
        <v>26.0259</v>
      </c>
      <c r="F532" s="42">
        <v>46198</v>
      </c>
    </row>
    <row r="533" spans="1:6" x14ac:dyDescent="0.3">
      <c r="A533" s="15" t="s">
        <v>46503</v>
      </c>
      <c r="B533" s="15" t="s">
        <v>1797</v>
      </c>
      <c r="C533" s="15" t="s">
        <v>1798</v>
      </c>
      <c r="D533" s="15" t="s">
        <v>1799</v>
      </c>
      <c r="E533" s="15">
        <v>10.222899999999999</v>
      </c>
      <c r="F533" s="42">
        <v>46198</v>
      </c>
    </row>
    <row r="534" spans="1:6" x14ac:dyDescent="0.3">
      <c r="A534" s="15" t="s">
        <v>46502</v>
      </c>
      <c r="B534" s="15" t="s">
        <v>1800</v>
      </c>
      <c r="C534" s="15" t="s">
        <v>1801</v>
      </c>
      <c r="D534" s="15" t="s">
        <v>1802</v>
      </c>
      <c r="E534" s="15">
        <v>10.3443</v>
      </c>
      <c r="F534" s="42">
        <v>46198</v>
      </c>
    </row>
    <row r="535" spans="1:6" x14ac:dyDescent="0.3">
      <c r="A535" s="15" t="s">
        <v>46501</v>
      </c>
      <c r="B535" s="15" t="s">
        <v>1803</v>
      </c>
      <c r="C535" s="15" t="s">
        <v>800</v>
      </c>
      <c r="D535" s="15" t="s">
        <v>1804</v>
      </c>
      <c r="E535" s="15">
        <v>23.097799999999999</v>
      </c>
      <c r="F535" s="42">
        <v>46198</v>
      </c>
    </row>
    <row r="536" spans="1:6" x14ac:dyDescent="0.3">
      <c r="A536" s="15" t="s">
        <v>46500</v>
      </c>
      <c r="B536" s="15" t="s">
        <v>1805</v>
      </c>
      <c r="C536" s="15" t="s">
        <v>1806</v>
      </c>
      <c r="D536" s="15" t="s">
        <v>1807</v>
      </c>
      <c r="E536" s="15">
        <v>10.178800000000001</v>
      </c>
      <c r="F536" s="42">
        <v>46198</v>
      </c>
    </row>
    <row r="537" spans="1:6" x14ac:dyDescent="0.3">
      <c r="A537" s="15" t="s">
        <v>46499</v>
      </c>
      <c r="B537" s="15" t="s">
        <v>1808</v>
      </c>
      <c r="C537" s="15" t="s">
        <v>1809</v>
      </c>
      <c r="D537" s="15" t="s">
        <v>1810</v>
      </c>
      <c r="E537" s="15">
        <v>10.199199999999999</v>
      </c>
      <c r="F537" s="42">
        <v>46198</v>
      </c>
    </row>
    <row r="538" spans="1:6" x14ac:dyDescent="0.3">
      <c r="A538" s="15" t="s">
        <v>33499</v>
      </c>
      <c r="B538" s="15" t="s">
        <v>795</v>
      </c>
      <c r="C538" s="15" t="s">
        <v>795</v>
      </c>
      <c r="D538" s="15" t="s">
        <v>795</v>
      </c>
      <c r="F538" s="42"/>
    </row>
    <row r="539" spans="1:6" x14ac:dyDescent="0.3">
      <c r="A539" s="15" t="s">
        <v>37073</v>
      </c>
      <c r="B539" s="15" t="s">
        <v>795</v>
      </c>
      <c r="C539" s="15" t="s">
        <v>795</v>
      </c>
      <c r="D539" s="15" t="s">
        <v>795</v>
      </c>
      <c r="F539" s="42"/>
    </row>
    <row r="540" spans="1:6" x14ac:dyDescent="0.3">
      <c r="A540" s="15" t="s">
        <v>33499</v>
      </c>
      <c r="B540" s="15" t="s">
        <v>795</v>
      </c>
      <c r="C540" s="15" t="s">
        <v>795</v>
      </c>
      <c r="D540" s="15" t="s">
        <v>795</v>
      </c>
      <c r="F540" s="42"/>
    </row>
    <row r="541" spans="1:6" x14ac:dyDescent="0.3">
      <c r="A541" s="15" t="s">
        <v>46498</v>
      </c>
      <c r="B541" s="15" t="s">
        <v>1811</v>
      </c>
      <c r="C541" s="15" t="s">
        <v>1812</v>
      </c>
      <c r="D541" s="15" t="s">
        <v>1813</v>
      </c>
      <c r="E541" s="15">
        <v>10.451700000000001</v>
      </c>
      <c r="F541" s="42">
        <v>44068</v>
      </c>
    </row>
    <row r="542" spans="1:6" x14ac:dyDescent="0.3">
      <c r="A542" s="15" t="s">
        <v>46497</v>
      </c>
      <c r="B542" s="15" t="s">
        <v>1814</v>
      </c>
      <c r="C542" s="15" t="s">
        <v>1815</v>
      </c>
      <c r="D542" s="15" t="s">
        <v>1816</v>
      </c>
      <c r="E542" s="15">
        <v>10.3979</v>
      </c>
      <c r="F542" s="42">
        <v>46198</v>
      </c>
    </row>
    <row r="543" spans="1:6" x14ac:dyDescent="0.3">
      <c r="A543" s="15" t="s">
        <v>46496</v>
      </c>
      <c r="B543" s="15" t="s">
        <v>1817</v>
      </c>
      <c r="C543" s="15" t="s">
        <v>800</v>
      </c>
      <c r="D543" s="15" t="s">
        <v>1818</v>
      </c>
      <c r="E543" s="15">
        <v>17.2195</v>
      </c>
      <c r="F543" s="42">
        <v>46198</v>
      </c>
    </row>
    <row r="544" spans="1:6" x14ac:dyDescent="0.3">
      <c r="A544" s="15" t="s">
        <v>46495</v>
      </c>
      <c r="B544" s="15" t="s">
        <v>1819</v>
      </c>
      <c r="C544" s="15" t="s">
        <v>1820</v>
      </c>
      <c r="D544" s="15" t="s">
        <v>1821</v>
      </c>
      <c r="E544" s="15">
        <v>10.3474</v>
      </c>
      <c r="F544" s="42">
        <v>46198</v>
      </c>
    </row>
    <row r="545" spans="1:6" x14ac:dyDescent="0.3">
      <c r="A545" s="15" t="s">
        <v>46494</v>
      </c>
      <c r="B545" s="15" t="s">
        <v>1822</v>
      </c>
      <c r="C545" s="15" t="s">
        <v>1823</v>
      </c>
      <c r="D545" s="15" t="s">
        <v>1824</v>
      </c>
      <c r="E545" s="15">
        <v>13.371700000000001</v>
      </c>
      <c r="F545" s="42">
        <v>46198</v>
      </c>
    </row>
    <row r="546" spans="1:6" x14ac:dyDescent="0.3">
      <c r="A546" s="15" t="s">
        <v>46493</v>
      </c>
      <c r="B546" s="15" t="s">
        <v>1825</v>
      </c>
      <c r="C546" s="15" t="s">
        <v>1826</v>
      </c>
      <c r="D546" s="15" t="s">
        <v>1827</v>
      </c>
      <c r="E546" s="15">
        <v>10.732100000000001</v>
      </c>
      <c r="F546" s="42">
        <v>46198</v>
      </c>
    </row>
    <row r="547" spans="1:6" x14ac:dyDescent="0.3">
      <c r="A547" s="15" t="s">
        <v>46492</v>
      </c>
      <c r="B547" s="15" t="s">
        <v>1828</v>
      </c>
      <c r="C547" s="15" t="s">
        <v>1829</v>
      </c>
      <c r="D547" s="15" t="s">
        <v>1830</v>
      </c>
      <c r="E547" s="15">
        <v>10.4932</v>
      </c>
      <c r="F547" s="42">
        <v>46198</v>
      </c>
    </row>
    <row r="548" spans="1:6" x14ac:dyDescent="0.3">
      <c r="A548" s="15" t="s">
        <v>46491</v>
      </c>
      <c r="B548" s="15" t="s">
        <v>1831</v>
      </c>
      <c r="C548" s="15" t="s">
        <v>800</v>
      </c>
      <c r="D548" s="15" t="s">
        <v>1832</v>
      </c>
      <c r="E548" s="15">
        <v>18.8765</v>
      </c>
      <c r="F548" s="42">
        <v>46198</v>
      </c>
    </row>
    <row r="549" spans="1:6" x14ac:dyDescent="0.3">
      <c r="A549" s="15" t="s">
        <v>46490</v>
      </c>
      <c r="B549" s="15" t="s">
        <v>1833</v>
      </c>
      <c r="C549" s="15" t="s">
        <v>1834</v>
      </c>
      <c r="D549" s="15" t="s">
        <v>1835</v>
      </c>
      <c r="E549" s="15">
        <v>14.014900000000001</v>
      </c>
      <c r="F549" s="42">
        <v>46198</v>
      </c>
    </row>
    <row r="550" spans="1:6" x14ac:dyDescent="0.3">
      <c r="A550" s="15" t="s">
        <v>46489</v>
      </c>
      <c r="B550" s="15" t="s">
        <v>1836</v>
      </c>
      <c r="C550" s="15" t="s">
        <v>1837</v>
      </c>
      <c r="D550" s="15" t="s">
        <v>1838</v>
      </c>
      <c r="E550" s="15">
        <v>10.9619</v>
      </c>
      <c r="F550" s="42">
        <v>46198</v>
      </c>
    </row>
    <row r="551" spans="1:6" x14ac:dyDescent="0.3">
      <c r="A551" s="15" t="s">
        <v>33499</v>
      </c>
      <c r="B551" s="15" t="s">
        <v>795</v>
      </c>
      <c r="C551" s="15" t="s">
        <v>795</v>
      </c>
      <c r="D551" s="15" t="s">
        <v>795</v>
      </c>
      <c r="F551" s="42"/>
    </row>
    <row r="552" spans="1:6" x14ac:dyDescent="0.3">
      <c r="A552" s="15" t="s">
        <v>37447</v>
      </c>
      <c r="B552" s="15" t="s">
        <v>795</v>
      </c>
      <c r="C552" s="15" t="s">
        <v>795</v>
      </c>
      <c r="D552" s="15" t="s">
        <v>795</v>
      </c>
      <c r="F552" s="42"/>
    </row>
    <row r="553" spans="1:6" x14ac:dyDescent="0.3">
      <c r="A553" s="15" t="s">
        <v>33499</v>
      </c>
      <c r="B553" s="15" t="s">
        <v>795</v>
      </c>
      <c r="C553" s="15" t="s">
        <v>795</v>
      </c>
      <c r="D553" s="15" t="s">
        <v>795</v>
      </c>
      <c r="F553" s="42"/>
    </row>
    <row r="554" spans="1:6" x14ac:dyDescent="0.3">
      <c r="A554" s="15" t="s">
        <v>46488</v>
      </c>
      <c r="B554" s="15" t="s">
        <v>1839</v>
      </c>
      <c r="C554" s="15" t="s">
        <v>800</v>
      </c>
      <c r="D554" s="15" t="s">
        <v>1840</v>
      </c>
      <c r="E554" s="15">
        <v>14.672000000000001</v>
      </c>
      <c r="F554" s="42">
        <v>46198</v>
      </c>
    </row>
    <row r="555" spans="1:6" x14ac:dyDescent="0.3">
      <c r="A555" s="15" t="s">
        <v>46487</v>
      </c>
      <c r="B555" s="15" t="s">
        <v>1841</v>
      </c>
      <c r="C555" s="15" t="s">
        <v>800</v>
      </c>
      <c r="D555" s="15" t="s">
        <v>1842</v>
      </c>
      <c r="E555" s="15">
        <v>14.262499999999999</v>
      </c>
      <c r="F555" s="42">
        <v>46198</v>
      </c>
    </row>
    <row r="556" spans="1:6" x14ac:dyDescent="0.3">
      <c r="A556" s="15" t="s">
        <v>33499</v>
      </c>
      <c r="B556" s="15" t="s">
        <v>795</v>
      </c>
      <c r="C556" s="15" t="s">
        <v>795</v>
      </c>
      <c r="D556" s="15" t="s">
        <v>795</v>
      </c>
      <c r="F556" s="42"/>
    </row>
    <row r="557" spans="1:6" x14ac:dyDescent="0.3">
      <c r="A557" s="15" t="s">
        <v>37566</v>
      </c>
      <c r="B557" s="15" t="s">
        <v>795</v>
      </c>
      <c r="C557" s="15" t="s">
        <v>795</v>
      </c>
      <c r="D557" s="15" t="s">
        <v>795</v>
      </c>
      <c r="F557" s="42"/>
    </row>
    <row r="558" spans="1:6" x14ac:dyDescent="0.3">
      <c r="A558" s="15" t="s">
        <v>33499</v>
      </c>
      <c r="B558" s="15" t="s">
        <v>795</v>
      </c>
      <c r="C558" s="15" t="s">
        <v>795</v>
      </c>
      <c r="D558" s="15" t="s">
        <v>795</v>
      </c>
      <c r="F558" s="42"/>
    </row>
    <row r="559" spans="1:6" x14ac:dyDescent="0.3">
      <c r="A559" s="15" t="s">
        <v>46486</v>
      </c>
      <c r="B559" s="15" t="s">
        <v>1843</v>
      </c>
      <c r="C559" s="15" t="s">
        <v>1844</v>
      </c>
      <c r="D559" s="15" t="s">
        <v>1845</v>
      </c>
      <c r="E559" s="15">
        <v>0</v>
      </c>
      <c r="F559" s="42">
        <v>46198</v>
      </c>
    </row>
    <row r="560" spans="1:6" x14ac:dyDescent="0.3">
      <c r="A560" s="15" t="s">
        <v>46485</v>
      </c>
      <c r="B560" s="15" t="s">
        <v>800</v>
      </c>
      <c r="C560" s="15" t="s">
        <v>1846</v>
      </c>
      <c r="D560" s="15" t="s">
        <v>1847</v>
      </c>
      <c r="E560" s="15">
        <v>0</v>
      </c>
      <c r="F560" s="42">
        <v>46198</v>
      </c>
    </row>
    <row r="561" spans="1:6" x14ac:dyDescent="0.3">
      <c r="A561" s="15" t="s">
        <v>46484</v>
      </c>
      <c r="B561" s="15" t="s">
        <v>1848</v>
      </c>
      <c r="C561" s="15" t="s">
        <v>800</v>
      </c>
      <c r="D561" s="15" t="s">
        <v>1849</v>
      </c>
      <c r="E561" s="15">
        <v>0</v>
      </c>
      <c r="F561" s="42">
        <v>46198</v>
      </c>
    </row>
    <row r="562" spans="1:6" x14ac:dyDescent="0.3">
      <c r="A562" s="15" t="s">
        <v>46483</v>
      </c>
      <c r="B562" s="15" t="s">
        <v>1850</v>
      </c>
      <c r="C562" s="15" t="s">
        <v>1851</v>
      </c>
      <c r="D562" s="15" t="s">
        <v>1852</v>
      </c>
      <c r="E562" s="15">
        <v>0</v>
      </c>
      <c r="F562" s="42">
        <v>46198</v>
      </c>
    </row>
    <row r="563" spans="1:6" x14ac:dyDescent="0.3">
      <c r="A563" s="15" t="s">
        <v>46482</v>
      </c>
      <c r="B563" s="15" t="s">
        <v>800</v>
      </c>
      <c r="C563" s="15" t="s">
        <v>1853</v>
      </c>
      <c r="D563" s="15" t="s">
        <v>1854</v>
      </c>
      <c r="E563" s="15">
        <v>0</v>
      </c>
      <c r="F563" s="42">
        <v>46198</v>
      </c>
    </row>
    <row r="564" spans="1:6" x14ac:dyDescent="0.3">
      <c r="A564" s="15" t="s">
        <v>46481</v>
      </c>
      <c r="B564" s="15" t="s">
        <v>1855</v>
      </c>
      <c r="C564" s="15" t="s">
        <v>800</v>
      </c>
      <c r="D564" s="15" t="s">
        <v>1856</v>
      </c>
      <c r="E564" s="15">
        <v>0</v>
      </c>
      <c r="F564" s="42">
        <v>46198</v>
      </c>
    </row>
    <row r="565" spans="1:6" x14ac:dyDescent="0.3">
      <c r="A565" s="15" t="s">
        <v>46480</v>
      </c>
      <c r="B565" s="15" t="s">
        <v>800</v>
      </c>
      <c r="C565" s="15" t="s">
        <v>1857</v>
      </c>
      <c r="D565" s="15" t="s">
        <v>1858</v>
      </c>
      <c r="E565" s="15">
        <v>0</v>
      </c>
      <c r="F565" s="42">
        <v>46198</v>
      </c>
    </row>
    <row r="566" spans="1:6" x14ac:dyDescent="0.3">
      <c r="A566" s="15" t="s">
        <v>46479</v>
      </c>
      <c r="B566" s="15" t="s">
        <v>1859</v>
      </c>
      <c r="C566" s="15" t="s">
        <v>1860</v>
      </c>
      <c r="D566" s="15" t="s">
        <v>1861</v>
      </c>
      <c r="E566" s="15">
        <v>0</v>
      </c>
      <c r="F566" s="42">
        <v>46198</v>
      </c>
    </row>
    <row r="567" spans="1:6" x14ac:dyDescent="0.3">
      <c r="A567" s="15" t="s">
        <v>46478</v>
      </c>
      <c r="B567" s="15" t="s">
        <v>800</v>
      </c>
      <c r="C567" s="15" t="s">
        <v>1862</v>
      </c>
      <c r="D567" s="15" t="s">
        <v>1863</v>
      </c>
      <c r="E567" s="15">
        <v>0</v>
      </c>
      <c r="F567" s="42">
        <v>46198</v>
      </c>
    </row>
    <row r="568" spans="1:6" x14ac:dyDescent="0.3">
      <c r="A568" s="15" t="s">
        <v>46477</v>
      </c>
      <c r="B568" s="15" t="s">
        <v>1864</v>
      </c>
      <c r="C568" s="15" t="s">
        <v>800</v>
      </c>
      <c r="D568" s="15" t="s">
        <v>1865</v>
      </c>
      <c r="E568" s="15">
        <v>14.368499999999999</v>
      </c>
      <c r="F568" s="42">
        <v>46198</v>
      </c>
    </row>
    <row r="569" spans="1:6" x14ac:dyDescent="0.3">
      <c r="A569" s="15" t="s">
        <v>46476</v>
      </c>
      <c r="B569" s="15" t="s">
        <v>1866</v>
      </c>
      <c r="C569" s="15" t="s">
        <v>800</v>
      </c>
      <c r="D569" s="15" t="s">
        <v>1867</v>
      </c>
      <c r="E569" s="15">
        <v>12.859299999999999</v>
      </c>
      <c r="F569" s="42">
        <v>46198</v>
      </c>
    </row>
    <row r="570" spans="1:6" x14ac:dyDescent="0.3">
      <c r="A570" s="15" t="s">
        <v>46475</v>
      </c>
      <c r="B570" s="15" t="s">
        <v>1868</v>
      </c>
      <c r="C570" s="15" t="s">
        <v>1869</v>
      </c>
      <c r="D570" s="15" t="s">
        <v>1870</v>
      </c>
      <c r="E570" s="15">
        <v>0</v>
      </c>
      <c r="F570" s="42">
        <v>46198</v>
      </c>
    </row>
    <row r="571" spans="1:6" x14ac:dyDescent="0.3">
      <c r="A571" s="15" t="s">
        <v>46474</v>
      </c>
      <c r="B571" s="15" t="s">
        <v>1871</v>
      </c>
      <c r="C571" s="15" t="s">
        <v>800</v>
      </c>
      <c r="D571" s="15" t="s">
        <v>1872</v>
      </c>
      <c r="E571" s="15">
        <v>26.197700000000001</v>
      </c>
      <c r="F571" s="42">
        <v>46198</v>
      </c>
    </row>
    <row r="572" spans="1:6" x14ac:dyDescent="0.3">
      <c r="A572" s="15" t="s">
        <v>46473</v>
      </c>
      <c r="B572" s="15" t="s">
        <v>800</v>
      </c>
      <c r="C572" s="15" t="s">
        <v>1873</v>
      </c>
      <c r="D572" s="15" t="s">
        <v>1874</v>
      </c>
      <c r="E572" s="15">
        <v>0</v>
      </c>
      <c r="F572" s="42">
        <v>46198</v>
      </c>
    </row>
    <row r="573" spans="1:6" x14ac:dyDescent="0.3">
      <c r="A573" s="15" t="s">
        <v>46472</v>
      </c>
      <c r="B573" s="15" t="s">
        <v>1875</v>
      </c>
      <c r="C573" s="15" t="s">
        <v>1876</v>
      </c>
      <c r="D573" s="15" t="s">
        <v>1877</v>
      </c>
      <c r="E573" s="15">
        <v>0</v>
      </c>
      <c r="F573" s="42">
        <v>46198</v>
      </c>
    </row>
    <row r="574" spans="1:6" x14ac:dyDescent="0.3">
      <c r="A574" s="15" t="s">
        <v>46471</v>
      </c>
      <c r="B574" s="15" t="s">
        <v>1878</v>
      </c>
      <c r="C574" s="15" t="s">
        <v>800</v>
      </c>
      <c r="D574" s="15" t="s">
        <v>1879</v>
      </c>
      <c r="E574" s="15">
        <v>0</v>
      </c>
      <c r="F574" s="42">
        <v>46198</v>
      </c>
    </row>
    <row r="575" spans="1:6" x14ac:dyDescent="0.3">
      <c r="A575" s="15" t="s">
        <v>46470</v>
      </c>
      <c r="B575" s="15" t="s">
        <v>1880</v>
      </c>
      <c r="C575" s="15" t="s">
        <v>800</v>
      </c>
      <c r="D575" s="15" t="s">
        <v>1881</v>
      </c>
      <c r="E575" s="15">
        <v>23.622</v>
      </c>
      <c r="F575" s="42">
        <v>46198</v>
      </c>
    </row>
    <row r="576" spans="1:6" x14ac:dyDescent="0.3">
      <c r="A576" s="15" t="s">
        <v>46469</v>
      </c>
      <c r="B576" s="15" t="s">
        <v>1882</v>
      </c>
      <c r="C576" s="15" t="s">
        <v>800</v>
      </c>
      <c r="D576" s="15" t="s">
        <v>1883</v>
      </c>
      <c r="E576" s="15">
        <v>11.251899999999999</v>
      </c>
      <c r="F576" s="42">
        <v>46198</v>
      </c>
    </row>
    <row r="577" spans="1:6" x14ac:dyDescent="0.3">
      <c r="A577" s="15" t="s">
        <v>46468</v>
      </c>
      <c r="B577" s="15" t="s">
        <v>1884</v>
      </c>
      <c r="C577" s="15" t="s">
        <v>800</v>
      </c>
      <c r="D577" s="15" t="s">
        <v>1885</v>
      </c>
      <c r="E577" s="15">
        <v>11.766999999999999</v>
      </c>
      <c r="F577" s="42">
        <v>46198</v>
      </c>
    </row>
    <row r="578" spans="1:6" x14ac:dyDescent="0.3">
      <c r="A578" s="15" t="s">
        <v>46467</v>
      </c>
      <c r="B578" s="15" t="s">
        <v>800</v>
      </c>
      <c r="C578" s="15" t="s">
        <v>800</v>
      </c>
      <c r="D578" s="15" t="s">
        <v>1886</v>
      </c>
      <c r="E578" s="15">
        <v>0</v>
      </c>
      <c r="F578" s="42">
        <v>44634</v>
      </c>
    </row>
    <row r="579" spans="1:6" x14ac:dyDescent="0.3">
      <c r="A579" s="15" t="s">
        <v>46466</v>
      </c>
      <c r="B579" s="15" t="s">
        <v>1887</v>
      </c>
      <c r="C579" s="15" t="s">
        <v>800</v>
      </c>
      <c r="D579" s="15" t="s">
        <v>1888</v>
      </c>
      <c r="E579" s="15">
        <v>0</v>
      </c>
      <c r="F579" s="42">
        <v>46198</v>
      </c>
    </row>
    <row r="580" spans="1:6" x14ac:dyDescent="0.3">
      <c r="A580" s="15" t="s">
        <v>46465</v>
      </c>
      <c r="B580" s="15" t="s">
        <v>1889</v>
      </c>
      <c r="C580" s="15" t="s">
        <v>1890</v>
      </c>
      <c r="D580" s="15" t="s">
        <v>1891</v>
      </c>
      <c r="E580" s="15">
        <v>0</v>
      </c>
      <c r="F580" s="42">
        <v>46198</v>
      </c>
    </row>
    <row r="581" spans="1:6" x14ac:dyDescent="0.3">
      <c r="A581" s="15" t="s">
        <v>46464</v>
      </c>
      <c r="B581" s="15" t="s">
        <v>800</v>
      </c>
      <c r="C581" s="15" t="s">
        <v>800</v>
      </c>
      <c r="D581" s="15" t="s">
        <v>1892</v>
      </c>
      <c r="E581" s="15">
        <v>0</v>
      </c>
      <c r="F581" s="42">
        <v>44634</v>
      </c>
    </row>
    <row r="582" spans="1:6" x14ac:dyDescent="0.3">
      <c r="A582" s="15" t="s">
        <v>46463</v>
      </c>
      <c r="B582" s="15" t="s">
        <v>1893</v>
      </c>
      <c r="C582" s="15" t="s">
        <v>800</v>
      </c>
      <c r="D582" s="15" t="s">
        <v>1894</v>
      </c>
      <c r="E582" s="15">
        <v>0</v>
      </c>
      <c r="F582" s="42">
        <v>46198</v>
      </c>
    </row>
    <row r="583" spans="1:6" x14ac:dyDescent="0.3">
      <c r="A583" s="15" t="s">
        <v>46462</v>
      </c>
      <c r="B583" s="15" t="s">
        <v>1895</v>
      </c>
      <c r="C583" s="15" t="s">
        <v>1896</v>
      </c>
      <c r="D583" s="15" t="s">
        <v>1897</v>
      </c>
      <c r="E583" s="15">
        <v>0</v>
      </c>
      <c r="F583" s="42">
        <v>46198</v>
      </c>
    </row>
    <row r="584" spans="1:6" x14ac:dyDescent="0.3">
      <c r="A584" s="15" t="s">
        <v>46461</v>
      </c>
      <c r="B584" s="15" t="s">
        <v>1898</v>
      </c>
      <c r="C584" s="15" t="s">
        <v>1899</v>
      </c>
      <c r="D584" s="15" t="s">
        <v>1900</v>
      </c>
      <c r="E584" s="15">
        <v>0</v>
      </c>
      <c r="F584" s="42">
        <v>46198</v>
      </c>
    </row>
    <row r="585" spans="1:6" x14ac:dyDescent="0.3">
      <c r="A585" s="15" t="s">
        <v>46460</v>
      </c>
      <c r="B585" s="15" t="s">
        <v>800</v>
      </c>
      <c r="C585" s="15" t="s">
        <v>1901</v>
      </c>
      <c r="D585" s="15" t="s">
        <v>1902</v>
      </c>
      <c r="E585" s="15">
        <v>0</v>
      </c>
      <c r="F585" s="42">
        <v>46198</v>
      </c>
    </row>
    <row r="586" spans="1:6" x14ac:dyDescent="0.3">
      <c r="A586" s="15" t="s">
        <v>46459</v>
      </c>
      <c r="B586" s="15" t="s">
        <v>1903</v>
      </c>
      <c r="C586" s="15" t="s">
        <v>1904</v>
      </c>
      <c r="D586" s="15" t="s">
        <v>1905</v>
      </c>
      <c r="E586" s="15">
        <v>0</v>
      </c>
      <c r="F586" s="42">
        <v>46198</v>
      </c>
    </row>
    <row r="587" spans="1:6" x14ac:dyDescent="0.3">
      <c r="A587" s="15" t="s">
        <v>33499</v>
      </c>
      <c r="B587" s="15" t="s">
        <v>795</v>
      </c>
      <c r="C587" s="15" t="s">
        <v>795</v>
      </c>
      <c r="D587" s="15" t="s">
        <v>795</v>
      </c>
      <c r="F587" s="42"/>
    </row>
    <row r="588" spans="1:6" x14ac:dyDescent="0.3">
      <c r="A588" s="15" t="s">
        <v>37061</v>
      </c>
      <c r="B588" s="15" t="s">
        <v>795</v>
      </c>
      <c r="C588" s="15" t="s">
        <v>795</v>
      </c>
      <c r="D588" s="15" t="s">
        <v>795</v>
      </c>
      <c r="F588" s="42"/>
    </row>
    <row r="589" spans="1:6" x14ac:dyDescent="0.3">
      <c r="A589" s="15" t="s">
        <v>33499</v>
      </c>
      <c r="B589" s="15" t="s">
        <v>795</v>
      </c>
      <c r="C589" s="15" t="s">
        <v>795</v>
      </c>
      <c r="D589" s="15" t="s">
        <v>795</v>
      </c>
      <c r="F589" s="42"/>
    </row>
    <row r="590" spans="1:6" x14ac:dyDescent="0.3">
      <c r="A590" s="15" t="s">
        <v>46458</v>
      </c>
      <c r="B590" s="15" t="s">
        <v>1906</v>
      </c>
      <c r="C590" s="15" t="s">
        <v>1907</v>
      </c>
      <c r="D590" s="15" t="s">
        <v>1908</v>
      </c>
      <c r="E590" s="15">
        <v>11.348000000000001</v>
      </c>
      <c r="F590" s="42">
        <v>46198</v>
      </c>
    </row>
    <row r="591" spans="1:6" x14ac:dyDescent="0.3">
      <c r="A591" s="15" t="s">
        <v>46457</v>
      </c>
      <c r="B591" s="15" t="s">
        <v>1909</v>
      </c>
      <c r="C591" s="15" t="s">
        <v>800</v>
      </c>
      <c r="D591" s="15" t="s">
        <v>1910</v>
      </c>
      <c r="E591" s="15">
        <v>60.128300000000003</v>
      </c>
      <c r="F591" s="42">
        <v>46198</v>
      </c>
    </row>
    <row r="592" spans="1:6" x14ac:dyDescent="0.3">
      <c r="A592" s="15" t="s">
        <v>46456</v>
      </c>
      <c r="B592" s="15" t="s">
        <v>1911</v>
      </c>
      <c r="C592" s="15" t="s">
        <v>1912</v>
      </c>
      <c r="D592" s="15" t="s">
        <v>1913</v>
      </c>
      <c r="E592" s="15">
        <v>12.603999999999999</v>
      </c>
      <c r="F592" s="42">
        <v>46198</v>
      </c>
    </row>
    <row r="593" spans="1:6" x14ac:dyDescent="0.3">
      <c r="A593" s="15" t="s">
        <v>46455</v>
      </c>
      <c r="B593" s="15" t="s">
        <v>800</v>
      </c>
      <c r="C593" s="15" t="s">
        <v>1914</v>
      </c>
      <c r="D593" s="15" t="s">
        <v>1915</v>
      </c>
      <c r="E593" s="15">
        <v>11.1243</v>
      </c>
      <c r="F593" s="42">
        <v>46198</v>
      </c>
    </row>
    <row r="594" spans="1:6" x14ac:dyDescent="0.3">
      <c r="A594" s="15" t="s">
        <v>46454</v>
      </c>
      <c r="B594" s="15" t="s">
        <v>1916</v>
      </c>
      <c r="C594" s="15" t="s">
        <v>1917</v>
      </c>
      <c r="D594" s="15" t="s">
        <v>1918</v>
      </c>
      <c r="E594" s="15">
        <v>12.3916</v>
      </c>
      <c r="F594" s="42">
        <v>46198</v>
      </c>
    </row>
    <row r="595" spans="1:6" x14ac:dyDescent="0.3">
      <c r="A595" s="15" t="s">
        <v>46453</v>
      </c>
      <c r="B595" s="15" t="s">
        <v>1919</v>
      </c>
      <c r="C595" s="15" t="s">
        <v>1920</v>
      </c>
      <c r="D595" s="15" t="s">
        <v>1921</v>
      </c>
      <c r="E595" s="15">
        <v>11.123699999999999</v>
      </c>
      <c r="F595" s="42">
        <v>46198</v>
      </c>
    </row>
    <row r="596" spans="1:6" x14ac:dyDescent="0.3">
      <c r="A596" s="15" t="s">
        <v>46452</v>
      </c>
      <c r="B596" s="15" t="s">
        <v>1922</v>
      </c>
      <c r="C596" s="15" t="s">
        <v>1923</v>
      </c>
      <c r="D596" s="15" t="s">
        <v>1924</v>
      </c>
      <c r="E596" s="15">
        <v>12.5243</v>
      </c>
      <c r="F596" s="42">
        <v>46198</v>
      </c>
    </row>
    <row r="597" spans="1:6" x14ac:dyDescent="0.3">
      <c r="A597" s="15" t="s">
        <v>46451</v>
      </c>
      <c r="B597" s="15" t="s">
        <v>800</v>
      </c>
      <c r="C597" s="15" t="s">
        <v>1925</v>
      </c>
      <c r="D597" s="15" t="s">
        <v>1926</v>
      </c>
      <c r="E597" s="15">
        <v>11.1243</v>
      </c>
      <c r="F597" s="42">
        <v>46198</v>
      </c>
    </row>
    <row r="598" spans="1:6" x14ac:dyDescent="0.3">
      <c r="A598" s="15" t="s">
        <v>46450</v>
      </c>
      <c r="B598" s="15" t="s">
        <v>1927</v>
      </c>
      <c r="C598" s="15" t="s">
        <v>1928</v>
      </c>
      <c r="D598" s="15" t="s">
        <v>1929</v>
      </c>
      <c r="E598" s="15">
        <v>11.3992</v>
      </c>
      <c r="F598" s="42">
        <v>46198</v>
      </c>
    </row>
    <row r="599" spans="1:6" x14ac:dyDescent="0.3">
      <c r="A599" s="15" t="s">
        <v>46449</v>
      </c>
      <c r="B599" s="15" t="s">
        <v>1930</v>
      </c>
      <c r="C599" s="15" t="s">
        <v>1931</v>
      </c>
      <c r="D599" s="15" t="s">
        <v>1932</v>
      </c>
      <c r="E599" s="15">
        <v>12.2193</v>
      </c>
      <c r="F599" s="42">
        <v>46198</v>
      </c>
    </row>
    <row r="600" spans="1:6" x14ac:dyDescent="0.3">
      <c r="A600" s="15" t="s">
        <v>46448</v>
      </c>
      <c r="B600" s="15" t="s">
        <v>1933</v>
      </c>
      <c r="C600" s="15" t="s">
        <v>1934</v>
      </c>
      <c r="D600" s="15" t="s">
        <v>1935</v>
      </c>
      <c r="E600" s="15">
        <v>11.1235</v>
      </c>
      <c r="F600" s="42">
        <v>46198</v>
      </c>
    </row>
    <row r="601" spans="1:6" x14ac:dyDescent="0.3">
      <c r="A601" s="15" t="s">
        <v>46447</v>
      </c>
      <c r="B601" s="15" t="s">
        <v>1936</v>
      </c>
      <c r="C601" s="15" t="s">
        <v>800</v>
      </c>
      <c r="D601" s="15" t="s">
        <v>1937</v>
      </c>
      <c r="E601" s="15">
        <v>54.655799999999999</v>
      </c>
      <c r="F601" s="42">
        <v>46198</v>
      </c>
    </row>
    <row r="602" spans="1:6" x14ac:dyDescent="0.3">
      <c r="A602" s="15" t="s">
        <v>33499</v>
      </c>
      <c r="B602" s="15" t="s">
        <v>795</v>
      </c>
      <c r="C602" s="15" t="s">
        <v>795</v>
      </c>
      <c r="D602" s="15" t="s">
        <v>795</v>
      </c>
      <c r="F602" s="42"/>
    </row>
    <row r="603" spans="1:6" x14ac:dyDescent="0.3">
      <c r="A603" s="15" t="s">
        <v>37044</v>
      </c>
      <c r="B603" s="15" t="s">
        <v>795</v>
      </c>
      <c r="C603" s="15" t="s">
        <v>795</v>
      </c>
      <c r="D603" s="15" t="s">
        <v>795</v>
      </c>
      <c r="F603" s="42"/>
    </row>
    <row r="604" spans="1:6" x14ac:dyDescent="0.3">
      <c r="A604" s="15" t="s">
        <v>33499</v>
      </c>
      <c r="B604" s="15" t="s">
        <v>795</v>
      </c>
      <c r="C604" s="15" t="s">
        <v>795</v>
      </c>
      <c r="D604" s="15" t="s">
        <v>795</v>
      </c>
      <c r="F604" s="42"/>
    </row>
    <row r="605" spans="1:6" x14ac:dyDescent="0.3">
      <c r="A605" s="15" t="s">
        <v>46446</v>
      </c>
      <c r="B605" s="15" t="s">
        <v>1938</v>
      </c>
      <c r="C605" s="15" t="s">
        <v>800</v>
      </c>
      <c r="D605" s="15" t="s">
        <v>1939</v>
      </c>
      <c r="E605" s="15">
        <v>25.565000000000001</v>
      </c>
      <c r="F605" s="42">
        <v>45088</v>
      </c>
    </row>
    <row r="606" spans="1:6" x14ac:dyDescent="0.3">
      <c r="A606" s="15" t="s">
        <v>46445</v>
      </c>
      <c r="B606" s="15" t="s">
        <v>1940</v>
      </c>
      <c r="C606" s="15" t="s">
        <v>1941</v>
      </c>
      <c r="D606" s="15" t="s">
        <v>1942</v>
      </c>
      <c r="E606" s="15">
        <v>14.0105</v>
      </c>
      <c r="F606" s="42">
        <v>45088</v>
      </c>
    </row>
    <row r="607" spans="1:6" x14ac:dyDescent="0.3">
      <c r="A607" s="15" t="s">
        <v>46444</v>
      </c>
      <c r="B607" s="15" t="s">
        <v>1943</v>
      </c>
      <c r="C607" s="15" t="s">
        <v>800</v>
      </c>
      <c r="D607" s="15" t="s">
        <v>1944</v>
      </c>
      <c r="E607" s="15">
        <v>25.334800000000001</v>
      </c>
      <c r="F607" s="42">
        <v>45088</v>
      </c>
    </row>
    <row r="608" spans="1:6" x14ac:dyDescent="0.3">
      <c r="A608" s="15" t="s">
        <v>46443</v>
      </c>
      <c r="B608" s="15" t="s">
        <v>1945</v>
      </c>
      <c r="C608" s="15" t="s">
        <v>1946</v>
      </c>
      <c r="D608" s="15" t="s">
        <v>1947</v>
      </c>
      <c r="E608" s="15">
        <v>13.585800000000001</v>
      </c>
      <c r="F608" s="42">
        <v>45088</v>
      </c>
    </row>
    <row r="609" spans="1:6" x14ac:dyDescent="0.3">
      <c r="A609" s="15" t="s">
        <v>46442</v>
      </c>
      <c r="B609" s="15" t="s">
        <v>1948</v>
      </c>
      <c r="C609" s="15" t="s">
        <v>800</v>
      </c>
      <c r="D609" s="15" t="s">
        <v>1949</v>
      </c>
      <c r="E609" s="15">
        <v>0</v>
      </c>
      <c r="F609" s="42">
        <v>46198</v>
      </c>
    </row>
    <row r="610" spans="1:6" x14ac:dyDescent="0.3">
      <c r="A610" s="15" t="s">
        <v>46441</v>
      </c>
      <c r="B610" s="15" t="s">
        <v>1950</v>
      </c>
      <c r="C610" s="15" t="s">
        <v>800</v>
      </c>
      <c r="D610" s="15" t="s">
        <v>1951</v>
      </c>
      <c r="E610" s="15">
        <v>0</v>
      </c>
      <c r="F610" s="42">
        <v>46198</v>
      </c>
    </row>
    <row r="611" spans="1:6" x14ac:dyDescent="0.3">
      <c r="A611" s="15" t="s">
        <v>46440</v>
      </c>
      <c r="B611" s="15" t="s">
        <v>1952</v>
      </c>
      <c r="C611" s="15" t="s">
        <v>800</v>
      </c>
      <c r="D611" s="15" t="s">
        <v>1953</v>
      </c>
      <c r="E611" s="15">
        <v>0</v>
      </c>
      <c r="F611" s="42">
        <v>44032</v>
      </c>
    </row>
    <row r="612" spans="1:6" x14ac:dyDescent="0.3">
      <c r="A612" s="15" t="s">
        <v>46439</v>
      </c>
      <c r="B612" s="15" t="s">
        <v>1954</v>
      </c>
      <c r="C612" s="15" t="s">
        <v>800</v>
      </c>
      <c r="D612" s="15" t="s">
        <v>1955</v>
      </c>
      <c r="E612" s="15">
        <v>0</v>
      </c>
      <c r="F612" s="42">
        <v>44032</v>
      </c>
    </row>
    <row r="613" spans="1:6" x14ac:dyDescent="0.3">
      <c r="A613" s="15" t="s">
        <v>46438</v>
      </c>
      <c r="B613" s="15" t="s">
        <v>1956</v>
      </c>
      <c r="C613" s="15" t="s">
        <v>800</v>
      </c>
      <c r="D613" s="15" t="s">
        <v>1957</v>
      </c>
      <c r="E613" s="15">
        <v>0</v>
      </c>
      <c r="F613" s="42">
        <v>44032</v>
      </c>
    </row>
    <row r="614" spans="1:6" x14ac:dyDescent="0.3">
      <c r="A614" s="15" t="s">
        <v>46437</v>
      </c>
      <c r="B614" s="15" t="s">
        <v>1958</v>
      </c>
      <c r="C614" s="15" t="s">
        <v>800</v>
      </c>
      <c r="D614" s="15" t="s">
        <v>1959</v>
      </c>
      <c r="E614" s="15">
        <v>0</v>
      </c>
      <c r="F614" s="42">
        <v>44032</v>
      </c>
    </row>
    <row r="615" spans="1:6" x14ac:dyDescent="0.3">
      <c r="A615" s="15" t="s">
        <v>46436</v>
      </c>
      <c r="B615" s="15" t="s">
        <v>1960</v>
      </c>
      <c r="C615" s="15" t="s">
        <v>800</v>
      </c>
      <c r="D615" s="15" t="s">
        <v>1961</v>
      </c>
      <c r="E615" s="15">
        <v>0</v>
      </c>
      <c r="F615" s="42">
        <v>45180</v>
      </c>
    </row>
    <row r="616" spans="1:6" x14ac:dyDescent="0.3">
      <c r="A616" s="15" t="s">
        <v>46435</v>
      </c>
      <c r="B616" s="15" t="s">
        <v>1962</v>
      </c>
      <c r="C616" s="15" t="s">
        <v>800</v>
      </c>
      <c r="D616" s="15" t="s">
        <v>1963</v>
      </c>
      <c r="E616" s="15">
        <v>0</v>
      </c>
      <c r="F616" s="42">
        <v>45180</v>
      </c>
    </row>
    <row r="617" spans="1:6" x14ac:dyDescent="0.3">
      <c r="A617" s="15" t="s">
        <v>46434</v>
      </c>
      <c r="B617" s="15" t="s">
        <v>1964</v>
      </c>
      <c r="C617" s="15" t="s">
        <v>800</v>
      </c>
      <c r="D617" s="15" t="s">
        <v>1965</v>
      </c>
      <c r="E617" s="15">
        <v>0</v>
      </c>
      <c r="F617" s="42">
        <v>45180</v>
      </c>
    </row>
    <row r="618" spans="1:6" x14ac:dyDescent="0.3">
      <c r="A618" s="15" t="s">
        <v>46433</v>
      </c>
      <c r="B618" s="15" t="s">
        <v>1966</v>
      </c>
      <c r="C618" s="15" t="s">
        <v>800</v>
      </c>
      <c r="D618" s="15" t="s">
        <v>1967</v>
      </c>
      <c r="E618" s="15">
        <v>0</v>
      </c>
      <c r="F618" s="42">
        <v>46198</v>
      </c>
    </row>
    <row r="619" spans="1:6" x14ac:dyDescent="0.3">
      <c r="A619" s="15" t="s">
        <v>46432</v>
      </c>
      <c r="B619" s="15" t="s">
        <v>1968</v>
      </c>
      <c r="C619" s="15" t="s">
        <v>800</v>
      </c>
      <c r="D619" s="15" t="s">
        <v>1969</v>
      </c>
      <c r="E619" s="15">
        <v>0</v>
      </c>
      <c r="F619" s="42">
        <v>45180</v>
      </c>
    </row>
    <row r="620" spans="1:6" x14ac:dyDescent="0.3">
      <c r="A620" s="15" t="s">
        <v>46431</v>
      </c>
      <c r="B620" s="15" t="s">
        <v>1970</v>
      </c>
      <c r="C620" s="15" t="s">
        <v>800</v>
      </c>
      <c r="D620" s="15" t="s">
        <v>1971</v>
      </c>
      <c r="E620" s="15">
        <v>0</v>
      </c>
      <c r="F620" s="42">
        <v>46198</v>
      </c>
    </row>
    <row r="621" spans="1:6" x14ac:dyDescent="0.3">
      <c r="A621" s="15" t="s">
        <v>33499</v>
      </c>
      <c r="B621" s="15" t="s">
        <v>795</v>
      </c>
      <c r="C621" s="15" t="s">
        <v>795</v>
      </c>
      <c r="D621" s="15" t="s">
        <v>795</v>
      </c>
      <c r="F621" s="42"/>
    </row>
    <row r="622" spans="1:6" x14ac:dyDescent="0.3">
      <c r="A622" s="15" t="s">
        <v>37043</v>
      </c>
      <c r="B622" s="15" t="s">
        <v>795</v>
      </c>
      <c r="C622" s="15" t="s">
        <v>795</v>
      </c>
      <c r="D622" s="15" t="s">
        <v>795</v>
      </c>
      <c r="F622" s="42"/>
    </row>
    <row r="623" spans="1:6" x14ac:dyDescent="0.3">
      <c r="A623" s="15" t="s">
        <v>33499</v>
      </c>
      <c r="B623" s="15" t="s">
        <v>795</v>
      </c>
      <c r="C623" s="15" t="s">
        <v>795</v>
      </c>
      <c r="D623" s="15" t="s">
        <v>795</v>
      </c>
      <c r="F623" s="42"/>
    </row>
    <row r="624" spans="1:6" x14ac:dyDescent="0.3">
      <c r="A624" s="15" t="s">
        <v>46430</v>
      </c>
      <c r="B624" s="15" t="s">
        <v>1972</v>
      </c>
      <c r="C624" s="15" t="s">
        <v>800</v>
      </c>
      <c r="D624" s="15" t="s">
        <v>1973</v>
      </c>
      <c r="E624" s="15">
        <v>25.6952</v>
      </c>
      <c r="F624" s="42">
        <v>46198</v>
      </c>
    </row>
    <row r="625" spans="1:6" x14ac:dyDescent="0.3">
      <c r="A625" s="15" t="s">
        <v>46429</v>
      </c>
      <c r="B625" s="15" t="s">
        <v>1974</v>
      </c>
      <c r="C625" s="15" t="s">
        <v>800</v>
      </c>
      <c r="D625" s="15" t="s">
        <v>1975</v>
      </c>
      <c r="E625" s="15">
        <v>27.915700000000001</v>
      </c>
      <c r="F625" s="42">
        <v>46198</v>
      </c>
    </row>
    <row r="626" spans="1:6" x14ac:dyDescent="0.3">
      <c r="A626" s="15" t="s">
        <v>46428</v>
      </c>
      <c r="B626" s="15" t="s">
        <v>1976</v>
      </c>
      <c r="C626" s="15" t="s">
        <v>1977</v>
      </c>
      <c r="D626" s="15" t="s">
        <v>1978</v>
      </c>
      <c r="E626" s="15">
        <v>23.660900000000002</v>
      </c>
      <c r="F626" s="42">
        <v>46198</v>
      </c>
    </row>
    <row r="627" spans="1:6" x14ac:dyDescent="0.3">
      <c r="A627" s="15" t="s">
        <v>46427</v>
      </c>
      <c r="B627" s="15" t="s">
        <v>1979</v>
      </c>
      <c r="C627" s="15" t="s">
        <v>1980</v>
      </c>
      <c r="D627" s="15" t="s">
        <v>1981</v>
      </c>
      <c r="E627" s="15">
        <v>24.471</v>
      </c>
      <c r="F627" s="42">
        <v>46198</v>
      </c>
    </row>
    <row r="628" spans="1:6" x14ac:dyDescent="0.3">
      <c r="A628" s="15" t="s">
        <v>46426</v>
      </c>
      <c r="B628" s="15" t="s">
        <v>1982</v>
      </c>
      <c r="C628" s="15" t="s">
        <v>1983</v>
      </c>
      <c r="D628" s="15" t="s">
        <v>1984</v>
      </c>
      <c r="E628" s="15">
        <v>10.985200000000001</v>
      </c>
      <c r="F628" s="42">
        <v>46198</v>
      </c>
    </row>
    <row r="629" spans="1:6" x14ac:dyDescent="0.3">
      <c r="A629" s="15" t="s">
        <v>46425</v>
      </c>
      <c r="B629" s="15" t="s">
        <v>1985</v>
      </c>
      <c r="C629" s="15" t="s">
        <v>1986</v>
      </c>
      <c r="D629" s="15" t="s">
        <v>1987</v>
      </c>
      <c r="E629" s="15">
        <v>10.618399999999999</v>
      </c>
      <c r="F629" s="42">
        <v>46198</v>
      </c>
    </row>
    <row r="630" spans="1:6" x14ac:dyDescent="0.3">
      <c r="A630" s="15" t="s">
        <v>33499</v>
      </c>
      <c r="B630" s="15" t="s">
        <v>795</v>
      </c>
      <c r="C630" s="15" t="s">
        <v>795</v>
      </c>
      <c r="D630" s="15" t="s">
        <v>795</v>
      </c>
      <c r="F630" s="42"/>
    </row>
    <row r="631" spans="1:6" x14ac:dyDescent="0.3">
      <c r="A631" s="15" t="s">
        <v>36815</v>
      </c>
      <c r="B631" s="15" t="s">
        <v>795</v>
      </c>
      <c r="C631" s="15" t="s">
        <v>795</v>
      </c>
      <c r="D631" s="15" t="s">
        <v>795</v>
      </c>
      <c r="F631" s="42"/>
    </row>
    <row r="632" spans="1:6" x14ac:dyDescent="0.3">
      <c r="A632" s="15" t="s">
        <v>33499</v>
      </c>
      <c r="B632" s="15" t="s">
        <v>795</v>
      </c>
      <c r="C632" s="15" t="s">
        <v>795</v>
      </c>
      <c r="D632" s="15" t="s">
        <v>795</v>
      </c>
      <c r="F632" s="42"/>
    </row>
    <row r="633" spans="1:6" x14ac:dyDescent="0.3">
      <c r="A633" s="15" t="s">
        <v>46424</v>
      </c>
      <c r="B633" s="15" t="s">
        <v>1988</v>
      </c>
      <c r="C633" s="15" t="s">
        <v>1989</v>
      </c>
      <c r="D633" s="15" t="s">
        <v>1990</v>
      </c>
      <c r="E633" s="15">
        <v>13.523300000000001</v>
      </c>
      <c r="F633" s="42">
        <v>46198</v>
      </c>
    </row>
    <row r="634" spans="1:6" x14ac:dyDescent="0.3">
      <c r="A634" s="15" t="s">
        <v>46423</v>
      </c>
      <c r="B634" s="15" t="s">
        <v>1991</v>
      </c>
      <c r="C634" s="15" t="s">
        <v>800</v>
      </c>
      <c r="D634" s="15" t="s">
        <v>1992</v>
      </c>
      <c r="E634" s="15">
        <v>37.285600000000002</v>
      </c>
      <c r="F634" s="42">
        <v>46198</v>
      </c>
    </row>
    <row r="635" spans="1:6" x14ac:dyDescent="0.3">
      <c r="A635" s="15" t="s">
        <v>46422</v>
      </c>
      <c r="B635" s="15" t="s">
        <v>1993</v>
      </c>
      <c r="C635" s="15" t="s">
        <v>1994</v>
      </c>
      <c r="D635" s="15" t="s">
        <v>1995</v>
      </c>
      <c r="E635" s="15">
        <v>12.375299999999999</v>
      </c>
      <c r="F635" s="42">
        <v>46198</v>
      </c>
    </row>
    <row r="636" spans="1:6" x14ac:dyDescent="0.3">
      <c r="A636" s="15" t="s">
        <v>46421</v>
      </c>
      <c r="B636" s="15" t="s">
        <v>1996</v>
      </c>
      <c r="C636" s="15" t="s">
        <v>1997</v>
      </c>
      <c r="D636" s="15" t="s">
        <v>1998</v>
      </c>
      <c r="E636" s="15">
        <v>12.3878</v>
      </c>
      <c r="F636" s="42">
        <v>46198</v>
      </c>
    </row>
    <row r="637" spans="1:6" x14ac:dyDescent="0.3">
      <c r="A637" s="15" t="s">
        <v>46420</v>
      </c>
      <c r="B637" s="15" t="s">
        <v>1999</v>
      </c>
      <c r="C637" s="15" t="s">
        <v>800</v>
      </c>
      <c r="D637" s="15" t="s">
        <v>2000</v>
      </c>
      <c r="E637" s="15">
        <v>34.160499999999999</v>
      </c>
      <c r="F637" s="42">
        <v>46198</v>
      </c>
    </row>
    <row r="638" spans="1:6" x14ac:dyDescent="0.3">
      <c r="A638" s="15" t="s">
        <v>46419</v>
      </c>
      <c r="B638" s="15" t="s">
        <v>2001</v>
      </c>
      <c r="C638" s="15" t="s">
        <v>2002</v>
      </c>
      <c r="D638" s="15" t="s">
        <v>2003</v>
      </c>
      <c r="E638" s="15">
        <v>11.2806</v>
      </c>
      <c r="F638" s="42">
        <v>46198</v>
      </c>
    </row>
    <row r="639" spans="1:6" x14ac:dyDescent="0.3">
      <c r="A639" s="15" t="s">
        <v>46418</v>
      </c>
      <c r="B639" s="15" t="s">
        <v>800</v>
      </c>
      <c r="C639" s="15" t="s">
        <v>2004</v>
      </c>
      <c r="D639" s="15" t="s">
        <v>2005</v>
      </c>
      <c r="E639" s="15">
        <v>33.620699999999999</v>
      </c>
      <c r="F639" s="42">
        <v>46198</v>
      </c>
    </row>
    <row r="640" spans="1:6" x14ac:dyDescent="0.3">
      <c r="A640" s="15" t="s">
        <v>33499</v>
      </c>
      <c r="B640" s="15" t="s">
        <v>795</v>
      </c>
      <c r="C640" s="15" t="s">
        <v>795</v>
      </c>
      <c r="D640" s="15" t="s">
        <v>795</v>
      </c>
      <c r="F640" s="42"/>
    </row>
    <row r="641" spans="1:6" x14ac:dyDescent="0.3">
      <c r="A641" s="15" t="s">
        <v>36764</v>
      </c>
      <c r="B641" s="15" t="s">
        <v>795</v>
      </c>
      <c r="C641" s="15" t="s">
        <v>795</v>
      </c>
      <c r="D641" s="15" t="s">
        <v>795</v>
      </c>
      <c r="F641" s="42"/>
    </row>
    <row r="642" spans="1:6" x14ac:dyDescent="0.3">
      <c r="A642" s="15" t="s">
        <v>33499</v>
      </c>
      <c r="B642" s="15" t="s">
        <v>795</v>
      </c>
      <c r="C642" s="15" t="s">
        <v>795</v>
      </c>
      <c r="D642" s="15" t="s">
        <v>795</v>
      </c>
      <c r="F642" s="42"/>
    </row>
    <row r="643" spans="1:6" x14ac:dyDescent="0.3">
      <c r="A643" s="15" t="s">
        <v>46417</v>
      </c>
      <c r="B643" s="15" t="s">
        <v>2006</v>
      </c>
      <c r="C643" s="15" t="s">
        <v>2007</v>
      </c>
      <c r="D643" s="15" t="s">
        <v>2008</v>
      </c>
      <c r="E643" s="15">
        <v>10.3035</v>
      </c>
      <c r="F643" s="42">
        <v>44820</v>
      </c>
    </row>
    <row r="644" spans="1:6" x14ac:dyDescent="0.3">
      <c r="A644" s="15" t="s">
        <v>46416</v>
      </c>
      <c r="B644" s="15" t="s">
        <v>2009</v>
      </c>
      <c r="C644" s="15" t="s">
        <v>800</v>
      </c>
      <c r="D644" s="15" t="s">
        <v>2010</v>
      </c>
      <c r="E644" s="15">
        <v>15.7498</v>
      </c>
      <c r="F644" s="42">
        <v>43945</v>
      </c>
    </row>
    <row r="645" spans="1:6" x14ac:dyDescent="0.3">
      <c r="A645" s="15" t="s">
        <v>46415</v>
      </c>
      <c r="B645" s="15" t="s">
        <v>2011</v>
      </c>
      <c r="C645" s="15" t="s">
        <v>2012</v>
      </c>
      <c r="D645" s="15" t="s">
        <v>2013</v>
      </c>
      <c r="E645" s="15">
        <v>10.4846</v>
      </c>
      <c r="F645" s="42">
        <v>44820</v>
      </c>
    </row>
    <row r="646" spans="1:6" x14ac:dyDescent="0.3">
      <c r="A646" s="15" t="s">
        <v>46414</v>
      </c>
      <c r="B646" s="15" t="s">
        <v>2014</v>
      </c>
      <c r="C646" s="15" t="s">
        <v>800</v>
      </c>
      <c r="D646" s="15" t="s">
        <v>2015</v>
      </c>
      <c r="E646" s="15">
        <v>38.033499999999997</v>
      </c>
      <c r="F646" s="42">
        <v>46198</v>
      </c>
    </row>
    <row r="647" spans="1:6" x14ac:dyDescent="0.3">
      <c r="A647" s="15" t="s">
        <v>46413</v>
      </c>
      <c r="B647" s="15" t="s">
        <v>2016</v>
      </c>
      <c r="C647" s="15" t="s">
        <v>2017</v>
      </c>
      <c r="D647" s="15" t="s">
        <v>2018</v>
      </c>
      <c r="E647" s="15">
        <v>10.975</v>
      </c>
      <c r="F647" s="42">
        <v>44820</v>
      </c>
    </row>
    <row r="648" spans="1:6" x14ac:dyDescent="0.3">
      <c r="A648" s="15" t="s">
        <v>46412</v>
      </c>
      <c r="B648" s="15" t="s">
        <v>2019</v>
      </c>
      <c r="C648" s="15" t="s">
        <v>2020</v>
      </c>
      <c r="D648" s="15" t="s">
        <v>2021</v>
      </c>
      <c r="E648" s="15">
        <v>11.9442</v>
      </c>
      <c r="F648" s="42">
        <v>46198</v>
      </c>
    </row>
    <row r="649" spans="1:6" x14ac:dyDescent="0.3">
      <c r="A649" s="15" t="s">
        <v>46411</v>
      </c>
      <c r="B649" s="15" t="s">
        <v>2022</v>
      </c>
      <c r="C649" s="15" t="s">
        <v>800</v>
      </c>
      <c r="D649" s="15" t="s">
        <v>2023</v>
      </c>
      <c r="E649" s="15">
        <v>14.6853</v>
      </c>
      <c r="F649" s="42">
        <v>43502</v>
      </c>
    </row>
    <row r="650" spans="1:6" x14ac:dyDescent="0.3">
      <c r="A650" s="15" t="s">
        <v>46410</v>
      </c>
      <c r="B650" s="15" t="s">
        <v>2024</v>
      </c>
      <c r="C650" s="15" t="s">
        <v>800</v>
      </c>
      <c r="D650" s="15" t="s">
        <v>2025</v>
      </c>
      <c r="E650" s="15">
        <v>34.297600000000003</v>
      </c>
      <c r="F650" s="42">
        <v>46198</v>
      </c>
    </row>
    <row r="651" spans="1:6" x14ac:dyDescent="0.3">
      <c r="A651" s="15" t="s">
        <v>46409</v>
      </c>
      <c r="B651" s="15" t="s">
        <v>2026</v>
      </c>
      <c r="C651" s="15" t="s">
        <v>2027</v>
      </c>
      <c r="D651" s="15" t="s">
        <v>2028</v>
      </c>
      <c r="E651" s="15">
        <v>10.5892</v>
      </c>
      <c r="F651" s="42">
        <v>44820</v>
      </c>
    </row>
    <row r="652" spans="1:6" x14ac:dyDescent="0.3">
      <c r="A652" s="15" t="s">
        <v>46408</v>
      </c>
      <c r="B652" s="15" t="s">
        <v>2029</v>
      </c>
      <c r="C652" s="15" t="s">
        <v>2030</v>
      </c>
      <c r="D652" s="15" t="s">
        <v>2031</v>
      </c>
      <c r="E652" s="15">
        <v>11.252700000000001</v>
      </c>
      <c r="F652" s="42">
        <v>46198</v>
      </c>
    </row>
    <row r="653" spans="1:6" x14ac:dyDescent="0.3">
      <c r="A653" s="15" t="s">
        <v>33499</v>
      </c>
      <c r="B653" s="15" t="s">
        <v>795</v>
      </c>
      <c r="C653" s="15" t="s">
        <v>795</v>
      </c>
      <c r="D653" s="15" t="s">
        <v>795</v>
      </c>
      <c r="F653" s="42"/>
    </row>
    <row r="654" spans="1:6" x14ac:dyDescent="0.3">
      <c r="A654" s="15" t="s">
        <v>37807</v>
      </c>
      <c r="B654" s="15" t="s">
        <v>795</v>
      </c>
      <c r="C654" s="15" t="s">
        <v>795</v>
      </c>
      <c r="D654" s="15" t="s">
        <v>795</v>
      </c>
      <c r="F654" s="42"/>
    </row>
    <row r="655" spans="1:6" x14ac:dyDescent="0.3">
      <c r="A655" s="15" t="s">
        <v>33499</v>
      </c>
      <c r="B655" s="15" t="s">
        <v>795</v>
      </c>
      <c r="C655" s="15" t="s">
        <v>795</v>
      </c>
      <c r="D655" s="15" t="s">
        <v>795</v>
      </c>
      <c r="F655" s="42"/>
    </row>
    <row r="656" spans="1:6" x14ac:dyDescent="0.3">
      <c r="A656" s="15" t="s">
        <v>46407</v>
      </c>
      <c r="B656" s="15" t="s">
        <v>2032</v>
      </c>
      <c r="C656" s="15" t="s">
        <v>2033</v>
      </c>
      <c r="D656" s="15" t="s">
        <v>2034</v>
      </c>
      <c r="E656" s="15">
        <v>2342.5027</v>
      </c>
      <c r="F656" s="42">
        <v>46198</v>
      </c>
    </row>
    <row r="657" spans="1:6" x14ac:dyDescent="0.3">
      <c r="A657" s="15" t="s">
        <v>46406</v>
      </c>
      <c r="B657" s="15" t="s">
        <v>2035</v>
      </c>
      <c r="C657" s="15" t="s">
        <v>800</v>
      </c>
      <c r="D657" s="15" t="s">
        <v>2036</v>
      </c>
      <c r="E657" s="15">
        <v>2325.1464999999998</v>
      </c>
      <c r="F657" s="42">
        <v>46198</v>
      </c>
    </row>
    <row r="658" spans="1:6" x14ac:dyDescent="0.3">
      <c r="A658" s="15" t="s">
        <v>46405</v>
      </c>
      <c r="B658" s="15" t="s">
        <v>2037</v>
      </c>
      <c r="C658" s="15" t="s">
        <v>2038</v>
      </c>
      <c r="D658" s="15" t="s">
        <v>2039</v>
      </c>
      <c r="E658" s="15">
        <v>1196.4181000000001</v>
      </c>
      <c r="F658" s="42">
        <v>46198</v>
      </c>
    </row>
    <row r="659" spans="1:6" x14ac:dyDescent="0.3">
      <c r="A659" s="15" t="s">
        <v>46404</v>
      </c>
      <c r="B659" s="15" t="s">
        <v>2040</v>
      </c>
      <c r="C659" s="15" t="s">
        <v>2041</v>
      </c>
      <c r="D659" s="15" t="s">
        <v>2042</v>
      </c>
      <c r="E659" s="15">
        <v>2064.6837999999998</v>
      </c>
      <c r="F659" s="42">
        <v>46198</v>
      </c>
    </row>
    <row r="660" spans="1:6" x14ac:dyDescent="0.3">
      <c r="A660" s="15" t="s">
        <v>46403</v>
      </c>
      <c r="B660" s="15" t="s">
        <v>2043</v>
      </c>
      <c r="C660" s="15" t="s">
        <v>800</v>
      </c>
      <c r="D660" s="15" t="s">
        <v>2044</v>
      </c>
      <c r="E660" s="15">
        <v>2065.3265999999999</v>
      </c>
      <c r="F660" s="42">
        <v>46198</v>
      </c>
    </row>
    <row r="661" spans="1:6" x14ac:dyDescent="0.3">
      <c r="A661" s="15" t="s">
        <v>46402</v>
      </c>
      <c r="B661" s="15" t="s">
        <v>2045</v>
      </c>
      <c r="C661" s="15" t="s">
        <v>2046</v>
      </c>
      <c r="D661" s="15" t="s">
        <v>2047</v>
      </c>
      <c r="E661" s="15">
        <v>1206.7693999999999</v>
      </c>
      <c r="F661" s="42">
        <v>46198</v>
      </c>
    </row>
    <row r="662" spans="1:6" x14ac:dyDescent="0.3">
      <c r="A662" s="15" t="s">
        <v>33499</v>
      </c>
      <c r="B662" s="15" t="s">
        <v>795</v>
      </c>
      <c r="C662" s="15" t="s">
        <v>795</v>
      </c>
      <c r="D662" s="15" t="s">
        <v>795</v>
      </c>
      <c r="F662" s="42"/>
    </row>
    <row r="663" spans="1:6" x14ac:dyDescent="0.3">
      <c r="A663" s="15" t="s">
        <v>139</v>
      </c>
      <c r="B663" s="15" t="s">
        <v>795</v>
      </c>
      <c r="C663" s="15" t="s">
        <v>795</v>
      </c>
      <c r="D663" s="15" t="s">
        <v>795</v>
      </c>
      <c r="F663" s="42"/>
    </row>
    <row r="664" spans="1:6" x14ac:dyDescent="0.3">
      <c r="A664" s="15" t="s">
        <v>33499</v>
      </c>
      <c r="B664" s="15" t="s">
        <v>795</v>
      </c>
      <c r="C664" s="15" t="s">
        <v>795</v>
      </c>
      <c r="D664" s="15" t="s">
        <v>795</v>
      </c>
      <c r="F664" s="42"/>
    </row>
    <row r="665" spans="1:6" x14ac:dyDescent="0.3">
      <c r="A665" s="15" t="s">
        <v>46401</v>
      </c>
      <c r="B665" s="15" t="s">
        <v>2048</v>
      </c>
      <c r="C665" s="15" t="s">
        <v>800</v>
      </c>
      <c r="D665" s="15" t="s">
        <v>2049</v>
      </c>
      <c r="E665" s="15">
        <v>26.799099999999999</v>
      </c>
      <c r="F665" s="42">
        <v>46198</v>
      </c>
    </row>
    <row r="666" spans="1:6" x14ac:dyDescent="0.3">
      <c r="A666" s="15" t="s">
        <v>46400</v>
      </c>
      <c r="B666" s="15" t="s">
        <v>2050</v>
      </c>
      <c r="C666" s="15" t="s">
        <v>800</v>
      </c>
      <c r="D666" s="15" t="s">
        <v>2051</v>
      </c>
      <c r="E666" s="15">
        <v>31.434100000000001</v>
      </c>
      <c r="F666" s="42">
        <v>46198</v>
      </c>
    </row>
    <row r="667" spans="1:6" x14ac:dyDescent="0.3">
      <c r="A667" s="15" t="s">
        <v>46399</v>
      </c>
      <c r="B667" s="15" t="s">
        <v>2052</v>
      </c>
      <c r="C667" s="15" t="s">
        <v>800</v>
      </c>
      <c r="D667" s="15" t="s">
        <v>2053</v>
      </c>
      <c r="E667" s="15">
        <v>35.68</v>
      </c>
      <c r="F667" s="42">
        <v>46198</v>
      </c>
    </row>
    <row r="668" spans="1:6" x14ac:dyDescent="0.3">
      <c r="A668" s="15" t="s">
        <v>46398</v>
      </c>
      <c r="B668" s="15" t="s">
        <v>2054</v>
      </c>
      <c r="C668" s="15" t="s">
        <v>2055</v>
      </c>
      <c r="D668" s="15" t="s">
        <v>2056</v>
      </c>
      <c r="E668" s="15">
        <v>13.670299999999999</v>
      </c>
      <c r="F668" s="42">
        <v>46198</v>
      </c>
    </row>
    <row r="669" spans="1:6" x14ac:dyDescent="0.3">
      <c r="A669" s="15" t="s">
        <v>33499</v>
      </c>
      <c r="B669" s="15" t="s">
        <v>795</v>
      </c>
      <c r="C669" s="15" t="s">
        <v>795</v>
      </c>
      <c r="D669" s="15" t="s">
        <v>795</v>
      </c>
      <c r="F669" s="42"/>
    </row>
    <row r="670" spans="1:6" x14ac:dyDescent="0.3">
      <c r="A670" s="15" t="s">
        <v>208</v>
      </c>
      <c r="B670" s="15" t="s">
        <v>795</v>
      </c>
      <c r="C670" s="15" t="s">
        <v>795</v>
      </c>
      <c r="D670" s="15" t="s">
        <v>795</v>
      </c>
      <c r="F670" s="42"/>
    </row>
    <row r="671" spans="1:6" x14ac:dyDescent="0.3">
      <c r="A671" s="15" t="s">
        <v>33499</v>
      </c>
      <c r="B671" s="15" t="s">
        <v>795</v>
      </c>
      <c r="C671" s="15" t="s">
        <v>795</v>
      </c>
      <c r="D671" s="15" t="s">
        <v>795</v>
      </c>
      <c r="F671" s="42"/>
    </row>
    <row r="672" spans="1:6" x14ac:dyDescent="0.3">
      <c r="A672" s="15" t="s">
        <v>46397</v>
      </c>
      <c r="B672" s="15" t="s">
        <v>2057</v>
      </c>
      <c r="C672" s="15" t="s">
        <v>800</v>
      </c>
      <c r="D672" s="15" t="s">
        <v>2058</v>
      </c>
      <c r="E672" s="15">
        <v>37.664400000000001</v>
      </c>
      <c r="F672" s="42">
        <v>46198</v>
      </c>
    </row>
    <row r="673" spans="1:6" x14ac:dyDescent="0.3">
      <c r="A673" s="15" t="s">
        <v>46396</v>
      </c>
      <c r="B673" s="15" t="s">
        <v>2059</v>
      </c>
      <c r="C673" s="15" t="s">
        <v>800</v>
      </c>
      <c r="D673" s="15" t="s">
        <v>2060</v>
      </c>
      <c r="E673" s="15">
        <v>39.633000000000003</v>
      </c>
      <c r="F673" s="42">
        <v>46198</v>
      </c>
    </row>
    <row r="674" spans="1:6" x14ac:dyDescent="0.3">
      <c r="A674" s="15" t="s">
        <v>46395</v>
      </c>
      <c r="B674" s="15" t="s">
        <v>2061</v>
      </c>
      <c r="C674" s="15" t="s">
        <v>2062</v>
      </c>
      <c r="D674" s="15" t="s">
        <v>2063</v>
      </c>
      <c r="E674" s="15">
        <v>0</v>
      </c>
      <c r="F674" s="42">
        <v>46198</v>
      </c>
    </row>
    <row r="675" spans="1:6" x14ac:dyDescent="0.3">
      <c r="A675" s="15" t="s">
        <v>46394</v>
      </c>
      <c r="B675" s="15" t="s">
        <v>2064</v>
      </c>
      <c r="C675" s="15" t="s">
        <v>2065</v>
      </c>
      <c r="D675" s="15" t="s">
        <v>2066</v>
      </c>
      <c r="E675" s="15">
        <v>0</v>
      </c>
      <c r="F675" s="42">
        <v>46198</v>
      </c>
    </row>
    <row r="676" spans="1:6" x14ac:dyDescent="0.3">
      <c r="A676" s="15" t="s">
        <v>46393</v>
      </c>
      <c r="B676" s="15" t="s">
        <v>2067</v>
      </c>
      <c r="C676" s="15" t="s">
        <v>2068</v>
      </c>
      <c r="D676" s="15" t="s">
        <v>2069</v>
      </c>
      <c r="E676" s="15">
        <v>0</v>
      </c>
      <c r="F676" s="42">
        <v>46198</v>
      </c>
    </row>
    <row r="677" spans="1:6" x14ac:dyDescent="0.3">
      <c r="A677" s="15" t="s">
        <v>46392</v>
      </c>
      <c r="B677" s="15" t="s">
        <v>2070</v>
      </c>
      <c r="C677" s="15" t="s">
        <v>2071</v>
      </c>
      <c r="D677" s="15" t="s">
        <v>2072</v>
      </c>
      <c r="E677" s="15">
        <v>0</v>
      </c>
      <c r="F677" s="42">
        <v>46198</v>
      </c>
    </row>
    <row r="678" spans="1:6" x14ac:dyDescent="0.3">
      <c r="A678" s="15" t="s">
        <v>46391</v>
      </c>
      <c r="B678" s="15" t="s">
        <v>2073</v>
      </c>
      <c r="C678" s="15" t="s">
        <v>800</v>
      </c>
      <c r="D678" s="15" t="s">
        <v>2074</v>
      </c>
      <c r="E678" s="15">
        <v>41.760300000000001</v>
      </c>
      <c r="F678" s="42">
        <v>46198</v>
      </c>
    </row>
    <row r="679" spans="1:6" x14ac:dyDescent="0.3">
      <c r="A679" s="15" t="s">
        <v>46390</v>
      </c>
      <c r="B679" s="15" t="s">
        <v>2075</v>
      </c>
      <c r="C679" s="15" t="s">
        <v>800</v>
      </c>
      <c r="D679" s="15" t="s">
        <v>2076</v>
      </c>
      <c r="E679" s="15">
        <v>22.6099</v>
      </c>
      <c r="F679" s="42">
        <v>46198</v>
      </c>
    </row>
    <row r="680" spans="1:6" x14ac:dyDescent="0.3">
      <c r="A680" s="15" t="s">
        <v>46389</v>
      </c>
      <c r="B680" s="15" t="s">
        <v>2077</v>
      </c>
      <c r="C680" s="15" t="s">
        <v>2078</v>
      </c>
      <c r="D680" s="15" t="s">
        <v>2079</v>
      </c>
      <c r="E680" s="15">
        <v>13.644399999999999</v>
      </c>
      <c r="F680" s="42">
        <v>46198</v>
      </c>
    </row>
    <row r="681" spans="1:6" x14ac:dyDescent="0.3">
      <c r="A681" s="15" t="s">
        <v>46388</v>
      </c>
      <c r="B681" s="15" t="s">
        <v>2080</v>
      </c>
      <c r="C681" s="15" t="s">
        <v>2081</v>
      </c>
      <c r="D681" s="15" t="s">
        <v>2082</v>
      </c>
      <c r="E681" s="15">
        <v>20.66</v>
      </c>
      <c r="F681" s="42">
        <v>46198</v>
      </c>
    </row>
    <row r="682" spans="1:6" x14ac:dyDescent="0.3">
      <c r="A682" s="15" t="s">
        <v>46387</v>
      </c>
      <c r="B682" s="15" t="s">
        <v>2083</v>
      </c>
      <c r="C682" s="15" t="s">
        <v>2084</v>
      </c>
      <c r="D682" s="15" t="s">
        <v>2085</v>
      </c>
      <c r="E682" s="15">
        <v>13.046200000000001</v>
      </c>
      <c r="F682" s="42">
        <v>46198</v>
      </c>
    </row>
    <row r="683" spans="1:6" x14ac:dyDescent="0.3">
      <c r="A683" s="15" t="s">
        <v>46386</v>
      </c>
      <c r="B683" s="15" t="s">
        <v>2086</v>
      </c>
      <c r="C683" s="15" t="s">
        <v>800</v>
      </c>
      <c r="D683" s="15" t="s">
        <v>2087</v>
      </c>
      <c r="E683" s="15">
        <v>0.53420000000000001</v>
      </c>
      <c r="F683" s="42">
        <v>44588</v>
      </c>
    </row>
    <row r="684" spans="1:6" x14ac:dyDescent="0.3">
      <c r="A684" s="15" t="s">
        <v>46385</v>
      </c>
      <c r="B684" s="15" t="s">
        <v>2088</v>
      </c>
      <c r="C684" s="15" t="s">
        <v>2089</v>
      </c>
      <c r="D684" s="15" t="s">
        <v>2090</v>
      </c>
      <c r="E684" s="15">
        <v>0.2893</v>
      </c>
      <c r="F684" s="42">
        <v>44588</v>
      </c>
    </row>
    <row r="685" spans="1:6" x14ac:dyDescent="0.3">
      <c r="A685" s="15" t="s">
        <v>46384</v>
      </c>
      <c r="B685" s="15" t="s">
        <v>2091</v>
      </c>
      <c r="C685" s="15" t="s">
        <v>2092</v>
      </c>
      <c r="D685" s="15" t="s">
        <v>2093</v>
      </c>
      <c r="E685" s="15">
        <v>0.2477</v>
      </c>
      <c r="F685" s="42">
        <v>44588</v>
      </c>
    </row>
    <row r="686" spans="1:6" x14ac:dyDescent="0.3">
      <c r="A686" s="15" t="s">
        <v>46383</v>
      </c>
      <c r="B686" s="15" t="s">
        <v>2094</v>
      </c>
      <c r="C686" s="15" t="s">
        <v>800</v>
      </c>
      <c r="D686" s="15" t="s">
        <v>2095</v>
      </c>
      <c r="E686" s="15">
        <v>0.50360000000000005</v>
      </c>
      <c r="F686" s="42">
        <v>44588</v>
      </c>
    </row>
    <row r="687" spans="1:6" x14ac:dyDescent="0.3">
      <c r="A687" s="15" t="s">
        <v>46382</v>
      </c>
      <c r="B687" s="15" t="s">
        <v>2096</v>
      </c>
      <c r="C687" s="15" t="s">
        <v>2097</v>
      </c>
      <c r="D687" s="15" t="s">
        <v>2098</v>
      </c>
      <c r="E687" s="15">
        <v>0.27629999999999999</v>
      </c>
      <c r="F687" s="42">
        <v>44588</v>
      </c>
    </row>
    <row r="688" spans="1:6" x14ac:dyDescent="0.3">
      <c r="A688" s="15" t="s">
        <v>46381</v>
      </c>
      <c r="B688" s="15" t="s">
        <v>2099</v>
      </c>
      <c r="C688" s="15" t="s">
        <v>800</v>
      </c>
      <c r="D688" s="15" t="s">
        <v>2100</v>
      </c>
      <c r="E688" s="15">
        <v>0.43330000000000002</v>
      </c>
      <c r="F688" s="42">
        <v>44588</v>
      </c>
    </row>
    <row r="689" spans="1:6" x14ac:dyDescent="0.3">
      <c r="A689" s="15" t="s">
        <v>46380</v>
      </c>
      <c r="B689" s="15" t="s">
        <v>2101</v>
      </c>
      <c r="C689" s="15" t="s">
        <v>2102</v>
      </c>
      <c r="D689" s="15" t="s">
        <v>2103</v>
      </c>
      <c r="E689" s="15">
        <v>0.24049999999999999</v>
      </c>
      <c r="F689" s="42">
        <v>44588</v>
      </c>
    </row>
    <row r="690" spans="1:6" x14ac:dyDescent="0.3">
      <c r="A690" s="15" t="s">
        <v>46379</v>
      </c>
      <c r="B690" s="15" t="s">
        <v>2104</v>
      </c>
      <c r="C690" s="15" t="s">
        <v>800</v>
      </c>
      <c r="D690" s="15" t="s">
        <v>2105</v>
      </c>
      <c r="E690" s="15">
        <v>0</v>
      </c>
      <c r="F690" s="42">
        <v>46198</v>
      </c>
    </row>
    <row r="691" spans="1:6" x14ac:dyDescent="0.3">
      <c r="A691" s="15" t="s">
        <v>46378</v>
      </c>
      <c r="B691" s="15" t="s">
        <v>2106</v>
      </c>
      <c r="C691" s="15" t="s">
        <v>800</v>
      </c>
      <c r="D691" s="15" t="s">
        <v>2107</v>
      </c>
      <c r="E691" s="15">
        <v>0</v>
      </c>
      <c r="F691" s="42">
        <v>46198</v>
      </c>
    </row>
    <row r="692" spans="1:6" x14ac:dyDescent="0.3">
      <c r="A692" s="15" t="s">
        <v>46377</v>
      </c>
      <c r="B692" s="15" t="s">
        <v>2108</v>
      </c>
      <c r="C692" s="15" t="s">
        <v>800</v>
      </c>
      <c r="D692" s="15" t="s">
        <v>2109</v>
      </c>
      <c r="E692" s="15">
        <v>0</v>
      </c>
      <c r="F692" s="42">
        <v>46198</v>
      </c>
    </row>
    <row r="693" spans="1:6" x14ac:dyDescent="0.3">
      <c r="A693" s="15" t="s">
        <v>33499</v>
      </c>
      <c r="B693" s="15" t="s">
        <v>795</v>
      </c>
      <c r="C693" s="15" t="s">
        <v>795</v>
      </c>
      <c r="D693" s="15" t="s">
        <v>795</v>
      </c>
      <c r="F693" s="42"/>
    </row>
    <row r="694" spans="1:6" x14ac:dyDescent="0.3">
      <c r="A694" s="15" t="s">
        <v>33636</v>
      </c>
      <c r="B694" s="15" t="s">
        <v>795</v>
      </c>
      <c r="C694" s="15" t="s">
        <v>795</v>
      </c>
      <c r="D694" s="15" t="s">
        <v>795</v>
      </c>
      <c r="F694" s="42"/>
    </row>
    <row r="695" spans="1:6" x14ac:dyDescent="0.3">
      <c r="A695" s="15" t="s">
        <v>33499</v>
      </c>
      <c r="B695" s="15" t="s">
        <v>795</v>
      </c>
      <c r="C695" s="15" t="s">
        <v>795</v>
      </c>
      <c r="D695" s="15" t="s">
        <v>795</v>
      </c>
      <c r="F695" s="42"/>
    </row>
    <row r="696" spans="1:6" x14ac:dyDescent="0.3">
      <c r="A696" s="15" t="s">
        <v>46376</v>
      </c>
      <c r="B696" s="15" t="s">
        <v>800</v>
      </c>
      <c r="C696" s="15" t="s">
        <v>2110</v>
      </c>
      <c r="D696" s="15" t="s">
        <v>2111</v>
      </c>
      <c r="E696" s="15">
        <v>16.876799999999999</v>
      </c>
      <c r="F696" s="42">
        <v>46198</v>
      </c>
    </row>
    <row r="697" spans="1:6" x14ac:dyDescent="0.3">
      <c r="A697" s="15" t="s">
        <v>46375</v>
      </c>
      <c r="B697" s="15" t="s">
        <v>2112</v>
      </c>
      <c r="C697" s="15" t="s">
        <v>2113</v>
      </c>
      <c r="D697" s="15" t="s">
        <v>2114</v>
      </c>
      <c r="E697" s="15">
        <v>24.750800000000002</v>
      </c>
      <c r="F697" s="42">
        <v>46198</v>
      </c>
    </row>
    <row r="698" spans="1:6" x14ac:dyDescent="0.3">
      <c r="A698" s="15" t="s">
        <v>46374</v>
      </c>
      <c r="B698" s="15" t="s">
        <v>2115</v>
      </c>
      <c r="C698" s="15" t="s">
        <v>800</v>
      </c>
      <c r="D698" s="15" t="s">
        <v>2116</v>
      </c>
      <c r="E698" s="15">
        <v>53.186500000000002</v>
      </c>
      <c r="F698" s="42">
        <v>46198</v>
      </c>
    </row>
    <row r="699" spans="1:6" x14ac:dyDescent="0.3">
      <c r="A699" s="15" t="s">
        <v>46373</v>
      </c>
      <c r="B699" s="15" t="s">
        <v>800</v>
      </c>
      <c r="C699" s="15" t="s">
        <v>2117</v>
      </c>
      <c r="D699" s="15" t="s">
        <v>2118</v>
      </c>
      <c r="E699" s="15">
        <v>16.197800000000001</v>
      </c>
      <c r="F699" s="42">
        <v>46198</v>
      </c>
    </row>
    <row r="700" spans="1:6" x14ac:dyDescent="0.3">
      <c r="A700" s="15" t="s">
        <v>46372</v>
      </c>
      <c r="B700" s="15" t="s">
        <v>2119</v>
      </c>
      <c r="C700" s="15" t="s">
        <v>800</v>
      </c>
      <c r="D700" s="15" t="s">
        <v>2120</v>
      </c>
      <c r="E700" s="15">
        <v>48.939700000000002</v>
      </c>
      <c r="F700" s="42">
        <v>46198</v>
      </c>
    </row>
    <row r="701" spans="1:6" x14ac:dyDescent="0.3">
      <c r="A701" s="15" t="s">
        <v>46371</v>
      </c>
      <c r="B701" s="15" t="s">
        <v>2121</v>
      </c>
      <c r="C701" s="15" t="s">
        <v>2122</v>
      </c>
      <c r="D701" s="15" t="s">
        <v>2123</v>
      </c>
      <c r="E701" s="15">
        <v>22.1248</v>
      </c>
      <c r="F701" s="42">
        <v>46198</v>
      </c>
    </row>
    <row r="702" spans="1:6" x14ac:dyDescent="0.3">
      <c r="A702" s="15" t="s">
        <v>33499</v>
      </c>
      <c r="B702" s="15" t="s">
        <v>795</v>
      </c>
      <c r="C702" s="15" t="s">
        <v>795</v>
      </c>
      <c r="D702" s="15" t="s">
        <v>795</v>
      </c>
      <c r="F702" s="42"/>
    </row>
    <row r="703" spans="1:6" x14ac:dyDescent="0.3">
      <c r="A703" s="15" t="s">
        <v>33500</v>
      </c>
      <c r="B703" s="15" t="s">
        <v>795</v>
      </c>
      <c r="C703" s="15" t="s">
        <v>795</v>
      </c>
      <c r="D703" s="15" t="s">
        <v>795</v>
      </c>
      <c r="F703" s="42"/>
    </row>
    <row r="704" spans="1:6" x14ac:dyDescent="0.3">
      <c r="A704" s="15" t="s">
        <v>33499</v>
      </c>
      <c r="B704" s="15" t="s">
        <v>795</v>
      </c>
      <c r="C704" s="15" t="s">
        <v>795</v>
      </c>
      <c r="D704" s="15" t="s">
        <v>795</v>
      </c>
      <c r="F704" s="42"/>
    </row>
    <row r="705" spans="1:6" x14ac:dyDescent="0.3">
      <c r="A705" s="15" t="s">
        <v>46370</v>
      </c>
      <c r="B705" s="15" t="s">
        <v>2124</v>
      </c>
      <c r="C705" s="15" t="s">
        <v>2125</v>
      </c>
      <c r="D705" s="15" t="s">
        <v>2126</v>
      </c>
      <c r="E705" s="15">
        <v>0</v>
      </c>
      <c r="F705" s="42">
        <v>46198</v>
      </c>
    </row>
    <row r="706" spans="1:6" x14ac:dyDescent="0.3">
      <c r="A706" s="15" t="s">
        <v>46369</v>
      </c>
      <c r="B706" s="15" t="s">
        <v>2127</v>
      </c>
      <c r="C706" s="15" t="s">
        <v>2128</v>
      </c>
      <c r="D706" s="15" t="s">
        <v>2129</v>
      </c>
      <c r="E706" s="15">
        <v>0</v>
      </c>
      <c r="F706" s="42">
        <v>46198</v>
      </c>
    </row>
    <row r="707" spans="1:6" x14ac:dyDescent="0.3">
      <c r="A707" s="15" t="s">
        <v>46368</v>
      </c>
      <c r="B707" s="15" t="s">
        <v>2130</v>
      </c>
      <c r="C707" s="15" t="s">
        <v>800</v>
      </c>
      <c r="D707" s="15" t="s">
        <v>2131</v>
      </c>
      <c r="E707" s="15">
        <v>0</v>
      </c>
      <c r="F707" s="42">
        <v>46198</v>
      </c>
    </row>
    <row r="708" spans="1:6" x14ac:dyDescent="0.3">
      <c r="A708" s="15" t="s">
        <v>46367</v>
      </c>
      <c r="B708" s="15" t="s">
        <v>2132</v>
      </c>
      <c r="C708" s="15" t="s">
        <v>2133</v>
      </c>
      <c r="D708" s="15" t="s">
        <v>2134</v>
      </c>
      <c r="E708" s="15">
        <v>0</v>
      </c>
      <c r="F708" s="42">
        <v>46198</v>
      </c>
    </row>
    <row r="709" spans="1:6" x14ac:dyDescent="0.3">
      <c r="A709" s="15" t="s">
        <v>46366</v>
      </c>
      <c r="B709" s="15" t="s">
        <v>2135</v>
      </c>
      <c r="C709" s="15" t="s">
        <v>2136</v>
      </c>
      <c r="D709" s="15" t="s">
        <v>2137</v>
      </c>
      <c r="E709" s="15">
        <v>0</v>
      </c>
      <c r="F709" s="42">
        <v>46198</v>
      </c>
    </row>
    <row r="710" spans="1:6" x14ac:dyDescent="0.3">
      <c r="A710" s="15" t="s">
        <v>46365</v>
      </c>
      <c r="B710" s="15" t="s">
        <v>2138</v>
      </c>
      <c r="C710" s="15" t="s">
        <v>2139</v>
      </c>
      <c r="D710" s="15" t="s">
        <v>2140</v>
      </c>
      <c r="E710" s="15">
        <v>0</v>
      </c>
      <c r="F710" s="42">
        <v>46198</v>
      </c>
    </row>
    <row r="711" spans="1:6" x14ac:dyDescent="0.3">
      <c r="A711" s="15" t="s">
        <v>46364</v>
      </c>
      <c r="B711" s="15" t="s">
        <v>2141</v>
      </c>
      <c r="C711" s="15" t="s">
        <v>2142</v>
      </c>
      <c r="D711" s="15" t="s">
        <v>2143</v>
      </c>
      <c r="E711" s="15">
        <v>0</v>
      </c>
      <c r="F711" s="42">
        <v>46198</v>
      </c>
    </row>
    <row r="712" spans="1:6" x14ac:dyDescent="0.3">
      <c r="A712" s="15" t="s">
        <v>46363</v>
      </c>
      <c r="B712" s="15" t="s">
        <v>2144</v>
      </c>
      <c r="C712" s="15" t="s">
        <v>2145</v>
      </c>
      <c r="D712" s="15" t="s">
        <v>2146</v>
      </c>
      <c r="E712" s="15">
        <v>0</v>
      </c>
      <c r="F712" s="42">
        <v>46198</v>
      </c>
    </row>
    <row r="713" spans="1:6" x14ac:dyDescent="0.3">
      <c r="A713" s="15" t="s">
        <v>46362</v>
      </c>
      <c r="B713" s="15" t="s">
        <v>2147</v>
      </c>
      <c r="C713" s="15" t="s">
        <v>800</v>
      </c>
      <c r="D713" s="15" t="s">
        <v>2148</v>
      </c>
      <c r="E713" s="15">
        <v>0</v>
      </c>
      <c r="F713" s="42">
        <v>46198</v>
      </c>
    </row>
    <row r="714" spans="1:6" x14ac:dyDescent="0.3">
      <c r="A714" s="15" t="s">
        <v>46361</v>
      </c>
      <c r="B714" s="15" t="s">
        <v>2149</v>
      </c>
      <c r="C714" s="15" t="s">
        <v>2150</v>
      </c>
      <c r="D714" s="15" t="s">
        <v>2151</v>
      </c>
      <c r="E714" s="15">
        <v>0</v>
      </c>
      <c r="F714" s="42">
        <v>46198</v>
      </c>
    </row>
    <row r="715" spans="1:6" x14ac:dyDescent="0.3">
      <c r="A715" s="15" t="s">
        <v>46360</v>
      </c>
      <c r="B715" s="15" t="s">
        <v>2152</v>
      </c>
      <c r="C715" s="15" t="s">
        <v>2153</v>
      </c>
      <c r="D715" s="15" t="s">
        <v>2154</v>
      </c>
      <c r="E715" s="15">
        <v>0</v>
      </c>
      <c r="F715" s="42">
        <v>46198</v>
      </c>
    </row>
    <row r="716" spans="1:6" x14ac:dyDescent="0.3">
      <c r="A716" s="15" t="s">
        <v>46359</v>
      </c>
      <c r="B716" s="15" t="s">
        <v>2155</v>
      </c>
      <c r="C716" s="15" t="s">
        <v>2156</v>
      </c>
      <c r="D716" s="15" t="s">
        <v>2157</v>
      </c>
      <c r="E716" s="15">
        <v>0</v>
      </c>
      <c r="F716" s="42">
        <v>46198</v>
      </c>
    </row>
    <row r="717" spans="1:6" x14ac:dyDescent="0.3">
      <c r="A717" s="15" t="s">
        <v>46358</v>
      </c>
      <c r="B717" s="15" t="s">
        <v>800</v>
      </c>
      <c r="C717" s="15" t="s">
        <v>800</v>
      </c>
      <c r="D717" s="15" t="s">
        <v>2158</v>
      </c>
      <c r="E717" s="15">
        <v>0</v>
      </c>
      <c r="F717" s="42">
        <v>44026</v>
      </c>
    </row>
    <row r="718" spans="1:6" x14ac:dyDescent="0.3">
      <c r="A718" s="15" t="s">
        <v>46357</v>
      </c>
      <c r="B718" s="15" t="s">
        <v>800</v>
      </c>
      <c r="C718" s="15" t="s">
        <v>800</v>
      </c>
      <c r="D718" s="15" t="s">
        <v>2159</v>
      </c>
      <c r="E718" s="15">
        <v>0</v>
      </c>
      <c r="F718" s="42">
        <v>44026</v>
      </c>
    </row>
    <row r="719" spans="1:6" x14ac:dyDescent="0.3">
      <c r="A719" s="15" t="s">
        <v>46356</v>
      </c>
      <c r="B719" s="15" t="s">
        <v>800</v>
      </c>
      <c r="C719" s="15" t="s">
        <v>800</v>
      </c>
      <c r="D719" s="15" t="s">
        <v>2160</v>
      </c>
      <c r="E719" s="15">
        <v>0</v>
      </c>
      <c r="F719" s="42">
        <v>44026</v>
      </c>
    </row>
    <row r="720" spans="1:6" x14ac:dyDescent="0.3">
      <c r="A720" s="15" t="s">
        <v>46355</v>
      </c>
      <c r="B720" s="15" t="s">
        <v>800</v>
      </c>
      <c r="C720" s="15" t="s">
        <v>800</v>
      </c>
      <c r="D720" s="15" t="s">
        <v>2161</v>
      </c>
      <c r="E720" s="15">
        <v>0</v>
      </c>
      <c r="F720" s="42">
        <v>44026</v>
      </c>
    </row>
    <row r="721" spans="1:6" x14ac:dyDescent="0.3">
      <c r="A721" s="15" t="s">
        <v>46354</v>
      </c>
      <c r="B721" s="15" t="s">
        <v>800</v>
      </c>
      <c r="C721" s="15" t="s">
        <v>800</v>
      </c>
      <c r="D721" s="15" t="s">
        <v>2162</v>
      </c>
      <c r="E721" s="15">
        <v>0</v>
      </c>
      <c r="F721" s="42">
        <v>44026</v>
      </c>
    </row>
    <row r="722" spans="1:6" x14ac:dyDescent="0.3">
      <c r="A722" s="15" t="s">
        <v>46353</v>
      </c>
      <c r="B722" s="15" t="s">
        <v>800</v>
      </c>
      <c r="C722" s="15" t="s">
        <v>800</v>
      </c>
      <c r="D722" s="15" t="s">
        <v>2163</v>
      </c>
      <c r="E722" s="15">
        <v>0</v>
      </c>
      <c r="F722" s="42">
        <v>44026</v>
      </c>
    </row>
    <row r="723" spans="1:6" x14ac:dyDescent="0.3">
      <c r="A723" s="15" t="s">
        <v>46352</v>
      </c>
      <c r="B723" s="15" t="s">
        <v>800</v>
      </c>
      <c r="C723" s="15" t="s">
        <v>800</v>
      </c>
      <c r="D723" s="15" t="s">
        <v>2164</v>
      </c>
      <c r="E723" s="15">
        <v>0</v>
      </c>
      <c r="F723" s="42">
        <v>44026</v>
      </c>
    </row>
    <row r="724" spans="1:6" x14ac:dyDescent="0.3">
      <c r="A724" s="15" t="s">
        <v>46351</v>
      </c>
      <c r="B724" s="15" t="s">
        <v>800</v>
      </c>
      <c r="C724" s="15" t="s">
        <v>800</v>
      </c>
      <c r="D724" s="15" t="s">
        <v>2165</v>
      </c>
      <c r="E724" s="15">
        <v>0</v>
      </c>
      <c r="F724" s="42">
        <v>44026</v>
      </c>
    </row>
    <row r="725" spans="1:6" x14ac:dyDescent="0.3">
      <c r="A725" s="15" t="s">
        <v>46350</v>
      </c>
      <c r="B725" s="15" t="s">
        <v>800</v>
      </c>
      <c r="C725" s="15" t="s">
        <v>800</v>
      </c>
      <c r="D725" s="15" t="s">
        <v>2166</v>
      </c>
      <c r="E725" s="15">
        <v>0</v>
      </c>
      <c r="F725" s="42">
        <v>44026</v>
      </c>
    </row>
    <row r="726" spans="1:6" x14ac:dyDescent="0.3">
      <c r="A726" s="15" t="s">
        <v>46349</v>
      </c>
      <c r="B726" s="15" t="s">
        <v>800</v>
      </c>
      <c r="C726" s="15" t="s">
        <v>800</v>
      </c>
      <c r="D726" s="15" t="s">
        <v>2167</v>
      </c>
      <c r="E726" s="15">
        <v>0</v>
      </c>
      <c r="F726" s="42">
        <v>44026</v>
      </c>
    </row>
    <row r="727" spans="1:6" x14ac:dyDescent="0.3">
      <c r="A727" s="15" t="s">
        <v>46348</v>
      </c>
      <c r="B727" s="15" t="s">
        <v>800</v>
      </c>
      <c r="C727" s="15" t="s">
        <v>800</v>
      </c>
      <c r="D727" s="15" t="s">
        <v>2168</v>
      </c>
      <c r="E727" s="15">
        <v>0</v>
      </c>
      <c r="F727" s="42">
        <v>44026</v>
      </c>
    </row>
    <row r="728" spans="1:6" x14ac:dyDescent="0.3">
      <c r="A728" s="15" t="s">
        <v>46347</v>
      </c>
      <c r="B728" s="15" t="s">
        <v>800</v>
      </c>
      <c r="C728" s="15" t="s">
        <v>800</v>
      </c>
      <c r="D728" s="15" t="s">
        <v>2169</v>
      </c>
      <c r="E728" s="15">
        <v>0</v>
      </c>
      <c r="F728" s="42">
        <v>44026</v>
      </c>
    </row>
    <row r="729" spans="1:6" x14ac:dyDescent="0.3">
      <c r="A729" s="15" t="s">
        <v>46346</v>
      </c>
      <c r="B729" s="15" t="s">
        <v>2170</v>
      </c>
      <c r="C729" s="15" t="s">
        <v>2171</v>
      </c>
      <c r="D729" s="15" t="s">
        <v>2172</v>
      </c>
      <c r="E729" s="15">
        <v>0</v>
      </c>
      <c r="F729" s="42">
        <v>44630</v>
      </c>
    </row>
    <row r="730" spans="1:6" x14ac:dyDescent="0.3">
      <c r="A730" s="15" t="s">
        <v>46345</v>
      </c>
      <c r="B730" s="15" t="s">
        <v>2173</v>
      </c>
      <c r="C730" s="15" t="s">
        <v>2174</v>
      </c>
      <c r="D730" s="15" t="s">
        <v>2175</v>
      </c>
      <c r="E730" s="15">
        <v>0</v>
      </c>
      <c r="F730" s="42">
        <v>44630</v>
      </c>
    </row>
    <row r="731" spans="1:6" x14ac:dyDescent="0.3">
      <c r="A731" s="15" t="s">
        <v>46344</v>
      </c>
      <c r="B731" s="15" t="s">
        <v>2176</v>
      </c>
      <c r="C731" s="15" t="s">
        <v>800</v>
      </c>
      <c r="D731" s="15" t="s">
        <v>2177</v>
      </c>
      <c r="E731" s="15">
        <v>0</v>
      </c>
      <c r="F731" s="42">
        <v>44630</v>
      </c>
    </row>
    <row r="732" spans="1:6" x14ac:dyDescent="0.3">
      <c r="A732" s="15" t="s">
        <v>46343</v>
      </c>
      <c r="B732" s="15" t="s">
        <v>2178</v>
      </c>
      <c r="C732" s="15" t="s">
        <v>2179</v>
      </c>
      <c r="D732" s="15" t="s">
        <v>2180</v>
      </c>
      <c r="E732" s="15">
        <v>0</v>
      </c>
      <c r="F732" s="42">
        <v>44630</v>
      </c>
    </row>
    <row r="733" spans="1:6" x14ac:dyDescent="0.3">
      <c r="A733" s="15" t="s">
        <v>46342</v>
      </c>
      <c r="B733" s="15" t="s">
        <v>2181</v>
      </c>
      <c r="C733" s="15" t="s">
        <v>2182</v>
      </c>
      <c r="D733" s="15" t="s">
        <v>2183</v>
      </c>
      <c r="E733" s="15">
        <v>0</v>
      </c>
      <c r="F733" s="42">
        <v>44630</v>
      </c>
    </row>
    <row r="734" spans="1:6" x14ac:dyDescent="0.3">
      <c r="A734" s="15" t="s">
        <v>46341</v>
      </c>
      <c r="B734" s="15" t="s">
        <v>2184</v>
      </c>
      <c r="C734" s="15" t="s">
        <v>2185</v>
      </c>
      <c r="D734" s="15" t="s">
        <v>2186</v>
      </c>
      <c r="E734" s="15">
        <v>0</v>
      </c>
      <c r="F734" s="42">
        <v>44630</v>
      </c>
    </row>
    <row r="735" spans="1:6" x14ac:dyDescent="0.3">
      <c r="A735" s="15" t="s">
        <v>46340</v>
      </c>
      <c r="B735" s="15" t="s">
        <v>2187</v>
      </c>
      <c r="C735" s="15" t="s">
        <v>2188</v>
      </c>
      <c r="D735" s="15" t="s">
        <v>2189</v>
      </c>
      <c r="E735" s="15">
        <v>0</v>
      </c>
      <c r="F735" s="42">
        <v>44630</v>
      </c>
    </row>
    <row r="736" spans="1:6" x14ac:dyDescent="0.3">
      <c r="A736" s="15" t="s">
        <v>46339</v>
      </c>
      <c r="B736" s="15" t="s">
        <v>2190</v>
      </c>
      <c r="C736" s="15" t="s">
        <v>2191</v>
      </c>
      <c r="D736" s="15" t="s">
        <v>2192</v>
      </c>
      <c r="E736" s="15">
        <v>0</v>
      </c>
      <c r="F736" s="42">
        <v>44630</v>
      </c>
    </row>
    <row r="737" spans="1:6" x14ac:dyDescent="0.3">
      <c r="A737" s="15" t="s">
        <v>46338</v>
      </c>
      <c r="B737" s="15" t="s">
        <v>2193</v>
      </c>
      <c r="C737" s="15" t="s">
        <v>800</v>
      </c>
      <c r="D737" s="15" t="s">
        <v>2194</v>
      </c>
      <c r="E737" s="15">
        <v>0</v>
      </c>
      <c r="F737" s="42">
        <v>44630</v>
      </c>
    </row>
    <row r="738" spans="1:6" x14ac:dyDescent="0.3">
      <c r="A738" s="15" t="s">
        <v>46337</v>
      </c>
      <c r="B738" s="15" t="s">
        <v>2195</v>
      </c>
      <c r="C738" s="15" t="s">
        <v>2196</v>
      </c>
      <c r="D738" s="15" t="s">
        <v>2197</v>
      </c>
      <c r="E738" s="15">
        <v>0</v>
      </c>
      <c r="F738" s="42">
        <v>44630</v>
      </c>
    </row>
    <row r="739" spans="1:6" x14ac:dyDescent="0.3">
      <c r="A739" s="15" t="s">
        <v>46336</v>
      </c>
      <c r="B739" s="15" t="s">
        <v>2198</v>
      </c>
      <c r="C739" s="15" t="s">
        <v>2199</v>
      </c>
      <c r="D739" s="15" t="s">
        <v>2200</v>
      </c>
      <c r="E739" s="15">
        <v>0</v>
      </c>
      <c r="F739" s="42">
        <v>44630</v>
      </c>
    </row>
    <row r="740" spans="1:6" x14ac:dyDescent="0.3">
      <c r="A740" s="15" t="s">
        <v>46335</v>
      </c>
      <c r="B740" s="15" t="s">
        <v>2201</v>
      </c>
      <c r="C740" s="15" t="s">
        <v>2202</v>
      </c>
      <c r="D740" s="15" t="s">
        <v>2203</v>
      </c>
      <c r="E740" s="15">
        <v>0</v>
      </c>
      <c r="F740" s="42">
        <v>44630</v>
      </c>
    </row>
    <row r="741" spans="1:6" x14ac:dyDescent="0.3">
      <c r="A741" s="15" t="s">
        <v>46334</v>
      </c>
      <c r="B741" s="15" t="s">
        <v>2204</v>
      </c>
      <c r="C741" s="15" t="s">
        <v>800</v>
      </c>
      <c r="D741" s="15" t="s">
        <v>2205</v>
      </c>
      <c r="E741" s="15">
        <v>2.6873999999999998</v>
      </c>
      <c r="F741" s="42">
        <v>44592</v>
      </c>
    </row>
    <row r="742" spans="1:6" x14ac:dyDescent="0.3">
      <c r="A742" s="15" t="s">
        <v>46333</v>
      </c>
      <c r="B742" s="15" t="s">
        <v>2206</v>
      </c>
      <c r="C742" s="15" t="s">
        <v>800</v>
      </c>
      <c r="D742" s="15" t="s">
        <v>2207</v>
      </c>
      <c r="E742" s="15">
        <v>2.4018000000000002</v>
      </c>
      <c r="F742" s="42">
        <v>44592</v>
      </c>
    </row>
    <row r="743" spans="1:6" x14ac:dyDescent="0.3">
      <c r="A743" s="15" t="s">
        <v>46332</v>
      </c>
      <c r="B743" s="15" t="s">
        <v>2208</v>
      </c>
      <c r="C743" s="15" t="s">
        <v>2209</v>
      </c>
      <c r="D743" s="15" t="s">
        <v>2210</v>
      </c>
      <c r="E743" s="15">
        <v>1.7437</v>
      </c>
      <c r="F743" s="42">
        <v>44592</v>
      </c>
    </row>
    <row r="744" spans="1:6" x14ac:dyDescent="0.3">
      <c r="A744" s="15" t="s">
        <v>46331</v>
      </c>
      <c r="B744" s="15" t="s">
        <v>2211</v>
      </c>
      <c r="C744" s="15" t="s">
        <v>2212</v>
      </c>
      <c r="D744" s="15" t="s">
        <v>2213</v>
      </c>
      <c r="E744" s="15">
        <v>1.7035</v>
      </c>
      <c r="F744" s="42">
        <v>44592</v>
      </c>
    </row>
    <row r="745" spans="1:6" x14ac:dyDescent="0.3">
      <c r="A745" s="15" t="s">
        <v>46330</v>
      </c>
      <c r="B745" s="15" t="s">
        <v>2214</v>
      </c>
      <c r="C745" s="15" t="s">
        <v>2215</v>
      </c>
      <c r="D745" s="15" t="s">
        <v>2216</v>
      </c>
      <c r="E745" s="15">
        <v>1.7067000000000001</v>
      </c>
      <c r="F745" s="42">
        <v>44592</v>
      </c>
    </row>
    <row r="746" spans="1:6" x14ac:dyDescent="0.3">
      <c r="A746" s="15" t="s">
        <v>46329</v>
      </c>
      <c r="B746" s="15" t="s">
        <v>2217</v>
      </c>
      <c r="C746" s="15" t="s">
        <v>2218</v>
      </c>
      <c r="D746" s="15" t="s">
        <v>2219</v>
      </c>
      <c r="E746" s="15">
        <v>1.6035999999999999</v>
      </c>
      <c r="F746" s="42">
        <v>44592</v>
      </c>
    </row>
    <row r="747" spans="1:6" x14ac:dyDescent="0.3">
      <c r="A747" s="15" t="s">
        <v>46328</v>
      </c>
      <c r="B747" s="15" t="s">
        <v>2220</v>
      </c>
      <c r="C747" s="15" t="s">
        <v>2221</v>
      </c>
      <c r="D747" s="15" t="s">
        <v>2222</v>
      </c>
      <c r="E747" s="15">
        <v>1.8964000000000001</v>
      </c>
      <c r="F747" s="42">
        <v>44592</v>
      </c>
    </row>
    <row r="748" spans="1:6" x14ac:dyDescent="0.3">
      <c r="A748" s="15" t="s">
        <v>46327</v>
      </c>
      <c r="B748" s="15" t="s">
        <v>2223</v>
      </c>
      <c r="C748" s="15" t="s">
        <v>2224</v>
      </c>
      <c r="D748" s="15" t="s">
        <v>2225</v>
      </c>
      <c r="E748" s="15">
        <v>1.6027</v>
      </c>
      <c r="F748" s="42">
        <v>44592</v>
      </c>
    </row>
    <row r="749" spans="1:6" x14ac:dyDescent="0.3">
      <c r="A749" s="15" t="s">
        <v>46326</v>
      </c>
      <c r="B749" s="15" t="s">
        <v>2226</v>
      </c>
      <c r="C749" s="15" t="s">
        <v>2227</v>
      </c>
      <c r="D749" s="15" t="s">
        <v>2228</v>
      </c>
      <c r="E749" s="15">
        <v>1.5589999999999999</v>
      </c>
      <c r="F749" s="42">
        <v>44592</v>
      </c>
    </row>
    <row r="750" spans="1:6" x14ac:dyDescent="0.3">
      <c r="A750" s="15" t="s">
        <v>46325</v>
      </c>
      <c r="B750" s="15" t="s">
        <v>2229</v>
      </c>
      <c r="C750" s="15" t="s">
        <v>2230</v>
      </c>
      <c r="D750" s="15" t="s">
        <v>2231</v>
      </c>
      <c r="E750" s="15">
        <v>1.6108</v>
      </c>
      <c r="F750" s="42">
        <v>44592</v>
      </c>
    </row>
    <row r="751" spans="1:6" x14ac:dyDescent="0.3">
      <c r="A751" s="15" t="s">
        <v>46324</v>
      </c>
      <c r="B751" s="15" t="s">
        <v>2232</v>
      </c>
      <c r="C751" s="15" t="s">
        <v>2233</v>
      </c>
      <c r="D751" s="15" t="s">
        <v>2234</v>
      </c>
      <c r="E751" s="15">
        <v>1.4421999999999999</v>
      </c>
      <c r="F751" s="42">
        <v>44592</v>
      </c>
    </row>
    <row r="752" spans="1:6" x14ac:dyDescent="0.3">
      <c r="A752" s="15" t="s">
        <v>46323</v>
      </c>
      <c r="B752" s="15" t="s">
        <v>2235</v>
      </c>
      <c r="C752" s="15" t="s">
        <v>2236</v>
      </c>
      <c r="D752" s="15" t="s">
        <v>2237</v>
      </c>
      <c r="E752" s="15">
        <v>1.706</v>
      </c>
      <c r="F752" s="42">
        <v>44592</v>
      </c>
    </row>
    <row r="753" spans="1:6" x14ac:dyDescent="0.3">
      <c r="A753" s="15" t="s">
        <v>46322</v>
      </c>
      <c r="B753" s="15" t="s">
        <v>2238</v>
      </c>
      <c r="C753" s="15" t="s">
        <v>800</v>
      </c>
      <c r="D753" s="15" t="s">
        <v>2239</v>
      </c>
      <c r="E753" s="15">
        <v>18.1052</v>
      </c>
      <c r="F753" s="42">
        <v>46198</v>
      </c>
    </row>
    <row r="754" spans="1:6" x14ac:dyDescent="0.3">
      <c r="A754" s="15" t="s">
        <v>46321</v>
      </c>
      <c r="B754" s="15" t="s">
        <v>2240</v>
      </c>
      <c r="C754" s="15" t="s">
        <v>2241</v>
      </c>
      <c r="D754" s="15" t="s">
        <v>2242</v>
      </c>
      <c r="E754" s="15">
        <v>13.067399999999999</v>
      </c>
      <c r="F754" s="42">
        <v>46198</v>
      </c>
    </row>
    <row r="755" spans="1:6" x14ac:dyDescent="0.3">
      <c r="A755" s="15" t="s">
        <v>46320</v>
      </c>
      <c r="B755" s="15" t="s">
        <v>2243</v>
      </c>
      <c r="C755" s="15" t="s">
        <v>2244</v>
      </c>
      <c r="D755" s="15" t="s">
        <v>2245</v>
      </c>
      <c r="E755" s="15">
        <v>13.071899999999999</v>
      </c>
      <c r="F755" s="42">
        <v>46198</v>
      </c>
    </row>
    <row r="756" spans="1:6" x14ac:dyDescent="0.3">
      <c r="A756" s="15" t="s">
        <v>46319</v>
      </c>
      <c r="B756" s="15" t="s">
        <v>2246</v>
      </c>
      <c r="C756" s="15" t="s">
        <v>800</v>
      </c>
      <c r="D756" s="15" t="s">
        <v>2247</v>
      </c>
      <c r="E756" s="15">
        <v>20.596699999999998</v>
      </c>
      <c r="F756" s="42">
        <v>46198</v>
      </c>
    </row>
    <row r="757" spans="1:6" x14ac:dyDescent="0.3">
      <c r="A757" s="15" t="s">
        <v>46318</v>
      </c>
      <c r="B757" s="15" t="s">
        <v>2248</v>
      </c>
      <c r="C757" s="15" t="s">
        <v>2249</v>
      </c>
      <c r="D757" s="15" t="s">
        <v>2250</v>
      </c>
      <c r="E757" s="15">
        <v>13.119</v>
      </c>
      <c r="F757" s="42">
        <v>46198</v>
      </c>
    </row>
    <row r="758" spans="1:6" x14ac:dyDescent="0.3">
      <c r="A758" s="15" t="s">
        <v>46317</v>
      </c>
      <c r="B758" s="15" t="s">
        <v>2251</v>
      </c>
      <c r="C758" s="15" t="s">
        <v>2252</v>
      </c>
      <c r="D758" s="15" t="s">
        <v>2253</v>
      </c>
      <c r="E758" s="15">
        <v>11.334300000000001</v>
      </c>
      <c r="F758" s="42">
        <v>46198</v>
      </c>
    </row>
    <row r="759" spans="1:6" x14ac:dyDescent="0.3">
      <c r="A759" s="15" t="s">
        <v>46316</v>
      </c>
      <c r="B759" s="15" t="s">
        <v>2254</v>
      </c>
      <c r="C759" s="15" t="s">
        <v>2255</v>
      </c>
      <c r="D759" s="15" t="s">
        <v>2256</v>
      </c>
      <c r="E759" s="15">
        <v>14.5341</v>
      </c>
      <c r="F759" s="42">
        <v>46198</v>
      </c>
    </row>
    <row r="760" spans="1:6" x14ac:dyDescent="0.3">
      <c r="A760" s="15" t="s">
        <v>46315</v>
      </c>
      <c r="B760" s="15" t="s">
        <v>2257</v>
      </c>
      <c r="C760" s="15" t="s">
        <v>2258</v>
      </c>
      <c r="D760" s="15" t="s">
        <v>2259</v>
      </c>
      <c r="E760" s="15">
        <v>12.081300000000001</v>
      </c>
      <c r="F760" s="42">
        <v>46198</v>
      </c>
    </row>
    <row r="761" spans="1:6" x14ac:dyDescent="0.3">
      <c r="A761" s="15" t="s">
        <v>46314</v>
      </c>
      <c r="B761" s="15" t="s">
        <v>2260</v>
      </c>
      <c r="C761" s="15" t="s">
        <v>2261</v>
      </c>
      <c r="D761" s="15" t="s">
        <v>2262</v>
      </c>
      <c r="E761" s="15">
        <v>11.7532</v>
      </c>
      <c r="F761" s="42">
        <v>46198</v>
      </c>
    </row>
    <row r="762" spans="1:6" x14ac:dyDescent="0.3">
      <c r="A762" s="15" t="s">
        <v>46313</v>
      </c>
      <c r="B762" s="15" t="s">
        <v>2263</v>
      </c>
      <c r="C762" s="15" t="s">
        <v>2264</v>
      </c>
      <c r="D762" s="15" t="s">
        <v>2265</v>
      </c>
      <c r="E762" s="15">
        <v>12.1455</v>
      </c>
      <c r="F762" s="42">
        <v>46198</v>
      </c>
    </row>
    <row r="763" spans="1:6" x14ac:dyDescent="0.3">
      <c r="A763" s="15" t="s">
        <v>46312</v>
      </c>
      <c r="B763" s="15" t="s">
        <v>2266</v>
      </c>
      <c r="C763" s="15" t="s">
        <v>2267</v>
      </c>
      <c r="D763" s="15" t="s">
        <v>2268</v>
      </c>
      <c r="E763" s="15">
        <v>10.872400000000001</v>
      </c>
      <c r="F763" s="42">
        <v>46198</v>
      </c>
    </row>
    <row r="764" spans="1:6" x14ac:dyDescent="0.3">
      <c r="A764" s="15" t="s">
        <v>46311</v>
      </c>
      <c r="B764" s="15" t="s">
        <v>2269</v>
      </c>
      <c r="C764" s="15" t="s">
        <v>2270</v>
      </c>
      <c r="D764" s="15" t="s">
        <v>2271</v>
      </c>
      <c r="E764" s="15">
        <v>12.8605</v>
      </c>
      <c r="F764" s="42">
        <v>46198</v>
      </c>
    </row>
    <row r="765" spans="1:6" x14ac:dyDescent="0.3">
      <c r="A765" s="15" t="s">
        <v>33499</v>
      </c>
      <c r="B765" s="15" t="s">
        <v>795</v>
      </c>
      <c r="C765" s="15" t="s">
        <v>795</v>
      </c>
      <c r="D765" s="15" t="s">
        <v>795</v>
      </c>
      <c r="F765" s="42"/>
    </row>
    <row r="766" spans="1:6" x14ac:dyDescent="0.3">
      <c r="A766" s="15" t="s">
        <v>46310</v>
      </c>
      <c r="B766" s="15" t="s">
        <v>795</v>
      </c>
      <c r="C766" s="15" t="s">
        <v>795</v>
      </c>
      <c r="D766" s="15" t="s">
        <v>795</v>
      </c>
      <c r="F766" s="42"/>
    </row>
    <row r="767" spans="1:6" x14ac:dyDescent="0.3">
      <c r="A767" s="15" t="s">
        <v>33499</v>
      </c>
      <c r="B767" s="15" t="s">
        <v>795</v>
      </c>
      <c r="C767" s="15" t="s">
        <v>795</v>
      </c>
      <c r="D767" s="15" t="s">
        <v>795</v>
      </c>
      <c r="F767" s="42"/>
    </row>
    <row r="768" spans="1:6" x14ac:dyDescent="0.3">
      <c r="A768" s="15" t="s">
        <v>37954</v>
      </c>
      <c r="B768" s="15" t="s">
        <v>795</v>
      </c>
      <c r="C768" s="15" t="s">
        <v>795</v>
      </c>
      <c r="D768" s="15" t="s">
        <v>795</v>
      </c>
      <c r="F768" s="42"/>
    </row>
    <row r="769" spans="1:6" x14ac:dyDescent="0.3">
      <c r="A769" s="15" t="s">
        <v>33499</v>
      </c>
      <c r="B769" s="15" t="s">
        <v>795</v>
      </c>
      <c r="C769" s="15" t="s">
        <v>795</v>
      </c>
      <c r="D769" s="15" t="s">
        <v>795</v>
      </c>
      <c r="F769" s="42"/>
    </row>
    <row r="770" spans="1:6" x14ac:dyDescent="0.3">
      <c r="A770" s="15" t="s">
        <v>46309</v>
      </c>
      <c r="B770" s="15" t="s">
        <v>2272</v>
      </c>
      <c r="C770" s="15" t="s">
        <v>800</v>
      </c>
      <c r="D770" s="15" t="s">
        <v>2273</v>
      </c>
      <c r="E770" s="15">
        <v>23.981100000000001</v>
      </c>
      <c r="F770" s="42">
        <v>46198</v>
      </c>
    </row>
    <row r="771" spans="1:6" x14ac:dyDescent="0.3">
      <c r="A771" s="15" t="s">
        <v>46308</v>
      </c>
      <c r="B771" s="15" t="s">
        <v>2274</v>
      </c>
      <c r="C771" s="15" t="s">
        <v>800</v>
      </c>
      <c r="D771" s="15" t="s">
        <v>2275</v>
      </c>
      <c r="E771" s="15">
        <v>25.362500000000001</v>
      </c>
      <c r="F771" s="42">
        <v>46198</v>
      </c>
    </row>
    <row r="772" spans="1:6" x14ac:dyDescent="0.3">
      <c r="A772" s="15" t="s">
        <v>46307</v>
      </c>
      <c r="B772" s="15" t="s">
        <v>2276</v>
      </c>
      <c r="C772" s="15" t="s">
        <v>2277</v>
      </c>
      <c r="D772" s="15" t="s">
        <v>2278</v>
      </c>
      <c r="E772" s="15">
        <v>14.2217</v>
      </c>
      <c r="F772" s="42">
        <v>46198</v>
      </c>
    </row>
    <row r="773" spans="1:6" x14ac:dyDescent="0.3">
      <c r="A773" s="15" t="s">
        <v>46306</v>
      </c>
      <c r="B773" s="15" t="s">
        <v>2279</v>
      </c>
      <c r="C773" s="15" t="s">
        <v>2280</v>
      </c>
      <c r="D773" s="15" t="s">
        <v>2281</v>
      </c>
      <c r="E773" s="15">
        <v>23.400300000000001</v>
      </c>
      <c r="F773" s="42">
        <v>46198</v>
      </c>
    </row>
    <row r="774" spans="1:6" x14ac:dyDescent="0.3">
      <c r="A774" s="15" t="s">
        <v>46305</v>
      </c>
      <c r="B774" s="15" t="s">
        <v>2282</v>
      </c>
      <c r="C774" s="15" t="s">
        <v>800</v>
      </c>
      <c r="D774" s="15" t="s">
        <v>2283</v>
      </c>
      <c r="E774" s="15">
        <v>23.981000000000002</v>
      </c>
      <c r="F774" s="42">
        <v>46198</v>
      </c>
    </row>
    <row r="775" spans="1:6" x14ac:dyDescent="0.3">
      <c r="A775" s="15" t="s">
        <v>46304</v>
      </c>
      <c r="B775" s="15" t="s">
        <v>2284</v>
      </c>
      <c r="C775" s="15" t="s">
        <v>2285</v>
      </c>
      <c r="D775" s="15" t="s">
        <v>2286</v>
      </c>
      <c r="E775" s="15">
        <v>23.1417</v>
      </c>
      <c r="F775" s="42">
        <v>46198</v>
      </c>
    </row>
    <row r="776" spans="1:6" x14ac:dyDescent="0.3">
      <c r="A776" s="15" t="s">
        <v>46303</v>
      </c>
      <c r="B776" s="15" t="s">
        <v>2287</v>
      </c>
      <c r="C776" s="15" t="s">
        <v>2288</v>
      </c>
      <c r="D776" s="15" t="s">
        <v>2289</v>
      </c>
      <c r="E776" s="15">
        <v>13.113</v>
      </c>
      <c r="F776" s="42">
        <v>46198</v>
      </c>
    </row>
    <row r="777" spans="1:6" x14ac:dyDescent="0.3">
      <c r="A777" s="15" t="s">
        <v>46302</v>
      </c>
      <c r="B777" s="15" t="s">
        <v>2290</v>
      </c>
      <c r="C777" s="15" t="s">
        <v>2291</v>
      </c>
      <c r="D777" s="15" t="s">
        <v>2292</v>
      </c>
      <c r="E777" s="15">
        <v>23.1418</v>
      </c>
      <c r="F777" s="42">
        <v>46198</v>
      </c>
    </row>
    <row r="778" spans="1:6" x14ac:dyDescent="0.3">
      <c r="A778" s="15" t="s">
        <v>33499</v>
      </c>
      <c r="B778" s="15" t="s">
        <v>795</v>
      </c>
      <c r="C778" s="15" t="s">
        <v>795</v>
      </c>
      <c r="D778" s="15" t="s">
        <v>795</v>
      </c>
      <c r="F778" s="42"/>
    </row>
    <row r="779" spans="1:6" x14ac:dyDescent="0.3">
      <c r="A779" s="15" t="s">
        <v>37122</v>
      </c>
      <c r="B779" s="15" t="s">
        <v>795</v>
      </c>
      <c r="C779" s="15" t="s">
        <v>795</v>
      </c>
      <c r="D779" s="15" t="s">
        <v>795</v>
      </c>
      <c r="F779" s="42"/>
    </row>
    <row r="780" spans="1:6" x14ac:dyDescent="0.3">
      <c r="A780" s="15" t="s">
        <v>33499</v>
      </c>
      <c r="B780" s="15" t="s">
        <v>795</v>
      </c>
      <c r="C780" s="15" t="s">
        <v>795</v>
      </c>
      <c r="D780" s="15" t="s">
        <v>795</v>
      </c>
      <c r="F780" s="42"/>
    </row>
    <row r="781" spans="1:6" x14ac:dyDescent="0.3">
      <c r="A781" s="15" t="s">
        <v>46301</v>
      </c>
      <c r="B781" s="15" t="s">
        <v>2293</v>
      </c>
      <c r="C781" s="15" t="s">
        <v>800</v>
      </c>
      <c r="D781" s="15" t="s">
        <v>2294</v>
      </c>
      <c r="E781" s="15">
        <v>52.645200000000003</v>
      </c>
      <c r="F781" s="42">
        <v>46198</v>
      </c>
    </row>
    <row r="782" spans="1:6" x14ac:dyDescent="0.3">
      <c r="A782" s="15" t="s">
        <v>46300</v>
      </c>
      <c r="B782" s="15" t="s">
        <v>2295</v>
      </c>
      <c r="C782" s="15" t="s">
        <v>800</v>
      </c>
      <c r="D782" s="15" t="s">
        <v>2296</v>
      </c>
      <c r="E782" s="15">
        <v>48.794600000000003</v>
      </c>
      <c r="F782" s="42">
        <v>46198</v>
      </c>
    </row>
    <row r="783" spans="1:6" x14ac:dyDescent="0.3">
      <c r="A783" s="15" t="s">
        <v>46299</v>
      </c>
      <c r="B783" s="15" t="s">
        <v>2297</v>
      </c>
      <c r="C783" s="15" t="s">
        <v>800</v>
      </c>
      <c r="D783" s="15" t="s">
        <v>2298</v>
      </c>
      <c r="E783" s="15">
        <v>13.2126</v>
      </c>
      <c r="F783" s="42">
        <v>46198</v>
      </c>
    </row>
    <row r="784" spans="1:6" x14ac:dyDescent="0.3">
      <c r="A784" s="15" t="s">
        <v>46298</v>
      </c>
      <c r="B784" s="15" t="s">
        <v>2299</v>
      </c>
      <c r="C784" s="15" t="s">
        <v>800</v>
      </c>
      <c r="D784" s="15" t="s">
        <v>2300</v>
      </c>
      <c r="E784" s="15">
        <v>11.2525</v>
      </c>
      <c r="F784" s="42">
        <v>46198</v>
      </c>
    </row>
    <row r="785" spans="1:6" x14ac:dyDescent="0.3">
      <c r="A785" s="15" t="s">
        <v>46297</v>
      </c>
      <c r="B785" s="15" t="s">
        <v>2301</v>
      </c>
      <c r="C785" s="15" t="s">
        <v>800</v>
      </c>
      <c r="D785" s="15" t="s">
        <v>2302</v>
      </c>
      <c r="E785" s="15">
        <v>11.185499999999999</v>
      </c>
      <c r="F785" s="42">
        <v>46198</v>
      </c>
    </row>
    <row r="786" spans="1:6" x14ac:dyDescent="0.3">
      <c r="A786" s="15" t="s">
        <v>46296</v>
      </c>
      <c r="B786" s="15" t="s">
        <v>2303</v>
      </c>
      <c r="C786" s="15" t="s">
        <v>800</v>
      </c>
      <c r="D786" s="15" t="s">
        <v>2304</v>
      </c>
      <c r="E786" s="15">
        <v>12.1357</v>
      </c>
      <c r="F786" s="42">
        <v>46198</v>
      </c>
    </row>
    <row r="787" spans="1:6" x14ac:dyDescent="0.3">
      <c r="A787" s="15" t="s">
        <v>46295</v>
      </c>
      <c r="B787" s="15" t="s">
        <v>2305</v>
      </c>
      <c r="C787" s="15" t="s">
        <v>2306</v>
      </c>
      <c r="D787" s="15" t="s">
        <v>2307</v>
      </c>
      <c r="E787" s="15">
        <v>10.7477</v>
      </c>
      <c r="F787" s="42">
        <v>46198</v>
      </c>
    </row>
    <row r="788" spans="1:6" x14ac:dyDescent="0.3">
      <c r="A788" s="15" t="s">
        <v>46294</v>
      </c>
      <c r="B788" s="15" t="s">
        <v>2308</v>
      </c>
      <c r="C788" s="15" t="s">
        <v>2309</v>
      </c>
      <c r="D788" s="15" t="s">
        <v>2310</v>
      </c>
      <c r="E788" s="15">
        <v>10.866899999999999</v>
      </c>
      <c r="F788" s="42">
        <v>46198</v>
      </c>
    </row>
    <row r="789" spans="1:6" x14ac:dyDescent="0.3">
      <c r="A789" s="15" t="s">
        <v>33499</v>
      </c>
      <c r="B789" s="15" t="s">
        <v>795</v>
      </c>
      <c r="C789" s="15" t="s">
        <v>795</v>
      </c>
      <c r="D789" s="15" t="s">
        <v>795</v>
      </c>
      <c r="F789" s="42"/>
    </row>
    <row r="790" spans="1:6" x14ac:dyDescent="0.3">
      <c r="A790" s="15" t="s">
        <v>37087</v>
      </c>
      <c r="B790" s="15" t="s">
        <v>795</v>
      </c>
      <c r="C790" s="15" t="s">
        <v>795</v>
      </c>
      <c r="D790" s="15" t="s">
        <v>795</v>
      </c>
      <c r="F790" s="42"/>
    </row>
    <row r="791" spans="1:6" x14ac:dyDescent="0.3">
      <c r="A791" s="15" t="s">
        <v>33499</v>
      </c>
      <c r="B791" s="15" t="s">
        <v>795</v>
      </c>
      <c r="C791" s="15" t="s">
        <v>795</v>
      </c>
      <c r="D791" s="15" t="s">
        <v>795</v>
      </c>
      <c r="F791" s="42"/>
    </row>
    <row r="792" spans="1:6" x14ac:dyDescent="0.3">
      <c r="A792" s="15" t="s">
        <v>46293</v>
      </c>
      <c r="B792" s="15" t="s">
        <v>2311</v>
      </c>
      <c r="C792" s="15" t="s">
        <v>800</v>
      </c>
      <c r="D792" s="15" t="s">
        <v>2312</v>
      </c>
      <c r="E792" s="15">
        <v>34.563499999999998</v>
      </c>
      <c r="F792" s="42">
        <v>46198</v>
      </c>
    </row>
    <row r="793" spans="1:6" x14ac:dyDescent="0.3">
      <c r="A793" s="15" t="s">
        <v>46292</v>
      </c>
      <c r="B793" s="15" t="s">
        <v>2313</v>
      </c>
      <c r="C793" s="15" t="s">
        <v>2314</v>
      </c>
      <c r="D793" s="15" t="s">
        <v>2315</v>
      </c>
      <c r="E793" s="15">
        <v>13.1203</v>
      </c>
      <c r="F793" s="42">
        <v>46198</v>
      </c>
    </row>
    <row r="794" spans="1:6" x14ac:dyDescent="0.3">
      <c r="A794" s="15" t="s">
        <v>46291</v>
      </c>
      <c r="B794" s="15" t="s">
        <v>2316</v>
      </c>
      <c r="C794" s="15" t="s">
        <v>2317</v>
      </c>
      <c r="D794" s="15" t="s">
        <v>2318</v>
      </c>
      <c r="E794" s="15">
        <v>11.5806</v>
      </c>
      <c r="F794" s="42">
        <v>46198</v>
      </c>
    </row>
    <row r="795" spans="1:6" x14ac:dyDescent="0.3">
      <c r="A795" s="15" t="s">
        <v>46290</v>
      </c>
      <c r="B795" s="15" t="s">
        <v>2319</v>
      </c>
      <c r="C795" s="15" t="s">
        <v>800</v>
      </c>
      <c r="D795" s="15" t="s">
        <v>2320</v>
      </c>
      <c r="E795" s="15">
        <v>31.378900000000002</v>
      </c>
      <c r="F795" s="42">
        <v>46198</v>
      </c>
    </row>
    <row r="796" spans="1:6" x14ac:dyDescent="0.3">
      <c r="A796" s="15" t="s">
        <v>46289</v>
      </c>
      <c r="B796" s="15" t="s">
        <v>2321</v>
      </c>
      <c r="C796" s="15" t="s">
        <v>2322</v>
      </c>
      <c r="D796" s="15" t="s">
        <v>2323</v>
      </c>
      <c r="E796" s="15">
        <v>11.9307</v>
      </c>
      <c r="F796" s="42">
        <v>46198</v>
      </c>
    </row>
    <row r="797" spans="1:6" x14ac:dyDescent="0.3">
      <c r="A797" s="15" t="s">
        <v>46288</v>
      </c>
      <c r="B797" s="15" t="s">
        <v>2324</v>
      </c>
      <c r="C797" s="15" t="s">
        <v>2325</v>
      </c>
      <c r="D797" s="15" t="s">
        <v>2326</v>
      </c>
      <c r="E797" s="15">
        <v>11.5999</v>
      </c>
      <c r="F797" s="42">
        <v>46198</v>
      </c>
    </row>
    <row r="798" spans="1:6" x14ac:dyDescent="0.3">
      <c r="A798" s="15" t="s">
        <v>33499</v>
      </c>
      <c r="B798" s="15" t="s">
        <v>795</v>
      </c>
      <c r="C798" s="15" t="s">
        <v>795</v>
      </c>
      <c r="D798" s="15" t="s">
        <v>795</v>
      </c>
      <c r="F798" s="42"/>
    </row>
    <row r="799" spans="1:6" x14ac:dyDescent="0.3">
      <c r="A799" s="15" t="s">
        <v>37073</v>
      </c>
      <c r="B799" s="15" t="s">
        <v>795</v>
      </c>
      <c r="C799" s="15" t="s">
        <v>795</v>
      </c>
      <c r="D799" s="15" t="s">
        <v>795</v>
      </c>
      <c r="F799" s="42"/>
    </row>
    <row r="800" spans="1:6" x14ac:dyDescent="0.3">
      <c r="A800" s="15" t="s">
        <v>33499</v>
      </c>
      <c r="B800" s="15" t="s">
        <v>795</v>
      </c>
      <c r="C800" s="15" t="s">
        <v>795</v>
      </c>
      <c r="D800" s="15" t="s">
        <v>795</v>
      </c>
      <c r="F800" s="42"/>
    </row>
    <row r="801" spans="1:6" x14ac:dyDescent="0.3">
      <c r="A801" s="15" t="s">
        <v>46287</v>
      </c>
      <c r="B801" s="15" t="s">
        <v>2327</v>
      </c>
      <c r="C801" s="15" t="s">
        <v>2328</v>
      </c>
      <c r="D801" s="15" t="s">
        <v>2329</v>
      </c>
      <c r="E801" s="15">
        <v>11.9582</v>
      </c>
      <c r="F801" s="42">
        <v>46198</v>
      </c>
    </row>
    <row r="802" spans="1:6" x14ac:dyDescent="0.3">
      <c r="A802" s="15" t="s">
        <v>46286</v>
      </c>
      <c r="B802" s="15" t="s">
        <v>2330</v>
      </c>
      <c r="C802" s="15" t="s">
        <v>2331</v>
      </c>
      <c r="D802" s="15" t="s">
        <v>2332</v>
      </c>
      <c r="E802" s="15">
        <v>11.600899999999999</v>
      </c>
      <c r="F802" s="42">
        <v>46198</v>
      </c>
    </row>
    <row r="803" spans="1:6" x14ac:dyDescent="0.3">
      <c r="A803" s="15" t="s">
        <v>46285</v>
      </c>
      <c r="B803" s="15" t="s">
        <v>2333</v>
      </c>
      <c r="C803" s="15" t="s">
        <v>800</v>
      </c>
      <c r="D803" s="15" t="s">
        <v>2334</v>
      </c>
      <c r="E803" s="15">
        <v>35.859400000000001</v>
      </c>
      <c r="F803" s="42">
        <v>46198</v>
      </c>
    </row>
    <row r="804" spans="1:6" x14ac:dyDescent="0.3">
      <c r="A804" s="15" t="s">
        <v>46284</v>
      </c>
      <c r="B804" s="15" t="s">
        <v>2335</v>
      </c>
      <c r="C804" s="15" t="s">
        <v>2336</v>
      </c>
      <c r="D804" s="15" t="s">
        <v>2337</v>
      </c>
      <c r="E804" s="15">
        <v>11.2151</v>
      </c>
      <c r="F804" s="42">
        <v>46198</v>
      </c>
    </row>
    <row r="805" spans="1:6" x14ac:dyDescent="0.3">
      <c r="A805" s="15" t="s">
        <v>46283</v>
      </c>
      <c r="B805" s="15" t="s">
        <v>2338</v>
      </c>
      <c r="C805" s="15" t="s">
        <v>2339</v>
      </c>
      <c r="D805" s="15" t="s">
        <v>2340</v>
      </c>
      <c r="E805" s="15">
        <v>13.7113</v>
      </c>
      <c r="F805" s="42">
        <v>46198</v>
      </c>
    </row>
    <row r="806" spans="1:6" x14ac:dyDescent="0.3">
      <c r="A806" s="15" t="s">
        <v>46282</v>
      </c>
      <c r="B806" s="15" t="s">
        <v>2341</v>
      </c>
      <c r="C806" s="15" t="s">
        <v>2342</v>
      </c>
      <c r="D806" s="15" t="s">
        <v>2343</v>
      </c>
      <c r="E806" s="15">
        <v>14.249599999999999</v>
      </c>
      <c r="F806" s="42">
        <v>46198</v>
      </c>
    </row>
    <row r="807" spans="1:6" x14ac:dyDescent="0.3">
      <c r="A807" s="15" t="s">
        <v>46281</v>
      </c>
      <c r="B807" s="15" t="s">
        <v>2344</v>
      </c>
      <c r="C807" s="15" t="s">
        <v>2345</v>
      </c>
      <c r="D807" s="15" t="s">
        <v>2346</v>
      </c>
      <c r="E807" s="15">
        <v>12.134</v>
      </c>
      <c r="F807" s="42">
        <v>46198</v>
      </c>
    </row>
    <row r="808" spans="1:6" x14ac:dyDescent="0.3">
      <c r="A808" s="15" t="s">
        <v>46280</v>
      </c>
      <c r="B808" s="15" t="s">
        <v>2347</v>
      </c>
      <c r="C808" s="15" t="s">
        <v>800</v>
      </c>
      <c r="D808" s="15" t="s">
        <v>2348</v>
      </c>
      <c r="E808" s="15">
        <v>40.195099999999996</v>
      </c>
      <c r="F808" s="42">
        <v>46198</v>
      </c>
    </row>
    <row r="809" spans="1:6" x14ac:dyDescent="0.3">
      <c r="A809" s="15" t="s">
        <v>46279</v>
      </c>
      <c r="B809" s="15" t="s">
        <v>2349</v>
      </c>
      <c r="C809" s="15" t="s">
        <v>2350</v>
      </c>
      <c r="D809" s="15" t="s">
        <v>2351</v>
      </c>
      <c r="E809" s="15">
        <v>11.450100000000001</v>
      </c>
      <c r="F809" s="42">
        <v>46198</v>
      </c>
    </row>
    <row r="810" spans="1:6" x14ac:dyDescent="0.3">
      <c r="A810" s="15" t="s">
        <v>46278</v>
      </c>
      <c r="B810" s="15" t="s">
        <v>2352</v>
      </c>
      <c r="C810" s="15" t="s">
        <v>2353</v>
      </c>
      <c r="D810" s="15" t="s">
        <v>2354</v>
      </c>
      <c r="E810" s="15">
        <v>17.256699999999999</v>
      </c>
      <c r="F810" s="42">
        <v>46198</v>
      </c>
    </row>
    <row r="811" spans="1:6" x14ac:dyDescent="0.3">
      <c r="A811" s="15" t="s">
        <v>46277</v>
      </c>
      <c r="B811" s="15" t="s">
        <v>2355</v>
      </c>
      <c r="C811" s="15" t="s">
        <v>2356</v>
      </c>
      <c r="D811" s="15" t="s">
        <v>2357</v>
      </c>
      <c r="E811" s="15">
        <v>14.0937</v>
      </c>
      <c r="F811" s="42">
        <v>46198</v>
      </c>
    </row>
    <row r="812" spans="1:6" x14ac:dyDescent="0.3">
      <c r="A812" s="15" t="s">
        <v>46276</v>
      </c>
      <c r="B812" s="15" t="s">
        <v>2358</v>
      </c>
      <c r="C812" s="15" t="s">
        <v>2359</v>
      </c>
      <c r="D812" s="15" t="s">
        <v>2360</v>
      </c>
      <c r="E812" s="15">
        <v>14.0412</v>
      </c>
      <c r="F812" s="42">
        <v>46198</v>
      </c>
    </row>
    <row r="813" spans="1:6" x14ac:dyDescent="0.3">
      <c r="A813" s="15" t="s">
        <v>33499</v>
      </c>
      <c r="B813" s="15" t="s">
        <v>795</v>
      </c>
      <c r="C813" s="15" t="s">
        <v>795</v>
      </c>
      <c r="D813" s="15" t="s">
        <v>795</v>
      </c>
      <c r="F813" s="42"/>
    </row>
    <row r="814" spans="1:6" x14ac:dyDescent="0.3">
      <c r="A814" s="15" t="s">
        <v>37566</v>
      </c>
      <c r="B814" s="15" t="s">
        <v>795</v>
      </c>
      <c r="C814" s="15" t="s">
        <v>795</v>
      </c>
      <c r="D814" s="15" t="s">
        <v>795</v>
      </c>
      <c r="F814" s="42"/>
    </row>
    <row r="815" spans="1:6" x14ac:dyDescent="0.3">
      <c r="A815" s="15" t="s">
        <v>33499</v>
      </c>
      <c r="B815" s="15" t="s">
        <v>795</v>
      </c>
      <c r="C815" s="15" t="s">
        <v>795</v>
      </c>
      <c r="D815" s="15" t="s">
        <v>795</v>
      </c>
      <c r="F815" s="42"/>
    </row>
    <row r="816" spans="1:6" x14ac:dyDescent="0.3">
      <c r="A816" s="15" t="s">
        <v>46275</v>
      </c>
      <c r="B816" s="15" t="s">
        <v>800</v>
      </c>
      <c r="C816" s="15" t="s">
        <v>2361</v>
      </c>
      <c r="D816" s="15" t="s">
        <v>2362</v>
      </c>
      <c r="E816" s="15">
        <v>10.114800000000001</v>
      </c>
      <c r="F816" s="42">
        <v>46198</v>
      </c>
    </row>
    <row r="817" spans="1:6" x14ac:dyDescent="0.3">
      <c r="A817" s="15" t="s">
        <v>46274</v>
      </c>
      <c r="B817" s="15" t="s">
        <v>2363</v>
      </c>
      <c r="C817" s="15" t="s">
        <v>800</v>
      </c>
      <c r="D817" s="15" t="s">
        <v>2364</v>
      </c>
      <c r="E817" s="15">
        <v>52.255600000000001</v>
      </c>
      <c r="F817" s="42">
        <v>46198</v>
      </c>
    </row>
    <row r="818" spans="1:6" x14ac:dyDescent="0.3">
      <c r="A818" s="15" t="s">
        <v>46273</v>
      </c>
      <c r="B818" s="15" t="s">
        <v>2365</v>
      </c>
      <c r="C818" s="15" t="s">
        <v>2366</v>
      </c>
      <c r="D818" s="15" t="s">
        <v>2367</v>
      </c>
      <c r="E818" s="15">
        <v>10</v>
      </c>
      <c r="F818" s="42">
        <v>45471</v>
      </c>
    </row>
    <row r="819" spans="1:6" x14ac:dyDescent="0.3">
      <c r="A819" s="15" t="s">
        <v>46272</v>
      </c>
      <c r="B819" s="15" t="s">
        <v>2368</v>
      </c>
      <c r="C819" s="15" t="s">
        <v>2369</v>
      </c>
      <c r="D819" s="15" t="s">
        <v>2370</v>
      </c>
      <c r="E819" s="15">
        <v>10.479900000000001</v>
      </c>
      <c r="F819" s="42">
        <v>46198</v>
      </c>
    </row>
    <row r="820" spans="1:6" x14ac:dyDescent="0.3">
      <c r="A820" s="15" t="s">
        <v>46271</v>
      </c>
      <c r="B820" s="15" t="s">
        <v>2371</v>
      </c>
      <c r="C820" s="15" t="s">
        <v>2372</v>
      </c>
      <c r="D820" s="15" t="s">
        <v>2373</v>
      </c>
      <c r="E820" s="15">
        <v>10.5015</v>
      </c>
      <c r="F820" s="42">
        <v>46198</v>
      </c>
    </row>
    <row r="821" spans="1:6" x14ac:dyDescent="0.3">
      <c r="A821" s="15" t="s">
        <v>46270</v>
      </c>
      <c r="B821" s="15" t="s">
        <v>800</v>
      </c>
      <c r="C821" s="15" t="s">
        <v>2374</v>
      </c>
      <c r="D821" s="15" t="s">
        <v>2375</v>
      </c>
      <c r="E821" s="15">
        <v>10.117100000000001</v>
      </c>
      <c r="F821" s="42">
        <v>46198</v>
      </c>
    </row>
    <row r="822" spans="1:6" x14ac:dyDescent="0.3">
      <c r="A822" s="15" t="s">
        <v>46269</v>
      </c>
      <c r="B822" s="15" t="s">
        <v>800</v>
      </c>
      <c r="C822" s="15" t="s">
        <v>2376</v>
      </c>
      <c r="D822" s="15" t="s">
        <v>2377</v>
      </c>
      <c r="E822" s="15">
        <v>10.114800000000001</v>
      </c>
      <c r="F822" s="42">
        <v>46198</v>
      </c>
    </row>
    <row r="823" spans="1:6" x14ac:dyDescent="0.3">
      <c r="A823" s="15" t="s">
        <v>46268</v>
      </c>
      <c r="B823" s="15" t="s">
        <v>2378</v>
      </c>
      <c r="C823" s="15" t="s">
        <v>800</v>
      </c>
      <c r="D823" s="15" t="s">
        <v>2379</v>
      </c>
      <c r="E823" s="15">
        <v>46.479900000000001</v>
      </c>
      <c r="F823" s="42">
        <v>46198</v>
      </c>
    </row>
    <row r="824" spans="1:6" x14ac:dyDescent="0.3">
      <c r="A824" s="15" t="s">
        <v>46267</v>
      </c>
      <c r="B824" s="15" t="s">
        <v>2380</v>
      </c>
      <c r="C824" s="15" t="s">
        <v>2381</v>
      </c>
      <c r="D824" s="15" t="s">
        <v>2382</v>
      </c>
      <c r="E824" s="15">
        <v>10.1997</v>
      </c>
      <c r="F824" s="42">
        <v>46198</v>
      </c>
    </row>
    <row r="825" spans="1:6" x14ac:dyDescent="0.3">
      <c r="A825" s="15" t="s">
        <v>46266</v>
      </c>
      <c r="B825" s="15" t="s">
        <v>2383</v>
      </c>
      <c r="C825" s="15" t="s">
        <v>2384</v>
      </c>
      <c r="D825" s="15" t="s">
        <v>2385</v>
      </c>
      <c r="E825" s="15">
        <v>10.219799999999999</v>
      </c>
      <c r="F825" s="42">
        <v>46198</v>
      </c>
    </row>
    <row r="826" spans="1:6" x14ac:dyDescent="0.3">
      <c r="A826" s="15" t="s">
        <v>46265</v>
      </c>
      <c r="B826" s="15" t="s">
        <v>2386</v>
      </c>
      <c r="C826" s="15" t="s">
        <v>2387</v>
      </c>
      <c r="D826" s="15" t="s">
        <v>2388</v>
      </c>
      <c r="E826" s="15">
        <v>10.1645</v>
      </c>
      <c r="F826" s="42">
        <v>46198</v>
      </c>
    </row>
    <row r="827" spans="1:6" x14ac:dyDescent="0.3">
      <c r="A827" s="15" t="s">
        <v>46264</v>
      </c>
      <c r="B827" s="15" t="s">
        <v>800</v>
      </c>
      <c r="C827" s="15" t="s">
        <v>2389</v>
      </c>
      <c r="D827" s="15" t="s">
        <v>2390</v>
      </c>
      <c r="E827" s="15">
        <v>10.116</v>
      </c>
      <c r="F827" s="42">
        <v>46198</v>
      </c>
    </row>
    <row r="828" spans="1:6" x14ac:dyDescent="0.3">
      <c r="A828" s="15" t="s">
        <v>46263</v>
      </c>
      <c r="B828" s="15" t="s">
        <v>2391</v>
      </c>
      <c r="C828" s="15" t="s">
        <v>800</v>
      </c>
      <c r="D828" s="15" t="s">
        <v>2392</v>
      </c>
      <c r="E828" s="15">
        <v>32.731900000000003</v>
      </c>
      <c r="F828" s="42">
        <v>46198</v>
      </c>
    </row>
    <row r="829" spans="1:6" x14ac:dyDescent="0.3">
      <c r="A829" s="15" t="s">
        <v>33499</v>
      </c>
      <c r="B829" s="15" t="s">
        <v>795</v>
      </c>
      <c r="C829" s="15" t="s">
        <v>795</v>
      </c>
      <c r="D829" s="15" t="s">
        <v>795</v>
      </c>
      <c r="F829" s="42"/>
    </row>
    <row r="830" spans="1:6" x14ac:dyDescent="0.3">
      <c r="A830" s="15" t="s">
        <v>40284</v>
      </c>
      <c r="B830" s="15" t="s">
        <v>795</v>
      </c>
      <c r="C830" s="15" t="s">
        <v>795</v>
      </c>
      <c r="D830" s="15" t="s">
        <v>795</v>
      </c>
      <c r="F830" s="42"/>
    </row>
    <row r="831" spans="1:6" x14ac:dyDescent="0.3">
      <c r="A831" s="15" t="s">
        <v>33499</v>
      </c>
      <c r="B831" s="15" t="s">
        <v>795</v>
      </c>
      <c r="C831" s="15" t="s">
        <v>795</v>
      </c>
      <c r="D831" s="15" t="s">
        <v>795</v>
      </c>
      <c r="F831" s="42"/>
    </row>
    <row r="832" spans="1:6" x14ac:dyDescent="0.3">
      <c r="A832" s="15" t="s">
        <v>46262</v>
      </c>
      <c r="B832" s="15" t="s">
        <v>2393</v>
      </c>
      <c r="C832" s="15" t="s">
        <v>800</v>
      </c>
      <c r="D832" s="15" t="s">
        <v>2394</v>
      </c>
      <c r="E832" s="15">
        <v>33.081000000000003</v>
      </c>
      <c r="F832" s="42">
        <v>46198</v>
      </c>
    </row>
    <row r="833" spans="1:6" x14ac:dyDescent="0.3">
      <c r="A833" s="15" t="s">
        <v>46261</v>
      </c>
      <c r="B833" s="15" t="s">
        <v>2395</v>
      </c>
      <c r="C833" s="15" t="s">
        <v>2396</v>
      </c>
      <c r="D833" s="15" t="s">
        <v>2397</v>
      </c>
      <c r="E833" s="15">
        <v>15.310600000000001</v>
      </c>
      <c r="F833" s="42">
        <v>46198</v>
      </c>
    </row>
    <row r="834" spans="1:6" x14ac:dyDescent="0.3">
      <c r="A834" s="15" t="s">
        <v>46260</v>
      </c>
      <c r="B834" s="15" t="s">
        <v>2398</v>
      </c>
      <c r="C834" s="15" t="s">
        <v>800</v>
      </c>
      <c r="D834" s="15" t="s">
        <v>2399</v>
      </c>
      <c r="E834" s="15">
        <v>29.68</v>
      </c>
      <c r="F834" s="42">
        <v>46198</v>
      </c>
    </row>
    <row r="835" spans="1:6" x14ac:dyDescent="0.3">
      <c r="A835" s="15" t="s">
        <v>46259</v>
      </c>
      <c r="B835" s="15" t="s">
        <v>2400</v>
      </c>
      <c r="C835" s="15" t="s">
        <v>2401</v>
      </c>
      <c r="D835" s="15" t="s">
        <v>2402</v>
      </c>
      <c r="E835" s="15">
        <v>13.583</v>
      </c>
      <c r="F835" s="42">
        <v>46198</v>
      </c>
    </row>
    <row r="836" spans="1:6" x14ac:dyDescent="0.3">
      <c r="A836" s="15" t="s">
        <v>33499</v>
      </c>
      <c r="B836" s="15" t="s">
        <v>795</v>
      </c>
      <c r="C836" s="15" t="s">
        <v>795</v>
      </c>
      <c r="D836" s="15" t="s">
        <v>795</v>
      </c>
      <c r="F836" s="42"/>
    </row>
    <row r="837" spans="1:6" x14ac:dyDescent="0.3">
      <c r="A837" s="15" t="s">
        <v>37061</v>
      </c>
      <c r="B837" s="15" t="s">
        <v>795</v>
      </c>
      <c r="C837" s="15" t="s">
        <v>795</v>
      </c>
      <c r="D837" s="15" t="s">
        <v>795</v>
      </c>
      <c r="F837" s="42"/>
    </row>
    <row r="838" spans="1:6" x14ac:dyDescent="0.3">
      <c r="A838" s="15" t="s">
        <v>33499</v>
      </c>
      <c r="B838" s="15" t="s">
        <v>795</v>
      </c>
      <c r="C838" s="15" t="s">
        <v>795</v>
      </c>
      <c r="D838" s="15" t="s">
        <v>795</v>
      </c>
      <c r="F838" s="42"/>
    </row>
    <row r="839" spans="1:6" x14ac:dyDescent="0.3">
      <c r="A839" s="15" t="s">
        <v>46258</v>
      </c>
      <c r="B839" s="15" t="s">
        <v>2403</v>
      </c>
      <c r="C839" s="15" t="s">
        <v>800</v>
      </c>
      <c r="D839" s="15" t="s">
        <v>2404</v>
      </c>
      <c r="E839" s="15">
        <v>3699.1273000000001</v>
      </c>
      <c r="F839" s="42">
        <v>46198</v>
      </c>
    </row>
    <row r="840" spans="1:6" x14ac:dyDescent="0.3">
      <c r="A840" s="15" t="s">
        <v>46257</v>
      </c>
      <c r="B840" s="15" t="s">
        <v>2405</v>
      </c>
      <c r="C840" s="15" t="s">
        <v>2406</v>
      </c>
      <c r="D840" s="15" t="s">
        <v>2407</v>
      </c>
      <c r="E840" s="15">
        <v>2520.3069999999998</v>
      </c>
      <c r="F840" s="42">
        <v>46198</v>
      </c>
    </row>
    <row r="841" spans="1:6" x14ac:dyDescent="0.3">
      <c r="A841" s="15" t="s">
        <v>46256</v>
      </c>
      <c r="B841" s="15" t="s">
        <v>800</v>
      </c>
      <c r="C841" s="15" t="s">
        <v>2408</v>
      </c>
      <c r="D841" s="15" t="s">
        <v>2409</v>
      </c>
      <c r="E841" s="15">
        <v>1049.5174999999999</v>
      </c>
      <c r="F841" s="42">
        <v>45044</v>
      </c>
    </row>
    <row r="842" spans="1:6" x14ac:dyDescent="0.3">
      <c r="A842" s="15" t="s">
        <v>46255</v>
      </c>
      <c r="B842" s="15" t="s">
        <v>2410</v>
      </c>
      <c r="C842" s="15" t="s">
        <v>2411</v>
      </c>
      <c r="D842" s="15" t="s">
        <v>2412</v>
      </c>
      <c r="E842" s="15">
        <v>1093.1294</v>
      </c>
      <c r="F842" s="42">
        <v>46198</v>
      </c>
    </row>
    <row r="843" spans="1:6" x14ac:dyDescent="0.3">
      <c r="A843" s="15" t="s">
        <v>46254</v>
      </c>
      <c r="B843" s="15" t="s">
        <v>2413</v>
      </c>
      <c r="C843" s="15" t="s">
        <v>2414</v>
      </c>
      <c r="D843" s="15" t="s">
        <v>2415</v>
      </c>
      <c r="E843" s="15">
        <v>990</v>
      </c>
      <c r="F843" s="42">
        <v>45050</v>
      </c>
    </row>
    <row r="844" spans="1:6" x14ac:dyDescent="0.3">
      <c r="A844" s="15" t="s">
        <v>46253</v>
      </c>
      <c r="B844" s="15" t="s">
        <v>2416</v>
      </c>
      <c r="C844" s="15" t="s">
        <v>800</v>
      </c>
      <c r="D844" s="15" t="s">
        <v>2417</v>
      </c>
      <c r="E844" s="15">
        <v>3448.3591000000001</v>
      </c>
      <c r="F844" s="42">
        <v>46198</v>
      </c>
    </row>
    <row r="845" spans="1:6" x14ac:dyDescent="0.3">
      <c r="A845" s="15" t="s">
        <v>46252</v>
      </c>
      <c r="B845" s="15" t="s">
        <v>2418</v>
      </c>
      <c r="C845" s="15" t="s">
        <v>2419</v>
      </c>
      <c r="D845" s="15" t="s">
        <v>2420</v>
      </c>
      <c r="E845" s="15">
        <v>1272.5676000000001</v>
      </c>
      <c r="F845" s="42">
        <v>46198</v>
      </c>
    </row>
    <row r="846" spans="1:6" x14ac:dyDescent="0.3">
      <c r="A846" s="15" t="s">
        <v>46251</v>
      </c>
      <c r="B846" s="15" t="s">
        <v>800</v>
      </c>
      <c r="C846" s="15" t="s">
        <v>2421</v>
      </c>
      <c r="D846" s="15" t="s">
        <v>2422</v>
      </c>
      <c r="E846" s="15">
        <v>1068.7997</v>
      </c>
      <c r="F846" s="42">
        <v>46198</v>
      </c>
    </row>
    <row r="847" spans="1:6" x14ac:dyDescent="0.3">
      <c r="A847" s="15" t="s">
        <v>46250</v>
      </c>
      <c r="B847" s="15" t="s">
        <v>2423</v>
      </c>
      <c r="C847" s="15" t="s">
        <v>2424</v>
      </c>
      <c r="D847" s="15" t="s">
        <v>2425</v>
      </c>
      <c r="E847" s="15">
        <v>1075.5767000000001</v>
      </c>
      <c r="F847" s="42">
        <v>46198</v>
      </c>
    </row>
    <row r="848" spans="1:6" x14ac:dyDescent="0.3">
      <c r="A848" s="15" t="s">
        <v>46249</v>
      </c>
      <c r="B848" s="15" t="s">
        <v>2426</v>
      </c>
      <c r="C848" s="15" t="s">
        <v>2427</v>
      </c>
      <c r="D848" s="15" t="s">
        <v>2428</v>
      </c>
      <c r="E848" s="15">
        <v>1055.5074999999999</v>
      </c>
      <c r="F848" s="42">
        <v>46198</v>
      </c>
    </row>
    <row r="849" spans="1:6" x14ac:dyDescent="0.3">
      <c r="A849" s="15" t="s">
        <v>33499</v>
      </c>
      <c r="B849" s="15" t="s">
        <v>795</v>
      </c>
      <c r="C849" s="15" t="s">
        <v>795</v>
      </c>
      <c r="D849" s="15" t="s">
        <v>795</v>
      </c>
      <c r="F849" s="42"/>
    </row>
    <row r="850" spans="1:6" x14ac:dyDescent="0.3">
      <c r="A850" s="15" t="s">
        <v>37044</v>
      </c>
      <c r="B850" s="15" t="s">
        <v>795</v>
      </c>
      <c r="C850" s="15" t="s">
        <v>795</v>
      </c>
      <c r="D850" s="15" t="s">
        <v>795</v>
      </c>
      <c r="F850" s="42"/>
    </row>
    <row r="851" spans="1:6" x14ac:dyDescent="0.3">
      <c r="A851" s="15" t="s">
        <v>33499</v>
      </c>
      <c r="B851" s="15" t="s">
        <v>795</v>
      </c>
      <c r="C851" s="15" t="s">
        <v>795</v>
      </c>
      <c r="D851" s="15" t="s">
        <v>795</v>
      </c>
      <c r="F851" s="42"/>
    </row>
    <row r="852" spans="1:6" x14ac:dyDescent="0.3">
      <c r="A852" s="15" t="s">
        <v>46248</v>
      </c>
      <c r="B852" s="15" t="s">
        <v>2429</v>
      </c>
      <c r="C852" s="15" t="s">
        <v>800</v>
      </c>
      <c r="D852" s="15" t="s">
        <v>2430</v>
      </c>
      <c r="E852" s="15">
        <v>84.032899999999998</v>
      </c>
      <c r="F852" s="42">
        <v>44780</v>
      </c>
    </row>
    <row r="853" spans="1:6" x14ac:dyDescent="0.3">
      <c r="A853" s="15" t="s">
        <v>46247</v>
      </c>
      <c r="B853" s="15" t="s">
        <v>2431</v>
      </c>
      <c r="C853" s="15" t="s">
        <v>2432</v>
      </c>
      <c r="D853" s="15" t="s">
        <v>2433</v>
      </c>
      <c r="E853" s="15">
        <v>14.163500000000001</v>
      </c>
      <c r="F853" s="42">
        <v>44780</v>
      </c>
    </row>
    <row r="854" spans="1:6" x14ac:dyDescent="0.3">
      <c r="A854" s="15" t="s">
        <v>46246</v>
      </c>
      <c r="B854" s="15" t="s">
        <v>2434</v>
      </c>
      <c r="C854" s="15" t="s">
        <v>2435</v>
      </c>
      <c r="D854" s="15" t="s">
        <v>2436</v>
      </c>
      <c r="E854" s="15">
        <v>15.6675</v>
      </c>
      <c r="F854" s="42">
        <v>44780</v>
      </c>
    </row>
    <row r="855" spans="1:6" x14ac:dyDescent="0.3">
      <c r="A855" s="15" t="s">
        <v>46245</v>
      </c>
      <c r="B855" s="15" t="s">
        <v>2437</v>
      </c>
      <c r="C855" s="15" t="s">
        <v>800</v>
      </c>
      <c r="D855" s="15" t="s">
        <v>2438</v>
      </c>
      <c r="E855" s="15">
        <v>0</v>
      </c>
      <c r="F855" s="42">
        <v>46198</v>
      </c>
    </row>
    <row r="856" spans="1:6" x14ac:dyDescent="0.3">
      <c r="A856" s="15" t="s">
        <v>46244</v>
      </c>
      <c r="B856" s="15" t="s">
        <v>2439</v>
      </c>
      <c r="C856" s="15" t="s">
        <v>800</v>
      </c>
      <c r="D856" s="15" t="s">
        <v>2440</v>
      </c>
      <c r="E856" s="15">
        <v>0</v>
      </c>
      <c r="F856" s="42">
        <v>46198</v>
      </c>
    </row>
    <row r="857" spans="1:6" x14ac:dyDescent="0.3">
      <c r="A857" s="15" t="s">
        <v>46243</v>
      </c>
      <c r="B857" s="15" t="s">
        <v>2441</v>
      </c>
      <c r="C857" s="15" t="s">
        <v>800</v>
      </c>
      <c r="D857" s="15" t="s">
        <v>2442</v>
      </c>
      <c r="E857" s="15">
        <v>0</v>
      </c>
      <c r="F857" s="42">
        <v>44032</v>
      </c>
    </row>
    <row r="858" spans="1:6" x14ac:dyDescent="0.3">
      <c r="A858" s="15" t="s">
        <v>46242</v>
      </c>
      <c r="B858" s="15" t="s">
        <v>2443</v>
      </c>
      <c r="C858" s="15" t="s">
        <v>800</v>
      </c>
      <c r="D858" s="15" t="s">
        <v>2444</v>
      </c>
      <c r="E858" s="15">
        <v>0</v>
      </c>
      <c r="F858" s="42">
        <v>44032</v>
      </c>
    </row>
    <row r="859" spans="1:6" x14ac:dyDescent="0.3">
      <c r="A859" s="15" t="s">
        <v>46241</v>
      </c>
      <c r="B859" s="15" t="s">
        <v>2445</v>
      </c>
      <c r="C859" s="15" t="s">
        <v>800</v>
      </c>
      <c r="D859" s="15" t="s">
        <v>2446</v>
      </c>
      <c r="E859" s="15">
        <v>0</v>
      </c>
      <c r="F859" s="42">
        <v>44032</v>
      </c>
    </row>
    <row r="860" spans="1:6" x14ac:dyDescent="0.3">
      <c r="A860" s="15" t="s">
        <v>46240</v>
      </c>
      <c r="B860" s="15" t="s">
        <v>2447</v>
      </c>
      <c r="C860" s="15" t="s">
        <v>800</v>
      </c>
      <c r="D860" s="15" t="s">
        <v>2448</v>
      </c>
      <c r="E860" s="15">
        <v>0</v>
      </c>
      <c r="F860" s="42">
        <v>44032</v>
      </c>
    </row>
    <row r="861" spans="1:6" x14ac:dyDescent="0.3">
      <c r="A861" s="15" t="s">
        <v>46239</v>
      </c>
      <c r="B861" s="15" t="s">
        <v>2449</v>
      </c>
      <c r="C861" s="15" t="s">
        <v>800</v>
      </c>
      <c r="D861" s="15" t="s">
        <v>2450</v>
      </c>
      <c r="E861" s="15">
        <v>0</v>
      </c>
      <c r="F861" s="42">
        <v>45180</v>
      </c>
    </row>
    <row r="862" spans="1:6" x14ac:dyDescent="0.3">
      <c r="A862" s="15" t="s">
        <v>46238</v>
      </c>
      <c r="B862" s="15" t="s">
        <v>2451</v>
      </c>
      <c r="C862" s="15" t="s">
        <v>800</v>
      </c>
      <c r="D862" s="15" t="s">
        <v>2452</v>
      </c>
      <c r="E862" s="15">
        <v>0</v>
      </c>
      <c r="F862" s="42">
        <v>45180</v>
      </c>
    </row>
    <row r="863" spans="1:6" x14ac:dyDescent="0.3">
      <c r="A863" s="15" t="s">
        <v>46237</v>
      </c>
      <c r="B863" s="15" t="s">
        <v>2453</v>
      </c>
      <c r="C863" s="15" t="s">
        <v>800</v>
      </c>
      <c r="D863" s="15" t="s">
        <v>2454</v>
      </c>
      <c r="E863" s="15">
        <v>0</v>
      </c>
      <c r="F863" s="42">
        <v>45180</v>
      </c>
    </row>
    <row r="864" spans="1:6" x14ac:dyDescent="0.3">
      <c r="A864" s="15" t="s">
        <v>46236</v>
      </c>
      <c r="B864" s="15" t="s">
        <v>2455</v>
      </c>
      <c r="C864" s="15" t="s">
        <v>800</v>
      </c>
      <c r="D864" s="15" t="s">
        <v>2456</v>
      </c>
      <c r="E864" s="15">
        <v>0</v>
      </c>
      <c r="F864" s="42">
        <v>46198</v>
      </c>
    </row>
    <row r="865" spans="1:6" x14ac:dyDescent="0.3">
      <c r="A865" s="15" t="s">
        <v>46235</v>
      </c>
      <c r="B865" s="15" t="s">
        <v>2457</v>
      </c>
      <c r="C865" s="15" t="s">
        <v>800</v>
      </c>
      <c r="D865" s="15" t="s">
        <v>2458</v>
      </c>
      <c r="E865" s="15">
        <v>94.787999999999997</v>
      </c>
      <c r="F865" s="42">
        <v>44780</v>
      </c>
    </row>
    <row r="866" spans="1:6" x14ac:dyDescent="0.3">
      <c r="A866" s="15" t="s">
        <v>46234</v>
      </c>
      <c r="B866" s="15" t="s">
        <v>2459</v>
      </c>
      <c r="C866" s="15" t="s">
        <v>800</v>
      </c>
      <c r="D866" s="15" t="s">
        <v>2460</v>
      </c>
      <c r="E866" s="15">
        <v>0</v>
      </c>
      <c r="F866" s="42">
        <v>45180</v>
      </c>
    </row>
    <row r="867" spans="1:6" x14ac:dyDescent="0.3">
      <c r="A867" s="15" t="s">
        <v>46233</v>
      </c>
      <c r="B867" s="15" t="s">
        <v>2461</v>
      </c>
      <c r="C867" s="15" t="s">
        <v>800</v>
      </c>
      <c r="D867" s="15" t="s">
        <v>2462</v>
      </c>
      <c r="E867" s="15">
        <v>0</v>
      </c>
      <c r="F867" s="42">
        <v>46198</v>
      </c>
    </row>
    <row r="868" spans="1:6" x14ac:dyDescent="0.3">
      <c r="A868" s="15" t="s">
        <v>33499</v>
      </c>
      <c r="B868" s="15" t="s">
        <v>795</v>
      </c>
      <c r="C868" s="15" t="s">
        <v>795</v>
      </c>
      <c r="D868" s="15" t="s">
        <v>795</v>
      </c>
      <c r="F868" s="42"/>
    </row>
    <row r="869" spans="1:6" x14ac:dyDescent="0.3">
      <c r="A869" s="15" t="s">
        <v>37881</v>
      </c>
      <c r="B869" s="15" t="s">
        <v>795</v>
      </c>
      <c r="C869" s="15" t="s">
        <v>795</v>
      </c>
      <c r="D869" s="15" t="s">
        <v>795</v>
      </c>
      <c r="F869" s="42"/>
    </row>
    <row r="870" spans="1:6" x14ac:dyDescent="0.3">
      <c r="A870" s="15" t="s">
        <v>33499</v>
      </c>
      <c r="B870" s="15" t="s">
        <v>795</v>
      </c>
      <c r="C870" s="15" t="s">
        <v>795</v>
      </c>
      <c r="D870" s="15" t="s">
        <v>795</v>
      </c>
      <c r="F870" s="42"/>
    </row>
    <row r="871" spans="1:6" x14ac:dyDescent="0.3">
      <c r="A871" s="15" t="s">
        <v>46232</v>
      </c>
      <c r="B871" s="15" t="s">
        <v>2463</v>
      </c>
      <c r="C871" s="15" t="s">
        <v>800</v>
      </c>
      <c r="D871" s="15" t="s">
        <v>2464</v>
      </c>
      <c r="E871" s="15">
        <v>1568.7498000000001</v>
      </c>
      <c r="F871" s="42">
        <v>46198</v>
      </c>
    </row>
    <row r="872" spans="1:6" x14ac:dyDescent="0.3">
      <c r="A872" s="15" t="s">
        <v>46231</v>
      </c>
      <c r="B872" s="15" t="s">
        <v>2465</v>
      </c>
      <c r="C872" s="15" t="s">
        <v>800</v>
      </c>
      <c r="D872" s="15" t="s">
        <v>2466</v>
      </c>
      <c r="E872" s="15">
        <v>1490.5319</v>
      </c>
      <c r="F872" s="42">
        <v>46198</v>
      </c>
    </row>
    <row r="873" spans="1:6" x14ac:dyDescent="0.3">
      <c r="A873" s="15" t="s">
        <v>46230</v>
      </c>
      <c r="B873" s="15" t="s">
        <v>800</v>
      </c>
      <c r="C873" s="15" t="s">
        <v>2467</v>
      </c>
      <c r="D873" s="15" t="s">
        <v>2468</v>
      </c>
      <c r="E873" s="15">
        <v>1019.7273</v>
      </c>
      <c r="F873" s="42">
        <v>46198</v>
      </c>
    </row>
    <row r="874" spans="1:6" x14ac:dyDescent="0.3">
      <c r="A874" s="15" t="s">
        <v>46229</v>
      </c>
      <c r="B874" s="15" t="s">
        <v>2469</v>
      </c>
      <c r="C874" s="15" t="s">
        <v>2470</v>
      </c>
      <c r="D874" s="15" t="s">
        <v>2471</v>
      </c>
      <c r="E874" s="15">
        <v>1029.3012000000001</v>
      </c>
      <c r="F874" s="42">
        <v>46198</v>
      </c>
    </row>
    <row r="875" spans="1:6" x14ac:dyDescent="0.3">
      <c r="A875" s="15" t="s">
        <v>46228</v>
      </c>
      <c r="B875" s="15" t="s">
        <v>2472</v>
      </c>
      <c r="C875" s="15" t="s">
        <v>2473</v>
      </c>
      <c r="D875" s="15" t="s">
        <v>2474</v>
      </c>
      <c r="E875" s="15">
        <v>1024.2382</v>
      </c>
      <c r="F875" s="42">
        <v>46198</v>
      </c>
    </row>
    <row r="876" spans="1:6" x14ac:dyDescent="0.3">
      <c r="A876" s="15" t="s">
        <v>46227</v>
      </c>
      <c r="B876" s="15" t="s">
        <v>2475</v>
      </c>
      <c r="C876" s="15" t="s">
        <v>2476</v>
      </c>
      <c r="D876" s="15" t="s">
        <v>2477</v>
      </c>
      <c r="E876" s="15">
        <v>1021.8299</v>
      </c>
      <c r="F876" s="42">
        <v>46198</v>
      </c>
    </row>
    <row r="877" spans="1:6" x14ac:dyDescent="0.3">
      <c r="A877" s="15" t="s">
        <v>46226</v>
      </c>
      <c r="B877" s="15" t="s">
        <v>800</v>
      </c>
      <c r="C877" s="15" t="s">
        <v>2478</v>
      </c>
      <c r="D877" s="15" t="s">
        <v>2479</v>
      </c>
      <c r="E877" s="15">
        <v>1022.3344</v>
      </c>
      <c r="F877" s="42">
        <v>46198</v>
      </c>
    </row>
    <row r="878" spans="1:6" x14ac:dyDescent="0.3">
      <c r="A878" s="15" t="s">
        <v>46225</v>
      </c>
      <c r="B878" s="15" t="s">
        <v>2480</v>
      </c>
      <c r="C878" s="15" t="s">
        <v>2481</v>
      </c>
      <c r="D878" s="15" t="s">
        <v>2482</v>
      </c>
      <c r="E878" s="15">
        <v>1024.0281</v>
      </c>
      <c r="F878" s="42">
        <v>46198</v>
      </c>
    </row>
    <row r="879" spans="1:6" x14ac:dyDescent="0.3">
      <c r="A879" s="15" t="s">
        <v>46224</v>
      </c>
      <c r="B879" s="15" t="s">
        <v>2483</v>
      </c>
      <c r="C879" s="15" t="s">
        <v>2484</v>
      </c>
      <c r="D879" s="15" t="s">
        <v>2485</v>
      </c>
      <c r="E879" s="15">
        <v>1018.189</v>
      </c>
      <c r="F879" s="42">
        <v>46198</v>
      </c>
    </row>
    <row r="880" spans="1:6" x14ac:dyDescent="0.3">
      <c r="A880" s="15" t="s">
        <v>46223</v>
      </c>
      <c r="B880" s="15" t="s">
        <v>2486</v>
      </c>
      <c r="C880" s="15" t="s">
        <v>2487</v>
      </c>
      <c r="D880" s="15" t="s">
        <v>2488</v>
      </c>
      <c r="E880" s="15">
        <v>1021.6766</v>
      </c>
      <c r="F880" s="42">
        <v>46198</v>
      </c>
    </row>
    <row r="881" spans="1:6" x14ac:dyDescent="0.3">
      <c r="A881" s="15" t="s">
        <v>33499</v>
      </c>
      <c r="B881" s="15" t="s">
        <v>795</v>
      </c>
      <c r="C881" s="15" t="s">
        <v>795</v>
      </c>
      <c r="D881" s="15" t="s">
        <v>795</v>
      </c>
      <c r="F881" s="42"/>
    </row>
    <row r="882" spans="1:6" x14ac:dyDescent="0.3">
      <c r="A882" s="15" t="s">
        <v>37043</v>
      </c>
      <c r="B882" s="15" t="s">
        <v>795</v>
      </c>
      <c r="C882" s="15" t="s">
        <v>795</v>
      </c>
      <c r="D882" s="15" t="s">
        <v>795</v>
      </c>
      <c r="F882" s="42"/>
    </row>
    <row r="883" spans="1:6" x14ac:dyDescent="0.3">
      <c r="A883" s="15" t="s">
        <v>33499</v>
      </c>
      <c r="B883" s="15" t="s">
        <v>795</v>
      </c>
      <c r="C883" s="15" t="s">
        <v>795</v>
      </c>
      <c r="D883" s="15" t="s">
        <v>795</v>
      </c>
      <c r="F883" s="42"/>
    </row>
    <row r="884" spans="1:6" x14ac:dyDescent="0.3">
      <c r="A884" s="15" t="s">
        <v>46222</v>
      </c>
      <c r="B884" s="15" t="s">
        <v>2489</v>
      </c>
      <c r="C884" s="15" t="s">
        <v>800</v>
      </c>
      <c r="D884" s="15" t="s">
        <v>2490</v>
      </c>
      <c r="E884" s="15">
        <v>92.651600000000002</v>
      </c>
      <c r="F884" s="42">
        <v>46198</v>
      </c>
    </row>
    <row r="885" spans="1:6" x14ac:dyDescent="0.3">
      <c r="A885" s="15" t="s">
        <v>46221</v>
      </c>
      <c r="B885" s="15" t="s">
        <v>2491</v>
      </c>
      <c r="C885" s="15" t="s">
        <v>800</v>
      </c>
      <c r="D885" s="15" t="s">
        <v>2492</v>
      </c>
      <c r="E885" s="15">
        <v>102.9552</v>
      </c>
      <c r="F885" s="42">
        <v>46198</v>
      </c>
    </row>
    <row r="886" spans="1:6" x14ac:dyDescent="0.3">
      <c r="A886" s="15" t="s">
        <v>46220</v>
      </c>
      <c r="B886" s="15" t="s">
        <v>2493</v>
      </c>
      <c r="C886" s="15" t="s">
        <v>2494</v>
      </c>
      <c r="D886" s="15" t="s">
        <v>2495</v>
      </c>
      <c r="E886" s="15">
        <v>13.972200000000001</v>
      </c>
      <c r="F886" s="42">
        <v>46198</v>
      </c>
    </row>
    <row r="887" spans="1:6" x14ac:dyDescent="0.3">
      <c r="A887" s="15" t="s">
        <v>46219</v>
      </c>
      <c r="B887" s="15" t="s">
        <v>2496</v>
      </c>
      <c r="C887" s="15" t="s">
        <v>2497</v>
      </c>
      <c r="D887" s="15" t="s">
        <v>2498</v>
      </c>
      <c r="E887" s="15">
        <v>11.8771</v>
      </c>
      <c r="F887" s="42">
        <v>46198</v>
      </c>
    </row>
    <row r="888" spans="1:6" x14ac:dyDescent="0.3">
      <c r="A888" s="15" t="s">
        <v>46218</v>
      </c>
      <c r="B888" s="15" t="s">
        <v>2499</v>
      </c>
      <c r="C888" s="15" t="s">
        <v>800</v>
      </c>
      <c r="D888" s="15" t="s">
        <v>2500</v>
      </c>
      <c r="E888" s="15">
        <v>21.677900000000001</v>
      </c>
      <c r="F888" s="42">
        <v>46198</v>
      </c>
    </row>
    <row r="889" spans="1:6" x14ac:dyDescent="0.3">
      <c r="A889" s="15" t="s">
        <v>46217</v>
      </c>
      <c r="B889" s="15" t="s">
        <v>2501</v>
      </c>
      <c r="C889" s="15" t="s">
        <v>800</v>
      </c>
      <c r="D889" s="15" t="s">
        <v>2502</v>
      </c>
      <c r="E889" s="15">
        <v>19.849499999999999</v>
      </c>
      <c r="F889" s="42">
        <v>46198</v>
      </c>
    </row>
    <row r="890" spans="1:6" x14ac:dyDescent="0.3">
      <c r="A890" s="15" t="s">
        <v>46216</v>
      </c>
      <c r="B890" s="15" t="s">
        <v>2503</v>
      </c>
      <c r="C890" s="15" t="s">
        <v>2504</v>
      </c>
      <c r="D890" s="15" t="s">
        <v>2505</v>
      </c>
      <c r="E890" s="15">
        <v>14.385400000000001</v>
      </c>
      <c r="F890" s="42">
        <v>46198</v>
      </c>
    </row>
    <row r="891" spans="1:6" x14ac:dyDescent="0.3">
      <c r="A891" s="15" t="s">
        <v>46215</v>
      </c>
      <c r="B891" s="15" t="s">
        <v>2506</v>
      </c>
      <c r="C891" s="15" t="s">
        <v>2507</v>
      </c>
      <c r="D891" s="15" t="s">
        <v>2508</v>
      </c>
      <c r="E891" s="15">
        <v>12.8261</v>
      </c>
      <c r="F891" s="42">
        <v>46198</v>
      </c>
    </row>
    <row r="892" spans="1:6" x14ac:dyDescent="0.3">
      <c r="A892" s="15" t="s">
        <v>46214</v>
      </c>
      <c r="B892" s="15" t="s">
        <v>2509</v>
      </c>
      <c r="C892" s="15" t="s">
        <v>2510</v>
      </c>
      <c r="D892" s="15" t="s">
        <v>2511</v>
      </c>
      <c r="E892" s="15">
        <v>15.3507</v>
      </c>
      <c r="F892" s="42">
        <v>46198</v>
      </c>
    </row>
    <row r="893" spans="1:6" x14ac:dyDescent="0.3">
      <c r="A893" s="15" t="s">
        <v>46213</v>
      </c>
      <c r="B893" s="15" t="s">
        <v>2512</v>
      </c>
      <c r="C893" s="15" t="s">
        <v>2513</v>
      </c>
      <c r="D893" s="15" t="s">
        <v>2514</v>
      </c>
      <c r="E893" s="15">
        <v>13.7133</v>
      </c>
      <c r="F893" s="42">
        <v>46198</v>
      </c>
    </row>
    <row r="894" spans="1:6" x14ac:dyDescent="0.3">
      <c r="A894" s="15" t="s">
        <v>33499</v>
      </c>
      <c r="B894" s="15" t="s">
        <v>795</v>
      </c>
      <c r="C894" s="15" t="s">
        <v>795</v>
      </c>
      <c r="D894" s="15" t="s">
        <v>795</v>
      </c>
      <c r="F894" s="42"/>
    </row>
    <row r="895" spans="1:6" x14ac:dyDescent="0.3">
      <c r="A895" s="15" t="s">
        <v>36815</v>
      </c>
      <c r="B895" s="15" t="s">
        <v>795</v>
      </c>
      <c r="C895" s="15" t="s">
        <v>795</v>
      </c>
      <c r="D895" s="15" t="s">
        <v>795</v>
      </c>
      <c r="F895" s="42"/>
    </row>
    <row r="896" spans="1:6" x14ac:dyDescent="0.3">
      <c r="A896" s="15" t="s">
        <v>33499</v>
      </c>
      <c r="B896" s="15" t="s">
        <v>795</v>
      </c>
      <c r="C896" s="15" t="s">
        <v>795</v>
      </c>
      <c r="D896" s="15" t="s">
        <v>795</v>
      </c>
      <c r="F896" s="42"/>
    </row>
    <row r="897" spans="1:6" x14ac:dyDescent="0.3">
      <c r="A897" s="15" t="s">
        <v>46212</v>
      </c>
      <c r="B897" s="15" t="s">
        <v>2515</v>
      </c>
      <c r="C897" s="15" t="s">
        <v>2516</v>
      </c>
      <c r="D897" s="15" t="s">
        <v>2517</v>
      </c>
      <c r="E897" s="15">
        <v>10.7994</v>
      </c>
      <c r="F897" s="42">
        <v>46198</v>
      </c>
    </row>
    <row r="898" spans="1:6" x14ac:dyDescent="0.3">
      <c r="A898" s="15" t="s">
        <v>46211</v>
      </c>
      <c r="B898" s="15" t="s">
        <v>2518</v>
      </c>
      <c r="C898" s="15" t="s">
        <v>800</v>
      </c>
      <c r="D898" s="15" t="s">
        <v>2519</v>
      </c>
      <c r="E898" s="15">
        <v>33.361800000000002</v>
      </c>
      <c r="F898" s="42">
        <v>46198</v>
      </c>
    </row>
    <row r="899" spans="1:6" x14ac:dyDescent="0.3">
      <c r="A899" s="15" t="s">
        <v>46210</v>
      </c>
      <c r="B899" s="15" t="s">
        <v>2520</v>
      </c>
      <c r="C899" s="15" t="s">
        <v>2521</v>
      </c>
      <c r="D899" s="15" t="s">
        <v>2522</v>
      </c>
      <c r="E899" s="15">
        <v>12.941800000000001</v>
      </c>
      <c r="F899" s="42">
        <v>46198</v>
      </c>
    </row>
    <row r="900" spans="1:6" x14ac:dyDescent="0.3">
      <c r="A900" s="15" t="s">
        <v>46209</v>
      </c>
      <c r="B900" s="15" t="s">
        <v>2523</v>
      </c>
      <c r="C900" s="15" t="s">
        <v>2524</v>
      </c>
      <c r="D900" s="15" t="s">
        <v>2525</v>
      </c>
      <c r="E900" s="15">
        <v>10.2501</v>
      </c>
      <c r="F900" s="42">
        <v>46198</v>
      </c>
    </row>
    <row r="901" spans="1:6" x14ac:dyDescent="0.3">
      <c r="A901" s="15" t="s">
        <v>46208</v>
      </c>
      <c r="B901" s="15" t="s">
        <v>2526</v>
      </c>
      <c r="C901" s="15" t="s">
        <v>800</v>
      </c>
      <c r="D901" s="15" t="s">
        <v>2527</v>
      </c>
      <c r="E901" s="15">
        <v>30.664400000000001</v>
      </c>
      <c r="F901" s="42">
        <v>46198</v>
      </c>
    </row>
    <row r="902" spans="1:6" x14ac:dyDescent="0.3">
      <c r="A902" s="15" t="s">
        <v>46207</v>
      </c>
      <c r="B902" s="15" t="s">
        <v>2528</v>
      </c>
      <c r="C902" s="15" t="s">
        <v>2529</v>
      </c>
      <c r="D902" s="15" t="s">
        <v>2530</v>
      </c>
      <c r="E902" s="15">
        <v>10.8612</v>
      </c>
      <c r="F902" s="42">
        <v>46198</v>
      </c>
    </row>
    <row r="903" spans="1:6" x14ac:dyDescent="0.3">
      <c r="A903" s="15" t="s">
        <v>33499</v>
      </c>
      <c r="B903" s="15" t="s">
        <v>795</v>
      </c>
      <c r="C903" s="15" t="s">
        <v>795</v>
      </c>
      <c r="D903" s="15" t="s">
        <v>795</v>
      </c>
      <c r="F903" s="42"/>
    </row>
    <row r="904" spans="1:6" x14ac:dyDescent="0.3">
      <c r="A904" s="15" t="s">
        <v>36764</v>
      </c>
      <c r="B904" s="15" t="s">
        <v>795</v>
      </c>
      <c r="C904" s="15" t="s">
        <v>795</v>
      </c>
      <c r="D904" s="15" t="s">
        <v>795</v>
      </c>
      <c r="F904" s="42"/>
    </row>
    <row r="905" spans="1:6" x14ac:dyDescent="0.3">
      <c r="A905" s="15" t="s">
        <v>33499</v>
      </c>
      <c r="B905" s="15" t="s">
        <v>795</v>
      </c>
      <c r="C905" s="15" t="s">
        <v>795</v>
      </c>
      <c r="D905" s="15" t="s">
        <v>795</v>
      </c>
      <c r="F905" s="42"/>
    </row>
    <row r="906" spans="1:6" x14ac:dyDescent="0.3">
      <c r="A906" s="15" t="s">
        <v>46206</v>
      </c>
      <c r="B906" s="15" t="s">
        <v>2531</v>
      </c>
      <c r="C906" s="15" t="s">
        <v>2532</v>
      </c>
      <c r="D906" s="15" t="s">
        <v>2533</v>
      </c>
      <c r="E906" s="15">
        <v>11.466900000000001</v>
      </c>
      <c r="F906" s="42">
        <v>46198</v>
      </c>
    </row>
    <row r="907" spans="1:6" x14ac:dyDescent="0.3">
      <c r="A907" s="15" t="s">
        <v>46205</v>
      </c>
      <c r="B907" s="15" t="s">
        <v>2534</v>
      </c>
      <c r="C907" s="15" t="s">
        <v>800</v>
      </c>
      <c r="D907" s="15" t="s">
        <v>2535</v>
      </c>
      <c r="E907" s="15">
        <v>17.024799999999999</v>
      </c>
      <c r="F907" s="42">
        <v>43945</v>
      </c>
    </row>
    <row r="908" spans="1:6" x14ac:dyDescent="0.3">
      <c r="A908" s="15" t="s">
        <v>46204</v>
      </c>
      <c r="B908" s="15" t="s">
        <v>2536</v>
      </c>
      <c r="C908" s="15" t="s">
        <v>2537</v>
      </c>
      <c r="D908" s="15" t="s">
        <v>2538</v>
      </c>
      <c r="E908" s="15">
        <v>11.4941</v>
      </c>
      <c r="F908" s="42">
        <v>46198</v>
      </c>
    </row>
    <row r="909" spans="1:6" x14ac:dyDescent="0.3">
      <c r="A909" s="15" t="s">
        <v>46203</v>
      </c>
      <c r="B909" s="15" t="s">
        <v>2539</v>
      </c>
      <c r="C909" s="15" t="s">
        <v>800</v>
      </c>
      <c r="D909" s="15" t="s">
        <v>2540</v>
      </c>
      <c r="E909" s="15">
        <v>42.345399999999998</v>
      </c>
      <c r="F909" s="42">
        <v>46198</v>
      </c>
    </row>
    <row r="910" spans="1:6" x14ac:dyDescent="0.3">
      <c r="A910" s="15" t="s">
        <v>46202</v>
      </c>
      <c r="B910" s="15" t="s">
        <v>2541</v>
      </c>
      <c r="C910" s="15" t="s">
        <v>2542</v>
      </c>
      <c r="D910" s="15" t="s">
        <v>2543</v>
      </c>
      <c r="E910" s="15">
        <v>27.479199999999999</v>
      </c>
      <c r="F910" s="42">
        <v>46198</v>
      </c>
    </row>
    <row r="911" spans="1:6" x14ac:dyDescent="0.3">
      <c r="A911" s="15" t="s">
        <v>46201</v>
      </c>
      <c r="B911" s="15" t="s">
        <v>2544</v>
      </c>
      <c r="C911" s="15" t="s">
        <v>2545</v>
      </c>
      <c r="D911" s="15" t="s">
        <v>2546</v>
      </c>
      <c r="E911" s="15">
        <v>12.3232</v>
      </c>
      <c r="F911" s="42">
        <v>46198</v>
      </c>
    </row>
    <row r="912" spans="1:6" x14ac:dyDescent="0.3">
      <c r="A912" s="15" t="s">
        <v>46200</v>
      </c>
      <c r="B912" s="15" t="s">
        <v>2547</v>
      </c>
      <c r="C912" s="15" t="s">
        <v>2548</v>
      </c>
      <c r="D912" s="15" t="s">
        <v>2549</v>
      </c>
      <c r="E912" s="15">
        <v>10.617599999999999</v>
      </c>
      <c r="F912" s="42">
        <v>46198</v>
      </c>
    </row>
    <row r="913" spans="1:6" x14ac:dyDescent="0.3">
      <c r="A913" s="15" t="s">
        <v>46199</v>
      </c>
      <c r="B913" s="15" t="s">
        <v>2550</v>
      </c>
      <c r="C913" s="15" t="s">
        <v>800</v>
      </c>
      <c r="D913" s="15" t="s">
        <v>2551</v>
      </c>
      <c r="E913" s="15">
        <v>17.8505</v>
      </c>
      <c r="F913" s="42">
        <v>43945</v>
      </c>
    </row>
    <row r="914" spans="1:6" x14ac:dyDescent="0.3">
      <c r="A914" s="15" t="s">
        <v>46198</v>
      </c>
      <c r="B914" s="15" t="s">
        <v>2552</v>
      </c>
      <c r="C914" s="15" t="s">
        <v>800</v>
      </c>
      <c r="D914" s="15" t="s">
        <v>2553</v>
      </c>
      <c r="E914" s="15">
        <v>38.941899999999997</v>
      </c>
      <c r="F914" s="42">
        <v>46198</v>
      </c>
    </row>
    <row r="915" spans="1:6" x14ac:dyDescent="0.3">
      <c r="A915" s="15" t="s">
        <v>46197</v>
      </c>
      <c r="B915" s="15" t="s">
        <v>2554</v>
      </c>
      <c r="C915" s="15" t="s">
        <v>2555</v>
      </c>
      <c r="D915" s="15" t="s">
        <v>2556</v>
      </c>
      <c r="E915" s="15">
        <v>24.216200000000001</v>
      </c>
      <c r="F915" s="42">
        <v>46198</v>
      </c>
    </row>
    <row r="916" spans="1:6" x14ac:dyDescent="0.3">
      <c r="A916" s="15" t="s">
        <v>46196</v>
      </c>
      <c r="B916" s="15" t="s">
        <v>2557</v>
      </c>
      <c r="C916" s="15" t="s">
        <v>800</v>
      </c>
      <c r="D916" s="15" t="s">
        <v>2558</v>
      </c>
      <c r="E916" s="15">
        <v>25.753799999999998</v>
      </c>
      <c r="F916" s="42">
        <v>43945</v>
      </c>
    </row>
    <row r="917" spans="1:6" x14ac:dyDescent="0.3">
      <c r="A917" s="15" t="s">
        <v>46195</v>
      </c>
      <c r="B917" s="15" t="s">
        <v>2559</v>
      </c>
      <c r="C917" s="15" t="s">
        <v>2560</v>
      </c>
      <c r="D917" s="15" t="s">
        <v>2561</v>
      </c>
      <c r="E917" s="15">
        <v>11.993399999999999</v>
      </c>
      <c r="F917" s="42">
        <v>46198</v>
      </c>
    </row>
    <row r="918" spans="1:6" x14ac:dyDescent="0.3">
      <c r="A918" s="15" t="s">
        <v>46194</v>
      </c>
      <c r="B918" s="15" t="s">
        <v>2562</v>
      </c>
      <c r="C918" s="15" t="s">
        <v>2563</v>
      </c>
      <c r="D918" s="15" t="s">
        <v>2564</v>
      </c>
      <c r="E918" s="15">
        <v>11.033899999999999</v>
      </c>
      <c r="F918" s="42">
        <v>46198</v>
      </c>
    </row>
    <row r="919" spans="1:6" x14ac:dyDescent="0.3">
      <c r="A919" s="15" t="s">
        <v>46193</v>
      </c>
      <c r="B919" s="15" t="s">
        <v>2565</v>
      </c>
      <c r="C919" s="15" t="s">
        <v>2566</v>
      </c>
      <c r="D919" s="15" t="s">
        <v>2567</v>
      </c>
      <c r="E919" s="15">
        <v>10.8538</v>
      </c>
      <c r="F919" s="42">
        <v>41507</v>
      </c>
    </row>
    <row r="920" spans="1:6" x14ac:dyDescent="0.3">
      <c r="A920" s="15" t="s">
        <v>46192</v>
      </c>
      <c r="B920" s="15" t="s">
        <v>2568</v>
      </c>
      <c r="C920" s="15" t="s">
        <v>800</v>
      </c>
      <c r="D920" s="15" t="s">
        <v>2569</v>
      </c>
      <c r="E920" s="15">
        <v>49.321599999999997</v>
      </c>
      <c r="F920" s="42">
        <v>43945</v>
      </c>
    </row>
    <row r="921" spans="1:6" x14ac:dyDescent="0.3">
      <c r="A921" s="15" t="s">
        <v>46191</v>
      </c>
      <c r="B921" s="15" t="s">
        <v>2570</v>
      </c>
      <c r="C921" s="15" t="s">
        <v>2571</v>
      </c>
      <c r="D921" s="15" t="s">
        <v>2572</v>
      </c>
      <c r="E921" s="15">
        <v>11.6831</v>
      </c>
      <c r="F921" s="42">
        <v>43945</v>
      </c>
    </row>
    <row r="922" spans="1:6" x14ac:dyDescent="0.3">
      <c r="A922" s="15" t="s">
        <v>33499</v>
      </c>
      <c r="B922" s="15" t="s">
        <v>795</v>
      </c>
      <c r="C922" s="15" t="s">
        <v>795</v>
      </c>
      <c r="D922" s="15" t="s">
        <v>795</v>
      </c>
      <c r="F922" s="42"/>
    </row>
    <row r="923" spans="1:6" x14ac:dyDescent="0.3">
      <c r="A923" s="15" t="s">
        <v>40577</v>
      </c>
      <c r="B923" s="15" t="s">
        <v>795</v>
      </c>
      <c r="C923" s="15" t="s">
        <v>795</v>
      </c>
      <c r="D923" s="15" t="s">
        <v>795</v>
      </c>
      <c r="F923" s="42"/>
    </row>
    <row r="924" spans="1:6" x14ac:dyDescent="0.3">
      <c r="A924" s="15" t="s">
        <v>33499</v>
      </c>
      <c r="B924" s="15" t="s">
        <v>795</v>
      </c>
      <c r="C924" s="15" t="s">
        <v>795</v>
      </c>
      <c r="D924" s="15" t="s">
        <v>795</v>
      </c>
      <c r="F924" s="42"/>
    </row>
    <row r="925" spans="1:6" x14ac:dyDescent="0.3">
      <c r="A925" s="15" t="s">
        <v>46190</v>
      </c>
      <c r="B925" s="15" t="s">
        <v>2573</v>
      </c>
      <c r="C925" s="15" t="s">
        <v>2574</v>
      </c>
      <c r="D925" s="15" t="s">
        <v>2575</v>
      </c>
      <c r="E925" s="15">
        <v>13.5078</v>
      </c>
      <c r="F925" s="42">
        <v>46198</v>
      </c>
    </row>
    <row r="926" spans="1:6" x14ac:dyDescent="0.3">
      <c r="A926" s="15" t="s">
        <v>46189</v>
      </c>
      <c r="B926" s="15" t="s">
        <v>2576</v>
      </c>
      <c r="C926" s="15" t="s">
        <v>800</v>
      </c>
      <c r="D926" s="15" t="s">
        <v>2577</v>
      </c>
      <c r="E926" s="15">
        <v>13.507999999999999</v>
      </c>
      <c r="F926" s="42">
        <v>46198</v>
      </c>
    </row>
    <row r="927" spans="1:6" x14ac:dyDescent="0.3">
      <c r="A927" s="15" t="s">
        <v>46188</v>
      </c>
      <c r="B927" s="15" t="s">
        <v>2578</v>
      </c>
      <c r="C927" s="15" t="s">
        <v>2579</v>
      </c>
      <c r="D927" s="15" t="s">
        <v>2580</v>
      </c>
      <c r="E927" s="15">
        <v>11.229200000000001</v>
      </c>
      <c r="F927" s="42">
        <v>46198</v>
      </c>
    </row>
    <row r="928" spans="1:6" x14ac:dyDescent="0.3">
      <c r="A928" s="15" t="s">
        <v>46187</v>
      </c>
      <c r="B928" s="15" t="s">
        <v>2581</v>
      </c>
      <c r="C928" s="15" t="s">
        <v>2582</v>
      </c>
      <c r="D928" s="15" t="s">
        <v>2583</v>
      </c>
      <c r="E928" s="15">
        <v>10.222799999999999</v>
      </c>
      <c r="F928" s="42">
        <v>46198</v>
      </c>
    </row>
    <row r="929" spans="1:6" x14ac:dyDescent="0.3">
      <c r="A929" s="15" t="s">
        <v>46186</v>
      </c>
      <c r="B929" s="15" t="s">
        <v>2584</v>
      </c>
      <c r="C929" s="15" t="s">
        <v>2585</v>
      </c>
      <c r="D929" s="15" t="s">
        <v>2586</v>
      </c>
      <c r="E929" s="15">
        <v>13.5367</v>
      </c>
      <c r="F929" s="42">
        <v>46198</v>
      </c>
    </row>
    <row r="930" spans="1:6" x14ac:dyDescent="0.3">
      <c r="A930" s="15" t="s">
        <v>46185</v>
      </c>
      <c r="B930" s="15" t="s">
        <v>2587</v>
      </c>
      <c r="C930" s="15" t="s">
        <v>2588</v>
      </c>
      <c r="D930" s="15" t="s">
        <v>2589</v>
      </c>
      <c r="E930" s="15">
        <v>12.8224</v>
      </c>
      <c r="F930" s="42">
        <v>46198</v>
      </c>
    </row>
    <row r="931" spans="1:6" x14ac:dyDescent="0.3">
      <c r="A931" s="15" t="s">
        <v>46184</v>
      </c>
      <c r="B931" s="15" t="s">
        <v>2590</v>
      </c>
      <c r="C931" s="15" t="s">
        <v>800</v>
      </c>
      <c r="D931" s="15" t="s">
        <v>2591</v>
      </c>
      <c r="E931" s="15">
        <v>12.821300000000001</v>
      </c>
      <c r="F931" s="42">
        <v>46198</v>
      </c>
    </row>
    <row r="932" spans="1:6" x14ac:dyDescent="0.3">
      <c r="A932" s="15" t="s">
        <v>46183</v>
      </c>
      <c r="B932" s="15" t="s">
        <v>2592</v>
      </c>
      <c r="C932" s="15" t="s">
        <v>2593</v>
      </c>
      <c r="D932" s="15" t="s">
        <v>2594</v>
      </c>
      <c r="E932" s="15">
        <v>12.825100000000001</v>
      </c>
      <c r="F932" s="42">
        <v>46198</v>
      </c>
    </row>
    <row r="933" spans="1:6" x14ac:dyDescent="0.3">
      <c r="A933" s="15" t="s">
        <v>46182</v>
      </c>
      <c r="B933" s="15" t="s">
        <v>2595</v>
      </c>
      <c r="C933" s="15" t="s">
        <v>2596</v>
      </c>
      <c r="D933" s="15" t="s">
        <v>2597</v>
      </c>
      <c r="E933" s="15">
        <v>10.091699999999999</v>
      </c>
      <c r="F933" s="42">
        <v>46198</v>
      </c>
    </row>
    <row r="934" spans="1:6" x14ac:dyDescent="0.3">
      <c r="A934" s="15" t="s">
        <v>46181</v>
      </c>
      <c r="B934" s="15" t="s">
        <v>2598</v>
      </c>
      <c r="C934" s="15" t="s">
        <v>2599</v>
      </c>
      <c r="D934" s="15" t="s">
        <v>2600</v>
      </c>
      <c r="E934" s="15">
        <v>12.8248</v>
      </c>
      <c r="F934" s="42">
        <v>46198</v>
      </c>
    </row>
    <row r="935" spans="1:6" x14ac:dyDescent="0.3">
      <c r="A935" s="15" t="s">
        <v>33499</v>
      </c>
      <c r="B935" s="15" t="s">
        <v>795</v>
      </c>
      <c r="C935" s="15" t="s">
        <v>795</v>
      </c>
      <c r="D935" s="15" t="s">
        <v>795</v>
      </c>
      <c r="F935" s="42"/>
    </row>
    <row r="936" spans="1:6" x14ac:dyDescent="0.3">
      <c r="A936" s="15" t="s">
        <v>40894</v>
      </c>
      <c r="B936" s="15" t="s">
        <v>795</v>
      </c>
      <c r="C936" s="15" t="s">
        <v>795</v>
      </c>
      <c r="D936" s="15" t="s">
        <v>795</v>
      </c>
      <c r="F936" s="42"/>
    </row>
    <row r="937" spans="1:6" x14ac:dyDescent="0.3">
      <c r="A937" s="15" t="s">
        <v>33499</v>
      </c>
      <c r="B937" s="15" t="s">
        <v>795</v>
      </c>
      <c r="C937" s="15" t="s">
        <v>795</v>
      </c>
      <c r="D937" s="15" t="s">
        <v>795</v>
      </c>
      <c r="F937" s="42"/>
    </row>
    <row r="938" spans="1:6" x14ac:dyDescent="0.3">
      <c r="A938" s="15" t="s">
        <v>46180</v>
      </c>
      <c r="B938" s="15" t="s">
        <v>800</v>
      </c>
      <c r="C938" s="15" t="s">
        <v>2601</v>
      </c>
      <c r="D938" s="15" t="s">
        <v>2602</v>
      </c>
      <c r="E938" s="15">
        <v>10.109500000000001</v>
      </c>
      <c r="F938" s="42">
        <v>46198</v>
      </c>
    </row>
    <row r="939" spans="1:6" x14ac:dyDescent="0.3">
      <c r="A939" s="15" t="s">
        <v>46179</v>
      </c>
      <c r="B939" s="15" t="s">
        <v>2603</v>
      </c>
      <c r="C939" s="15" t="s">
        <v>2604</v>
      </c>
      <c r="D939" s="15" t="s">
        <v>2605</v>
      </c>
      <c r="E939" s="15">
        <v>46.451099999999997</v>
      </c>
      <c r="F939" s="42">
        <v>46198</v>
      </c>
    </row>
    <row r="940" spans="1:6" x14ac:dyDescent="0.3">
      <c r="A940" s="15" t="s">
        <v>46178</v>
      </c>
      <c r="B940" s="15" t="s">
        <v>2606</v>
      </c>
      <c r="C940" s="15" t="s">
        <v>2607</v>
      </c>
      <c r="D940" s="15" t="s">
        <v>2608</v>
      </c>
      <c r="E940" s="15">
        <v>46.807200000000002</v>
      </c>
      <c r="F940" s="42">
        <v>46198</v>
      </c>
    </row>
    <row r="941" spans="1:6" x14ac:dyDescent="0.3">
      <c r="A941" s="15" t="s">
        <v>46177</v>
      </c>
      <c r="B941" s="15" t="s">
        <v>800</v>
      </c>
      <c r="C941" s="15" t="s">
        <v>2609</v>
      </c>
      <c r="D941" s="15" t="s">
        <v>2610</v>
      </c>
      <c r="E941" s="15">
        <v>10.5785</v>
      </c>
      <c r="F941" s="42">
        <v>46198</v>
      </c>
    </row>
    <row r="942" spans="1:6" x14ac:dyDescent="0.3">
      <c r="A942" s="15" t="s">
        <v>46176</v>
      </c>
      <c r="B942" s="15" t="s">
        <v>2611</v>
      </c>
      <c r="C942" s="15" t="s">
        <v>800</v>
      </c>
      <c r="D942" s="15" t="s">
        <v>2612</v>
      </c>
      <c r="E942" s="15">
        <v>40.072499999999998</v>
      </c>
      <c r="F942" s="42">
        <v>45684</v>
      </c>
    </row>
    <row r="943" spans="1:6" x14ac:dyDescent="0.3">
      <c r="A943" s="15" t="s">
        <v>46175</v>
      </c>
      <c r="B943" s="15" t="s">
        <v>800</v>
      </c>
      <c r="C943" s="15" t="s">
        <v>2613</v>
      </c>
      <c r="D943" s="15" t="s">
        <v>2614</v>
      </c>
      <c r="E943" s="15">
        <v>10.055</v>
      </c>
      <c r="F943" s="42">
        <v>46198</v>
      </c>
    </row>
    <row r="944" spans="1:6" x14ac:dyDescent="0.3">
      <c r="A944" s="15" t="s">
        <v>46174</v>
      </c>
      <c r="B944" s="15" t="s">
        <v>2615</v>
      </c>
      <c r="C944" s="15" t="s">
        <v>800</v>
      </c>
      <c r="D944" s="15" t="s">
        <v>2616</v>
      </c>
      <c r="E944" s="15">
        <v>43.083799999999997</v>
      </c>
      <c r="F944" s="42">
        <v>46198</v>
      </c>
    </row>
    <row r="945" spans="1:6" x14ac:dyDescent="0.3">
      <c r="A945" s="15" t="s">
        <v>46173</v>
      </c>
      <c r="B945" s="15" t="s">
        <v>2617</v>
      </c>
      <c r="C945" s="15" t="s">
        <v>800</v>
      </c>
      <c r="D945" s="15" t="s">
        <v>2618</v>
      </c>
      <c r="E945" s="15">
        <v>40.403100000000002</v>
      </c>
      <c r="F945" s="42">
        <v>45684</v>
      </c>
    </row>
    <row r="946" spans="1:6" x14ac:dyDescent="0.3">
      <c r="A946" s="15" t="s">
        <v>46172</v>
      </c>
      <c r="B946" s="15" t="s">
        <v>2619</v>
      </c>
      <c r="C946" s="15" t="s">
        <v>2620</v>
      </c>
      <c r="D946" s="15" t="s">
        <v>2621</v>
      </c>
      <c r="E946" s="15">
        <v>43.219000000000001</v>
      </c>
      <c r="F946" s="42">
        <v>46198</v>
      </c>
    </row>
    <row r="947" spans="1:6" x14ac:dyDescent="0.3">
      <c r="A947" s="15" t="s">
        <v>46171</v>
      </c>
      <c r="B947" s="15" t="s">
        <v>2622</v>
      </c>
      <c r="C947" s="15" t="s">
        <v>2623</v>
      </c>
      <c r="D947" s="15" t="s">
        <v>2624</v>
      </c>
      <c r="E947" s="15">
        <v>43.424100000000003</v>
      </c>
      <c r="F947" s="42">
        <v>46198</v>
      </c>
    </row>
    <row r="948" spans="1:6" x14ac:dyDescent="0.3">
      <c r="A948" s="15" t="s">
        <v>46170</v>
      </c>
      <c r="B948" s="15" t="s">
        <v>800</v>
      </c>
      <c r="C948" s="15" t="s">
        <v>2625</v>
      </c>
      <c r="D948" s="15" t="s">
        <v>2626</v>
      </c>
      <c r="E948" s="15">
        <v>10.569699999999999</v>
      </c>
      <c r="F948" s="42">
        <v>46198</v>
      </c>
    </row>
    <row r="949" spans="1:6" x14ac:dyDescent="0.3">
      <c r="A949" s="15" t="s">
        <v>46169</v>
      </c>
      <c r="B949" s="15" t="s">
        <v>2627</v>
      </c>
      <c r="C949" s="15" t="s">
        <v>2628</v>
      </c>
      <c r="D949" s="15" t="s">
        <v>2629</v>
      </c>
      <c r="E949" s="15">
        <v>10.245799999999999</v>
      </c>
      <c r="F949" s="42">
        <v>44271</v>
      </c>
    </row>
    <row r="950" spans="1:6" x14ac:dyDescent="0.3">
      <c r="A950" s="15" t="s">
        <v>46168</v>
      </c>
      <c r="B950" s="15" t="s">
        <v>2630</v>
      </c>
      <c r="C950" s="15" t="s">
        <v>800</v>
      </c>
      <c r="D950" s="15" t="s">
        <v>2631</v>
      </c>
      <c r="E950" s="15">
        <v>42.496299999999998</v>
      </c>
      <c r="F950" s="42">
        <v>45684</v>
      </c>
    </row>
    <row r="951" spans="1:6" x14ac:dyDescent="0.3">
      <c r="A951" s="15" t="s">
        <v>46167</v>
      </c>
      <c r="B951" s="15" t="s">
        <v>2632</v>
      </c>
      <c r="C951" s="15" t="s">
        <v>800</v>
      </c>
      <c r="D951" s="15" t="s">
        <v>2633</v>
      </c>
      <c r="E951" s="15">
        <v>46.2027</v>
      </c>
      <c r="F951" s="42">
        <v>46198</v>
      </c>
    </row>
    <row r="952" spans="1:6" x14ac:dyDescent="0.3">
      <c r="A952" s="15" t="s">
        <v>46166</v>
      </c>
      <c r="B952" s="15" t="s">
        <v>2634</v>
      </c>
      <c r="C952" s="15" t="s">
        <v>800</v>
      </c>
      <c r="D952" s="15" t="s">
        <v>2635</v>
      </c>
      <c r="E952" s="15">
        <v>42.922800000000002</v>
      </c>
      <c r="F952" s="42">
        <v>45684</v>
      </c>
    </row>
    <row r="953" spans="1:6" x14ac:dyDescent="0.3">
      <c r="A953" s="15" t="s">
        <v>46165</v>
      </c>
      <c r="B953" s="15" t="s">
        <v>800</v>
      </c>
      <c r="C953" s="15" t="s">
        <v>2636</v>
      </c>
      <c r="D953" s="15" t="s">
        <v>2637</v>
      </c>
      <c r="E953" s="15">
        <v>10.047000000000001</v>
      </c>
      <c r="F953" s="42">
        <v>43957</v>
      </c>
    </row>
    <row r="954" spans="1:6" x14ac:dyDescent="0.3">
      <c r="A954" s="15" t="s">
        <v>46164</v>
      </c>
      <c r="B954" s="15" t="s">
        <v>2638</v>
      </c>
      <c r="C954" s="15" t="s">
        <v>800</v>
      </c>
      <c r="D954" s="15" t="s">
        <v>2639</v>
      </c>
      <c r="E954" s="15">
        <v>29.152000000000001</v>
      </c>
      <c r="F954" s="42">
        <v>43844</v>
      </c>
    </row>
    <row r="955" spans="1:6" x14ac:dyDescent="0.3">
      <c r="A955" s="15" t="s">
        <v>33499</v>
      </c>
      <c r="B955" s="15" t="s">
        <v>795</v>
      </c>
      <c r="C955" s="15" t="s">
        <v>795</v>
      </c>
      <c r="D955" s="15" t="s">
        <v>795</v>
      </c>
      <c r="F955" s="42"/>
    </row>
    <row r="956" spans="1:6" x14ac:dyDescent="0.3">
      <c r="A956" s="15" t="s">
        <v>139</v>
      </c>
      <c r="B956" s="15" t="s">
        <v>795</v>
      </c>
      <c r="C956" s="15" t="s">
        <v>795</v>
      </c>
      <c r="D956" s="15" t="s">
        <v>795</v>
      </c>
      <c r="F956" s="42"/>
    </row>
    <row r="957" spans="1:6" x14ac:dyDescent="0.3">
      <c r="A957" s="15" t="s">
        <v>33499</v>
      </c>
      <c r="B957" s="15" t="s">
        <v>795</v>
      </c>
      <c r="C957" s="15" t="s">
        <v>795</v>
      </c>
      <c r="D957" s="15" t="s">
        <v>795</v>
      </c>
      <c r="F957" s="42"/>
    </row>
    <row r="958" spans="1:6" x14ac:dyDescent="0.3">
      <c r="A958" s="15" t="s">
        <v>46163</v>
      </c>
      <c r="B958" s="15" t="s">
        <v>2640</v>
      </c>
      <c r="C958" s="15" t="s">
        <v>800</v>
      </c>
      <c r="D958" s="15" t="s">
        <v>2641</v>
      </c>
      <c r="E958" s="15">
        <v>15.123799999999999</v>
      </c>
      <c r="F958" s="42">
        <v>46198</v>
      </c>
    </row>
    <row r="959" spans="1:6" x14ac:dyDescent="0.3">
      <c r="A959" s="15" t="s">
        <v>46162</v>
      </c>
      <c r="B959" s="15" t="s">
        <v>2642</v>
      </c>
      <c r="C959" s="15" t="s">
        <v>800</v>
      </c>
      <c r="D959" s="15" t="s">
        <v>2643</v>
      </c>
      <c r="E959" s="15">
        <v>43.093000000000004</v>
      </c>
      <c r="F959" s="42">
        <v>46198</v>
      </c>
    </row>
    <row r="960" spans="1:6" x14ac:dyDescent="0.3">
      <c r="A960" s="15" t="s">
        <v>46161</v>
      </c>
      <c r="B960" s="15" t="s">
        <v>2644</v>
      </c>
      <c r="C960" s="15" t="s">
        <v>2645</v>
      </c>
      <c r="D960" s="15" t="s">
        <v>2646</v>
      </c>
      <c r="E960" s="15">
        <v>14.7744</v>
      </c>
      <c r="F960" s="42">
        <v>46198</v>
      </c>
    </row>
    <row r="961" spans="1:6" x14ac:dyDescent="0.3">
      <c r="A961" s="15" t="s">
        <v>46160</v>
      </c>
      <c r="B961" s="15" t="s">
        <v>2647</v>
      </c>
      <c r="C961" s="15" t="s">
        <v>800</v>
      </c>
      <c r="D961" s="15" t="s">
        <v>2648</v>
      </c>
      <c r="E961" s="15">
        <v>39.215800000000002</v>
      </c>
      <c r="F961" s="42">
        <v>46198</v>
      </c>
    </row>
    <row r="962" spans="1:6" x14ac:dyDescent="0.3">
      <c r="A962" s="15" t="s">
        <v>33499</v>
      </c>
      <c r="B962" s="15" t="s">
        <v>795</v>
      </c>
      <c r="C962" s="15" t="s">
        <v>795</v>
      </c>
      <c r="D962" s="15" t="s">
        <v>795</v>
      </c>
      <c r="F962" s="42"/>
    </row>
    <row r="963" spans="1:6" x14ac:dyDescent="0.3">
      <c r="A963" s="15" t="s">
        <v>39301</v>
      </c>
      <c r="B963" s="15" t="s">
        <v>795</v>
      </c>
      <c r="C963" s="15" t="s">
        <v>795</v>
      </c>
      <c r="D963" s="15" t="s">
        <v>795</v>
      </c>
      <c r="F963" s="42"/>
    </row>
    <row r="964" spans="1:6" x14ac:dyDescent="0.3">
      <c r="A964" s="15" t="s">
        <v>33499</v>
      </c>
      <c r="B964" s="15" t="s">
        <v>795</v>
      </c>
      <c r="C964" s="15" t="s">
        <v>795</v>
      </c>
      <c r="D964" s="15" t="s">
        <v>795</v>
      </c>
      <c r="F964" s="42"/>
    </row>
    <row r="965" spans="1:6" x14ac:dyDescent="0.3">
      <c r="A965" s="15" t="s">
        <v>46159</v>
      </c>
      <c r="B965" s="15" t="s">
        <v>2649</v>
      </c>
      <c r="C965" s="15" t="s">
        <v>800</v>
      </c>
      <c r="D965" s="15" t="s">
        <v>2650</v>
      </c>
      <c r="E965" s="15">
        <v>16.322199999999999</v>
      </c>
      <c r="F965" s="42">
        <v>46198</v>
      </c>
    </row>
    <row r="966" spans="1:6" x14ac:dyDescent="0.3">
      <c r="A966" s="15" t="s">
        <v>46158</v>
      </c>
      <c r="B966" s="15" t="s">
        <v>2651</v>
      </c>
      <c r="C966" s="15" t="s">
        <v>2652</v>
      </c>
      <c r="D966" s="15" t="s">
        <v>2653</v>
      </c>
      <c r="E966" s="15">
        <v>12.8531</v>
      </c>
      <c r="F966" s="42">
        <v>46198</v>
      </c>
    </row>
    <row r="967" spans="1:6" x14ac:dyDescent="0.3">
      <c r="A967" s="15" t="s">
        <v>46157</v>
      </c>
      <c r="B967" s="15" t="s">
        <v>2654</v>
      </c>
      <c r="C967" s="15" t="s">
        <v>2655</v>
      </c>
      <c r="D967" s="15" t="s">
        <v>2656</v>
      </c>
      <c r="E967" s="15">
        <v>11.6195</v>
      </c>
      <c r="F967" s="42">
        <v>46198</v>
      </c>
    </row>
    <row r="968" spans="1:6" x14ac:dyDescent="0.3">
      <c r="A968" s="15" t="s">
        <v>46156</v>
      </c>
      <c r="B968" s="15" t="s">
        <v>2657</v>
      </c>
      <c r="C968" s="15" t="s">
        <v>800</v>
      </c>
      <c r="D968" s="15" t="s">
        <v>2658</v>
      </c>
      <c r="E968" s="15">
        <v>14.942</v>
      </c>
      <c r="F968" s="42">
        <v>46198</v>
      </c>
    </row>
    <row r="969" spans="1:6" x14ac:dyDescent="0.3">
      <c r="A969" s="15" t="s">
        <v>46155</v>
      </c>
      <c r="B969" s="15" t="s">
        <v>2659</v>
      </c>
      <c r="C969" s="15" t="s">
        <v>2660</v>
      </c>
      <c r="D969" s="15" t="s">
        <v>2661</v>
      </c>
      <c r="E969" s="15">
        <v>11.580399999999999</v>
      </c>
      <c r="F969" s="42">
        <v>46198</v>
      </c>
    </row>
    <row r="970" spans="1:6" x14ac:dyDescent="0.3">
      <c r="A970" s="15" t="s">
        <v>46154</v>
      </c>
      <c r="B970" s="15" t="s">
        <v>2662</v>
      </c>
      <c r="C970" s="15" t="s">
        <v>2663</v>
      </c>
      <c r="D970" s="15" t="s">
        <v>2664</v>
      </c>
      <c r="E970" s="15">
        <v>10.436199999999999</v>
      </c>
      <c r="F970" s="42">
        <v>46198</v>
      </c>
    </row>
    <row r="971" spans="1:6" x14ac:dyDescent="0.3">
      <c r="A971" s="15" t="s">
        <v>33499</v>
      </c>
      <c r="B971" s="15" t="s">
        <v>795</v>
      </c>
      <c r="C971" s="15" t="s">
        <v>795</v>
      </c>
      <c r="D971" s="15" t="s">
        <v>795</v>
      </c>
      <c r="F971" s="42"/>
    </row>
    <row r="972" spans="1:6" x14ac:dyDescent="0.3">
      <c r="A972" s="15" t="s">
        <v>37780</v>
      </c>
      <c r="B972" s="15" t="s">
        <v>795</v>
      </c>
      <c r="C972" s="15" t="s">
        <v>795</v>
      </c>
      <c r="D972" s="15" t="s">
        <v>795</v>
      </c>
      <c r="F972" s="42"/>
    </row>
    <row r="973" spans="1:6" x14ac:dyDescent="0.3">
      <c r="A973" s="15" t="s">
        <v>33499</v>
      </c>
      <c r="B973" s="15" t="s">
        <v>795</v>
      </c>
      <c r="C973" s="15" t="s">
        <v>795</v>
      </c>
      <c r="D973" s="15" t="s">
        <v>795</v>
      </c>
      <c r="F973" s="42"/>
    </row>
    <row r="974" spans="1:6" x14ac:dyDescent="0.3">
      <c r="A974" s="15" t="s">
        <v>46153</v>
      </c>
      <c r="B974" s="15" t="s">
        <v>2665</v>
      </c>
      <c r="C974" s="15" t="s">
        <v>800</v>
      </c>
      <c r="D974" s="15" t="s">
        <v>2666</v>
      </c>
      <c r="E974" s="15">
        <v>18.747199999999999</v>
      </c>
      <c r="F974" s="42">
        <v>46198</v>
      </c>
    </row>
    <row r="975" spans="1:6" x14ac:dyDescent="0.3">
      <c r="A975" s="15" t="s">
        <v>46152</v>
      </c>
      <c r="B975" s="15" t="s">
        <v>2667</v>
      </c>
      <c r="C975" s="15" t="s">
        <v>2668</v>
      </c>
      <c r="D975" s="15" t="s">
        <v>2669</v>
      </c>
      <c r="E975" s="15">
        <v>18.724399999999999</v>
      </c>
      <c r="F975" s="42">
        <v>46198</v>
      </c>
    </row>
    <row r="976" spans="1:6" x14ac:dyDescent="0.3">
      <c r="A976" s="15" t="s">
        <v>46151</v>
      </c>
      <c r="B976" s="15" t="s">
        <v>2670</v>
      </c>
      <c r="C976" s="15" t="s">
        <v>2671</v>
      </c>
      <c r="D976" s="15" t="s">
        <v>2672</v>
      </c>
      <c r="E976" s="15">
        <v>17.005199999999999</v>
      </c>
      <c r="F976" s="42">
        <v>46198</v>
      </c>
    </row>
    <row r="977" spans="1:6" x14ac:dyDescent="0.3">
      <c r="A977" s="15" t="s">
        <v>46150</v>
      </c>
      <c r="B977" s="15" t="s">
        <v>2673</v>
      </c>
      <c r="C977" s="15" t="s">
        <v>800</v>
      </c>
      <c r="D977" s="15" t="s">
        <v>2674</v>
      </c>
      <c r="E977" s="15">
        <v>17.004799999999999</v>
      </c>
      <c r="F977" s="42">
        <v>46198</v>
      </c>
    </row>
    <row r="978" spans="1:6" x14ac:dyDescent="0.3">
      <c r="A978" s="15" t="s">
        <v>33499</v>
      </c>
      <c r="B978" s="15" t="s">
        <v>795</v>
      </c>
      <c r="C978" s="15" t="s">
        <v>795</v>
      </c>
      <c r="D978" s="15" t="s">
        <v>795</v>
      </c>
      <c r="F978" s="42"/>
    </row>
    <row r="979" spans="1:6" x14ac:dyDescent="0.3">
      <c r="A979" s="15" t="s">
        <v>208</v>
      </c>
      <c r="B979" s="15" t="s">
        <v>795</v>
      </c>
      <c r="C979" s="15" t="s">
        <v>795</v>
      </c>
      <c r="D979" s="15" t="s">
        <v>795</v>
      </c>
      <c r="F979" s="42"/>
    </row>
    <row r="980" spans="1:6" x14ac:dyDescent="0.3">
      <c r="A980" s="15" t="s">
        <v>33499</v>
      </c>
      <c r="B980" s="15" t="s">
        <v>795</v>
      </c>
      <c r="C980" s="15" t="s">
        <v>795</v>
      </c>
      <c r="D980" s="15" t="s">
        <v>795</v>
      </c>
      <c r="F980" s="42"/>
    </row>
    <row r="981" spans="1:6" x14ac:dyDescent="0.3">
      <c r="A981" s="15" t="s">
        <v>46149</v>
      </c>
      <c r="B981" s="15" t="s">
        <v>2675</v>
      </c>
      <c r="C981" s="15" t="s">
        <v>2676</v>
      </c>
      <c r="D981" s="15" t="s">
        <v>2677</v>
      </c>
      <c r="E981" s="15">
        <v>30.442</v>
      </c>
      <c r="F981" s="42">
        <v>46198</v>
      </c>
    </row>
    <row r="982" spans="1:6" x14ac:dyDescent="0.3">
      <c r="A982" s="15" t="s">
        <v>46148</v>
      </c>
      <c r="B982" s="15" t="s">
        <v>2678</v>
      </c>
      <c r="C982" s="15" t="s">
        <v>2679</v>
      </c>
      <c r="D982" s="15" t="s">
        <v>2680</v>
      </c>
      <c r="E982" s="15">
        <v>10.3973</v>
      </c>
      <c r="F982" s="42">
        <v>46198</v>
      </c>
    </row>
    <row r="983" spans="1:6" x14ac:dyDescent="0.3">
      <c r="A983" s="15" t="s">
        <v>46147</v>
      </c>
      <c r="B983" s="15" t="s">
        <v>2681</v>
      </c>
      <c r="C983" s="15" t="s">
        <v>800</v>
      </c>
      <c r="D983" s="15" t="s">
        <v>2682</v>
      </c>
      <c r="E983" s="15">
        <v>42.135599999999997</v>
      </c>
      <c r="F983" s="42">
        <v>46198</v>
      </c>
    </row>
    <row r="984" spans="1:6" x14ac:dyDescent="0.3">
      <c r="A984" s="15" t="s">
        <v>46146</v>
      </c>
      <c r="B984" s="15" t="s">
        <v>2683</v>
      </c>
      <c r="C984" s="15" t="s">
        <v>2684</v>
      </c>
      <c r="D984" s="15" t="s">
        <v>2685</v>
      </c>
      <c r="E984" s="15">
        <v>26.314800000000002</v>
      </c>
      <c r="F984" s="42">
        <v>46198</v>
      </c>
    </row>
    <row r="985" spans="1:6" x14ac:dyDescent="0.3">
      <c r="A985" s="15" t="s">
        <v>46145</v>
      </c>
      <c r="B985" s="15" t="s">
        <v>2686</v>
      </c>
      <c r="C985" s="15" t="s">
        <v>2687</v>
      </c>
      <c r="D985" s="15" t="s">
        <v>2688</v>
      </c>
      <c r="E985" s="15">
        <v>10.297800000000001</v>
      </c>
      <c r="F985" s="42">
        <v>46198</v>
      </c>
    </row>
    <row r="986" spans="1:6" x14ac:dyDescent="0.3">
      <c r="A986" s="15" t="s">
        <v>46144</v>
      </c>
      <c r="B986" s="15" t="s">
        <v>2689</v>
      </c>
      <c r="C986" s="15" t="s">
        <v>800</v>
      </c>
      <c r="D986" s="15" t="s">
        <v>2690</v>
      </c>
      <c r="E986" s="15">
        <v>39.122799999999998</v>
      </c>
      <c r="F986" s="42">
        <v>46198</v>
      </c>
    </row>
    <row r="987" spans="1:6" x14ac:dyDescent="0.3">
      <c r="A987" s="15" t="s">
        <v>33499</v>
      </c>
      <c r="B987" s="15" t="s">
        <v>795</v>
      </c>
      <c r="C987" s="15" t="s">
        <v>795</v>
      </c>
      <c r="D987" s="15" t="s">
        <v>795</v>
      </c>
      <c r="F987" s="42"/>
    </row>
    <row r="988" spans="1:6" x14ac:dyDescent="0.3">
      <c r="A988" s="15" t="s">
        <v>37523</v>
      </c>
      <c r="B988" s="15" t="s">
        <v>795</v>
      </c>
      <c r="C988" s="15" t="s">
        <v>795</v>
      </c>
      <c r="D988" s="15" t="s">
        <v>795</v>
      </c>
      <c r="F988" s="42"/>
    </row>
    <row r="989" spans="1:6" x14ac:dyDescent="0.3">
      <c r="A989" s="15" t="s">
        <v>33499</v>
      </c>
      <c r="B989" s="15" t="s">
        <v>795</v>
      </c>
      <c r="C989" s="15" t="s">
        <v>795</v>
      </c>
      <c r="D989" s="15" t="s">
        <v>795</v>
      </c>
      <c r="F989" s="42"/>
    </row>
    <row r="990" spans="1:6" x14ac:dyDescent="0.3">
      <c r="A990" s="15" t="s">
        <v>46143</v>
      </c>
      <c r="B990" s="15" t="s">
        <v>2691</v>
      </c>
      <c r="C990" s="15" t="s">
        <v>800</v>
      </c>
      <c r="D990" s="15" t="s">
        <v>2692</v>
      </c>
      <c r="E990" s="15">
        <v>3108.8578000000002</v>
      </c>
      <c r="F990" s="42">
        <v>46198</v>
      </c>
    </row>
    <row r="991" spans="1:6" x14ac:dyDescent="0.3">
      <c r="A991" s="15" t="s">
        <v>46142</v>
      </c>
      <c r="B991" s="15" t="s">
        <v>2693</v>
      </c>
      <c r="C991" s="15" t="s">
        <v>2694</v>
      </c>
      <c r="D991" s="15" t="s">
        <v>2695</v>
      </c>
      <c r="E991" s="15">
        <v>1564.4811</v>
      </c>
      <c r="F991" s="42">
        <v>44260</v>
      </c>
    </row>
    <row r="992" spans="1:6" x14ac:dyDescent="0.3">
      <c r="A992" s="15" t="s">
        <v>46141</v>
      </c>
      <c r="B992" s="15" t="s">
        <v>2696</v>
      </c>
      <c r="C992" s="15" t="s">
        <v>2697</v>
      </c>
      <c r="D992" s="15" t="s">
        <v>2698</v>
      </c>
      <c r="E992" s="15">
        <v>1194.0663</v>
      </c>
      <c r="F992" s="42">
        <v>46198</v>
      </c>
    </row>
    <row r="993" spans="1:6" x14ac:dyDescent="0.3">
      <c r="A993" s="15" t="s">
        <v>46140</v>
      </c>
      <c r="B993" s="15" t="s">
        <v>2699</v>
      </c>
      <c r="C993" s="15" t="s">
        <v>2700</v>
      </c>
      <c r="D993" s="15" t="s">
        <v>2701</v>
      </c>
      <c r="E993" s="15">
        <v>1075.7507000000001</v>
      </c>
      <c r="F993" s="42">
        <v>44260</v>
      </c>
    </row>
    <row r="994" spans="1:6" x14ac:dyDescent="0.3">
      <c r="A994" s="15" t="s">
        <v>46139</v>
      </c>
      <c r="B994" s="15" t="s">
        <v>2702</v>
      </c>
      <c r="C994" s="15" t="s">
        <v>2703</v>
      </c>
      <c r="D994" s="15" t="s">
        <v>2704</v>
      </c>
      <c r="E994" s="15">
        <v>1069.1774</v>
      </c>
      <c r="F994" s="42">
        <v>46198</v>
      </c>
    </row>
    <row r="995" spans="1:6" x14ac:dyDescent="0.3">
      <c r="A995" s="15" t="s">
        <v>46138</v>
      </c>
      <c r="B995" s="15" t="s">
        <v>2705</v>
      </c>
      <c r="C995" s="15" t="s">
        <v>800</v>
      </c>
      <c r="D995" s="15" t="s">
        <v>2706</v>
      </c>
      <c r="E995" s="15">
        <v>2704.6386000000002</v>
      </c>
      <c r="F995" s="42">
        <v>46198</v>
      </c>
    </row>
    <row r="996" spans="1:6" x14ac:dyDescent="0.3">
      <c r="A996" s="15" t="s">
        <v>46137</v>
      </c>
      <c r="B996" s="15" t="s">
        <v>2707</v>
      </c>
      <c r="C996" s="15" t="s">
        <v>800</v>
      </c>
      <c r="D996" s="15" t="s">
        <v>2708</v>
      </c>
      <c r="E996" s="15">
        <v>1631.8015</v>
      </c>
      <c r="F996" s="42">
        <v>42907</v>
      </c>
    </row>
    <row r="997" spans="1:6" x14ac:dyDescent="0.3">
      <c r="A997" s="15" t="s">
        <v>33499</v>
      </c>
      <c r="B997" s="15" t="s">
        <v>795</v>
      </c>
      <c r="C997" s="15" t="s">
        <v>795</v>
      </c>
      <c r="D997" s="15" t="s">
        <v>795</v>
      </c>
      <c r="F997" s="42"/>
    </row>
    <row r="998" spans="1:6" x14ac:dyDescent="0.3">
      <c r="A998" s="15" t="s">
        <v>37684</v>
      </c>
      <c r="B998" s="15" t="s">
        <v>795</v>
      </c>
      <c r="C998" s="15" t="s">
        <v>795</v>
      </c>
      <c r="D998" s="15" t="s">
        <v>795</v>
      </c>
      <c r="F998" s="42"/>
    </row>
    <row r="999" spans="1:6" x14ac:dyDescent="0.3">
      <c r="A999" s="15" t="s">
        <v>33499</v>
      </c>
      <c r="B999" s="15" t="s">
        <v>795</v>
      </c>
      <c r="C999" s="15" t="s">
        <v>795</v>
      </c>
      <c r="D999" s="15" t="s">
        <v>795</v>
      </c>
      <c r="F999" s="42"/>
    </row>
    <row r="1000" spans="1:6" x14ac:dyDescent="0.3">
      <c r="A1000" s="15" t="s">
        <v>46136</v>
      </c>
      <c r="B1000" s="15" t="s">
        <v>2709</v>
      </c>
      <c r="C1000" s="15" t="s">
        <v>800</v>
      </c>
      <c r="D1000" s="15" t="s">
        <v>2710</v>
      </c>
      <c r="E1000" s="15">
        <v>22.771899999999999</v>
      </c>
      <c r="F1000" s="42">
        <v>46198</v>
      </c>
    </row>
    <row r="1001" spans="1:6" x14ac:dyDescent="0.3">
      <c r="A1001" s="15" t="s">
        <v>46135</v>
      </c>
      <c r="B1001" s="15" t="s">
        <v>2711</v>
      </c>
      <c r="C1001" s="15" t="s">
        <v>2712</v>
      </c>
      <c r="D1001" s="15" t="s">
        <v>2713</v>
      </c>
      <c r="E1001" s="15">
        <v>10.4072</v>
      </c>
      <c r="F1001" s="42">
        <v>46198</v>
      </c>
    </row>
    <row r="1002" spans="1:6" x14ac:dyDescent="0.3">
      <c r="A1002" s="15" t="s">
        <v>46134</v>
      </c>
      <c r="B1002" s="15" t="s">
        <v>2714</v>
      </c>
      <c r="C1002" s="15" t="s">
        <v>800</v>
      </c>
      <c r="D1002" s="15" t="s">
        <v>2715</v>
      </c>
      <c r="E1002" s="15">
        <v>22.300899999999999</v>
      </c>
      <c r="F1002" s="42">
        <v>46198</v>
      </c>
    </row>
    <row r="1003" spans="1:6" x14ac:dyDescent="0.3">
      <c r="A1003" s="15" t="s">
        <v>46133</v>
      </c>
      <c r="B1003" s="15" t="s">
        <v>2716</v>
      </c>
      <c r="C1003" s="15" t="s">
        <v>2717</v>
      </c>
      <c r="D1003" s="15" t="s">
        <v>2718</v>
      </c>
      <c r="E1003" s="15">
        <v>10.4651</v>
      </c>
      <c r="F1003" s="42">
        <v>46198</v>
      </c>
    </row>
    <row r="1004" spans="1:6" x14ac:dyDescent="0.3">
      <c r="A1004" s="15" t="s">
        <v>33499</v>
      </c>
      <c r="B1004" s="15" t="s">
        <v>795</v>
      </c>
      <c r="C1004" s="15" t="s">
        <v>795</v>
      </c>
      <c r="D1004" s="15" t="s">
        <v>795</v>
      </c>
      <c r="F1004" s="42"/>
    </row>
    <row r="1005" spans="1:6" x14ac:dyDescent="0.3">
      <c r="A1005" s="15" t="s">
        <v>33636</v>
      </c>
      <c r="B1005" s="15" t="s">
        <v>795</v>
      </c>
      <c r="C1005" s="15" t="s">
        <v>795</v>
      </c>
      <c r="D1005" s="15" t="s">
        <v>795</v>
      </c>
      <c r="F1005" s="42"/>
    </row>
    <row r="1006" spans="1:6" x14ac:dyDescent="0.3">
      <c r="A1006" s="15" t="s">
        <v>33499</v>
      </c>
      <c r="B1006" s="15" t="s">
        <v>795</v>
      </c>
      <c r="C1006" s="15" t="s">
        <v>795</v>
      </c>
      <c r="D1006" s="15" t="s">
        <v>795</v>
      </c>
      <c r="F1006" s="42"/>
    </row>
    <row r="1007" spans="1:6" x14ac:dyDescent="0.3">
      <c r="A1007" s="15" t="s">
        <v>46132</v>
      </c>
      <c r="B1007" s="15" t="s">
        <v>2719</v>
      </c>
      <c r="C1007" s="15" t="s">
        <v>800</v>
      </c>
      <c r="D1007" s="15" t="s">
        <v>2720</v>
      </c>
      <c r="E1007" s="15">
        <v>41.03</v>
      </c>
      <c r="F1007" s="42">
        <v>46198</v>
      </c>
    </row>
    <row r="1008" spans="1:6" x14ac:dyDescent="0.3">
      <c r="A1008" s="15" t="s">
        <v>46131</v>
      </c>
      <c r="B1008" s="15" t="s">
        <v>2721</v>
      </c>
      <c r="C1008" s="15" t="s">
        <v>2722</v>
      </c>
      <c r="D1008" s="15" t="s">
        <v>2723</v>
      </c>
      <c r="E1008" s="15">
        <v>22.9177</v>
      </c>
      <c r="F1008" s="42">
        <v>46198</v>
      </c>
    </row>
    <row r="1009" spans="1:6" x14ac:dyDescent="0.3">
      <c r="A1009" s="15" t="s">
        <v>46130</v>
      </c>
      <c r="B1009" s="15" t="s">
        <v>2724</v>
      </c>
      <c r="C1009" s="15" t="s">
        <v>800</v>
      </c>
      <c r="D1009" s="15" t="s">
        <v>2725</v>
      </c>
      <c r="E1009" s="15">
        <v>37.226199999999999</v>
      </c>
      <c r="F1009" s="42">
        <v>46198</v>
      </c>
    </row>
    <row r="1010" spans="1:6" x14ac:dyDescent="0.3">
      <c r="A1010" s="15" t="s">
        <v>46129</v>
      </c>
      <c r="B1010" s="15" t="s">
        <v>2726</v>
      </c>
      <c r="C1010" s="15" t="s">
        <v>2727</v>
      </c>
      <c r="D1010" s="15" t="s">
        <v>2728</v>
      </c>
      <c r="E1010" s="15">
        <v>19.515999999999998</v>
      </c>
      <c r="F1010" s="42">
        <v>46198</v>
      </c>
    </row>
    <row r="1011" spans="1:6" x14ac:dyDescent="0.3">
      <c r="A1011" s="15" t="s">
        <v>33499</v>
      </c>
      <c r="B1011" s="15" t="s">
        <v>795</v>
      </c>
      <c r="C1011" s="15" t="s">
        <v>795</v>
      </c>
      <c r="D1011" s="15" t="s">
        <v>795</v>
      </c>
      <c r="F1011" s="42"/>
    </row>
    <row r="1012" spans="1:6" x14ac:dyDescent="0.3">
      <c r="A1012" s="15" t="s">
        <v>33519</v>
      </c>
      <c r="B1012" s="15" t="s">
        <v>795</v>
      </c>
      <c r="C1012" s="15" t="s">
        <v>795</v>
      </c>
      <c r="D1012" s="15" t="s">
        <v>795</v>
      </c>
      <c r="F1012" s="42"/>
    </row>
    <row r="1013" spans="1:6" x14ac:dyDescent="0.3">
      <c r="A1013" s="15" t="s">
        <v>33499</v>
      </c>
      <c r="B1013" s="15" t="s">
        <v>795</v>
      </c>
      <c r="C1013" s="15" t="s">
        <v>795</v>
      </c>
      <c r="D1013" s="15" t="s">
        <v>795</v>
      </c>
      <c r="F1013" s="42"/>
    </row>
    <row r="1014" spans="1:6" x14ac:dyDescent="0.3">
      <c r="A1014" s="15" t="s">
        <v>46128</v>
      </c>
      <c r="B1014" s="15" t="s">
        <v>2729</v>
      </c>
      <c r="C1014" s="15" t="s">
        <v>800</v>
      </c>
      <c r="D1014" s="15" t="s">
        <v>2730</v>
      </c>
      <c r="E1014" s="15">
        <v>38.236600000000003</v>
      </c>
      <c r="F1014" s="42">
        <v>44827</v>
      </c>
    </row>
    <row r="1015" spans="1:6" x14ac:dyDescent="0.3">
      <c r="A1015" s="15" t="s">
        <v>46127</v>
      </c>
      <c r="B1015" s="15" t="s">
        <v>2731</v>
      </c>
      <c r="C1015" s="15" t="s">
        <v>800</v>
      </c>
      <c r="D1015" s="15" t="s">
        <v>2732</v>
      </c>
      <c r="E1015" s="15">
        <v>34.921700000000001</v>
      </c>
      <c r="F1015" s="42">
        <v>44827</v>
      </c>
    </row>
    <row r="1016" spans="1:6" x14ac:dyDescent="0.3">
      <c r="A1016" s="15" t="s">
        <v>46126</v>
      </c>
      <c r="B1016" s="15" t="s">
        <v>2733</v>
      </c>
      <c r="C1016" s="15" t="s">
        <v>2734</v>
      </c>
      <c r="D1016" s="15" t="s">
        <v>2735</v>
      </c>
      <c r="E1016" s="15">
        <v>20.111599999999999</v>
      </c>
      <c r="F1016" s="42">
        <v>44827</v>
      </c>
    </row>
    <row r="1017" spans="1:6" x14ac:dyDescent="0.3">
      <c r="A1017" s="15" t="s">
        <v>46125</v>
      </c>
      <c r="B1017" s="15" t="s">
        <v>2736</v>
      </c>
      <c r="C1017" s="15" t="s">
        <v>2737</v>
      </c>
      <c r="D1017" s="15" t="s">
        <v>2738</v>
      </c>
      <c r="E1017" s="15">
        <v>22.6907</v>
      </c>
      <c r="F1017" s="42">
        <v>44827</v>
      </c>
    </row>
    <row r="1018" spans="1:6" x14ac:dyDescent="0.3">
      <c r="A1018" s="15" t="s">
        <v>33499</v>
      </c>
      <c r="B1018" s="15" t="s">
        <v>795</v>
      </c>
      <c r="C1018" s="15" t="s">
        <v>795</v>
      </c>
      <c r="D1018" s="15" t="s">
        <v>795</v>
      </c>
      <c r="F1018" s="42"/>
    </row>
    <row r="1019" spans="1:6" x14ac:dyDescent="0.3">
      <c r="A1019" s="15" t="s">
        <v>33504</v>
      </c>
      <c r="B1019" s="15" t="s">
        <v>795</v>
      </c>
      <c r="C1019" s="15" t="s">
        <v>795</v>
      </c>
      <c r="D1019" s="15" t="s">
        <v>795</v>
      </c>
      <c r="F1019" s="42"/>
    </row>
    <row r="1020" spans="1:6" x14ac:dyDescent="0.3">
      <c r="A1020" s="15" t="s">
        <v>33499</v>
      </c>
      <c r="B1020" s="15" t="s">
        <v>795</v>
      </c>
      <c r="C1020" s="15" t="s">
        <v>795</v>
      </c>
      <c r="D1020" s="15" t="s">
        <v>795</v>
      </c>
      <c r="F1020" s="42"/>
    </row>
    <row r="1021" spans="1:6" x14ac:dyDescent="0.3">
      <c r="A1021" s="15" t="s">
        <v>46124</v>
      </c>
      <c r="B1021" s="15" t="s">
        <v>2739</v>
      </c>
      <c r="C1021" s="15" t="s">
        <v>800</v>
      </c>
      <c r="D1021" s="15" t="s">
        <v>2740</v>
      </c>
      <c r="E1021" s="15">
        <v>25.064499999999999</v>
      </c>
      <c r="F1021" s="42">
        <v>46198</v>
      </c>
    </row>
    <row r="1022" spans="1:6" x14ac:dyDescent="0.3">
      <c r="A1022" s="15" t="s">
        <v>46123</v>
      </c>
      <c r="B1022" s="15" t="s">
        <v>2741</v>
      </c>
      <c r="C1022" s="15" t="s">
        <v>2742</v>
      </c>
      <c r="D1022" s="15" t="s">
        <v>2743</v>
      </c>
      <c r="E1022" s="15">
        <v>16.789000000000001</v>
      </c>
      <c r="F1022" s="42">
        <v>46198</v>
      </c>
    </row>
    <row r="1023" spans="1:6" x14ac:dyDescent="0.3">
      <c r="A1023" s="15" t="s">
        <v>46122</v>
      </c>
      <c r="B1023" s="15" t="s">
        <v>2744</v>
      </c>
      <c r="C1023" s="15" t="s">
        <v>800</v>
      </c>
      <c r="D1023" s="15" t="s">
        <v>2745</v>
      </c>
      <c r="E1023" s="15">
        <v>23.662400000000002</v>
      </c>
      <c r="F1023" s="42">
        <v>46198</v>
      </c>
    </row>
    <row r="1024" spans="1:6" x14ac:dyDescent="0.3">
      <c r="A1024" s="15" t="s">
        <v>46121</v>
      </c>
      <c r="B1024" s="15" t="s">
        <v>2746</v>
      </c>
      <c r="C1024" s="15" t="s">
        <v>2747</v>
      </c>
      <c r="D1024" s="15" t="s">
        <v>2748</v>
      </c>
      <c r="E1024" s="15">
        <v>15.775700000000001</v>
      </c>
      <c r="F1024" s="42">
        <v>46198</v>
      </c>
    </row>
    <row r="1025" spans="1:6" x14ac:dyDescent="0.3">
      <c r="A1025" s="15" t="s">
        <v>33499</v>
      </c>
      <c r="B1025" s="15" t="s">
        <v>795</v>
      </c>
      <c r="C1025" s="15" t="s">
        <v>795</v>
      </c>
      <c r="D1025" s="15" t="s">
        <v>795</v>
      </c>
      <c r="F1025" s="42"/>
    </row>
    <row r="1026" spans="1:6" x14ac:dyDescent="0.3">
      <c r="A1026" s="15" t="s">
        <v>33500</v>
      </c>
      <c r="B1026" s="15" t="s">
        <v>795</v>
      </c>
      <c r="C1026" s="15" t="s">
        <v>795</v>
      </c>
      <c r="D1026" s="15" t="s">
        <v>795</v>
      </c>
      <c r="F1026" s="42"/>
    </row>
    <row r="1027" spans="1:6" x14ac:dyDescent="0.3">
      <c r="A1027" s="15" t="s">
        <v>33499</v>
      </c>
      <c r="B1027" s="15" t="s">
        <v>795</v>
      </c>
      <c r="C1027" s="15" t="s">
        <v>795</v>
      </c>
      <c r="D1027" s="15" t="s">
        <v>795</v>
      </c>
      <c r="F1027" s="42"/>
    </row>
    <row r="1028" spans="1:6" x14ac:dyDescent="0.3">
      <c r="A1028" s="15" t="s">
        <v>46120</v>
      </c>
      <c r="B1028" s="15" t="s">
        <v>2749</v>
      </c>
      <c r="C1028" s="15" t="s">
        <v>800</v>
      </c>
      <c r="D1028" s="15" t="s">
        <v>2750</v>
      </c>
      <c r="E1028" s="15">
        <v>1.3472999999999999</v>
      </c>
      <c r="F1028" s="42">
        <v>44588</v>
      </c>
    </row>
    <row r="1029" spans="1:6" x14ac:dyDescent="0.3">
      <c r="A1029" s="15" t="s">
        <v>46119</v>
      </c>
      <c r="B1029" s="15" t="s">
        <v>2751</v>
      </c>
      <c r="C1029" s="15" t="s">
        <v>800</v>
      </c>
      <c r="D1029" s="15" t="s">
        <v>2752</v>
      </c>
      <c r="E1029" s="15">
        <v>1.2707999999999999</v>
      </c>
      <c r="F1029" s="42">
        <v>44588</v>
      </c>
    </row>
    <row r="1030" spans="1:6" x14ac:dyDescent="0.3">
      <c r="A1030" s="15" t="s">
        <v>46118</v>
      </c>
      <c r="B1030" s="15" t="s">
        <v>2753</v>
      </c>
      <c r="C1030" s="15" t="s">
        <v>2754</v>
      </c>
      <c r="D1030" s="15" t="s">
        <v>2755</v>
      </c>
      <c r="E1030" s="15">
        <v>0.7238</v>
      </c>
      <c r="F1030" s="42">
        <v>44588</v>
      </c>
    </row>
    <row r="1031" spans="1:6" x14ac:dyDescent="0.3">
      <c r="A1031" s="15" t="s">
        <v>46117</v>
      </c>
      <c r="B1031" s="15" t="s">
        <v>2756</v>
      </c>
      <c r="C1031" s="15" t="s">
        <v>2757</v>
      </c>
      <c r="D1031" s="15" t="s">
        <v>2758</v>
      </c>
      <c r="E1031" s="15">
        <v>0.7329</v>
      </c>
      <c r="F1031" s="42">
        <v>44588</v>
      </c>
    </row>
    <row r="1032" spans="1:6" x14ac:dyDescent="0.3">
      <c r="A1032" s="15" t="s">
        <v>46116</v>
      </c>
      <c r="B1032" s="15" t="s">
        <v>2759</v>
      </c>
      <c r="C1032" s="15" t="s">
        <v>2760</v>
      </c>
      <c r="D1032" s="15" t="s">
        <v>2761</v>
      </c>
      <c r="E1032" s="15">
        <v>0.7258</v>
      </c>
      <c r="F1032" s="42">
        <v>44588</v>
      </c>
    </row>
    <row r="1033" spans="1:6" x14ac:dyDescent="0.3">
      <c r="A1033" s="15" t="s">
        <v>46115</v>
      </c>
      <c r="B1033" s="15" t="s">
        <v>2762</v>
      </c>
      <c r="C1033" s="15" t="s">
        <v>2763</v>
      </c>
      <c r="D1033" s="15" t="s">
        <v>2764</v>
      </c>
      <c r="E1033" s="15">
        <v>1.0368999999999999</v>
      </c>
      <c r="F1033" s="42">
        <v>44588</v>
      </c>
    </row>
    <row r="1034" spans="1:6" x14ac:dyDescent="0.3">
      <c r="A1034" s="15" t="s">
        <v>46114</v>
      </c>
      <c r="B1034" s="15" t="s">
        <v>2765</v>
      </c>
      <c r="C1034" s="15" t="s">
        <v>2766</v>
      </c>
      <c r="D1034" s="15" t="s">
        <v>2767</v>
      </c>
      <c r="E1034" s="15">
        <v>0.69889999999999997</v>
      </c>
      <c r="F1034" s="42">
        <v>44588</v>
      </c>
    </row>
    <row r="1035" spans="1:6" x14ac:dyDescent="0.3">
      <c r="A1035" s="15" t="s">
        <v>46113</v>
      </c>
      <c r="B1035" s="15" t="s">
        <v>2768</v>
      </c>
      <c r="C1035" s="15" t="s">
        <v>2769</v>
      </c>
      <c r="D1035" s="15" t="s">
        <v>2770</v>
      </c>
      <c r="E1035" s="15">
        <v>0.7036</v>
      </c>
      <c r="F1035" s="42">
        <v>44588</v>
      </c>
    </row>
    <row r="1036" spans="1:6" x14ac:dyDescent="0.3">
      <c r="A1036" s="15" t="s">
        <v>46112</v>
      </c>
      <c r="B1036" s="15" t="s">
        <v>2771</v>
      </c>
      <c r="C1036" s="15" t="s">
        <v>2772</v>
      </c>
      <c r="D1036" s="15" t="s">
        <v>2773</v>
      </c>
      <c r="E1036" s="15">
        <v>0.68959999999999999</v>
      </c>
      <c r="F1036" s="42">
        <v>44588</v>
      </c>
    </row>
    <row r="1037" spans="1:6" x14ac:dyDescent="0.3">
      <c r="A1037" s="15" t="s">
        <v>46111</v>
      </c>
      <c r="B1037" s="15" t="s">
        <v>2774</v>
      </c>
      <c r="C1037" s="15" t="s">
        <v>2775</v>
      </c>
      <c r="D1037" s="15" t="s">
        <v>2776</v>
      </c>
      <c r="E1037" s="15">
        <v>0.75270000000000004</v>
      </c>
      <c r="F1037" s="42">
        <v>44588</v>
      </c>
    </row>
    <row r="1038" spans="1:6" x14ac:dyDescent="0.3">
      <c r="A1038" s="15" t="s">
        <v>46110</v>
      </c>
      <c r="B1038" s="15" t="s">
        <v>2777</v>
      </c>
      <c r="C1038" s="15" t="s">
        <v>2778</v>
      </c>
      <c r="D1038" s="15" t="s">
        <v>2779</v>
      </c>
      <c r="E1038" s="15">
        <v>14.9964</v>
      </c>
      <c r="F1038" s="42">
        <v>46198</v>
      </c>
    </row>
    <row r="1039" spans="1:6" x14ac:dyDescent="0.3">
      <c r="A1039" s="15" t="s">
        <v>46109</v>
      </c>
      <c r="B1039" s="15" t="s">
        <v>2780</v>
      </c>
      <c r="C1039" s="15" t="s">
        <v>2781</v>
      </c>
      <c r="D1039" s="15" t="s">
        <v>2782</v>
      </c>
      <c r="E1039" s="15">
        <v>17.7395</v>
      </c>
      <c r="F1039" s="42">
        <v>46198</v>
      </c>
    </row>
    <row r="1040" spans="1:6" x14ac:dyDescent="0.3">
      <c r="A1040" s="15" t="s">
        <v>46108</v>
      </c>
      <c r="B1040" s="15" t="s">
        <v>2783</v>
      </c>
      <c r="C1040" s="15" t="s">
        <v>800</v>
      </c>
      <c r="D1040" s="15" t="s">
        <v>2784</v>
      </c>
      <c r="E1040" s="15">
        <v>35.348500000000001</v>
      </c>
      <c r="F1040" s="42">
        <v>46198</v>
      </c>
    </row>
    <row r="1041" spans="1:6" x14ac:dyDescent="0.3">
      <c r="A1041" s="15" t="s">
        <v>46107</v>
      </c>
      <c r="B1041" s="15" t="s">
        <v>2785</v>
      </c>
      <c r="C1041" s="15" t="s">
        <v>2786</v>
      </c>
      <c r="D1041" s="15" t="s">
        <v>2787</v>
      </c>
      <c r="E1041" s="15">
        <v>17.399999999999999</v>
      </c>
      <c r="F1041" s="42">
        <v>46198</v>
      </c>
    </row>
    <row r="1042" spans="1:6" x14ac:dyDescent="0.3">
      <c r="A1042" s="15" t="s">
        <v>46106</v>
      </c>
      <c r="B1042" s="15" t="s">
        <v>2788</v>
      </c>
      <c r="C1042" s="15" t="s">
        <v>2789</v>
      </c>
      <c r="D1042" s="15" t="s">
        <v>2790</v>
      </c>
      <c r="E1042" s="15">
        <v>27.202100000000002</v>
      </c>
      <c r="F1042" s="42">
        <v>46198</v>
      </c>
    </row>
    <row r="1043" spans="1:6" x14ac:dyDescent="0.3">
      <c r="A1043" s="15" t="s">
        <v>46105</v>
      </c>
      <c r="B1043" s="15" t="s">
        <v>2791</v>
      </c>
      <c r="C1043" s="15" t="s">
        <v>2792</v>
      </c>
      <c r="D1043" s="15" t="s">
        <v>2793</v>
      </c>
      <c r="E1043" s="15">
        <v>13.841900000000001</v>
      </c>
      <c r="F1043" s="42">
        <v>46198</v>
      </c>
    </row>
    <row r="1044" spans="1:6" x14ac:dyDescent="0.3">
      <c r="A1044" s="15" t="s">
        <v>46104</v>
      </c>
      <c r="B1044" s="15" t="s">
        <v>2794</v>
      </c>
      <c r="C1044" s="15" t="s">
        <v>2795</v>
      </c>
      <c r="D1044" s="15" t="s">
        <v>2796</v>
      </c>
      <c r="E1044" s="15">
        <v>17.0989</v>
      </c>
      <c r="F1044" s="42">
        <v>46198</v>
      </c>
    </row>
    <row r="1045" spans="1:6" x14ac:dyDescent="0.3">
      <c r="A1045" s="15" t="s">
        <v>46103</v>
      </c>
      <c r="B1045" s="15" t="s">
        <v>2797</v>
      </c>
      <c r="C1045" s="15" t="s">
        <v>800</v>
      </c>
      <c r="D1045" s="15" t="s">
        <v>2798</v>
      </c>
      <c r="E1045" s="15">
        <v>32.259599999999999</v>
      </c>
      <c r="F1045" s="42">
        <v>46198</v>
      </c>
    </row>
    <row r="1046" spans="1:6" x14ac:dyDescent="0.3">
      <c r="A1046" s="15" t="s">
        <v>46102</v>
      </c>
      <c r="B1046" s="15" t="s">
        <v>2799</v>
      </c>
      <c r="C1046" s="15" t="s">
        <v>2800</v>
      </c>
      <c r="D1046" s="15" t="s">
        <v>2801</v>
      </c>
      <c r="E1046" s="15">
        <v>15.896699999999999</v>
      </c>
      <c r="F1046" s="42">
        <v>46198</v>
      </c>
    </row>
    <row r="1047" spans="1:6" x14ac:dyDescent="0.3">
      <c r="A1047" s="15" t="s">
        <v>46101</v>
      </c>
      <c r="B1047" s="15" t="s">
        <v>2802</v>
      </c>
      <c r="C1047" s="15" t="s">
        <v>2803</v>
      </c>
      <c r="D1047" s="15" t="s">
        <v>2804</v>
      </c>
      <c r="E1047" s="15">
        <v>17.565100000000001</v>
      </c>
      <c r="F1047" s="42">
        <v>46198</v>
      </c>
    </row>
    <row r="1048" spans="1:6" x14ac:dyDescent="0.3">
      <c r="A1048" s="15" t="s">
        <v>33499</v>
      </c>
      <c r="B1048" s="15" t="s">
        <v>795</v>
      </c>
      <c r="C1048" s="15" t="s">
        <v>795</v>
      </c>
      <c r="D1048" s="15" t="s">
        <v>795</v>
      </c>
      <c r="F1048" s="42"/>
    </row>
    <row r="1049" spans="1:6" x14ac:dyDescent="0.3">
      <c r="A1049" s="15" t="s">
        <v>46100</v>
      </c>
      <c r="B1049" s="15" t="s">
        <v>795</v>
      </c>
      <c r="C1049" s="15" t="s">
        <v>795</v>
      </c>
      <c r="D1049" s="15" t="s">
        <v>795</v>
      </c>
      <c r="F1049" s="42"/>
    </row>
    <row r="1050" spans="1:6" x14ac:dyDescent="0.3">
      <c r="A1050" s="15" t="s">
        <v>33499</v>
      </c>
      <c r="B1050" s="15" t="s">
        <v>795</v>
      </c>
      <c r="C1050" s="15" t="s">
        <v>795</v>
      </c>
      <c r="D1050" s="15" t="s">
        <v>795</v>
      </c>
      <c r="F1050" s="42"/>
    </row>
    <row r="1051" spans="1:6" x14ac:dyDescent="0.3">
      <c r="A1051" s="15" t="s">
        <v>37122</v>
      </c>
      <c r="B1051" s="15" t="s">
        <v>795</v>
      </c>
      <c r="C1051" s="15" t="s">
        <v>795</v>
      </c>
      <c r="D1051" s="15" t="s">
        <v>795</v>
      </c>
      <c r="F1051" s="42"/>
    </row>
    <row r="1052" spans="1:6" x14ac:dyDescent="0.3">
      <c r="A1052" s="15" t="s">
        <v>33499</v>
      </c>
      <c r="B1052" s="15" t="s">
        <v>795</v>
      </c>
      <c r="C1052" s="15" t="s">
        <v>795</v>
      </c>
      <c r="D1052" s="15" t="s">
        <v>795</v>
      </c>
      <c r="F1052" s="42"/>
    </row>
    <row r="1053" spans="1:6" x14ac:dyDescent="0.3">
      <c r="A1053" s="15" t="s">
        <v>46099</v>
      </c>
      <c r="B1053" s="15" t="s">
        <v>2805</v>
      </c>
      <c r="C1053" s="15" t="s">
        <v>800</v>
      </c>
      <c r="D1053" s="15" t="s">
        <v>2806</v>
      </c>
      <c r="E1053" s="15">
        <v>100.1314</v>
      </c>
      <c r="F1053" s="42">
        <v>46198</v>
      </c>
    </row>
    <row r="1054" spans="1:6" x14ac:dyDescent="0.3">
      <c r="A1054" s="15" t="s">
        <v>46098</v>
      </c>
      <c r="B1054" s="15" t="s">
        <v>2807</v>
      </c>
      <c r="C1054" s="15" t="s">
        <v>800</v>
      </c>
      <c r="D1054" s="15" t="s">
        <v>2808</v>
      </c>
      <c r="E1054" s="15">
        <v>101.08839999999999</v>
      </c>
      <c r="F1054" s="42">
        <v>46198</v>
      </c>
    </row>
    <row r="1055" spans="1:6" x14ac:dyDescent="0.3">
      <c r="A1055" s="15" t="s">
        <v>46097</v>
      </c>
      <c r="B1055" s="15" t="s">
        <v>2809</v>
      </c>
      <c r="C1055" s="15" t="s">
        <v>800</v>
      </c>
      <c r="D1055" s="15" t="s">
        <v>2810</v>
      </c>
      <c r="E1055" s="15">
        <v>380.41570000000002</v>
      </c>
      <c r="F1055" s="42">
        <v>46198</v>
      </c>
    </row>
    <row r="1056" spans="1:6" x14ac:dyDescent="0.3">
      <c r="A1056" s="15" t="s">
        <v>46096</v>
      </c>
      <c r="B1056" s="15" t="s">
        <v>800</v>
      </c>
      <c r="C1056" s="15" t="s">
        <v>2811</v>
      </c>
      <c r="D1056" s="15" t="s">
        <v>2812</v>
      </c>
      <c r="E1056" s="15">
        <v>100.1314</v>
      </c>
      <c r="F1056" s="42">
        <v>46198</v>
      </c>
    </row>
    <row r="1057" spans="1:6" x14ac:dyDescent="0.3">
      <c r="A1057" s="15" t="s">
        <v>46095</v>
      </c>
      <c r="B1057" s="15" t="s">
        <v>800</v>
      </c>
      <c r="C1057" s="15" t="s">
        <v>2813</v>
      </c>
      <c r="D1057" s="15" t="s">
        <v>2814</v>
      </c>
      <c r="E1057" s="15">
        <v>101.0129</v>
      </c>
      <c r="F1057" s="42">
        <v>46198</v>
      </c>
    </row>
    <row r="1058" spans="1:6" x14ac:dyDescent="0.3">
      <c r="A1058" s="15" t="s">
        <v>46094</v>
      </c>
      <c r="B1058" s="15" t="s">
        <v>2815</v>
      </c>
      <c r="C1058" s="15" t="s">
        <v>800</v>
      </c>
      <c r="D1058" s="15" t="s">
        <v>2816</v>
      </c>
      <c r="E1058" s="15">
        <v>369.42259999999999</v>
      </c>
      <c r="F1058" s="42">
        <v>46198</v>
      </c>
    </row>
    <row r="1059" spans="1:6" x14ac:dyDescent="0.3">
      <c r="A1059" s="15" t="s">
        <v>33499</v>
      </c>
      <c r="B1059" s="15" t="s">
        <v>795</v>
      </c>
      <c r="C1059" s="15" t="s">
        <v>795</v>
      </c>
      <c r="D1059" s="15" t="s">
        <v>795</v>
      </c>
      <c r="F1059" s="42"/>
    </row>
    <row r="1060" spans="1:6" x14ac:dyDescent="0.3">
      <c r="A1060" s="15" t="s">
        <v>37087</v>
      </c>
      <c r="B1060" s="15" t="s">
        <v>795</v>
      </c>
      <c r="C1060" s="15" t="s">
        <v>795</v>
      </c>
      <c r="D1060" s="15" t="s">
        <v>795</v>
      </c>
      <c r="F1060" s="42"/>
    </row>
    <row r="1061" spans="1:6" x14ac:dyDescent="0.3">
      <c r="A1061" s="15" t="s">
        <v>33499</v>
      </c>
      <c r="B1061" s="15" t="s">
        <v>795</v>
      </c>
      <c r="C1061" s="15" t="s">
        <v>795</v>
      </c>
      <c r="D1061" s="15" t="s">
        <v>795</v>
      </c>
      <c r="F1061" s="42"/>
    </row>
    <row r="1062" spans="1:6" x14ac:dyDescent="0.3">
      <c r="A1062" s="15" t="s">
        <v>46093</v>
      </c>
      <c r="B1062" s="15" t="s">
        <v>2817</v>
      </c>
      <c r="C1062" s="15" t="s">
        <v>2818</v>
      </c>
      <c r="D1062" s="15" t="s">
        <v>2819</v>
      </c>
      <c r="E1062" s="15">
        <v>1372.0908999999999</v>
      </c>
      <c r="F1062" s="42">
        <v>46198</v>
      </c>
    </row>
    <row r="1063" spans="1:6" x14ac:dyDescent="0.3">
      <c r="A1063" s="15" t="s">
        <v>46092</v>
      </c>
      <c r="B1063" s="15" t="s">
        <v>800</v>
      </c>
      <c r="C1063" s="15" t="s">
        <v>2820</v>
      </c>
      <c r="D1063" s="15" t="s">
        <v>2821</v>
      </c>
      <c r="E1063" s="15">
        <v>1007.7674</v>
      </c>
      <c r="F1063" s="42">
        <v>46198</v>
      </c>
    </row>
    <row r="1064" spans="1:6" x14ac:dyDescent="0.3">
      <c r="A1064" s="15" t="s">
        <v>46091</v>
      </c>
      <c r="B1064" s="15" t="s">
        <v>2822</v>
      </c>
      <c r="C1064" s="15" t="s">
        <v>800</v>
      </c>
      <c r="D1064" s="15" t="s">
        <v>2823</v>
      </c>
      <c r="E1064" s="15">
        <v>1410.0820000000001</v>
      </c>
      <c r="F1064" s="42">
        <v>46198</v>
      </c>
    </row>
    <row r="1065" spans="1:6" x14ac:dyDescent="0.3">
      <c r="A1065" s="15" t="s">
        <v>46090</v>
      </c>
      <c r="B1065" s="15" t="s">
        <v>2824</v>
      </c>
      <c r="C1065" s="15" t="s">
        <v>2825</v>
      </c>
      <c r="D1065" s="15" t="s">
        <v>2826</v>
      </c>
      <c r="E1065" s="15">
        <v>1013.8471</v>
      </c>
      <c r="F1065" s="42">
        <v>46198</v>
      </c>
    </row>
    <row r="1066" spans="1:6" x14ac:dyDescent="0.3">
      <c r="A1066" s="15" t="s">
        <v>46089</v>
      </c>
      <c r="B1066" s="15" t="s">
        <v>2827</v>
      </c>
      <c r="C1066" s="15" t="s">
        <v>2828</v>
      </c>
      <c r="D1066" s="15" t="s">
        <v>2829</v>
      </c>
      <c r="E1066" s="15">
        <v>1332.9858999999999</v>
      </c>
      <c r="F1066" s="42">
        <v>46198</v>
      </c>
    </row>
    <row r="1067" spans="1:6" x14ac:dyDescent="0.3">
      <c r="A1067" s="15" t="s">
        <v>46088</v>
      </c>
      <c r="B1067" s="15" t="s">
        <v>2830</v>
      </c>
      <c r="C1067" s="15" t="s">
        <v>2831</v>
      </c>
      <c r="D1067" s="15" t="s">
        <v>2832</v>
      </c>
      <c r="E1067" s="15">
        <v>1350.0065</v>
      </c>
      <c r="F1067" s="42">
        <v>46198</v>
      </c>
    </row>
    <row r="1068" spans="1:6" x14ac:dyDescent="0.3">
      <c r="A1068" s="15" t="s">
        <v>46087</v>
      </c>
      <c r="B1068" s="15" t="s">
        <v>800</v>
      </c>
      <c r="C1068" s="15" t="s">
        <v>2833</v>
      </c>
      <c r="D1068" s="15" t="s">
        <v>2834</v>
      </c>
      <c r="E1068" s="15">
        <v>1020.3171</v>
      </c>
      <c r="F1068" s="42">
        <v>46198</v>
      </c>
    </row>
    <row r="1069" spans="1:6" x14ac:dyDescent="0.3">
      <c r="A1069" s="15" t="s">
        <v>46086</v>
      </c>
      <c r="B1069" s="15" t="s">
        <v>2835</v>
      </c>
      <c r="C1069" s="15" t="s">
        <v>800</v>
      </c>
      <c r="D1069" s="15" t="s">
        <v>2836</v>
      </c>
      <c r="E1069" s="15">
        <v>1385.8317</v>
      </c>
      <c r="F1069" s="42">
        <v>46198</v>
      </c>
    </row>
    <row r="1070" spans="1:6" x14ac:dyDescent="0.3">
      <c r="A1070" s="15" t="s">
        <v>46085</v>
      </c>
      <c r="B1070" s="15" t="s">
        <v>2837</v>
      </c>
      <c r="C1070" s="15" t="s">
        <v>2838</v>
      </c>
      <c r="D1070" s="15" t="s">
        <v>2839</v>
      </c>
      <c r="E1070" s="15">
        <v>1013.2274</v>
      </c>
      <c r="F1070" s="42">
        <v>46198</v>
      </c>
    </row>
    <row r="1071" spans="1:6" x14ac:dyDescent="0.3">
      <c r="A1071" s="15" t="s">
        <v>46084</v>
      </c>
      <c r="B1071" s="15" t="s">
        <v>2840</v>
      </c>
      <c r="C1071" s="15" t="s">
        <v>2841</v>
      </c>
      <c r="D1071" s="15" t="s">
        <v>2842</v>
      </c>
      <c r="E1071" s="15">
        <v>1311.1949</v>
      </c>
      <c r="F1071" s="42">
        <v>46198</v>
      </c>
    </row>
    <row r="1072" spans="1:6" x14ac:dyDescent="0.3">
      <c r="A1072" s="15" t="s">
        <v>33499</v>
      </c>
      <c r="B1072" s="15" t="s">
        <v>795</v>
      </c>
      <c r="C1072" s="15" t="s">
        <v>795</v>
      </c>
      <c r="D1072" s="15" t="s">
        <v>795</v>
      </c>
      <c r="F1072" s="42"/>
    </row>
    <row r="1073" spans="1:6" x14ac:dyDescent="0.3">
      <c r="A1073" s="15" t="s">
        <v>37073</v>
      </c>
      <c r="B1073" s="15" t="s">
        <v>795</v>
      </c>
      <c r="C1073" s="15" t="s">
        <v>795</v>
      </c>
      <c r="D1073" s="15" t="s">
        <v>795</v>
      </c>
      <c r="F1073" s="42"/>
    </row>
    <row r="1074" spans="1:6" x14ac:dyDescent="0.3">
      <c r="A1074" s="15" t="s">
        <v>33499</v>
      </c>
      <c r="B1074" s="15" t="s">
        <v>795</v>
      </c>
      <c r="C1074" s="15" t="s">
        <v>795</v>
      </c>
      <c r="D1074" s="15" t="s">
        <v>795</v>
      </c>
      <c r="F1074" s="42"/>
    </row>
    <row r="1075" spans="1:6" x14ac:dyDescent="0.3">
      <c r="A1075" s="15" t="s">
        <v>46083</v>
      </c>
      <c r="B1075" s="15" t="s">
        <v>800</v>
      </c>
      <c r="C1075" s="15" t="s">
        <v>2843</v>
      </c>
      <c r="D1075" s="15" t="s">
        <v>2844</v>
      </c>
      <c r="E1075" s="15">
        <v>10.133100000000001</v>
      </c>
      <c r="F1075" s="42">
        <v>46198</v>
      </c>
    </row>
    <row r="1076" spans="1:6" x14ac:dyDescent="0.3">
      <c r="A1076" s="15" t="s">
        <v>46082</v>
      </c>
      <c r="B1076" s="15" t="s">
        <v>2845</v>
      </c>
      <c r="C1076" s="15" t="s">
        <v>800</v>
      </c>
      <c r="D1076" s="15" t="s">
        <v>2846</v>
      </c>
      <c r="E1076" s="15">
        <v>14.074999999999999</v>
      </c>
      <c r="F1076" s="42">
        <v>46198</v>
      </c>
    </row>
    <row r="1077" spans="1:6" x14ac:dyDescent="0.3">
      <c r="A1077" s="15" t="s">
        <v>46081</v>
      </c>
      <c r="B1077" s="15" t="s">
        <v>2847</v>
      </c>
      <c r="C1077" s="15" t="s">
        <v>2848</v>
      </c>
      <c r="D1077" s="15" t="s">
        <v>2849</v>
      </c>
      <c r="E1077" s="15">
        <v>10.304600000000001</v>
      </c>
      <c r="F1077" s="42">
        <v>46198</v>
      </c>
    </row>
    <row r="1078" spans="1:6" x14ac:dyDescent="0.3">
      <c r="A1078" s="15" t="s">
        <v>46080</v>
      </c>
      <c r="B1078" s="15" t="s">
        <v>2850</v>
      </c>
      <c r="C1078" s="15" t="s">
        <v>2851</v>
      </c>
      <c r="D1078" s="15" t="s">
        <v>2852</v>
      </c>
      <c r="E1078" s="15">
        <v>13.7658</v>
      </c>
      <c r="F1078" s="42">
        <v>46198</v>
      </c>
    </row>
    <row r="1079" spans="1:6" x14ac:dyDescent="0.3">
      <c r="A1079" s="15" t="s">
        <v>46079</v>
      </c>
      <c r="B1079" s="15" t="s">
        <v>2853</v>
      </c>
      <c r="C1079" s="15" t="s">
        <v>2854</v>
      </c>
      <c r="D1079" s="15" t="s">
        <v>2855</v>
      </c>
      <c r="E1079" s="15">
        <v>10.589</v>
      </c>
      <c r="F1079" s="42">
        <v>46198</v>
      </c>
    </row>
    <row r="1080" spans="1:6" x14ac:dyDescent="0.3">
      <c r="A1080" s="15" t="s">
        <v>46078</v>
      </c>
      <c r="B1080" s="15" t="s">
        <v>800</v>
      </c>
      <c r="C1080" s="15" t="s">
        <v>2856</v>
      </c>
      <c r="D1080" s="15" t="s">
        <v>2857</v>
      </c>
      <c r="E1080" s="15">
        <v>10.1717</v>
      </c>
      <c r="F1080" s="42">
        <v>46198</v>
      </c>
    </row>
    <row r="1081" spans="1:6" x14ac:dyDescent="0.3">
      <c r="A1081" s="15" t="s">
        <v>46077</v>
      </c>
      <c r="B1081" s="15" t="s">
        <v>2858</v>
      </c>
      <c r="C1081" s="15" t="s">
        <v>2859</v>
      </c>
      <c r="D1081" s="15" t="s">
        <v>2860</v>
      </c>
      <c r="E1081" s="15">
        <v>10.375299999999999</v>
      </c>
      <c r="F1081" s="42">
        <v>46198</v>
      </c>
    </row>
    <row r="1082" spans="1:6" x14ac:dyDescent="0.3">
      <c r="A1082" s="15" t="s">
        <v>46076</v>
      </c>
      <c r="B1082" s="15" t="s">
        <v>800</v>
      </c>
      <c r="C1082" s="15" t="s">
        <v>2861</v>
      </c>
      <c r="D1082" s="15" t="s">
        <v>2862</v>
      </c>
      <c r="E1082" s="15">
        <v>10.133100000000001</v>
      </c>
      <c r="F1082" s="42">
        <v>46198</v>
      </c>
    </row>
    <row r="1083" spans="1:6" x14ac:dyDescent="0.3">
      <c r="A1083" s="15" t="s">
        <v>46075</v>
      </c>
      <c r="B1083" s="15" t="s">
        <v>2863</v>
      </c>
      <c r="C1083" s="15" t="s">
        <v>800</v>
      </c>
      <c r="D1083" s="15" t="s">
        <v>2864</v>
      </c>
      <c r="E1083" s="15">
        <v>13.6935</v>
      </c>
      <c r="F1083" s="42">
        <v>46198</v>
      </c>
    </row>
    <row r="1084" spans="1:6" x14ac:dyDescent="0.3">
      <c r="A1084" s="15" t="s">
        <v>46074</v>
      </c>
      <c r="B1084" s="15" t="s">
        <v>2865</v>
      </c>
      <c r="C1084" s="15" t="s">
        <v>2866</v>
      </c>
      <c r="D1084" s="15" t="s">
        <v>2867</v>
      </c>
      <c r="E1084" s="15">
        <v>10.299300000000001</v>
      </c>
      <c r="F1084" s="42">
        <v>46198</v>
      </c>
    </row>
    <row r="1085" spans="1:6" x14ac:dyDescent="0.3">
      <c r="A1085" s="15" t="s">
        <v>46073</v>
      </c>
      <c r="B1085" s="15" t="s">
        <v>2868</v>
      </c>
      <c r="C1085" s="15" t="s">
        <v>2869</v>
      </c>
      <c r="D1085" s="15" t="s">
        <v>2870</v>
      </c>
      <c r="E1085" s="15">
        <v>13.6951</v>
      </c>
      <c r="F1085" s="42">
        <v>46198</v>
      </c>
    </row>
    <row r="1086" spans="1:6" x14ac:dyDescent="0.3">
      <c r="A1086" s="15" t="s">
        <v>46072</v>
      </c>
      <c r="B1086" s="15" t="s">
        <v>2871</v>
      </c>
      <c r="C1086" s="15" t="s">
        <v>2872</v>
      </c>
      <c r="D1086" s="15" t="s">
        <v>2873</v>
      </c>
      <c r="E1086" s="15">
        <v>10.573499999999999</v>
      </c>
      <c r="F1086" s="42">
        <v>46198</v>
      </c>
    </row>
    <row r="1087" spans="1:6" x14ac:dyDescent="0.3">
      <c r="A1087" s="15" t="s">
        <v>46071</v>
      </c>
      <c r="B1087" s="15" t="s">
        <v>800</v>
      </c>
      <c r="C1087" s="15" t="s">
        <v>2874</v>
      </c>
      <c r="D1087" s="15" t="s">
        <v>2875</v>
      </c>
      <c r="E1087" s="15">
        <v>10.1706</v>
      </c>
      <c r="F1087" s="42">
        <v>46198</v>
      </c>
    </row>
    <row r="1088" spans="1:6" x14ac:dyDescent="0.3">
      <c r="A1088" s="15" t="s">
        <v>46070</v>
      </c>
      <c r="B1088" s="15" t="s">
        <v>2876</v>
      </c>
      <c r="C1088" s="15" t="s">
        <v>2877</v>
      </c>
      <c r="D1088" s="15" t="s">
        <v>2878</v>
      </c>
      <c r="E1088" s="15">
        <v>10.4032</v>
      </c>
      <c r="F1088" s="42">
        <v>46198</v>
      </c>
    </row>
    <row r="1089" spans="1:6" x14ac:dyDescent="0.3">
      <c r="A1089" s="15" t="s">
        <v>33499</v>
      </c>
      <c r="B1089" s="15" t="s">
        <v>795</v>
      </c>
      <c r="C1089" s="15" t="s">
        <v>795</v>
      </c>
      <c r="D1089" s="15" t="s">
        <v>795</v>
      </c>
      <c r="F1089" s="42"/>
    </row>
    <row r="1090" spans="1:6" x14ac:dyDescent="0.3">
      <c r="A1090" s="15" t="s">
        <v>37061</v>
      </c>
      <c r="B1090" s="15" t="s">
        <v>795</v>
      </c>
      <c r="C1090" s="15" t="s">
        <v>795</v>
      </c>
      <c r="D1090" s="15" t="s">
        <v>795</v>
      </c>
      <c r="F1090" s="42"/>
    </row>
    <row r="1091" spans="1:6" x14ac:dyDescent="0.3">
      <c r="A1091" s="15" t="s">
        <v>33499</v>
      </c>
      <c r="B1091" s="15" t="s">
        <v>795</v>
      </c>
      <c r="C1091" s="15" t="s">
        <v>795</v>
      </c>
      <c r="D1091" s="15" t="s">
        <v>795</v>
      </c>
      <c r="F1091" s="42"/>
    </row>
    <row r="1092" spans="1:6" x14ac:dyDescent="0.3">
      <c r="A1092" s="15" t="s">
        <v>46069</v>
      </c>
      <c r="B1092" s="15" t="s">
        <v>2879</v>
      </c>
      <c r="C1092" s="15" t="s">
        <v>800</v>
      </c>
      <c r="D1092" s="15" t="s">
        <v>2880</v>
      </c>
      <c r="E1092" s="15">
        <v>14.2104</v>
      </c>
      <c r="F1092" s="42">
        <v>46198</v>
      </c>
    </row>
    <row r="1093" spans="1:6" x14ac:dyDescent="0.3">
      <c r="A1093" s="15" t="s">
        <v>46068</v>
      </c>
      <c r="B1093" s="15" t="s">
        <v>2881</v>
      </c>
      <c r="C1093" s="15" t="s">
        <v>2882</v>
      </c>
      <c r="D1093" s="15" t="s">
        <v>2883</v>
      </c>
      <c r="E1093" s="15">
        <v>14.2104</v>
      </c>
      <c r="F1093" s="42">
        <v>46198</v>
      </c>
    </row>
    <row r="1094" spans="1:6" x14ac:dyDescent="0.3">
      <c r="A1094" s="15" t="s">
        <v>46067</v>
      </c>
      <c r="B1094" s="15" t="s">
        <v>2884</v>
      </c>
      <c r="C1094" s="15" t="s">
        <v>800</v>
      </c>
      <c r="D1094" s="15" t="s">
        <v>2885</v>
      </c>
      <c r="E1094" s="15">
        <v>14.004899999999999</v>
      </c>
      <c r="F1094" s="42">
        <v>46198</v>
      </c>
    </row>
    <row r="1095" spans="1:6" x14ac:dyDescent="0.3">
      <c r="A1095" s="15" t="s">
        <v>46066</v>
      </c>
      <c r="B1095" s="15" t="s">
        <v>2886</v>
      </c>
      <c r="C1095" s="15" t="s">
        <v>2887</v>
      </c>
      <c r="D1095" s="15" t="s">
        <v>2888</v>
      </c>
      <c r="E1095" s="15">
        <v>14.004899999999999</v>
      </c>
      <c r="F1095" s="42">
        <v>46198</v>
      </c>
    </row>
    <row r="1096" spans="1:6" x14ac:dyDescent="0.3">
      <c r="A1096" s="15" t="s">
        <v>33499</v>
      </c>
      <c r="B1096" s="15" t="s">
        <v>795</v>
      </c>
      <c r="C1096" s="15" t="s">
        <v>795</v>
      </c>
      <c r="D1096" s="15" t="s">
        <v>795</v>
      </c>
      <c r="F1096" s="42"/>
    </row>
    <row r="1097" spans="1:6" x14ac:dyDescent="0.3">
      <c r="A1097" s="15" t="s">
        <v>37044</v>
      </c>
      <c r="B1097" s="15" t="s">
        <v>795</v>
      </c>
      <c r="C1097" s="15" t="s">
        <v>795</v>
      </c>
      <c r="D1097" s="15" t="s">
        <v>795</v>
      </c>
      <c r="F1097" s="42"/>
    </row>
    <row r="1098" spans="1:6" x14ac:dyDescent="0.3">
      <c r="A1098" s="15" t="s">
        <v>33499</v>
      </c>
      <c r="B1098" s="15" t="s">
        <v>795</v>
      </c>
      <c r="C1098" s="15" t="s">
        <v>795</v>
      </c>
      <c r="D1098" s="15" t="s">
        <v>795</v>
      </c>
      <c r="F1098" s="42"/>
    </row>
    <row r="1099" spans="1:6" x14ac:dyDescent="0.3">
      <c r="A1099" s="15" t="s">
        <v>46065</v>
      </c>
      <c r="B1099" s="15" t="s">
        <v>2889</v>
      </c>
      <c r="C1099" s="15" t="s">
        <v>800</v>
      </c>
      <c r="D1099" s="15" t="s">
        <v>2890</v>
      </c>
      <c r="E1099" s="15">
        <v>47.462800000000001</v>
      </c>
      <c r="F1099" s="42">
        <v>46198</v>
      </c>
    </row>
    <row r="1100" spans="1:6" x14ac:dyDescent="0.3">
      <c r="A1100" s="15" t="s">
        <v>46064</v>
      </c>
      <c r="B1100" s="15" t="s">
        <v>2891</v>
      </c>
      <c r="C1100" s="15" t="s">
        <v>800</v>
      </c>
      <c r="D1100" s="15" t="s">
        <v>2892</v>
      </c>
      <c r="E1100" s="15">
        <v>10.047700000000001</v>
      </c>
      <c r="F1100" s="42">
        <v>46198</v>
      </c>
    </row>
    <row r="1101" spans="1:6" x14ac:dyDescent="0.3">
      <c r="A1101" s="15" t="s">
        <v>46063</v>
      </c>
      <c r="B1101" s="15" t="s">
        <v>2893</v>
      </c>
      <c r="C1101" s="15" t="s">
        <v>800</v>
      </c>
      <c r="D1101" s="15" t="s">
        <v>2894</v>
      </c>
      <c r="E1101" s="15">
        <v>43.176200000000001</v>
      </c>
      <c r="F1101" s="42">
        <v>46198</v>
      </c>
    </row>
    <row r="1102" spans="1:6" x14ac:dyDescent="0.3">
      <c r="A1102" s="15" t="s">
        <v>46062</v>
      </c>
      <c r="B1102" s="15" t="s">
        <v>2895</v>
      </c>
      <c r="C1102" s="15" t="s">
        <v>800</v>
      </c>
      <c r="D1102" s="15" t="s">
        <v>2896</v>
      </c>
      <c r="E1102" s="15">
        <v>10.1465</v>
      </c>
      <c r="F1102" s="42">
        <v>46198</v>
      </c>
    </row>
    <row r="1103" spans="1:6" x14ac:dyDescent="0.3">
      <c r="A1103" s="15" t="s">
        <v>33499</v>
      </c>
      <c r="B1103" s="15" t="s">
        <v>795</v>
      </c>
      <c r="C1103" s="15" t="s">
        <v>795</v>
      </c>
      <c r="D1103" s="15" t="s">
        <v>795</v>
      </c>
      <c r="F1103" s="42"/>
    </row>
    <row r="1104" spans="1:6" x14ac:dyDescent="0.3">
      <c r="A1104" s="15" t="s">
        <v>37043</v>
      </c>
      <c r="B1104" s="15" t="s">
        <v>795</v>
      </c>
      <c r="C1104" s="15" t="s">
        <v>795</v>
      </c>
      <c r="D1104" s="15" t="s">
        <v>795</v>
      </c>
      <c r="F1104" s="42"/>
    </row>
    <row r="1105" spans="1:6" x14ac:dyDescent="0.3">
      <c r="A1105" s="15" t="s">
        <v>33499</v>
      </c>
      <c r="B1105" s="15" t="s">
        <v>795</v>
      </c>
      <c r="C1105" s="15" t="s">
        <v>795</v>
      </c>
      <c r="D1105" s="15" t="s">
        <v>795</v>
      </c>
      <c r="F1105" s="42"/>
    </row>
    <row r="1106" spans="1:6" x14ac:dyDescent="0.3">
      <c r="A1106" s="15" t="s">
        <v>46061</v>
      </c>
      <c r="B1106" s="15" t="s">
        <v>800</v>
      </c>
      <c r="C1106" s="15" t="s">
        <v>2897</v>
      </c>
      <c r="D1106" s="15" t="s">
        <v>2898</v>
      </c>
      <c r="E1106" s="15">
        <v>10.0809</v>
      </c>
      <c r="F1106" s="42">
        <v>46198</v>
      </c>
    </row>
    <row r="1107" spans="1:6" x14ac:dyDescent="0.3">
      <c r="A1107" s="15" t="s">
        <v>46060</v>
      </c>
      <c r="B1107" s="15" t="s">
        <v>800</v>
      </c>
      <c r="C1107" s="15" t="s">
        <v>2899</v>
      </c>
      <c r="D1107" s="15" t="s">
        <v>2900</v>
      </c>
      <c r="E1107" s="15">
        <v>10.0809</v>
      </c>
      <c r="F1107" s="42">
        <v>46198</v>
      </c>
    </row>
    <row r="1108" spans="1:6" x14ac:dyDescent="0.3">
      <c r="A1108" s="15" t="s">
        <v>46059</v>
      </c>
      <c r="B1108" s="15" t="s">
        <v>2901</v>
      </c>
      <c r="C1108" s="15" t="s">
        <v>800</v>
      </c>
      <c r="D1108" s="15" t="s">
        <v>2902</v>
      </c>
      <c r="E1108" s="15">
        <v>54.3416</v>
      </c>
      <c r="F1108" s="42">
        <v>46198</v>
      </c>
    </row>
    <row r="1109" spans="1:6" x14ac:dyDescent="0.3">
      <c r="A1109" s="15" t="s">
        <v>46058</v>
      </c>
      <c r="B1109" s="15" t="s">
        <v>2903</v>
      </c>
      <c r="C1109" s="15" t="s">
        <v>2904</v>
      </c>
      <c r="D1109" s="15" t="s">
        <v>2905</v>
      </c>
      <c r="E1109" s="15">
        <v>10.2867</v>
      </c>
      <c r="F1109" s="42">
        <v>46198</v>
      </c>
    </row>
    <row r="1110" spans="1:6" x14ac:dyDescent="0.3">
      <c r="A1110" s="15" t="s">
        <v>46057</v>
      </c>
      <c r="B1110" s="15" t="s">
        <v>2906</v>
      </c>
      <c r="C1110" s="15" t="s">
        <v>800</v>
      </c>
      <c r="D1110" s="15" t="s">
        <v>2907</v>
      </c>
      <c r="E1110" s="15">
        <v>10.0634</v>
      </c>
      <c r="F1110" s="42">
        <v>46198</v>
      </c>
    </row>
    <row r="1111" spans="1:6" x14ac:dyDescent="0.3">
      <c r="A1111" s="15" t="s">
        <v>46056</v>
      </c>
      <c r="B1111" s="15" t="s">
        <v>2908</v>
      </c>
      <c r="C1111" s="15" t="s">
        <v>800</v>
      </c>
      <c r="D1111" s="15" t="s">
        <v>2909</v>
      </c>
      <c r="E1111" s="15">
        <v>53.149900000000002</v>
      </c>
      <c r="F1111" s="42">
        <v>46198</v>
      </c>
    </row>
    <row r="1112" spans="1:6" x14ac:dyDescent="0.3">
      <c r="A1112" s="15" t="s">
        <v>46055</v>
      </c>
      <c r="B1112" s="15" t="s">
        <v>2910</v>
      </c>
      <c r="C1112" s="15" t="s">
        <v>2911</v>
      </c>
      <c r="D1112" s="15" t="s">
        <v>2912</v>
      </c>
      <c r="E1112" s="15">
        <v>10.2829</v>
      </c>
      <c r="F1112" s="42">
        <v>46198</v>
      </c>
    </row>
    <row r="1113" spans="1:6" x14ac:dyDescent="0.3">
      <c r="A1113" s="15" t="s">
        <v>46054</v>
      </c>
      <c r="B1113" s="15" t="s">
        <v>2913</v>
      </c>
      <c r="C1113" s="15" t="s">
        <v>2914</v>
      </c>
      <c r="D1113" s="15" t="s">
        <v>2915</v>
      </c>
      <c r="E1113" s="15">
        <v>10.0632</v>
      </c>
      <c r="F1113" s="42">
        <v>46198</v>
      </c>
    </row>
    <row r="1114" spans="1:6" x14ac:dyDescent="0.3">
      <c r="A1114" s="15" t="s">
        <v>33499</v>
      </c>
      <c r="B1114" s="15" t="s">
        <v>795</v>
      </c>
      <c r="C1114" s="15" t="s">
        <v>795</v>
      </c>
      <c r="D1114" s="15" t="s">
        <v>795</v>
      </c>
      <c r="F1114" s="42"/>
    </row>
    <row r="1115" spans="1:6" x14ac:dyDescent="0.3">
      <c r="A1115" s="15" t="s">
        <v>36764</v>
      </c>
      <c r="B1115" s="15" t="s">
        <v>795</v>
      </c>
      <c r="C1115" s="15" t="s">
        <v>795</v>
      </c>
      <c r="D1115" s="15" t="s">
        <v>795</v>
      </c>
      <c r="F1115" s="42"/>
    </row>
    <row r="1116" spans="1:6" x14ac:dyDescent="0.3">
      <c r="A1116" s="15" t="s">
        <v>33499</v>
      </c>
      <c r="B1116" s="15" t="s">
        <v>795</v>
      </c>
      <c r="C1116" s="15" t="s">
        <v>795</v>
      </c>
      <c r="D1116" s="15" t="s">
        <v>795</v>
      </c>
      <c r="F1116" s="42"/>
    </row>
    <row r="1117" spans="1:6" x14ac:dyDescent="0.3">
      <c r="A1117" s="15" t="s">
        <v>46053</v>
      </c>
      <c r="B1117" s="15" t="s">
        <v>2916</v>
      </c>
      <c r="C1117" s="15" t="s">
        <v>800</v>
      </c>
      <c r="D1117" s="15" t="s">
        <v>2917</v>
      </c>
      <c r="E1117" s="15">
        <v>151.7062</v>
      </c>
      <c r="F1117" s="42">
        <v>43945</v>
      </c>
    </row>
    <row r="1118" spans="1:6" x14ac:dyDescent="0.3">
      <c r="A1118" s="15" t="s">
        <v>46052</v>
      </c>
      <c r="B1118" s="15" t="s">
        <v>2918</v>
      </c>
      <c r="C1118" s="15" t="s">
        <v>800</v>
      </c>
      <c r="D1118" s="15" t="s">
        <v>2919</v>
      </c>
      <c r="E1118" s="15">
        <v>100.876</v>
      </c>
      <c r="F1118" s="42">
        <v>46198</v>
      </c>
    </row>
    <row r="1119" spans="1:6" x14ac:dyDescent="0.3">
      <c r="A1119" s="15" t="s">
        <v>46051</v>
      </c>
      <c r="B1119" s="15" t="s">
        <v>800</v>
      </c>
      <c r="C1119" s="15" t="s">
        <v>2920</v>
      </c>
      <c r="D1119" s="15" t="s">
        <v>2921</v>
      </c>
      <c r="E1119" s="15">
        <v>100.279</v>
      </c>
      <c r="F1119" s="42">
        <v>46198</v>
      </c>
    </row>
    <row r="1120" spans="1:6" x14ac:dyDescent="0.3">
      <c r="A1120" s="15" t="s">
        <v>46050</v>
      </c>
      <c r="B1120" s="15" t="s">
        <v>2922</v>
      </c>
      <c r="C1120" s="15" t="s">
        <v>800</v>
      </c>
      <c r="D1120" s="15" t="s">
        <v>2923</v>
      </c>
      <c r="E1120" s="15">
        <v>101.9935</v>
      </c>
      <c r="F1120" s="42">
        <v>44820</v>
      </c>
    </row>
    <row r="1121" spans="1:6" x14ac:dyDescent="0.3">
      <c r="A1121" s="15" t="s">
        <v>46049</v>
      </c>
      <c r="B1121" s="15" t="s">
        <v>2924</v>
      </c>
      <c r="C1121" s="15" t="s">
        <v>800</v>
      </c>
      <c r="D1121" s="15" t="s">
        <v>2925</v>
      </c>
      <c r="E1121" s="15">
        <v>496.63499999999999</v>
      </c>
      <c r="F1121" s="42">
        <v>46198</v>
      </c>
    </row>
    <row r="1122" spans="1:6" x14ac:dyDescent="0.3">
      <c r="A1122" s="15" t="s">
        <v>46048</v>
      </c>
      <c r="B1122" s="15" t="s">
        <v>2926</v>
      </c>
      <c r="C1122" s="15" t="s">
        <v>2927</v>
      </c>
      <c r="D1122" s="15" t="s">
        <v>2928</v>
      </c>
      <c r="E1122" s="15">
        <v>212.32839999999999</v>
      </c>
      <c r="F1122" s="42">
        <v>46198</v>
      </c>
    </row>
    <row r="1123" spans="1:6" x14ac:dyDescent="0.3">
      <c r="A1123" s="15" t="s">
        <v>46047</v>
      </c>
      <c r="B1123" s="15" t="s">
        <v>2929</v>
      </c>
      <c r="C1123" s="15" t="s">
        <v>2930</v>
      </c>
      <c r="D1123" s="15" t="s">
        <v>2931</v>
      </c>
      <c r="E1123" s="15">
        <v>102.65649999999999</v>
      </c>
      <c r="F1123" s="42">
        <v>44820</v>
      </c>
    </row>
    <row r="1124" spans="1:6" x14ac:dyDescent="0.3">
      <c r="A1124" s="15" t="s">
        <v>46046</v>
      </c>
      <c r="B1124" s="15" t="s">
        <v>2932</v>
      </c>
      <c r="C1124" s="15" t="s">
        <v>2933</v>
      </c>
      <c r="D1124" s="15" t="s">
        <v>2934</v>
      </c>
      <c r="E1124" s="15">
        <v>108.6397</v>
      </c>
      <c r="F1124" s="42">
        <v>44820</v>
      </c>
    </row>
    <row r="1125" spans="1:6" x14ac:dyDescent="0.3">
      <c r="A1125" s="15" t="s">
        <v>46045</v>
      </c>
      <c r="B1125" s="15" t="s">
        <v>2935</v>
      </c>
      <c r="C1125" s="15" t="s">
        <v>2936</v>
      </c>
      <c r="D1125" s="15" t="s">
        <v>2937</v>
      </c>
      <c r="E1125" s="15">
        <v>102.5119</v>
      </c>
      <c r="F1125" s="42">
        <v>46198</v>
      </c>
    </row>
    <row r="1126" spans="1:6" x14ac:dyDescent="0.3">
      <c r="A1126" s="15" t="s">
        <v>46044</v>
      </c>
      <c r="B1126" s="15" t="s">
        <v>2938</v>
      </c>
      <c r="C1126" s="15" t="s">
        <v>800</v>
      </c>
      <c r="D1126" s="15" t="s">
        <v>2939</v>
      </c>
      <c r="E1126" s="15">
        <v>101.99079999999999</v>
      </c>
      <c r="F1126" s="42">
        <v>44820</v>
      </c>
    </row>
    <row r="1127" spans="1:6" x14ac:dyDescent="0.3">
      <c r="A1127" s="15" t="s">
        <v>46043</v>
      </c>
      <c r="B1127" s="15" t="s">
        <v>2940</v>
      </c>
      <c r="C1127" s="15" t="s">
        <v>800</v>
      </c>
      <c r="D1127" s="15" t="s">
        <v>2941</v>
      </c>
      <c r="E1127" s="15">
        <v>452.0573</v>
      </c>
      <c r="F1127" s="42">
        <v>46198</v>
      </c>
    </row>
    <row r="1128" spans="1:6" x14ac:dyDescent="0.3">
      <c r="A1128" s="15" t="s">
        <v>46042</v>
      </c>
      <c r="B1128" s="15" t="s">
        <v>2942</v>
      </c>
      <c r="C1128" s="15" t="s">
        <v>2943</v>
      </c>
      <c r="D1128" s="15" t="s">
        <v>2944</v>
      </c>
      <c r="E1128" s="15">
        <v>199.55009999999999</v>
      </c>
      <c r="F1128" s="42">
        <v>46198</v>
      </c>
    </row>
    <row r="1129" spans="1:6" x14ac:dyDescent="0.3">
      <c r="A1129" s="15" t="s">
        <v>46041</v>
      </c>
      <c r="B1129" s="15" t="s">
        <v>2945</v>
      </c>
      <c r="C1129" s="15" t="s">
        <v>2946</v>
      </c>
      <c r="D1129" s="15" t="s">
        <v>2947</v>
      </c>
      <c r="E1129" s="15">
        <v>103.1015</v>
      </c>
      <c r="F1129" s="42">
        <v>44820</v>
      </c>
    </row>
    <row r="1130" spans="1:6" x14ac:dyDescent="0.3">
      <c r="A1130" s="15" t="s">
        <v>46040</v>
      </c>
      <c r="B1130" s="15" t="s">
        <v>2948</v>
      </c>
      <c r="C1130" s="15" t="s">
        <v>2949</v>
      </c>
      <c r="D1130" s="15" t="s">
        <v>2950</v>
      </c>
      <c r="E1130" s="15">
        <v>107.1895</v>
      </c>
      <c r="F1130" s="42">
        <v>44820</v>
      </c>
    </row>
    <row r="1131" spans="1:6" x14ac:dyDescent="0.3">
      <c r="A1131" s="15" t="s">
        <v>46039</v>
      </c>
      <c r="B1131" s="15" t="s">
        <v>2951</v>
      </c>
      <c r="C1131" s="15" t="s">
        <v>2952</v>
      </c>
      <c r="D1131" s="15" t="s">
        <v>2953</v>
      </c>
      <c r="E1131" s="15">
        <v>102.50700000000001</v>
      </c>
      <c r="F1131" s="42">
        <v>46198</v>
      </c>
    </row>
    <row r="1132" spans="1:6" x14ac:dyDescent="0.3">
      <c r="A1132" s="15" t="s">
        <v>46038</v>
      </c>
      <c r="B1132" s="15" t="s">
        <v>2954</v>
      </c>
      <c r="C1132" s="15" t="s">
        <v>800</v>
      </c>
      <c r="D1132" s="15" t="s">
        <v>2955</v>
      </c>
      <c r="E1132" s="15">
        <v>100.02509999999999</v>
      </c>
      <c r="F1132" s="42">
        <v>43945</v>
      </c>
    </row>
    <row r="1133" spans="1:6" x14ac:dyDescent="0.3">
      <c r="A1133" s="15" t="s">
        <v>46037</v>
      </c>
      <c r="B1133" s="15" t="s">
        <v>2956</v>
      </c>
      <c r="C1133" s="15" t="s">
        <v>800</v>
      </c>
      <c r="D1133" s="15" t="s">
        <v>2957</v>
      </c>
      <c r="E1133" s="15">
        <v>101.39879999999999</v>
      </c>
      <c r="F1133" s="42">
        <v>43945</v>
      </c>
    </row>
    <row r="1134" spans="1:6" x14ac:dyDescent="0.3">
      <c r="A1134" s="15" t="s">
        <v>46036</v>
      </c>
      <c r="B1134" s="15" t="s">
        <v>2958</v>
      </c>
      <c r="C1134" s="15" t="s">
        <v>800</v>
      </c>
      <c r="D1134" s="15" t="s">
        <v>2959</v>
      </c>
      <c r="E1134" s="15">
        <v>300.7518</v>
      </c>
      <c r="F1134" s="42">
        <v>43945</v>
      </c>
    </row>
    <row r="1135" spans="1:6" x14ac:dyDescent="0.3">
      <c r="A1135" s="15" t="s">
        <v>46035</v>
      </c>
      <c r="B1135" s="15" t="s">
        <v>2960</v>
      </c>
      <c r="C1135" s="15" t="s">
        <v>2961</v>
      </c>
      <c r="D1135" s="15" t="s">
        <v>2962</v>
      </c>
      <c r="E1135" s="15">
        <v>101.18210000000001</v>
      </c>
      <c r="F1135" s="42">
        <v>43945</v>
      </c>
    </row>
    <row r="1136" spans="1:6" x14ac:dyDescent="0.3">
      <c r="A1136" s="15" t="s">
        <v>46034</v>
      </c>
      <c r="B1136" s="15" t="s">
        <v>2963</v>
      </c>
      <c r="C1136" s="15" t="s">
        <v>800</v>
      </c>
      <c r="D1136" s="15" t="s">
        <v>2964</v>
      </c>
      <c r="E1136" s="15">
        <v>100.02500000000001</v>
      </c>
      <c r="F1136" s="42">
        <v>43945</v>
      </c>
    </row>
    <row r="1137" spans="1:6" x14ac:dyDescent="0.3">
      <c r="A1137" s="15" t="s">
        <v>46033</v>
      </c>
      <c r="B1137" s="15" t="s">
        <v>2965</v>
      </c>
      <c r="C1137" s="15" t="s">
        <v>800</v>
      </c>
      <c r="D1137" s="15" t="s">
        <v>2966</v>
      </c>
      <c r="E1137" s="15">
        <v>101.39700000000001</v>
      </c>
      <c r="F1137" s="42">
        <v>43945</v>
      </c>
    </row>
    <row r="1138" spans="1:6" x14ac:dyDescent="0.3">
      <c r="A1138" s="15" t="s">
        <v>46032</v>
      </c>
      <c r="B1138" s="15" t="s">
        <v>2967</v>
      </c>
      <c r="C1138" s="15" t="s">
        <v>800</v>
      </c>
      <c r="D1138" s="15" t="s">
        <v>2968</v>
      </c>
      <c r="E1138" s="15">
        <v>324.74009999999998</v>
      </c>
      <c r="F1138" s="42">
        <v>43945</v>
      </c>
    </row>
    <row r="1139" spans="1:6" x14ac:dyDescent="0.3">
      <c r="A1139" s="15" t="s">
        <v>46031</v>
      </c>
      <c r="B1139" s="15" t="s">
        <v>2969</v>
      </c>
      <c r="C1139" s="15" t="s">
        <v>2970</v>
      </c>
      <c r="D1139" s="15" t="s">
        <v>2971</v>
      </c>
      <c r="E1139" s="15">
        <v>101.18219999999999</v>
      </c>
      <c r="F1139" s="42">
        <v>43945</v>
      </c>
    </row>
    <row r="1140" spans="1:6" x14ac:dyDescent="0.3">
      <c r="A1140" s="15" t="s">
        <v>46030</v>
      </c>
      <c r="B1140" s="15" t="s">
        <v>2972</v>
      </c>
      <c r="C1140" s="15" t="s">
        <v>800</v>
      </c>
      <c r="D1140" s="15" t="s">
        <v>2973</v>
      </c>
      <c r="E1140" s="15">
        <v>100.94029999999999</v>
      </c>
      <c r="F1140" s="42">
        <v>43888</v>
      </c>
    </row>
    <row r="1141" spans="1:6" x14ac:dyDescent="0.3">
      <c r="A1141" s="15" t="s">
        <v>46029</v>
      </c>
      <c r="B1141" s="15" t="s">
        <v>2974</v>
      </c>
      <c r="C1141" s="15" t="s">
        <v>800</v>
      </c>
      <c r="D1141" s="15" t="s">
        <v>2975</v>
      </c>
      <c r="E1141" s="15">
        <v>101.39660000000001</v>
      </c>
      <c r="F1141" s="42">
        <v>43945</v>
      </c>
    </row>
    <row r="1142" spans="1:6" x14ac:dyDescent="0.3">
      <c r="A1142" s="15" t="s">
        <v>46028</v>
      </c>
      <c r="B1142" s="15" t="s">
        <v>2976</v>
      </c>
      <c r="C1142" s="15" t="s">
        <v>800</v>
      </c>
      <c r="D1142" s="15" t="s">
        <v>2977</v>
      </c>
      <c r="E1142" s="15">
        <v>218.16319999999999</v>
      </c>
      <c r="F1142" s="42">
        <v>42170</v>
      </c>
    </row>
    <row r="1143" spans="1:6" x14ac:dyDescent="0.3">
      <c r="A1143" s="15" t="s">
        <v>46027</v>
      </c>
      <c r="B1143" s="15" t="s">
        <v>2978</v>
      </c>
      <c r="C1143" s="15" t="s">
        <v>2979</v>
      </c>
      <c r="D1143" s="15" t="s">
        <v>2980</v>
      </c>
      <c r="E1143" s="15">
        <v>101.3043</v>
      </c>
      <c r="F1143" s="42">
        <v>42781</v>
      </c>
    </row>
    <row r="1144" spans="1:6" x14ac:dyDescent="0.3">
      <c r="A1144" s="15" t="s">
        <v>33499</v>
      </c>
      <c r="B1144" s="15" t="s">
        <v>795</v>
      </c>
      <c r="C1144" s="15" t="s">
        <v>795</v>
      </c>
      <c r="D1144" s="15" t="s">
        <v>795</v>
      </c>
      <c r="F1144" s="42"/>
    </row>
    <row r="1145" spans="1:6" x14ac:dyDescent="0.3">
      <c r="A1145" s="15" t="s">
        <v>139</v>
      </c>
      <c r="B1145" s="15" t="s">
        <v>795</v>
      </c>
      <c r="C1145" s="15" t="s">
        <v>795</v>
      </c>
      <c r="D1145" s="15" t="s">
        <v>795</v>
      </c>
      <c r="F1145" s="42"/>
    </row>
    <row r="1146" spans="1:6" x14ac:dyDescent="0.3">
      <c r="A1146" s="15" t="s">
        <v>33499</v>
      </c>
      <c r="B1146" s="15" t="s">
        <v>795</v>
      </c>
      <c r="C1146" s="15" t="s">
        <v>795</v>
      </c>
      <c r="D1146" s="15" t="s">
        <v>795</v>
      </c>
      <c r="F1146" s="42"/>
    </row>
    <row r="1147" spans="1:6" x14ac:dyDescent="0.3">
      <c r="A1147" s="15" t="s">
        <v>46026</v>
      </c>
      <c r="B1147" s="15" t="s">
        <v>2981</v>
      </c>
      <c r="C1147" s="15" t="s">
        <v>800</v>
      </c>
      <c r="D1147" s="15" t="s">
        <v>2982</v>
      </c>
      <c r="E1147" s="15">
        <v>1649.9173000000001</v>
      </c>
      <c r="F1147" s="42">
        <v>46198</v>
      </c>
    </row>
    <row r="1148" spans="1:6" x14ac:dyDescent="0.3">
      <c r="A1148" s="15" t="s">
        <v>46025</v>
      </c>
      <c r="B1148" s="15" t="s">
        <v>800</v>
      </c>
      <c r="C1148" s="15" t="s">
        <v>2983</v>
      </c>
      <c r="D1148" s="15" t="s">
        <v>2984</v>
      </c>
      <c r="E1148" s="15">
        <v>1437.3326</v>
      </c>
      <c r="F1148" s="42">
        <v>46198</v>
      </c>
    </row>
    <row r="1149" spans="1:6" x14ac:dyDescent="0.3">
      <c r="A1149" s="15" t="s">
        <v>46024</v>
      </c>
      <c r="B1149" s="15" t="s">
        <v>2985</v>
      </c>
      <c r="C1149" s="15" t="s">
        <v>800</v>
      </c>
      <c r="D1149" s="15" t="s">
        <v>2986</v>
      </c>
      <c r="E1149" s="15">
        <v>1605.5856000000001</v>
      </c>
      <c r="F1149" s="42">
        <v>46198</v>
      </c>
    </row>
    <row r="1150" spans="1:6" x14ac:dyDescent="0.3">
      <c r="A1150" s="15" t="s">
        <v>46023</v>
      </c>
      <c r="B1150" s="15" t="s">
        <v>800</v>
      </c>
      <c r="C1150" s="15" t="s">
        <v>2987</v>
      </c>
      <c r="D1150" s="15" t="s">
        <v>2988</v>
      </c>
      <c r="E1150" s="15">
        <v>1430.9215999999999</v>
      </c>
      <c r="F1150" s="42">
        <v>46198</v>
      </c>
    </row>
    <row r="1151" spans="1:6" x14ac:dyDescent="0.3">
      <c r="A1151" s="15" t="s">
        <v>33499</v>
      </c>
      <c r="B1151" s="15" t="s">
        <v>795</v>
      </c>
      <c r="C1151" s="15" t="s">
        <v>795</v>
      </c>
      <c r="D1151" s="15" t="s">
        <v>795</v>
      </c>
      <c r="F1151" s="42"/>
    </row>
    <row r="1152" spans="1:6" x14ac:dyDescent="0.3">
      <c r="A1152" s="15" t="s">
        <v>208</v>
      </c>
      <c r="B1152" s="15" t="s">
        <v>795</v>
      </c>
      <c r="C1152" s="15" t="s">
        <v>795</v>
      </c>
      <c r="D1152" s="15" t="s">
        <v>795</v>
      </c>
      <c r="F1152" s="42"/>
    </row>
    <row r="1153" spans="1:6" x14ac:dyDescent="0.3">
      <c r="A1153" s="15" t="s">
        <v>33499</v>
      </c>
      <c r="B1153" s="15" t="s">
        <v>795</v>
      </c>
      <c r="C1153" s="15" t="s">
        <v>795</v>
      </c>
      <c r="D1153" s="15" t="s">
        <v>795</v>
      </c>
      <c r="F1153" s="42"/>
    </row>
    <row r="1154" spans="1:6" x14ac:dyDescent="0.3">
      <c r="A1154" s="15" t="s">
        <v>46022</v>
      </c>
      <c r="B1154" s="15" t="s">
        <v>2989</v>
      </c>
      <c r="C1154" s="15" t="s">
        <v>2990</v>
      </c>
      <c r="D1154" s="15" t="s">
        <v>2991</v>
      </c>
      <c r="E1154" s="15">
        <v>10.278499999999999</v>
      </c>
      <c r="F1154" s="42">
        <v>46198</v>
      </c>
    </row>
    <row r="1155" spans="1:6" x14ac:dyDescent="0.3">
      <c r="A1155" s="15" t="s">
        <v>46021</v>
      </c>
      <c r="B1155" s="15" t="s">
        <v>2992</v>
      </c>
      <c r="C1155" s="15" t="s">
        <v>800</v>
      </c>
      <c r="D1155" s="15" t="s">
        <v>2993</v>
      </c>
      <c r="E1155" s="15">
        <v>50.5124</v>
      </c>
      <c r="F1155" s="42">
        <v>46198</v>
      </c>
    </row>
    <row r="1156" spans="1:6" x14ac:dyDescent="0.3">
      <c r="A1156" s="15" t="s">
        <v>46020</v>
      </c>
      <c r="B1156" s="15" t="s">
        <v>800</v>
      </c>
      <c r="C1156" s="15" t="s">
        <v>2994</v>
      </c>
      <c r="D1156" s="15" t="s">
        <v>2995</v>
      </c>
      <c r="E1156" s="15">
        <v>10.2684</v>
      </c>
      <c r="F1156" s="42">
        <v>46198</v>
      </c>
    </row>
    <row r="1157" spans="1:6" x14ac:dyDescent="0.3">
      <c r="A1157" s="15" t="s">
        <v>46019</v>
      </c>
      <c r="B1157" s="15" t="s">
        <v>800</v>
      </c>
      <c r="C1157" s="15" t="s">
        <v>2996</v>
      </c>
      <c r="D1157" s="15" t="s">
        <v>2997</v>
      </c>
      <c r="E1157" s="15">
        <v>10.290100000000001</v>
      </c>
      <c r="F1157" s="42">
        <v>46198</v>
      </c>
    </row>
    <row r="1158" spans="1:6" x14ac:dyDescent="0.3">
      <c r="A1158" s="15" t="s">
        <v>46018</v>
      </c>
      <c r="B1158" s="15" t="s">
        <v>2998</v>
      </c>
      <c r="C1158" s="15" t="s">
        <v>2999</v>
      </c>
      <c r="D1158" s="15" t="s">
        <v>3000</v>
      </c>
      <c r="E1158" s="15">
        <v>22.536300000000001</v>
      </c>
      <c r="F1158" s="42">
        <v>46198</v>
      </c>
    </row>
    <row r="1159" spans="1:6" x14ac:dyDescent="0.3">
      <c r="A1159" s="15" t="s">
        <v>46017</v>
      </c>
      <c r="B1159" s="15" t="s">
        <v>3001</v>
      </c>
      <c r="C1159" s="15" t="s">
        <v>3002</v>
      </c>
      <c r="D1159" s="15" t="s">
        <v>3003</v>
      </c>
      <c r="E1159" s="15">
        <v>11.3439</v>
      </c>
      <c r="F1159" s="42">
        <v>46198</v>
      </c>
    </row>
    <row r="1160" spans="1:6" x14ac:dyDescent="0.3">
      <c r="A1160" s="15" t="s">
        <v>46016</v>
      </c>
      <c r="B1160" s="15" t="s">
        <v>3004</v>
      </c>
      <c r="C1160" s="15" t="s">
        <v>3005</v>
      </c>
      <c r="D1160" s="15" t="s">
        <v>3006</v>
      </c>
      <c r="E1160" s="15">
        <v>10.891999999999999</v>
      </c>
      <c r="F1160" s="42">
        <v>46198</v>
      </c>
    </row>
    <row r="1161" spans="1:6" x14ac:dyDescent="0.3">
      <c r="A1161" s="15" t="s">
        <v>46015</v>
      </c>
      <c r="B1161" s="15" t="s">
        <v>3007</v>
      </c>
      <c r="C1161" s="15" t="s">
        <v>800</v>
      </c>
      <c r="D1161" s="15" t="s">
        <v>3008</v>
      </c>
      <c r="E1161" s="15">
        <v>47.868099999999998</v>
      </c>
      <c r="F1161" s="42">
        <v>46198</v>
      </c>
    </row>
    <row r="1162" spans="1:6" x14ac:dyDescent="0.3">
      <c r="A1162" s="15" t="s">
        <v>46014</v>
      </c>
      <c r="B1162" s="15" t="s">
        <v>3009</v>
      </c>
      <c r="C1162" s="15" t="s">
        <v>3010</v>
      </c>
      <c r="D1162" s="15" t="s">
        <v>3011</v>
      </c>
      <c r="E1162" s="15">
        <v>21.613499999999998</v>
      </c>
      <c r="F1162" s="42">
        <v>46198</v>
      </c>
    </row>
    <row r="1163" spans="1:6" x14ac:dyDescent="0.3">
      <c r="A1163" s="15" t="s">
        <v>46013</v>
      </c>
      <c r="B1163" s="15" t="s">
        <v>3012</v>
      </c>
      <c r="C1163" s="15" t="s">
        <v>3013</v>
      </c>
      <c r="D1163" s="15" t="s">
        <v>3014</v>
      </c>
      <c r="E1163" s="15">
        <v>11.1424</v>
      </c>
      <c r="F1163" s="42">
        <v>46198</v>
      </c>
    </row>
    <row r="1164" spans="1:6" x14ac:dyDescent="0.3">
      <c r="A1164" s="15" t="s">
        <v>46012</v>
      </c>
      <c r="B1164" s="15" t="s">
        <v>3015</v>
      </c>
      <c r="C1164" s="15" t="s">
        <v>3016</v>
      </c>
      <c r="D1164" s="15" t="s">
        <v>3017</v>
      </c>
      <c r="E1164" s="15">
        <v>10.9939</v>
      </c>
      <c r="F1164" s="42">
        <v>46198</v>
      </c>
    </row>
    <row r="1165" spans="1:6" x14ac:dyDescent="0.3">
      <c r="A1165" s="15" t="s">
        <v>46011</v>
      </c>
      <c r="B1165" s="15" t="s">
        <v>3018</v>
      </c>
      <c r="C1165" s="15" t="s">
        <v>3019</v>
      </c>
      <c r="D1165" s="15" t="s">
        <v>3020</v>
      </c>
      <c r="E1165" s="15">
        <v>10.274900000000001</v>
      </c>
      <c r="F1165" s="42">
        <v>46198</v>
      </c>
    </row>
    <row r="1166" spans="1:6" x14ac:dyDescent="0.3">
      <c r="A1166" s="15" t="s">
        <v>33499</v>
      </c>
      <c r="B1166" s="15" t="s">
        <v>795</v>
      </c>
      <c r="C1166" s="15" t="s">
        <v>795</v>
      </c>
      <c r="D1166" s="15" t="s">
        <v>795</v>
      </c>
      <c r="F1166" s="42"/>
    </row>
    <row r="1167" spans="1:6" x14ac:dyDescent="0.3">
      <c r="A1167" s="15" t="s">
        <v>33636</v>
      </c>
      <c r="B1167" s="15" t="s">
        <v>795</v>
      </c>
      <c r="C1167" s="15" t="s">
        <v>795</v>
      </c>
      <c r="D1167" s="15" t="s">
        <v>795</v>
      </c>
      <c r="F1167" s="42"/>
    </row>
    <row r="1168" spans="1:6" x14ac:dyDescent="0.3">
      <c r="A1168" s="15" t="s">
        <v>33499</v>
      </c>
      <c r="B1168" s="15" t="s">
        <v>795</v>
      </c>
      <c r="C1168" s="15" t="s">
        <v>795</v>
      </c>
      <c r="D1168" s="15" t="s">
        <v>795</v>
      </c>
      <c r="F1168" s="42"/>
    </row>
    <row r="1169" spans="1:6" x14ac:dyDescent="0.3">
      <c r="A1169" s="15" t="s">
        <v>46010</v>
      </c>
      <c r="B1169" s="15" t="s">
        <v>3021</v>
      </c>
      <c r="C1169" s="15" t="s">
        <v>800</v>
      </c>
      <c r="D1169" s="15" t="s">
        <v>3022</v>
      </c>
      <c r="E1169" s="15">
        <v>14.2662</v>
      </c>
      <c r="F1169" s="42">
        <v>46198</v>
      </c>
    </row>
    <row r="1170" spans="1:6" x14ac:dyDescent="0.3">
      <c r="A1170" s="15" t="s">
        <v>46009</v>
      </c>
      <c r="B1170" s="15" t="s">
        <v>3023</v>
      </c>
      <c r="C1170" s="15" t="s">
        <v>3024</v>
      </c>
      <c r="D1170" s="15" t="s">
        <v>3025</v>
      </c>
      <c r="E1170" s="15">
        <v>14.2654</v>
      </c>
      <c r="F1170" s="42">
        <v>46198</v>
      </c>
    </row>
    <row r="1171" spans="1:6" x14ac:dyDescent="0.3">
      <c r="A1171" s="15" t="s">
        <v>46008</v>
      </c>
      <c r="B1171" s="15" t="s">
        <v>3026</v>
      </c>
      <c r="C1171" s="15" t="s">
        <v>3027</v>
      </c>
      <c r="D1171" s="15" t="s">
        <v>3028</v>
      </c>
      <c r="E1171" s="15">
        <v>14.2667</v>
      </c>
      <c r="F1171" s="42">
        <v>46198</v>
      </c>
    </row>
    <row r="1172" spans="1:6" x14ac:dyDescent="0.3">
      <c r="A1172" s="15" t="s">
        <v>46007</v>
      </c>
      <c r="B1172" s="15" t="s">
        <v>3029</v>
      </c>
      <c r="C1172" s="15" t="s">
        <v>800</v>
      </c>
      <c r="D1172" s="15" t="s">
        <v>3030</v>
      </c>
      <c r="E1172" s="15">
        <v>14.115399999999999</v>
      </c>
      <c r="F1172" s="42">
        <v>46198</v>
      </c>
    </row>
    <row r="1173" spans="1:6" x14ac:dyDescent="0.3">
      <c r="A1173" s="15" t="s">
        <v>46006</v>
      </c>
      <c r="B1173" s="15" t="s">
        <v>3031</v>
      </c>
      <c r="C1173" s="15" t="s">
        <v>3032</v>
      </c>
      <c r="D1173" s="15" t="s">
        <v>3033</v>
      </c>
      <c r="E1173" s="15">
        <v>14.1191</v>
      </c>
      <c r="F1173" s="42">
        <v>46198</v>
      </c>
    </row>
    <row r="1174" spans="1:6" x14ac:dyDescent="0.3">
      <c r="A1174" s="15" t="s">
        <v>46005</v>
      </c>
      <c r="B1174" s="15" t="s">
        <v>3034</v>
      </c>
      <c r="C1174" s="15" t="s">
        <v>3035</v>
      </c>
      <c r="D1174" s="15" t="s">
        <v>3036</v>
      </c>
      <c r="E1174" s="15">
        <v>14.1165</v>
      </c>
      <c r="F1174" s="42">
        <v>46198</v>
      </c>
    </row>
    <row r="1175" spans="1:6" x14ac:dyDescent="0.3">
      <c r="A1175" s="15" t="s">
        <v>33499</v>
      </c>
      <c r="B1175" s="15" t="s">
        <v>795</v>
      </c>
      <c r="C1175" s="15" t="s">
        <v>795</v>
      </c>
      <c r="D1175" s="15" t="s">
        <v>795</v>
      </c>
      <c r="F1175" s="42"/>
    </row>
    <row r="1176" spans="1:6" x14ac:dyDescent="0.3">
      <c r="A1176" s="15" t="s">
        <v>33519</v>
      </c>
      <c r="B1176" s="15" t="s">
        <v>795</v>
      </c>
      <c r="C1176" s="15" t="s">
        <v>795</v>
      </c>
      <c r="D1176" s="15" t="s">
        <v>795</v>
      </c>
      <c r="F1176" s="42"/>
    </row>
    <row r="1177" spans="1:6" x14ac:dyDescent="0.3">
      <c r="A1177" s="15" t="s">
        <v>33499</v>
      </c>
      <c r="B1177" s="15" t="s">
        <v>795</v>
      </c>
      <c r="C1177" s="15" t="s">
        <v>795</v>
      </c>
      <c r="D1177" s="15" t="s">
        <v>795</v>
      </c>
      <c r="F1177" s="42"/>
    </row>
    <row r="1178" spans="1:6" x14ac:dyDescent="0.3">
      <c r="A1178" s="15" t="s">
        <v>46004</v>
      </c>
      <c r="B1178" s="15" t="s">
        <v>3037</v>
      </c>
      <c r="C1178" s="15" t="s">
        <v>800</v>
      </c>
      <c r="D1178" s="15" t="s">
        <v>3038</v>
      </c>
      <c r="E1178" s="15">
        <v>13.819599999999999</v>
      </c>
      <c r="F1178" s="42">
        <v>46198</v>
      </c>
    </row>
    <row r="1179" spans="1:6" x14ac:dyDescent="0.3">
      <c r="A1179" s="15" t="s">
        <v>46003</v>
      </c>
      <c r="B1179" s="15" t="s">
        <v>800</v>
      </c>
      <c r="C1179" s="15" t="s">
        <v>3039</v>
      </c>
      <c r="D1179" s="15" t="s">
        <v>3040</v>
      </c>
      <c r="E1179" s="15">
        <v>13.819599999999999</v>
      </c>
      <c r="F1179" s="42">
        <v>46198</v>
      </c>
    </row>
    <row r="1180" spans="1:6" x14ac:dyDescent="0.3">
      <c r="A1180" s="15" t="s">
        <v>46002</v>
      </c>
      <c r="B1180" s="15" t="s">
        <v>3041</v>
      </c>
      <c r="C1180" s="15" t="s">
        <v>800</v>
      </c>
      <c r="D1180" s="15" t="s">
        <v>3042</v>
      </c>
      <c r="E1180" s="15">
        <v>13.819599999999999</v>
      </c>
      <c r="F1180" s="42">
        <v>46198</v>
      </c>
    </row>
    <row r="1181" spans="1:6" x14ac:dyDescent="0.3">
      <c r="A1181" s="15" t="s">
        <v>46001</v>
      </c>
      <c r="B1181" s="15" t="s">
        <v>800</v>
      </c>
      <c r="C1181" s="15" t="s">
        <v>3043</v>
      </c>
      <c r="D1181" s="15" t="s">
        <v>3044</v>
      </c>
      <c r="E1181" s="15">
        <v>13.819599999999999</v>
      </c>
      <c r="F1181" s="42">
        <v>46198</v>
      </c>
    </row>
    <row r="1182" spans="1:6" x14ac:dyDescent="0.3">
      <c r="A1182" s="15" t="s">
        <v>46000</v>
      </c>
      <c r="B1182" s="15" t="s">
        <v>3045</v>
      </c>
      <c r="C1182" s="15" t="s">
        <v>800</v>
      </c>
      <c r="D1182" s="15" t="s">
        <v>3046</v>
      </c>
      <c r="E1182" s="15">
        <v>13.819599999999999</v>
      </c>
      <c r="F1182" s="42">
        <v>46198</v>
      </c>
    </row>
    <row r="1183" spans="1:6" x14ac:dyDescent="0.3">
      <c r="A1183" s="15" t="s">
        <v>45999</v>
      </c>
      <c r="B1183" s="15" t="s">
        <v>800</v>
      </c>
      <c r="C1183" s="15" t="s">
        <v>3047</v>
      </c>
      <c r="D1183" s="15" t="s">
        <v>3048</v>
      </c>
      <c r="E1183" s="15">
        <v>13.819599999999999</v>
      </c>
      <c r="F1183" s="42">
        <v>46198</v>
      </c>
    </row>
    <row r="1184" spans="1:6" x14ac:dyDescent="0.3">
      <c r="A1184" s="15" t="s">
        <v>45998</v>
      </c>
      <c r="B1184" s="15" t="s">
        <v>3049</v>
      </c>
      <c r="C1184" s="15" t="s">
        <v>800</v>
      </c>
      <c r="D1184" s="15" t="s">
        <v>3050</v>
      </c>
      <c r="E1184" s="15">
        <v>13.819599999999999</v>
      </c>
      <c r="F1184" s="42">
        <v>46198</v>
      </c>
    </row>
    <row r="1185" spans="1:6" x14ac:dyDescent="0.3">
      <c r="A1185" s="15" t="s">
        <v>45997</v>
      </c>
      <c r="B1185" s="15" t="s">
        <v>3051</v>
      </c>
      <c r="C1185" s="15" t="s">
        <v>800</v>
      </c>
      <c r="D1185" s="15" t="s">
        <v>3052</v>
      </c>
      <c r="E1185" s="15">
        <v>13.5259</v>
      </c>
      <c r="F1185" s="42">
        <v>46198</v>
      </c>
    </row>
    <row r="1186" spans="1:6" x14ac:dyDescent="0.3">
      <c r="A1186" s="15" t="s">
        <v>45996</v>
      </c>
      <c r="B1186" s="15" t="s">
        <v>800</v>
      </c>
      <c r="C1186" s="15" t="s">
        <v>3053</v>
      </c>
      <c r="D1186" s="15" t="s">
        <v>3054</v>
      </c>
      <c r="E1186" s="15">
        <v>13.5259</v>
      </c>
      <c r="F1186" s="42">
        <v>46198</v>
      </c>
    </row>
    <row r="1187" spans="1:6" x14ac:dyDescent="0.3">
      <c r="A1187" s="15" t="s">
        <v>45995</v>
      </c>
      <c r="B1187" s="15" t="s">
        <v>3055</v>
      </c>
      <c r="C1187" s="15" t="s">
        <v>800</v>
      </c>
      <c r="D1187" s="15" t="s">
        <v>3056</v>
      </c>
      <c r="E1187" s="15">
        <v>13.5259</v>
      </c>
      <c r="F1187" s="42">
        <v>46198</v>
      </c>
    </row>
    <row r="1188" spans="1:6" x14ac:dyDescent="0.3">
      <c r="A1188" s="15" t="s">
        <v>45994</v>
      </c>
      <c r="B1188" s="15" t="s">
        <v>800</v>
      </c>
      <c r="C1188" s="15" t="s">
        <v>3057</v>
      </c>
      <c r="D1188" s="15" t="s">
        <v>3058</v>
      </c>
      <c r="E1188" s="15">
        <v>13.5259</v>
      </c>
      <c r="F1188" s="42">
        <v>46198</v>
      </c>
    </row>
    <row r="1189" spans="1:6" x14ac:dyDescent="0.3">
      <c r="A1189" s="15" t="s">
        <v>45993</v>
      </c>
      <c r="B1189" s="15" t="s">
        <v>3059</v>
      </c>
      <c r="C1189" s="15" t="s">
        <v>800</v>
      </c>
      <c r="D1189" s="15" t="s">
        <v>3060</v>
      </c>
      <c r="E1189" s="15">
        <v>13.5259</v>
      </c>
      <c r="F1189" s="42">
        <v>46198</v>
      </c>
    </row>
    <row r="1190" spans="1:6" x14ac:dyDescent="0.3">
      <c r="A1190" s="15" t="s">
        <v>45992</v>
      </c>
      <c r="B1190" s="15" t="s">
        <v>800</v>
      </c>
      <c r="C1190" s="15" t="s">
        <v>3061</v>
      </c>
      <c r="D1190" s="15" t="s">
        <v>3062</v>
      </c>
      <c r="E1190" s="15">
        <v>13.5259</v>
      </c>
      <c r="F1190" s="42">
        <v>46198</v>
      </c>
    </row>
    <row r="1191" spans="1:6" x14ac:dyDescent="0.3">
      <c r="A1191" s="15" t="s">
        <v>45991</v>
      </c>
      <c r="B1191" s="15" t="s">
        <v>3063</v>
      </c>
      <c r="C1191" s="15" t="s">
        <v>800</v>
      </c>
      <c r="D1191" s="15" t="s">
        <v>3064</v>
      </c>
      <c r="E1191" s="15">
        <v>13.5259</v>
      </c>
      <c r="F1191" s="42">
        <v>46198</v>
      </c>
    </row>
    <row r="1192" spans="1:6" x14ac:dyDescent="0.3">
      <c r="A1192" s="15" t="s">
        <v>33499</v>
      </c>
      <c r="B1192" s="15" t="s">
        <v>795</v>
      </c>
      <c r="C1192" s="15" t="s">
        <v>795</v>
      </c>
      <c r="D1192" s="15" t="s">
        <v>795</v>
      </c>
      <c r="F1192" s="42"/>
    </row>
    <row r="1193" spans="1:6" x14ac:dyDescent="0.3">
      <c r="A1193" s="15" t="s">
        <v>33500</v>
      </c>
      <c r="B1193" s="15" t="s">
        <v>795</v>
      </c>
      <c r="C1193" s="15" t="s">
        <v>795</v>
      </c>
      <c r="D1193" s="15" t="s">
        <v>795</v>
      </c>
      <c r="F1193" s="42"/>
    </row>
    <row r="1194" spans="1:6" x14ac:dyDescent="0.3">
      <c r="A1194" s="15" t="s">
        <v>33499</v>
      </c>
      <c r="B1194" s="15" t="s">
        <v>795</v>
      </c>
      <c r="C1194" s="15" t="s">
        <v>795</v>
      </c>
      <c r="D1194" s="15" t="s">
        <v>795</v>
      </c>
      <c r="F1194" s="42"/>
    </row>
    <row r="1195" spans="1:6" x14ac:dyDescent="0.3">
      <c r="A1195" s="15" t="s">
        <v>45990</v>
      </c>
      <c r="B1195" s="15" t="s">
        <v>3065</v>
      </c>
      <c r="C1195" s="15" t="s">
        <v>800</v>
      </c>
      <c r="D1195" s="15" t="s">
        <v>3066</v>
      </c>
      <c r="E1195" s="15">
        <v>1663.1981000000001</v>
      </c>
      <c r="F1195" s="42">
        <v>46198</v>
      </c>
    </row>
    <row r="1196" spans="1:6" x14ac:dyDescent="0.3">
      <c r="A1196" s="15" t="s">
        <v>45989</v>
      </c>
      <c r="B1196" s="15" t="s">
        <v>3067</v>
      </c>
      <c r="C1196" s="15" t="s">
        <v>800</v>
      </c>
      <c r="D1196" s="15" t="s">
        <v>3068</v>
      </c>
      <c r="E1196" s="15">
        <v>1582.7551000000001</v>
      </c>
      <c r="F1196" s="42">
        <v>46198</v>
      </c>
    </row>
    <row r="1197" spans="1:6" x14ac:dyDescent="0.3">
      <c r="A1197" s="15" t="s">
        <v>45988</v>
      </c>
      <c r="B1197" s="15" t="s">
        <v>3069</v>
      </c>
      <c r="C1197" s="15" t="s">
        <v>3070</v>
      </c>
      <c r="D1197" s="15" t="s">
        <v>3071</v>
      </c>
      <c r="E1197" s="15">
        <v>1522.5246999999999</v>
      </c>
      <c r="F1197" s="42">
        <v>46198</v>
      </c>
    </row>
    <row r="1198" spans="1:6" x14ac:dyDescent="0.3">
      <c r="A1198" s="15" t="s">
        <v>45987</v>
      </c>
      <c r="B1198" s="15" t="s">
        <v>3072</v>
      </c>
      <c r="C1198" s="15" t="s">
        <v>3073</v>
      </c>
      <c r="D1198" s="15" t="s">
        <v>3074</v>
      </c>
      <c r="E1198" s="15">
        <v>1566.8590999999999</v>
      </c>
      <c r="F1198" s="42">
        <v>46198</v>
      </c>
    </row>
    <row r="1199" spans="1:6" x14ac:dyDescent="0.3">
      <c r="A1199" s="15" t="s">
        <v>45986</v>
      </c>
      <c r="B1199" s="15" t="s">
        <v>3075</v>
      </c>
      <c r="C1199" s="15" t="s">
        <v>3076</v>
      </c>
      <c r="D1199" s="15" t="s">
        <v>3077</v>
      </c>
      <c r="E1199" s="15">
        <v>1516.0096000000001</v>
      </c>
      <c r="F1199" s="42">
        <v>46198</v>
      </c>
    </row>
    <row r="1200" spans="1:6" x14ac:dyDescent="0.3">
      <c r="A1200" s="15" t="s">
        <v>45985</v>
      </c>
      <c r="B1200" s="15" t="s">
        <v>3078</v>
      </c>
      <c r="C1200" s="15" t="s">
        <v>3079</v>
      </c>
      <c r="D1200" s="15" t="s">
        <v>3080</v>
      </c>
      <c r="E1200" s="15">
        <v>1416.3910000000001</v>
      </c>
      <c r="F1200" s="42">
        <v>46198</v>
      </c>
    </row>
    <row r="1201" spans="1:6" x14ac:dyDescent="0.3">
      <c r="A1201" s="15" t="s">
        <v>45984</v>
      </c>
      <c r="B1201" s="15" t="s">
        <v>3081</v>
      </c>
      <c r="C1201" s="15" t="s">
        <v>3082</v>
      </c>
      <c r="D1201" s="15" t="s">
        <v>3083</v>
      </c>
      <c r="E1201" s="15">
        <v>1503.1283000000001</v>
      </c>
      <c r="F1201" s="42">
        <v>46198</v>
      </c>
    </row>
    <row r="1202" spans="1:6" x14ac:dyDescent="0.3">
      <c r="A1202" s="15" t="s">
        <v>45983</v>
      </c>
      <c r="B1202" s="15" t="s">
        <v>3084</v>
      </c>
      <c r="C1202" s="15" t="s">
        <v>3085</v>
      </c>
      <c r="D1202" s="15" t="s">
        <v>3086</v>
      </c>
      <c r="E1202" s="15">
        <v>1446.9181000000001</v>
      </c>
      <c r="F1202" s="42">
        <v>46198</v>
      </c>
    </row>
    <row r="1203" spans="1:6" x14ac:dyDescent="0.3">
      <c r="A1203" s="15" t="s">
        <v>45982</v>
      </c>
      <c r="B1203" s="15" t="s">
        <v>3087</v>
      </c>
      <c r="C1203" s="15" t="s">
        <v>3088</v>
      </c>
      <c r="D1203" s="15" t="s">
        <v>3089</v>
      </c>
      <c r="E1203" s="15">
        <v>1397.8145</v>
      </c>
      <c r="F1203" s="42">
        <v>46198</v>
      </c>
    </row>
    <row r="1204" spans="1:6" x14ac:dyDescent="0.3">
      <c r="A1204" s="15" t="s">
        <v>45981</v>
      </c>
      <c r="B1204" s="15" t="s">
        <v>3090</v>
      </c>
      <c r="C1204" s="15" t="s">
        <v>3091</v>
      </c>
      <c r="D1204" s="15" t="s">
        <v>3092</v>
      </c>
      <c r="E1204" s="15">
        <v>1282.1196</v>
      </c>
      <c r="F1204" s="42">
        <v>46198</v>
      </c>
    </row>
    <row r="1205" spans="1:6" x14ac:dyDescent="0.3">
      <c r="A1205" s="15" t="s">
        <v>33499</v>
      </c>
      <c r="B1205" s="15" t="s">
        <v>795</v>
      </c>
      <c r="C1205" s="15" t="s">
        <v>795</v>
      </c>
      <c r="D1205" s="15" t="s">
        <v>795</v>
      </c>
      <c r="F1205" s="42"/>
    </row>
    <row r="1206" spans="1:6" x14ac:dyDescent="0.3">
      <c r="A1206" s="15" t="s">
        <v>45980</v>
      </c>
      <c r="B1206" s="15" t="s">
        <v>795</v>
      </c>
      <c r="C1206" s="15" t="s">
        <v>795</v>
      </c>
      <c r="D1206" s="15" t="s">
        <v>795</v>
      </c>
      <c r="F1206" s="42"/>
    </row>
    <row r="1207" spans="1:6" x14ac:dyDescent="0.3">
      <c r="A1207" s="15" t="s">
        <v>33499</v>
      </c>
      <c r="B1207" s="15" t="s">
        <v>795</v>
      </c>
      <c r="C1207" s="15" t="s">
        <v>795</v>
      </c>
      <c r="D1207" s="15" t="s">
        <v>795</v>
      </c>
      <c r="F1207" s="42"/>
    </row>
    <row r="1208" spans="1:6" x14ac:dyDescent="0.3">
      <c r="A1208" s="15" t="s">
        <v>37122</v>
      </c>
      <c r="B1208" s="15" t="s">
        <v>795</v>
      </c>
      <c r="C1208" s="15" t="s">
        <v>795</v>
      </c>
      <c r="D1208" s="15" t="s">
        <v>795</v>
      </c>
      <c r="F1208" s="42"/>
    </row>
    <row r="1209" spans="1:6" x14ac:dyDescent="0.3">
      <c r="A1209" s="15" t="s">
        <v>33499</v>
      </c>
      <c r="B1209" s="15" t="s">
        <v>795</v>
      </c>
      <c r="C1209" s="15" t="s">
        <v>795</v>
      </c>
      <c r="D1209" s="15" t="s">
        <v>795</v>
      </c>
      <c r="F1209" s="42"/>
    </row>
    <row r="1210" spans="1:6" x14ac:dyDescent="0.3">
      <c r="A1210" s="15" t="s">
        <v>45979</v>
      </c>
      <c r="B1210" s="15" t="s">
        <v>3093</v>
      </c>
      <c r="C1210" s="15" t="s">
        <v>47082</v>
      </c>
      <c r="D1210" s="15" t="s">
        <v>3094</v>
      </c>
      <c r="E1210" s="15">
        <v>11.6465</v>
      </c>
      <c r="F1210" s="42">
        <v>46198</v>
      </c>
    </row>
    <row r="1211" spans="1:6" x14ac:dyDescent="0.3">
      <c r="A1211" s="15" t="s">
        <v>45978</v>
      </c>
      <c r="B1211" s="15" t="s">
        <v>3095</v>
      </c>
      <c r="C1211" s="15" t="s">
        <v>3096</v>
      </c>
      <c r="D1211" s="15" t="s">
        <v>3097</v>
      </c>
      <c r="E1211" s="15">
        <v>10.852600000000001</v>
      </c>
      <c r="F1211" s="42">
        <v>46198</v>
      </c>
    </row>
    <row r="1212" spans="1:6" x14ac:dyDescent="0.3">
      <c r="A1212" s="15" t="s">
        <v>45977</v>
      </c>
      <c r="B1212" s="15" t="s">
        <v>3098</v>
      </c>
      <c r="C1212" s="15" t="s">
        <v>3099</v>
      </c>
      <c r="D1212" s="15" t="s">
        <v>3100</v>
      </c>
      <c r="E1212" s="15">
        <v>82.260599999999997</v>
      </c>
      <c r="F1212" s="42">
        <v>46198</v>
      </c>
    </row>
    <row r="1213" spans="1:6" x14ac:dyDescent="0.3">
      <c r="A1213" s="15" t="s">
        <v>45976</v>
      </c>
      <c r="B1213" s="15" t="s">
        <v>3101</v>
      </c>
      <c r="C1213" s="15" t="s">
        <v>800</v>
      </c>
      <c r="D1213" s="15" t="s">
        <v>3102</v>
      </c>
      <c r="E1213" s="15">
        <v>88.937299999999993</v>
      </c>
      <c r="F1213" s="42">
        <v>46198</v>
      </c>
    </row>
    <row r="1214" spans="1:6" x14ac:dyDescent="0.3">
      <c r="A1214" s="15" t="s">
        <v>33499</v>
      </c>
      <c r="B1214" s="15" t="s">
        <v>795</v>
      </c>
      <c r="C1214" s="15" t="s">
        <v>795</v>
      </c>
      <c r="D1214" s="15" t="s">
        <v>795</v>
      </c>
      <c r="F1214" s="42"/>
    </row>
    <row r="1215" spans="1:6" x14ac:dyDescent="0.3">
      <c r="A1215" s="15" t="s">
        <v>37087</v>
      </c>
      <c r="B1215" s="15" t="s">
        <v>795</v>
      </c>
      <c r="C1215" s="15" t="s">
        <v>795</v>
      </c>
      <c r="D1215" s="15" t="s">
        <v>795</v>
      </c>
      <c r="F1215" s="42"/>
    </row>
    <row r="1216" spans="1:6" x14ac:dyDescent="0.3">
      <c r="A1216" s="15" t="s">
        <v>33499</v>
      </c>
      <c r="B1216" s="15" t="s">
        <v>795</v>
      </c>
      <c r="C1216" s="15" t="s">
        <v>795</v>
      </c>
      <c r="D1216" s="15" t="s">
        <v>795</v>
      </c>
      <c r="F1216" s="42"/>
    </row>
    <row r="1217" spans="1:6" x14ac:dyDescent="0.3">
      <c r="A1217" s="15" t="s">
        <v>45975</v>
      </c>
      <c r="B1217" s="15" t="s">
        <v>3103</v>
      </c>
      <c r="C1217" s="15" t="s">
        <v>800</v>
      </c>
      <c r="D1217" s="15" t="s">
        <v>3104</v>
      </c>
      <c r="E1217" s="15">
        <v>14.735200000000001</v>
      </c>
      <c r="F1217" s="42">
        <v>42649</v>
      </c>
    </row>
    <row r="1218" spans="1:6" x14ac:dyDescent="0.3">
      <c r="A1218" s="15" t="s">
        <v>45974</v>
      </c>
      <c r="B1218" s="15" t="s">
        <v>3105</v>
      </c>
      <c r="C1218" s="15" t="s">
        <v>800</v>
      </c>
      <c r="D1218" s="15" t="s">
        <v>3106</v>
      </c>
      <c r="E1218" s="15">
        <v>28.551100000000002</v>
      </c>
      <c r="F1218" s="42">
        <v>46198</v>
      </c>
    </row>
    <row r="1219" spans="1:6" x14ac:dyDescent="0.3">
      <c r="A1219" s="15" t="s">
        <v>45973</v>
      </c>
      <c r="B1219" s="15" t="s">
        <v>3107</v>
      </c>
      <c r="C1219" s="15" t="s">
        <v>3108</v>
      </c>
      <c r="D1219" s="15" t="s">
        <v>3109</v>
      </c>
      <c r="E1219" s="15">
        <v>12.6303</v>
      </c>
      <c r="F1219" s="42">
        <v>46198</v>
      </c>
    </row>
    <row r="1220" spans="1:6" x14ac:dyDescent="0.3">
      <c r="A1220" s="15" t="s">
        <v>45972</v>
      </c>
      <c r="B1220" s="15" t="s">
        <v>3110</v>
      </c>
      <c r="C1220" s="15" t="s">
        <v>3111</v>
      </c>
      <c r="D1220" s="15" t="s">
        <v>3112</v>
      </c>
      <c r="E1220" s="15">
        <v>10.090400000000001</v>
      </c>
      <c r="F1220" s="42">
        <v>46198</v>
      </c>
    </row>
    <row r="1221" spans="1:6" x14ac:dyDescent="0.3">
      <c r="A1221" s="15" t="s">
        <v>45971</v>
      </c>
      <c r="B1221" s="15" t="s">
        <v>3113</v>
      </c>
      <c r="C1221" s="15" t="s">
        <v>800</v>
      </c>
      <c r="D1221" s="15" t="s">
        <v>3114</v>
      </c>
      <c r="E1221" s="15">
        <v>26.6938</v>
      </c>
      <c r="F1221" s="42">
        <v>46198</v>
      </c>
    </row>
    <row r="1222" spans="1:6" x14ac:dyDescent="0.3">
      <c r="A1222" s="15" t="s">
        <v>45970</v>
      </c>
      <c r="B1222" s="15" t="s">
        <v>3115</v>
      </c>
      <c r="C1222" s="15" t="s">
        <v>3116</v>
      </c>
      <c r="D1222" s="15" t="s">
        <v>3117</v>
      </c>
      <c r="E1222" s="15">
        <v>12.081899999999999</v>
      </c>
      <c r="F1222" s="42">
        <v>46198</v>
      </c>
    </row>
    <row r="1223" spans="1:6" x14ac:dyDescent="0.3">
      <c r="A1223" s="15" t="s">
        <v>45969</v>
      </c>
      <c r="B1223" s="15" t="s">
        <v>3118</v>
      </c>
      <c r="C1223" s="15" t="s">
        <v>3119</v>
      </c>
      <c r="D1223" s="15" t="s">
        <v>3120</v>
      </c>
      <c r="E1223" s="15">
        <v>10.0885</v>
      </c>
      <c r="F1223" s="42">
        <v>46198</v>
      </c>
    </row>
    <row r="1224" spans="1:6" x14ac:dyDescent="0.3">
      <c r="A1224" s="15" t="s">
        <v>33499</v>
      </c>
      <c r="B1224" s="15" t="s">
        <v>795</v>
      </c>
      <c r="C1224" s="15" t="s">
        <v>795</v>
      </c>
      <c r="D1224" s="15" t="s">
        <v>795</v>
      </c>
      <c r="F1224" s="42"/>
    </row>
    <row r="1225" spans="1:6" x14ac:dyDescent="0.3">
      <c r="A1225" s="15" t="s">
        <v>37923</v>
      </c>
      <c r="B1225" s="15" t="s">
        <v>795</v>
      </c>
      <c r="C1225" s="15" t="s">
        <v>795</v>
      </c>
      <c r="D1225" s="15" t="s">
        <v>795</v>
      </c>
      <c r="F1225" s="42"/>
    </row>
    <row r="1226" spans="1:6" x14ac:dyDescent="0.3">
      <c r="A1226" s="15" t="s">
        <v>33499</v>
      </c>
      <c r="B1226" s="15" t="s">
        <v>795</v>
      </c>
      <c r="C1226" s="15" t="s">
        <v>795</v>
      </c>
      <c r="D1226" s="15" t="s">
        <v>795</v>
      </c>
      <c r="F1226" s="42"/>
    </row>
    <row r="1227" spans="1:6" x14ac:dyDescent="0.3">
      <c r="A1227" s="15" t="s">
        <v>45968</v>
      </c>
      <c r="B1227" s="15" t="s">
        <v>3121</v>
      </c>
      <c r="C1227" s="15" t="s">
        <v>800</v>
      </c>
      <c r="D1227" s="15" t="s">
        <v>3122</v>
      </c>
      <c r="E1227" s="15">
        <v>1074.6701</v>
      </c>
      <c r="F1227" s="42">
        <v>46198</v>
      </c>
    </row>
    <row r="1228" spans="1:6" x14ac:dyDescent="0.3">
      <c r="A1228" s="15" t="s">
        <v>45967</v>
      </c>
      <c r="B1228" s="15" t="s">
        <v>3123</v>
      </c>
      <c r="C1228" s="15" t="s">
        <v>3124</v>
      </c>
      <c r="D1228" s="15" t="s">
        <v>3125</v>
      </c>
      <c r="E1228" s="15">
        <v>1074.6701</v>
      </c>
      <c r="F1228" s="42">
        <v>46198</v>
      </c>
    </row>
    <row r="1229" spans="1:6" x14ac:dyDescent="0.3">
      <c r="A1229" s="15" t="s">
        <v>45966</v>
      </c>
      <c r="B1229" s="15" t="s">
        <v>3126</v>
      </c>
      <c r="C1229" s="15" t="s">
        <v>800</v>
      </c>
      <c r="D1229" s="15" t="s">
        <v>3127</v>
      </c>
      <c r="E1229" s="15">
        <v>1062.1632</v>
      </c>
      <c r="F1229" s="42">
        <v>46198</v>
      </c>
    </row>
    <row r="1230" spans="1:6" x14ac:dyDescent="0.3">
      <c r="A1230" s="15" t="s">
        <v>45965</v>
      </c>
      <c r="B1230" s="15" t="s">
        <v>3128</v>
      </c>
      <c r="C1230" s="15" t="s">
        <v>3129</v>
      </c>
      <c r="D1230" s="15" t="s">
        <v>3130</v>
      </c>
      <c r="E1230" s="15">
        <v>1062.1632</v>
      </c>
      <c r="F1230" s="42">
        <v>46198</v>
      </c>
    </row>
    <row r="1231" spans="1:6" x14ac:dyDescent="0.3">
      <c r="A1231" s="15" t="s">
        <v>33499</v>
      </c>
      <c r="B1231" s="15" t="s">
        <v>795</v>
      </c>
      <c r="C1231" s="15" t="s">
        <v>795</v>
      </c>
      <c r="D1231" s="15" t="s">
        <v>795</v>
      </c>
      <c r="F1231" s="42"/>
    </row>
    <row r="1232" spans="1:6" x14ac:dyDescent="0.3">
      <c r="A1232" s="15" t="s">
        <v>37073</v>
      </c>
      <c r="B1232" s="15" t="s">
        <v>795</v>
      </c>
      <c r="C1232" s="15" t="s">
        <v>795</v>
      </c>
      <c r="D1232" s="15" t="s">
        <v>795</v>
      </c>
      <c r="F1232" s="42"/>
    </row>
    <row r="1233" spans="1:6" x14ac:dyDescent="0.3">
      <c r="A1233" s="15" t="s">
        <v>33499</v>
      </c>
      <c r="B1233" s="15" t="s">
        <v>795</v>
      </c>
      <c r="C1233" s="15" t="s">
        <v>795</v>
      </c>
      <c r="D1233" s="15" t="s">
        <v>795</v>
      </c>
      <c r="F1233" s="42"/>
    </row>
    <row r="1234" spans="1:6" x14ac:dyDescent="0.3">
      <c r="A1234" s="15" t="s">
        <v>45964</v>
      </c>
      <c r="B1234" s="15" t="s">
        <v>3131</v>
      </c>
      <c r="C1234" s="15" t="s">
        <v>3132</v>
      </c>
      <c r="D1234" s="15" t="s">
        <v>3133</v>
      </c>
      <c r="E1234" s="15">
        <v>12.351800000000001</v>
      </c>
      <c r="F1234" s="42">
        <v>46198</v>
      </c>
    </row>
    <row r="1235" spans="1:6" x14ac:dyDescent="0.3">
      <c r="A1235" s="15" t="s">
        <v>45963</v>
      </c>
      <c r="B1235" s="15" t="s">
        <v>3134</v>
      </c>
      <c r="C1235" s="15" t="s">
        <v>3135</v>
      </c>
      <c r="D1235" s="15" t="s">
        <v>3136</v>
      </c>
      <c r="E1235" s="15">
        <v>12.7346</v>
      </c>
      <c r="F1235" s="42">
        <v>46198</v>
      </c>
    </row>
    <row r="1236" spans="1:6" x14ac:dyDescent="0.3">
      <c r="A1236" s="15" t="s">
        <v>45962</v>
      </c>
      <c r="B1236" s="15" t="s">
        <v>3137</v>
      </c>
      <c r="C1236" s="15" t="s">
        <v>800</v>
      </c>
      <c r="D1236" s="15" t="s">
        <v>3138</v>
      </c>
      <c r="E1236" s="15">
        <v>40.921900000000001</v>
      </c>
      <c r="F1236" s="42">
        <v>46198</v>
      </c>
    </row>
    <row r="1237" spans="1:6" x14ac:dyDescent="0.3">
      <c r="A1237" s="15" t="s">
        <v>45961</v>
      </c>
      <c r="B1237" s="15" t="s">
        <v>3139</v>
      </c>
      <c r="C1237" s="15" t="s">
        <v>3140</v>
      </c>
      <c r="D1237" s="15" t="s">
        <v>3141</v>
      </c>
      <c r="E1237" s="15">
        <v>12.7339</v>
      </c>
      <c r="F1237" s="42">
        <v>46198</v>
      </c>
    </row>
    <row r="1238" spans="1:6" x14ac:dyDescent="0.3">
      <c r="A1238" s="15" t="s">
        <v>45960</v>
      </c>
      <c r="B1238" s="15" t="s">
        <v>3142</v>
      </c>
      <c r="C1238" s="15" t="s">
        <v>3143</v>
      </c>
      <c r="D1238" s="15" t="s">
        <v>3144</v>
      </c>
      <c r="E1238" s="15">
        <v>15.7781</v>
      </c>
      <c r="F1238" s="42">
        <v>46198</v>
      </c>
    </row>
    <row r="1239" spans="1:6" x14ac:dyDescent="0.3">
      <c r="A1239" s="15" t="s">
        <v>45959</v>
      </c>
      <c r="B1239" s="15" t="s">
        <v>3145</v>
      </c>
      <c r="C1239" s="15" t="s">
        <v>3146</v>
      </c>
      <c r="D1239" s="15" t="s">
        <v>3147</v>
      </c>
      <c r="E1239" s="15">
        <v>19.369299999999999</v>
      </c>
      <c r="F1239" s="42">
        <v>46198</v>
      </c>
    </row>
    <row r="1240" spans="1:6" x14ac:dyDescent="0.3">
      <c r="A1240" s="15" t="s">
        <v>45958</v>
      </c>
      <c r="B1240" s="15" t="s">
        <v>3148</v>
      </c>
      <c r="C1240" s="15" t="s">
        <v>3149</v>
      </c>
      <c r="D1240" s="15" t="s">
        <v>3150</v>
      </c>
      <c r="E1240" s="15">
        <v>12.058199999999999</v>
      </c>
      <c r="F1240" s="42">
        <v>46198</v>
      </c>
    </row>
    <row r="1241" spans="1:6" x14ac:dyDescent="0.3">
      <c r="A1241" s="15" t="s">
        <v>45957</v>
      </c>
      <c r="B1241" s="15" t="s">
        <v>3151</v>
      </c>
      <c r="C1241" s="15" t="s">
        <v>800</v>
      </c>
      <c r="D1241" s="15" t="s">
        <v>3152</v>
      </c>
      <c r="E1241" s="15">
        <v>37.6235</v>
      </c>
      <c r="F1241" s="42">
        <v>46198</v>
      </c>
    </row>
    <row r="1242" spans="1:6" x14ac:dyDescent="0.3">
      <c r="A1242" s="15" t="s">
        <v>45956</v>
      </c>
      <c r="B1242" s="15" t="s">
        <v>3153</v>
      </c>
      <c r="C1242" s="15" t="s">
        <v>3154</v>
      </c>
      <c r="D1242" s="15" t="s">
        <v>3155</v>
      </c>
      <c r="E1242" s="15">
        <v>14.1785</v>
      </c>
      <c r="F1242" s="42">
        <v>46198</v>
      </c>
    </row>
    <row r="1243" spans="1:6" x14ac:dyDescent="0.3">
      <c r="A1243" s="15" t="s">
        <v>45955</v>
      </c>
      <c r="B1243" s="15" t="s">
        <v>3156</v>
      </c>
      <c r="C1243" s="15" t="s">
        <v>3157</v>
      </c>
      <c r="D1243" s="15" t="s">
        <v>3158</v>
      </c>
      <c r="E1243" s="15">
        <v>17.673200000000001</v>
      </c>
      <c r="F1243" s="42">
        <v>46198</v>
      </c>
    </row>
    <row r="1244" spans="1:6" x14ac:dyDescent="0.3">
      <c r="A1244" s="15" t="s">
        <v>45954</v>
      </c>
      <c r="B1244" s="15" t="s">
        <v>3159</v>
      </c>
      <c r="C1244" s="15" t="s">
        <v>3160</v>
      </c>
      <c r="D1244" s="15" t="s">
        <v>3161</v>
      </c>
      <c r="E1244" s="15">
        <v>11.6098</v>
      </c>
      <c r="F1244" s="42">
        <v>46198</v>
      </c>
    </row>
    <row r="1245" spans="1:6" x14ac:dyDescent="0.3">
      <c r="A1245" s="15" t="s">
        <v>45953</v>
      </c>
      <c r="B1245" s="15" t="s">
        <v>3162</v>
      </c>
      <c r="C1245" s="15" t="s">
        <v>3163</v>
      </c>
      <c r="D1245" s="15" t="s">
        <v>3164</v>
      </c>
      <c r="E1245" s="15">
        <v>11.7265</v>
      </c>
      <c r="F1245" s="42">
        <v>46198</v>
      </c>
    </row>
    <row r="1246" spans="1:6" x14ac:dyDescent="0.3">
      <c r="A1246" s="15" t="s">
        <v>33499</v>
      </c>
      <c r="B1246" s="15" t="s">
        <v>795</v>
      </c>
      <c r="C1246" s="15" t="s">
        <v>795</v>
      </c>
      <c r="D1246" s="15" t="s">
        <v>795</v>
      </c>
      <c r="F1246" s="42"/>
    </row>
    <row r="1247" spans="1:6" x14ac:dyDescent="0.3">
      <c r="A1247" s="15" t="s">
        <v>37566</v>
      </c>
      <c r="B1247" s="15" t="s">
        <v>795</v>
      </c>
      <c r="C1247" s="15" t="s">
        <v>795</v>
      </c>
      <c r="D1247" s="15" t="s">
        <v>795</v>
      </c>
      <c r="F1247" s="42"/>
    </row>
    <row r="1248" spans="1:6" x14ac:dyDescent="0.3">
      <c r="A1248" s="15" t="s">
        <v>33499</v>
      </c>
      <c r="B1248" s="15" t="s">
        <v>795</v>
      </c>
      <c r="C1248" s="15" t="s">
        <v>795</v>
      </c>
      <c r="D1248" s="15" t="s">
        <v>795</v>
      </c>
      <c r="F1248" s="42"/>
    </row>
    <row r="1249" spans="1:6" x14ac:dyDescent="0.3">
      <c r="A1249" s="15" t="s">
        <v>45952</v>
      </c>
      <c r="B1249" s="15" t="s">
        <v>3165</v>
      </c>
      <c r="C1249" s="15" t="s">
        <v>800</v>
      </c>
      <c r="D1249" s="15" t="s">
        <v>3166</v>
      </c>
      <c r="E1249" s="15">
        <v>48.395899999999997</v>
      </c>
      <c r="F1249" s="42">
        <v>46198</v>
      </c>
    </row>
    <row r="1250" spans="1:6" x14ac:dyDescent="0.3">
      <c r="A1250" s="15" t="s">
        <v>45951</v>
      </c>
      <c r="B1250" s="15" t="s">
        <v>3167</v>
      </c>
      <c r="C1250" s="15" t="s">
        <v>3168</v>
      </c>
      <c r="D1250" s="15" t="s">
        <v>3169</v>
      </c>
      <c r="E1250" s="15">
        <v>35.527799999999999</v>
      </c>
      <c r="F1250" s="42">
        <v>46198</v>
      </c>
    </row>
    <row r="1251" spans="1:6" x14ac:dyDescent="0.3">
      <c r="A1251" s="15" t="s">
        <v>45950</v>
      </c>
      <c r="B1251" s="15" t="s">
        <v>3170</v>
      </c>
      <c r="C1251" s="15" t="s">
        <v>800</v>
      </c>
      <c r="D1251" s="15" t="s">
        <v>3171</v>
      </c>
      <c r="E1251" s="15">
        <v>43.976199999999999</v>
      </c>
      <c r="F1251" s="42">
        <v>46198</v>
      </c>
    </row>
    <row r="1252" spans="1:6" x14ac:dyDescent="0.3">
      <c r="A1252" s="15" t="s">
        <v>45949</v>
      </c>
      <c r="B1252" s="15" t="s">
        <v>3172</v>
      </c>
      <c r="C1252" s="15" t="s">
        <v>3173</v>
      </c>
      <c r="D1252" s="15" t="s">
        <v>3174</v>
      </c>
      <c r="E1252" s="15">
        <v>26.102</v>
      </c>
      <c r="F1252" s="42">
        <v>46198</v>
      </c>
    </row>
    <row r="1253" spans="1:6" x14ac:dyDescent="0.3">
      <c r="A1253" s="15" t="s">
        <v>33499</v>
      </c>
      <c r="B1253" s="15" t="s">
        <v>795</v>
      </c>
      <c r="C1253" s="15" t="s">
        <v>795</v>
      </c>
      <c r="D1253" s="15" t="s">
        <v>795</v>
      </c>
      <c r="F1253" s="42"/>
    </row>
    <row r="1254" spans="1:6" x14ac:dyDescent="0.3">
      <c r="A1254" s="15" t="s">
        <v>40284</v>
      </c>
      <c r="B1254" s="15" t="s">
        <v>795</v>
      </c>
      <c r="C1254" s="15" t="s">
        <v>795</v>
      </c>
      <c r="D1254" s="15" t="s">
        <v>795</v>
      </c>
      <c r="F1254" s="42"/>
    </row>
    <row r="1255" spans="1:6" x14ac:dyDescent="0.3">
      <c r="A1255" s="15" t="s">
        <v>33499</v>
      </c>
      <c r="B1255" s="15" t="s">
        <v>795</v>
      </c>
      <c r="C1255" s="15" t="s">
        <v>795</v>
      </c>
      <c r="D1255" s="15" t="s">
        <v>795</v>
      </c>
      <c r="F1255" s="42"/>
    </row>
    <row r="1256" spans="1:6" x14ac:dyDescent="0.3">
      <c r="A1256" s="15" t="s">
        <v>45948</v>
      </c>
      <c r="B1256" s="15" t="s">
        <v>3175</v>
      </c>
      <c r="C1256" s="15" t="s">
        <v>800</v>
      </c>
      <c r="D1256" s="15" t="s">
        <v>3176</v>
      </c>
      <c r="E1256" s="15">
        <v>83.055499999999995</v>
      </c>
      <c r="F1256" s="42">
        <v>46198</v>
      </c>
    </row>
    <row r="1257" spans="1:6" x14ac:dyDescent="0.3">
      <c r="A1257" s="15" t="s">
        <v>45947</v>
      </c>
      <c r="B1257" s="15" t="s">
        <v>3177</v>
      </c>
      <c r="C1257" s="15" t="s">
        <v>3178</v>
      </c>
      <c r="D1257" s="15" t="s">
        <v>3179</v>
      </c>
      <c r="E1257" s="15">
        <v>16.565000000000001</v>
      </c>
      <c r="F1257" s="42">
        <v>46198</v>
      </c>
    </row>
    <row r="1258" spans="1:6" x14ac:dyDescent="0.3">
      <c r="A1258" s="15" t="s">
        <v>45946</v>
      </c>
      <c r="B1258" s="15" t="s">
        <v>3180</v>
      </c>
      <c r="C1258" s="15" t="s">
        <v>800</v>
      </c>
      <c r="D1258" s="15" t="s">
        <v>3181</v>
      </c>
      <c r="E1258" s="15">
        <v>76.563199999999995</v>
      </c>
      <c r="F1258" s="42">
        <v>46198</v>
      </c>
    </row>
    <row r="1259" spans="1:6" x14ac:dyDescent="0.3">
      <c r="A1259" s="15" t="s">
        <v>45945</v>
      </c>
      <c r="B1259" s="15" t="s">
        <v>3182</v>
      </c>
      <c r="C1259" s="15" t="s">
        <v>3183</v>
      </c>
      <c r="D1259" s="15" t="s">
        <v>3184</v>
      </c>
      <c r="E1259" s="15">
        <v>15.085100000000001</v>
      </c>
      <c r="F1259" s="42">
        <v>46198</v>
      </c>
    </row>
    <row r="1260" spans="1:6" x14ac:dyDescent="0.3">
      <c r="A1260" s="15" t="s">
        <v>33499</v>
      </c>
      <c r="B1260" s="15" t="s">
        <v>795</v>
      </c>
      <c r="C1260" s="15" t="s">
        <v>795</v>
      </c>
      <c r="D1260" s="15" t="s">
        <v>795</v>
      </c>
      <c r="F1260" s="42"/>
    </row>
    <row r="1261" spans="1:6" x14ac:dyDescent="0.3">
      <c r="A1261" s="15" t="s">
        <v>37061</v>
      </c>
      <c r="B1261" s="15" t="s">
        <v>795</v>
      </c>
      <c r="C1261" s="15" t="s">
        <v>795</v>
      </c>
      <c r="D1261" s="15" t="s">
        <v>795</v>
      </c>
      <c r="F1261" s="42"/>
    </row>
    <row r="1262" spans="1:6" x14ac:dyDescent="0.3">
      <c r="A1262" s="15" t="s">
        <v>33499</v>
      </c>
      <c r="B1262" s="15" t="s">
        <v>795</v>
      </c>
      <c r="C1262" s="15" t="s">
        <v>795</v>
      </c>
      <c r="D1262" s="15" t="s">
        <v>795</v>
      </c>
      <c r="F1262" s="42"/>
    </row>
    <row r="1263" spans="1:6" x14ac:dyDescent="0.3">
      <c r="A1263" s="15" t="s">
        <v>45944</v>
      </c>
      <c r="B1263" s="15" t="s">
        <v>3185</v>
      </c>
      <c r="C1263" s="15" t="s">
        <v>800</v>
      </c>
      <c r="D1263" s="15" t="s">
        <v>3186</v>
      </c>
      <c r="E1263" s="15">
        <v>105.9277</v>
      </c>
      <c r="F1263" s="42">
        <v>46198</v>
      </c>
    </row>
    <row r="1264" spans="1:6" x14ac:dyDescent="0.3">
      <c r="A1264" s="15" t="s">
        <v>45943</v>
      </c>
      <c r="B1264" s="15" t="s">
        <v>3187</v>
      </c>
      <c r="C1264" s="15" t="s">
        <v>3188</v>
      </c>
      <c r="D1264" s="15" t="s">
        <v>3189</v>
      </c>
      <c r="E1264" s="15">
        <v>12.945600000000001</v>
      </c>
      <c r="F1264" s="42">
        <v>46198</v>
      </c>
    </row>
    <row r="1265" spans="1:6" x14ac:dyDescent="0.3">
      <c r="A1265" s="15" t="s">
        <v>45942</v>
      </c>
      <c r="B1265" s="15" t="s">
        <v>3190</v>
      </c>
      <c r="C1265" s="15" t="s">
        <v>3191</v>
      </c>
      <c r="D1265" s="15" t="s">
        <v>3192</v>
      </c>
      <c r="E1265" s="15">
        <v>11.0753</v>
      </c>
      <c r="F1265" s="42">
        <v>46198</v>
      </c>
    </row>
    <row r="1266" spans="1:6" x14ac:dyDescent="0.3">
      <c r="A1266" s="15" t="s">
        <v>45941</v>
      </c>
      <c r="B1266" s="15" t="s">
        <v>3193</v>
      </c>
      <c r="C1266" s="15" t="s">
        <v>800</v>
      </c>
      <c r="D1266" s="15" t="s">
        <v>3194</v>
      </c>
      <c r="E1266" s="15">
        <v>98.839600000000004</v>
      </c>
      <c r="F1266" s="42">
        <v>46198</v>
      </c>
    </row>
    <row r="1267" spans="1:6" x14ac:dyDescent="0.3">
      <c r="A1267" s="15" t="s">
        <v>45940</v>
      </c>
      <c r="B1267" s="15" t="s">
        <v>3195</v>
      </c>
      <c r="C1267" s="15" t="s">
        <v>3196</v>
      </c>
      <c r="D1267" s="15" t="s">
        <v>3197</v>
      </c>
      <c r="E1267" s="15">
        <v>12.809900000000001</v>
      </c>
      <c r="F1267" s="42">
        <v>46198</v>
      </c>
    </row>
    <row r="1268" spans="1:6" x14ac:dyDescent="0.3">
      <c r="A1268" s="15" t="s">
        <v>45939</v>
      </c>
      <c r="B1268" s="15" t="s">
        <v>3198</v>
      </c>
      <c r="C1268" s="15" t="s">
        <v>3199</v>
      </c>
      <c r="D1268" s="15" t="s">
        <v>3200</v>
      </c>
      <c r="E1268" s="15">
        <v>10.9537</v>
      </c>
      <c r="F1268" s="42">
        <v>46198</v>
      </c>
    </row>
    <row r="1269" spans="1:6" x14ac:dyDescent="0.3">
      <c r="A1269" s="15" t="s">
        <v>33499</v>
      </c>
      <c r="B1269" s="15" t="s">
        <v>795</v>
      </c>
      <c r="C1269" s="15" t="s">
        <v>795</v>
      </c>
      <c r="D1269" s="15" t="s">
        <v>795</v>
      </c>
      <c r="F1269" s="42"/>
    </row>
    <row r="1270" spans="1:6" x14ac:dyDescent="0.3">
      <c r="A1270" s="15" t="s">
        <v>37895</v>
      </c>
      <c r="B1270" s="15" t="s">
        <v>795</v>
      </c>
      <c r="C1270" s="15" t="s">
        <v>795</v>
      </c>
      <c r="D1270" s="15" t="s">
        <v>795</v>
      </c>
      <c r="F1270" s="42"/>
    </row>
    <row r="1271" spans="1:6" x14ac:dyDescent="0.3">
      <c r="A1271" s="15" t="s">
        <v>33499</v>
      </c>
      <c r="B1271" s="15" t="s">
        <v>795</v>
      </c>
      <c r="C1271" s="15" t="s">
        <v>795</v>
      </c>
      <c r="D1271" s="15" t="s">
        <v>795</v>
      </c>
      <c r="F1271" s="42"/>
    </row>
    <row r="1272" spans="1:6" x14ac:dyDescent="0.3">
      <c r="A1272" s="15" t="s">
        <v>45938</v>
      </c>
      <c r="B1272" s="15" t="s">
        <v>3201</v>
      </c>
      <c r="C1272" s="15" t="s">
        <v>3202</v>
      </c>
      <c r="D1272" s="15" t="s">
        <v>3203</v>
      </c>
      <c r="E1272" s="15">
        <v>26.812799999999999</v>
      </c>
      <c r="F1272" s="42">
        <v>46198</v>
      </c>
    </row>
    <row r="1273" spans="1:6" x14ac:dyDescent="0.3">
      <c r="A1273" s="15" t="s">
        <v>45937</v>
      </c>
      <c r="B1273" s="15" t="s">
        <v>3204</v>
      </c>
      <c r="C1273" s="15" t="s">
        <v>800</v>
      </c>
      <c r="D1273" s="15" t="s">
        <v>3205</v>
      </c>
      <c r="E1273" s="15">
        <v>26.802299999999999</v>
      </c>
      <c r="F1273" s="42">
        <v>46198</v>
      </c>
    </row>
    <row r="1274" spans="1:6" x14ac:dyDescent="0.3">
      <c r="A1274" s="15" t="s">
        <v>45936</v>
      </c>
      <c r="B1274" s="15" t="s">
        <v>3206</v>
      </c>
      <c r="C1274" s="15" t="s">
        <v>3207</v>
      </c>
      <c r="D1274" s="15" t="s">
        <v>3208</v>
      </c>
      <c r="E1274" s="15">
        <v>26.6953</v>
      </c>
      <c r="F1274" s="42">
        <v>46198</v>
      </c>
    </row>
    <row r="1275" spans="1:6" x14ac:dyDescent="0.3">
      <c r="A1275" s="15" t="s">
        <v>45935</v>
      </c>
      <c r="B1275" s="15" t="s">
        <v>3209</v>
      </c>
      <c r="C1275" s="15" t="s">
        <v>800</v>
      </c>
      <c r="D1275" s="15" t="s">
        <v>3210</v>
      </c>
      <c r="E1275" s="15">
        <v>22.695</v>
      </c>
      <c r="F1275" s="42">
        <v>46198</v>
      </c>
    </row>
    <row r="1276" spans="1:6" x14ac:dyDescent="0.3">
      <c r="A1276" s="15" t="s">
        <v>45934</v>
      </c>
      <c r="B1276" s="15" t="s">
        <v>3211</v>
      </c>
      <c r="C1276" s="15" t="s">
        <v>3212</v>
      </c>
      <c r="D1276" s="15" t="s">
        <v>3213</v>
      </c>
      <c r="E1276" s="15">
        <v>16.793600000000001</v>
      </c>
      <c r="F1276" s="42">
        <v>46198</v>
      </c>
    </row>
    <row r="1277" spans="1:6" x14ac:dyDescent="0.3">
      <c r="A1277" s="15" t="s">
        <v>45933</v>
      </c>
      <c r="B1277" s="15" t="s">
        <v>3214</v>
      </c>
      <c r="C1277" s="15" t="s">
        <v>800</v>
      </c>
      <c r="D1277" s="15" t="s">
        <v>3215</v>
      </c>
      <c r="E1277" s="15">
        <v>13.7394</v>
      </c>
      <c r="F1277" s="42">
        <v>46198</v>
      </c>
    </row>
    <row r="1278" spans="1:6" x14ac:dyDescent="0.3">
      <c r="A1278" s="15" t="s">
        <v>45932</v>
      </c>
      <c r="B1278" s="15" t="s">
        <v>3216</v>
      </c>
      <c r="C1278" s="15" t="s">
        <v>3217</v>
      </c>
      <c r="D1278" s="15" t="s">
        <v>3218</v>
      </c>
      <c r="E1278" s="15">
        <v>25.0425</v>
      </c>
      <c r="F1278" s="42">
        <v>46198</v>
      </c>
    </row>
    <row r="1279" spans="1:6" x14ac:dyDescent="0.3">
      <c r="A1279" s="15" t="s">
        <v>45931</v>
      </c>
      <c r="B1279" s="15" t="s">
        <v>3219</v>
      </c>
      <c r="C1279" s="15" t="s">
        <v>800</v>
      </c>
      <c r="D1279" s="15" t="s">
        <v>3220</v>
      </c>
      <c r="E1279" s="15">
        <v>25.031500000000001</v>
      </c>
      <c r="F1279" s="42">
        <v>46198</v>
      </c>
    </row>
    <row r="1280" spans="1:6" x14ac:dyDescent="0.3">
      <c r="A1280" s="15" t="s">
        <v>45930</v>
      </c>
      <c r="B1280" s="15" t="s">
        <v>3221</v>
      </c>
      <c r="C1280" s="15" t="s">
        <v>3222</v>
      </c>
      <c r="D1280" s="15" t="s">
        <v>3223</v>
      </c>
      <c r="E1280" s="15">
        <v>25.047999999999998</v>
      </c>
      <c r="F1280" s="42">
        <v>46198</v>
      </c>
    </row>
    <row r="1281" spans="1:6" x14ac:dyDescent="0.3">
      <c r="A1281" s="15" t="s">
        <v>45929</v>
      </c>
      <c r="B1281" s="15" t="s">
        <v>3224</v>
      </c>
      <c r="C1281" s="15" t="s">
        <v>800</v>
      </c>
      <c r="D1281" s="15" t="s">
        <v>3225</v>
      </c>
      <c r="E1281" s="15">
        <v>24.102</v>
      </c>
      <c r="F1281" s="42">
        <v>46198</v>
      </c>
    </row>
    <row r="1282" spans="1:6" x14ac:dyDescent="0.3">
      <c r="A1282" s="15" t="s">
        <v>45928</v>
      </c>
      <c r="B1282" s="15" t="s">
        <v>3226</v>
      </c>
      <c r="C1282" s="15" t="s">
        <v>3227</v>
      </c>
      <c r="D1282" s="15" t="s">
        <v>3228</v>
      </c>
      <c r="E1282" s="15">
        <v>10.4206</v>
      </c>
      <c r="F1282" s="42">
        <v>46198</v>
      </c>
    </row>
    <row r="1283" spans="1:6" x14ac:dyDescent="0.3">
      <c r="A1283" s="15" t="s">
        <v>45927</v>
      </c>
      <c r="B1283" s="15" t="s">
        <v>3229</v>
      </c>
      <c r="C1283" s="15" t="s">
        <v>800</v>
      </c>
      <c r="D1283" s="15" t="s">
        <v>3230</v>
      </c>
      <c r="E1283" s="15">
        <v>10.336399999999999</v>
      </c>
      <c r="F1283" s="42">
        <v>46198</v>
      </c>
    </row>
    <row r="1284" spans="1:6" x14ac:dyDescent="0.3">
      <c r="A1284" s="15" t="s">
        <v>33499</v>
      </c>
      <c r="B1284" s="15" t="s">
        <v>795</v>
      </c>
      <c r="C1284" s="15" t="s">
        <v>795</v>
      </c>
      <c r="D1284" s="15" t="s">
        <v>795</v>
      </c>
      <c r="F1284" s="42"/>
    </row>
    <row r="1285" spans="1:6" x14ac:dyDescent="0.3">
      <c r="A1285" s="15" t="s">
        <v>37044</v>
      </c>
      <c r="B1285" s="15" t="s">
        <v>795</v>
      </c>
      <c r="C1285" s="15" t="s">
        <v>795</v>
      </c>
      <c r="D1285" s="15" t="s">
        <v>795</v>
      </c>
      <c r="F1285" s="42"/>
    </row>
    <row r="1286" spans="1:6" x14ac:dyDescent="0.3">
      <c r="A1286" s="15" t="s">
        <v>33499</v>
      </c>
      <c r="B1286" s="15" t="s">
        <v>795</v>
      </c>
      <c r="C1286" s="15" t="s">
        <v>795</v>
      </c>
      <c r="D1286" s="15" t="s">
        <v>795</v>
      </c>
      <c r="F1286" s="42"/>
    </row>
    <row r="1287" spans="1:6" x14ac:dyDescent="0.3">
      <c r="A1287" s="15" t="s">
        <v>45926</v>
      </c>
      <c r="B1287" s="15" t="s">
        <v>3231</v>
      </c>
      <c r="C1287" s="15" t="s">
        <v>800</v>
      </c>
      <c r="D1287" s="15" t="s">
        <v>3232</v>
      </c>
      <c r="E1287" s="15">
        <v>66.9983</v>
      </c>
      <c r="F1287" s="42">
        <v>46198</v>
      </c>
    </row>
    <row r="1288" spans="1:6" x14ac:dyDescent="0.3">
      <c r="A1288" s="15" t="s">
        <v>45925</v>
      </c>
      <c r="B1288" s="15" t="s">
        <v>3233</v>
      </c>
      <c r="C1288" s="15" t="s">
        <v>3234</v>
      </c>
      <c r="D1288" s="15" t="s">
        <v>3235</v>
      </c>
      <c r="E1288" s="15">
        <v>11.795</v>
      </c>
      <c r="F1288" s="42">
        <v>46198</v>
      </c>
    </row>
    <row r="1289" spans="1:6" x14ac:dyDescent="0.3">
      <c r="A1289" s="15" t="s">
        <v>45924</v>
      </c>
      <c r="B1289" s="15" t="s">
        <v>3236</v>
      </c>
      <c r="C1289" s="15" t="s">
        <v>800</v>
      </c>
      <c r="D1289" s="15" t="s">
        <v>3237</v>
      </c>
      <c r="E1289" s="15">
        <v>60.813899999999997</v>
      </c>
      <c r="F1289" s="42">
        <v>46198</v>
      </c>
    </row>
    <row r="1290" spans="1:6" x14ac:dyDescent="0.3">
      <c r="A1290" s="15" t="s">
        <v>45923</v>
      </c>
      <c r="B1290" s="15" t="s">
        <v>3238</v>
      </c>
      <c r="C1290" s="15" t="s">
        <v>3239</v>
      </c>
      <c r="D1290" s="15" t="s">
        <v>3240</v>
      </c>
      <c r="E1290" s="15">
        <v>10.6442</v>
      </c>
      <c r="F1290" s="42">
        <v>46198</v>
      </c>
    </row>
    <row r="1291" spans="1:6" x14ac:dyDescent="0.3">
      <c r="A1291" s="15" t="s">
        <v>33499</v>
      </c>
      <c r="B1291" s="15" t="s">
        <v>795</v>
      </c>
      <c r="C1291" s="15" t="s">
        <v>795</v>
      </c>
      <c r="D1291" s="15" t="s">
        <v>795</v>
      </c>
      <c r="F1291" s="42"/>
    </row>
    <row r="1292" spans="1:6" x14ac:dyDescent="0.3">
      <c r="A1292" s="15" t="s">
        <v>37881</v>
      </c>
      <c r="B1292" s="15" t="s">
        <v>795</v>
      </c>
      <c r="C1292" s="15" t="s">
        <v>795</v>
      </c>
      <c r="D1292" s="15" t="s">
        <v>795</v>
      </c>
      <c r="F1292" s="42"/>
    </row>
    <row r="1293" spans="1:6" x14ac:dyDescent="0.3">
      <c r="A1293" s="15" t="s">
        <v>33499</v>
      </c>
      <c r="B1293" s="15" t="s">
        <v>795</v>
      </c>
      <c r="C1293" s="15" t="s">
        <v>795</v>
      </c>
      <c r="D1293" s="15" t="s">
        <v>795</v>
      </c>
      <c r="F1293" s="42"/>
    </row>
    <row r="1294" spans="1:6" x14ac:dyDescent="0.3">
      <c r="A1294" s="15" t="s">
        <v>45922</v>
      </c>
      <c r="B1294" s="15" t="s">
        <v>3241</v>
      </c>
      <c r="C1294" s="15" t="s">
        <v>800</v>
      </c>
      <c r="D1294" s="15" t="s">
        <v>3242</v>
      </c>
      <c r="E1294" s="15">
        <v>10.0261</v>
      </c>
      <c r="F1294" s="42">
        <v>46198</v>
      </c>
    </row>
    <row r="1295" spans="1:6" x14ac:dyDescent="0.3">
      <c r="A1295" s="15" t="s">
        <v>45921</v>
      </c>
      <c r="B1295" s="15" t="s">
        <v>3243</v>
      </c>
      <c r="C1295" s="15" t="s">
        <v>3244</v>
      </c>
      <c r="D1295" s="15" t="s">
        <v>3245</v>
      </c>
      <c r="E1295" s="15">
        <v>10.023999999999999</v>
      </c>
      <c r="F1295" s="42">
        <v>46198</v>
      </c>
    </row>
    <row r="1296" spans="1:6" x14ac:dyDescent="0.3">
      <c r="A1296" s="15" t="s">
        <v>45920</v>
      </c>
      <c r="B1296" s="15" t="s">
        <v>3246</v>
      </c>
      <c r="C1296" s="15" t="s">
        <v>800</v>
      </c>
      <c r="D1296" s="15" t="s">
        <v>3247</v>
      </c>
      <c r="E1296" s="15">
        <v>9.9100999999999999</v>
      </c>
      <c r="F1296" s="42">
        <v>46198</v>
      </c>
    </row>
    <row r="1297" spans="1:6" x14ac:dyDescent="0.3">
      <c r="A1297" s="15" t="s">
        <v>45919</v>
      </c>
      <c r="B1297" s="15" t="s">
        <v>3248</v>
      </c>
      <c r="C1297" s="15" t="s">
        <v>3249</v>
      </c>
      <c r="D1297" s="15" t="s">
        <v>3250</v>
      </c>
      <c r="E1297" s="15">
        <v>9.9102999999999994</v>
      </c>
      <c r="F1297" s="42">
        <v>46198</v>
      </c>
    </row>
    <row r="1298" spans="1:6" x14ac:dyDescent="0.3">
      <c r="A1298" s="15" t="s">
        <v>33499</v>
      </c>
      <c r="B1298" s="15" t="s">
        <v>795</v>
      </c>
      <c r="C1298" s="15" t="s">
        <v>795</v>
      </c>
      <c r="D1298" s="15" t="s">
        <v>795</v>
      </c>
      <c r="F1298" s="42"/>
    </row>
    <row r="1299" spans="1:6" x14ac:dyDescent="0.3">
      <c r="A1299" s="15" t="s">
        <v>37043</v>
      </c>
      <c r="B1299" s="15" t="s">
        <v>795</v>
      </c>
      <c r="C1299" s="15" t="s">
        <v>795</v>
      </c>
      <c r="D1299" s="15" t="s">
        <v>795</v>
      </c>
      <c r="F1299" s="42"/>
    </row>
    <row r="1300" spans="1:6" x14ac:dyDescent="0.3">
      <c r="A1300" s="15" t="s">
        <v>33499</v>
      </c>
      <c r="B1300" s="15" t="s">
        <v>795</v>
      </c>
      <c r="C1300" s="15" t="s">
        <v>795</v>
      </c>
      <c r="D1300" s="15" t="s">
        <v>795</v>
      </c>
      <c r="F1300" s="42"/>
    </row>
    <row r="1301" spans="1:6" x14ac:dyDescent="0.3">
      <c r="A1301" s="15" t="s">
        <v>45918</v>
      </c>
      <c r="B1301" s="15" t="s">
        <v>3251</v>
      </c>
      <c r="C1301" s="15" t="s">
        <v>800</v>
      </c>
      <c r="D1301" s="15" t="s">
        <v>3252</v>
      </c>
      <c r="E1301" s="15">
        <v>60.5381</v>
      </c>
      <c r="F1301" s="42">
        <v>46198</v>
      </c>
    </row>
    <row r="1302" spans="1:6" x14ac:dyDescent="0.3">
      <c r="A1302" s="15" t="s">
        <v>45917</v>
      </c>
      <c r="B1302" s="15" t="s">
        <v>3253</v>
      </c>
      <c r="C1302" s="15" t="s">
        <v>800</v>
      </c>
      <c r="D1302" s="15" t="s">
        <v>3254</v>
      </c>
      <c r="E1302" s="15">
        <v>57.263399999999997</v>
      </c>
      <c r="F1302" s="42">
        <v>46198</v>
      </c>
    </row>
    <row r="1303" spans="1:6" x14ac:dyDescent="0.3">
      <c r="A1303" s="15" t="s">
        <v>45916</v>
      </c>
      <c r="B1303" s="15" t="s">
        <v>3255</v>
      </c>
      <c r="C1303" s="15" t="s">
        <v>3256</v>
      </c>
      <c r="D1303" s="15" t="s">
        <v>3257</v>
      </c>
      <c r="E1303" s="15">
        <v>13.2536</v>
      </c>
      <c r="F1303" s="42">
        <v>46198</v>
      </c>
    </row>
    <row r="1304" spans="1:6" x14ac:dyDescent="0.3">
      <c r="A1304" s="15" t="s">
        <v>45915</v>
      </c>
      <c r="B1304" s="15" t="s">
        <v>3258</v>
      </c>
      <c r="C1304" s="15" t="s">
        <v>3259</v>
      </c>
      <c r="D1304" s="15" t="s">
        <v>3260</v>
      </c>
      <c r="E1304" s="15">
        <v>12.3832</v>
      </c>
      <c r="F1304" s="42">
        <v>46198</v>
      </c>
    </row>
    <row r="1305" spans="1:6" x14ac:dyDescent="0.3">
      <c r="A1305" s="15" t="s">
        <v>33499</v>
      </c>
      <c r="B1305" s="15" t="s">
        <v>795</v>
      </c>
      <c r="C1305" s="15" t="s">
        <v>795</v>
      </c>
      <c r="D1305" s="15" t="s">
        <v>795</v>
      </c>
      <c r="F1305" s="42"/>
    </row>
    <row r="1306" spans="1:6" x14ac:dyDescent="0.3">
      <c r="A1306" s="15" t="s">
        <v>36815</v>
      </c>
      <c r="B1306" s="15" t="s">
        <v>795</v>
      </c>
      <c r="C1306" s="15" t="s">
        <v>795</v>
      </c>
      <c r="D1306" s="15" t="s">
        <v>795</v>
      </c>
      <c r="F1306" s="42"/>
    </row>
    <row r="1307" spans="1:6" x14ac:dyDescent="0.3">
      <c r="A1307" s="15" t="s">
        <v>33499</v>
      </c>
      <c r="B1307" s="15" t="s">
        <v>795</v>
      </c>
      <c r="C1307" s="15" t="s">
        <v>795</v>
      </c>
      <c r="D1307" s="15" t="s">
        <v>795</v>
      </c>
      <c r="F1307" s="42"/>
    </row>
    <row r="1308" spans="1:6" x14ac:dyDescent="0.3">
      <c r="A1308" s="15" t="s">
        <v>45914</v>
      </c>
      <c r="B1308" s="15" t="s">
        <v>3261</v>
      </c>
      <c r="C1308" s="15" t="s">
        <v>800</v>
      </c>
      <c r="D1308" s="15" t="s">
        <v>3262</v>
      </c>
      <c r="E1308" s="15">
        <v>77.517899999999997</v>
      </c>
      <c r="F1308" s="42">
        <v>46198</v>
      </c>
    </row>
    <row r="1309" spans="1:6" x14ac:dyDescent="0.3">
      <c r="A1309" s="15" t="s">
        <v>45913</v>
      </c>
      <c r="B1309" s="15" t="s">
        <v>3263</v>
      </c>
      <c r="C1309" s="15" t="s">
        <v>3264</v>
      </c>
      <c r="D1309" s="15" t="s">
        <v>3265</v>
      </c>
      <c r="E1309" s="15">
        <v>12.1972</v>
      </c>
      <c r="F1309" s="42">
        <v>46198</v>
      </c>
    </row>
    <row r="1310" spans="1:6" x14ac:dyDescent="0.3">
      <c r="A1310" s="15" t="s">
        <v>45912</v>
      </c>
      <c r="B1310" s="15" t="s">
        <v>3266</v>
      </c>
      <c r="C1310" s="15" t="s">
        <v>800</v>
      </c>
      <c r="D1310" s="15" t="s">
        <v>3267</v>
      </c>
      <c r="E1310" s="15">
        <v>66.872900000000001</v>
      </c>
      <c r="F1310" s="42">
        <v>46198</v>
      </c>
    </row>
    <row r="1311" spans="1:6" x14ac:dyDescent="0.3">
      <c r="A1311" s="15" t="s">
        <v>45911</v>
      </c>
      <c r="B1311" s="15" t="s">
        <v>3268</v>
      </c>
      <c r="C1311" s="15" t="s">
        <v>3269</v>
      </c>
      <c r="D1311" s="15" t="s">
        <v>3270</v>
      </c>
      <c r="E1311" s="15">
        <v>10.423999999999999</v>
      </c>
      <c r="F1311" s="42">
        <v>46198</v>
      </c>
    </row>
    <row r="1312" spans="1:6" x14ac:dyDescent="0.3">
      <c r="A1312" s="15" t="s">
        <v>33499</v>
      </c>
      <c r="B1312" s="15" t="s">
        <v>795</v>
      </c>
      <c r="C1312" s="15" t="s">
        <v>795</v>
      </c>
      <c r="D1312" s="15" t="s">
        <v>795</v>
      </c>
      <c r="F1312" s="42"/>
    </row>
    <row r="1313" spans="1:6" x14ac:dyDescent="0.3">
      <c r="A1313" s="15" t="s">
        <v>36764</v>
      </c>
      <c r="B1313" s="15" t="s">
        <v>795</v>
      </c>
      <c r="C1313" s="15" t="s">
        <v>795</v>
      </c>
      <c r="D1313" s="15" t="s">
        <v>795</v>
      </c>
      <c r="F1313" s="42"/>
    </row>
    <row r="1314" spans="1:6" x14ac:dyDescent="0.3">
      <c r="A1314" s="15" t="s">
        <v>33499</v>
      </c>
      <c r="B1314" s="15" t="s">
        <v>795</v>
      </c>
      <c r="C1314" s="15" t="s">
        <v>795</v>
      </c>
      <c r="D1314" s="15" t="s">
        <v>795</v>
      </c>
      <c r="F1314" s="42"/>
    </row>
    <row r="1315" spans="1:6" x14ac:dyDescent="0.3">
      <c r="A1315" s="15" t="s">
        <v>45910</v>
      </c>
      <c r="B1315" s="15" t="s">
        <v>3271</v>
      </c>
      <c r="C1315" s="15" t="s">
        <v>800</v>
      </c>
      <c r="D1315" s="15" t="s">
        <v>3272</v>
      </c>
      <c r="E1315" s="15">
        <v>12.8414</v>
      </c>
      <c r="F1315" s="42">
        <v>42600</v>
      </c>
    </row>
    <row r="1316" spans="1:6" x14ac:dyDescent="0.3">
      <c r="A1316" s="15" t="s">
        <v>45909</v>
      </c>
      <c r="B1316" s="15" t="s">
        <v>3273</v>
      </c>
      <c r="C1316" s="15" t="s">
        <v>800</v>
      </c>
      <c r="D1316" s="15" t="s">
        <v>3274</v>
      </c>
      <c r="E1316" s="15">
        <v>116.7456</v>
      </c>
      <c r="F1316" s="42">
        <v>46198</v>
      </c>
    </row>
    <row r="1317" spans="1:6" x14ac:dyDescent="0.3">
      <c r="A1317" s="15" t="s">
        <v>45908</v>
      </c>
      <c r="B1317" s="15" t="s">
        <v>3275</v>
      </c>
      <c r="C1317" s="15" t="s">
        <v>3276</v>
      </c>
      <c r="D1317" s="15" t="s">
        <v>3277</v>
      </c>
      <c r="E1317" s="15">
        <v>18.630600000000001</v>
      </c>
      <c r="F1317" s="42">
        <v>46198</v>
      </c>
    </row>
    <row r="1318" spans="1:6" x14ac:dyDescent="0.3">
      <c r="A1318" s="15" t="s">
        <v>45907</v>
      </c>
      <c r="B1318" s="15" t="s">
        <v>3278</v>
      </c>
      <c r="C1318" s="15" t="s">
        <v>800</v>
      </c>
      <c r="D1318" s="15" t="s">
        <v>3279</v>
      </c>
      <c r="E1318" s="15">
        <v>18.0717</v>
      </c>
      <c r="F1318" s="42">
        <v>43945</v>
      </c>
    </row>
    <row r="1319" spans="1:6" x14ac:dyDescent="0.3">
      <c r="A1319" s="15" t="s">
        <v>45906</v>
      </c>
      <c r="B1319" s="15" t="s">
        <v>3280</v>
      </c>
      <c r="C1319" s="15" t="s">
        <v>800</v>
      </c>
      <c r="D1319" s="15" t="s">
        <v>3281</v>
      </c>
      <c r="E1319" s="15">
        <v>107.8028</v>
      </c>
      <c r="F1319" s="42">
        <v>46198</v>
      </c>
    </row>
    <row r="1320" spans="1:6" x14ac:dyDescent="0.3">
      <c r="A1320" s="15" t="s">
        <v>45905</v>
      </c>
      <c r="B1320" s="15" t="s">
        <v>3282</v>
      </c>
      <c r="C1320" s="15" t="s">
        <v>3283</v>
      </c>
      <c r="D1320" s="15" t="s">
        <v>3284</v>
      </c>
      <c r="E1320" s="15">
        <v>17.660499999999999</v>
      </c>
      <c r="F1320" s="42">
        <v>46198</v>
      </c>
    </row>
    <row r="1321" spans="1:6" x14ac:dyDescent="0.3">
      <c r="A1321" s="15" t="s">
        <v>45904</v>
      </c>
      <c r="B1321" s="15" t="s">
        <v>3285</v>
      </c>
      <c r="C1321" s="15" t="s">
        <v>800</v>
      </c>
      <c r="D1321" s="15" t="s">
        <v>3286</v>
      </c>
      <c r="E1321" s="15">
        <v>10.0481</v>
      </c>
      <c r="F1321" s="42">
        <v>42136</v>
      </c>
    </row>
    <row r="1322" spans="1:6" x14ac:dyDescent="0.3">
      <c r="A1322" s="15" t="s">
        <v>45903</v>
      </c>
      <c r="B1322" s="15" t="s">
        <v>3287</v>
      </c>
      <c r="C1322" s="15" t="s">
        <v>3288</v>
      </c>
      <c r="D1322" s="15" t="s">
        <v>3289</v>
      </c>
      <c r="E1322" s="15">
        <v>12.296200000000001</v>
      </c>
      <c r="F1322" s="42">
        <v>43245</v>
      </c>
    </row>
    <row r="1323" spans="1:6" x14ac:dyDescent="0.3">
      <c r="A1323" s="15" t="s">
        <v>45902</v>
      </c>
      <c r="B1323" s="15" t="s">
        <v>3290</v>
      </c>
      <c r="C1323" s="15" t="s">
        <v>800</v>
      </c>
      <c r="D1323" s="15" t="s">
        <v>3291</v>
      </c>
      <c r="E1323" s="15">
        <v>44.688000000000002</v>
      </c>
      <c r="F1323" s="42">
        <v>43245</v>
      </c>
    </row>
    <row r="1324" spans="1:6" x14ac:dyDescent="0.3">
      <c r="A1324" s="15" t="s">
        <v>45901</v>
      </c>
      <c r="B1324" s="15" t="s">
        <v>3292</v>
      </c>
      <c r="C1324" s="15" t="s">
        <v>3293</v>
      </c>
      <c r="D1324" s="15" t="s">
        <v>3294</v>
      </c>
      <c r="E1324" s="15">
        <v>10.7239</v>
      </c>
      <c r="F1324" s="42">
        <v>43014</v>
      </c>
    </row>
    <row r="1325" spans="1:6" x14ac:dyDescent="0.3">
      <c r="A1325" s="15" t="s">
        <v>45900</v>
      </c>
      <c r="B1325" s="15" t="s">
        <v>3295</v>
      </c>
      <c r="C1325" s="15" t="s">
        <v>800</v>
      </c>
      <c r="D1325" s="15" t="s">
        <v>3296</v>
      </c>
      <c r="E1325" s="15">
        <v>12.861499999999999</v>
      </c>
      <c r="F1325" s="42">
        <v>43186</v>
      </c>
    </row>
    <row r="1326" spans="1:6" x14ac:dyDescent="0.3">
      <c r="A1326" s="15" t="s">
        <v>45899</v>
      </c>
      <c r="B1326" s="15" t="s">
        <v>3297</v>
      </c>
      <c r="C1326" s="15" t="s">
        <v>3298</v>
      </c>
      <c r="D1326" s="15" t="s">
        <v>3299</v>
      </c>
      <c r="E1326" s="15">
        <v>12.1349</v>
      </c>
      <c r="F1326" s="42">
        <v>43245</v>
      </c>
    </row>
    <row r="1327" spans="1:6" x14ac:dyDescent="0.3">
      <c r="A1327" s="15" t="s">
        <v>45898</v>
      </c>
      <c r="B1327" s="15" t="s">
        <v>3300</v>
      </c>
      <c r="C1327" s="15" t="s">
        <v>800</v>
      </c>
      <c r="D1327" s="15" t="s">
        <v>3301</v>
      </c>
      <c r="E1327" s="15">
        <v>43.634999999999998</v>
      </c>
      <c r="F1327" s="42">
        <v>43245</v>
      </c>
    </row>
    <row r="1328" spans="1:6" x14ac:dyDescent="0.3">
      <c r="A1328" s="15" t="s">
        <v>45897</v>
      </c>
      <c r="B1328" s="15" t="s">
        <v>3302</v>
      </c>
      <c r="C1328" s="15" t="s">
        <v>3303</v>
      </c>
      <c r="D1328" s="15" t="s">
        <v>3304</v>
      </c>
      <c r="E1328" s="15">
        <v>11.258900000000001</v>
      </c>
      <c r="F1328" s="42">
        <v>43245</v>
      </c>
    </row>
    <row r="1329" spans="1:6" x14ac:dyDescent="0.3">
      <c r="A1329" s="15" t="s">
        <v>33499</v>
      </c>
      <c r="B1329" s="15" t="s">
        <v>795</v>
      </c>
      <c r="C1329" s="15" t="s">
        <v>795</v>
      </c>
      <c r="D1329" s="15" t="s">
        <v>795</v>
      </c>
      <c r="F1329" s="42"/>
    </row>
    <row r="1330" spans="1:6" x14ac:dyDescent="0.3">
      <c r="A1330" s="15" t="s">
        <v>37807</v>
      </c>
      <c r="B1330" s="15" t="s">
        <v>795</v>
      </c>
      <c r="C1330" s="15" t="s">
        <v>795</v>
      </c>
      <c r="D1330" s="15" t="s">
        <v>795</v>
      </c>
      <c r="F1330" s="42"/>
    </row>
    <row r="1331" spans="1:6" x14ac:dyDescent="0.3">
      <c r="A1331" s="15" t="s">
        <v>33499</v>
      </c>
      <c r="B1331" s="15" t="s">
        <v>795</v>
      </c>
      <c r="C1331" s="15" t="s">
        <v>795</v>
      </c>
      <c r="D1331" s="15" t="s">
        <v>795</v>
      </c>
      <c r="F1331" s="42"/>
    </row>
    <row r="1332" spans="1:6" x14ac:dyDescent="0.3">
      <c r="A1332" s="15" t="s">
        <v>45896</v>
      </c>
      <c r="B1332" s="15" t="s">
        <v>3305</v>
      </c>
      <c r="C1332" s="15" t="s">
        <v>800</v>
      </c>
      <c r="D1332" s="15" t="s">
        <v>3306</v>
      </c>
      <c r="E1332" s="15">
        <v>3245.4056999999998</v>
      </c>
      <c r="F1332" s="42">
        <v>46198</v>
      </c>
    </row>
    <row r="1333" spans="1:6" x14ac:dyDescent="0.3">
      <c r="A1333" s="15" t="s">
        <v>45895</v>
      </c>
      <c r="B1333" s="15" t="s">
        <v>3307</v>
      </c>
      <c r="C1333" s="15" t="s">
        <v>3308</v>
      </c>
      <c r="D1333" s="15" t="s">
        <v>3309</v>
      </c>
      <c r="E1333" s="15">
        <v>1215.374</v>
      </c>
      <c r="F1333" s="42">
        <v>46198</v>
      </c>
    </row>
    <row r="1334" spans="1:6" x14ac:dyDescent="0.3">
      <c r="A1334" s="15" t="s">
        <v>45894</v>
      </c>
      <c r="B1334" s="15" t="s">
        <v>800</v>
      </c>
      <c r="C1334" s="15" t="s">
        <v>3310</v>
      </c>
      <c r="D1334" s="15" t="s">
        <v>3311</v>
      </c>
      <c r="E1334" s="15">
        <v>2532.518</v>
      </c>
      <c r="F1334" s="42">
        <v>46198</v>
      </c>
    </row>
    <row r="1335" spans="1:6" x14ac:dyDescent="0.3">
      <c r="A1335" s="15" t="s">
        <v>45893</v>
      </c>
      <c r="B1335" s="15" t="s">
        <v>3312</v>
      </c>
      <c r="C1335" s="15" t="s">
        <v>3313</v>
      </c>
      <c r="D1335" s="15" t="s">
        <v>3314</v>
      </c>
      <c r="E1335" s="15">
        <v>1124.6569999999999</v>
      </c>
      <c r="F1335" s="42">
        <v>46198</v>
      </c>
    </row>
    <row r="1336" spans="1:6" x14ac:dyDescent="0.3">
      <c r="A1336" s="15" t="s">
        <v>45892</v>
      </c>
      <c r="B1336" s="15" t="s">
        <v>3315</v>
      </c>
      <c r="C1336" s="15" t="s">
        <v>3316</v>
      </c>
      <c r="D1336" s="15" t="s">
        <v>3317</v>
      </c>
      <c r="E1336" s="15">
        <v>1173.2302</v>
      </c>
      <c r="F1336" s="42">
        <v>46198</v>
      </c>
    </row>
    <row r="1337" spans="1:6" x14ac:dyDescent="0.3">
      <c r="A1337" s="15" t="s">
        <v>45891</v>
      </c>
      <c r="B1337" s="15" t="s">
        <v>3318</v>
      </c>
      <c r="C1337" s="15" t="s">
        <v>800</v>
      </c>
      <c r="D1337" s="15" t="s">
        <v>3319</v>
      </c>
      <c r="E1337" s="15">
        <v>2914.2201</v>
      </c>
      <c r="F1337" s="42">
        <v>46198</v>
      </c>
    </row>
    <row r="1338" spans="1:6" x14ac:dyDescent="0.3">
      <c r="A1338" s="15" t="s">
        <v>45890</v>
      </c>
      <c r="B1338" s="15" t="s">
        <v>800</v>
      </c>
      <c r="C1338" s="15" t="s">
        <v>3320</v>
      </c>
      <c r="D1338" s="15" t="s">
        <v>3321</v>
      </c>
      <c r="E1338" s="15">
        <v>1641.4957999999999</v>
      </c>
      <c r="F1338" s="42">
        <v>46198</v>
      </c>
    </row>
    <row r="1339" spans="1:6" x14ac:dyDescent="0.3">
      <c r="A1339" s="15" t="s">
        <v>45889</v>
      </c>
      <c r="B1339" s="15" t="s">
        <v>3322</v>
      </c>
      <c r="C1339" s="15" t="s">
        <v>3323</v>
      </c>
      <c r="D1339" s="15" t="s">
        <v>3324</v>
      </c>
      <c r="E1339" s="15">
        <v>1328.6831</v>
      </c>
      <c r="F1339" s="42">
        <v>46198</v>
      </c>
    </row>
    <row r="1340" spans="1:6" x14ac:dyDescent="0.3">
      <c r="A1340" s="15" t="s">
        <v>33499</v>
      </c>
      <c r="B1340" s="15" t="s">
        <v>795</v>
      </c>
      <c r="C1340" s="15" t="s">
        <v>795</v>
      </c>
      <c r="D1340" s="15" t="s">
        <v>795</v>
      </c>
      <c r="F1340" s="42"/>
    </row>
    <row r="1341" spans="1:6" x14ac:dyDescent="0.3">
      <c r="A1341" s="15" t="s">
        <v>139</v>
      </c>
      <c r="B1341" s="15" t="s">
        <v>795</v>
      </c>
      <c r="C1341" s="15" t="s">
        <v>795</v>
      </c>
      <c r="D1341" s="15" t="s">
        <v>795</v>
      </c>
      <c r="F1341" s="42"/>
    </row>
    <row r="1342" spans="1:6" x14ac:dyDescent="0.3">
      <c r="A1342" s="15" t="s">
        <v>33499</v>
      </c>
      <c r="B1342" s="15" t="s">
        <v>795</v>
      </c>
      <c r="C1342" s="15" t="s">
        <v>795</v>
      </c>
      <c r="D1342" s="15" t="s">
        <v>795</v>
      </c>
      <c r="F1342" s="42"/>
    </row>
    <row r="1343" spans="1:6" x14ac:dyDescent="0.3">
      <c r="A1343" s="15" t="s">
        <v>45888</v>
      </c>
      <c r="B1343" s="15" t="s">
        <v>3325</v>
      </c>
      <c r="C1343" s="15" t="s">
        <v>800</v>
      </c>
      <c r="D1343" s="15" t="s">
        <v>3326</v>
      </c>
      <c r="E1343" s="15">
        <v>99.290199999999999</v>
      </c>
      <c r="F1343" s="42">
        <v>46198</v>
      </c>
    </row>
    <row r="1344" spans="1:6" x14ac:dyDescent="0.3">
      <c r="A1344" s="15" t="s">
        <v>45887</v>
      </c>
      <c r="B1344" s="15" t="s">
        <v>3327</v>
      </c>
      <c r="C1344" s="15" t="s">
        <v>800</v>
      </c>
      <c r="D1344" s="15" t="s">
        <v>3328</v>
      </c>
      <c r="E1344" s="15">
        <v>113.93859999999999</v>
      </c>
      <c r="F1344" s="42">
        <v>46198</v>
      </c>
    </row>
    <row r="1345" spans="1:6" x14ac:dyDescent="0.3">
      <c r="A1345" s="15" t="s">
        <v>45886</v>
      </c>
      <c r="B1345" s="15" t="s">
        <v>3329</v>
      </c>
      <c r="C1345" s="15" t="s">
        <v>800</v>
      </c>
      <c r="D1345" s="15" t="s">
        <v>3330</v>
      </c>
      <c r="E1345" s="15">
        <v>11.7919</v>
      </c>
      <c r="F1345" s="42">
        <v>46198</v>
      </c>
    </row>
    <row r="1346" spans="1:6" x14ac:dyDescent="0.3">
      <c r="A1346" s="15" t="s">
        <v>45885</v>
      </c>
      <c r="B1346" s="15" t="s">
        <v>3331</v>
      </c>
      <c r="C1346" s="15" t="s">
        <v>800</v>
      </c>
      <c r="D1346" s="15" t="s">
        <v>3332</v>
      </c>
      <c r="E1346" s="15">
        <v>97.051100000000005</v>
      </c>
      <c r="F1346" s="42">
        <v>46198</v>
      </c>
    </row>
    <row r="1347" spans="1:6" x14ac:dyDescent="0.3">
      <c r="A1347" s="15" t="s">
        <v>45884</v>
      </c>
      <c r="B1347" s="15" t="s">
        <v>3333</v>
      </c>
      <c r="C1347" s="15" t="s">
        <v>800</v>
      </c>
      <c r="D1347" s="15" t="s">
        <v>3334</v>
      </c>
      <c r="E1347" s="15">
        <v>111.2426</v>
      </c>
      <c r="F1347" s="42">
        <v>46198</v>
      </c>
    </row>
    <row r="1348" spans="1:6" x14ac:dyDescent="0.3">
      <c r="A1348" s="15" t="s">
        <v>45883</v>
      </c>
      <c r="B1348" s="15" t="s">
        <v>3335</v>
      </c>
      <c r="C1348" s="15" t="s">
        <v>3336</v>
      </c>
      <c r="D1348" s="15" t="s">
        <v>3337</v>
      </c>
      <c r="E1348" s="15">
        <v>18.964099999999998</v>
      </c>
      <c r="F1348" s="42">
        <v>46198</v>
      </c>
    </row>
    <row r="1349" spans="1:6" x14ac:dyDescent="0.3">
      <c r="A1349" s="15" t="s">
        <v>45882</v>
      </c>
      <c r="B1349" s="15" t="s">
        <v>3338</v>
      </c>
      <c r="C1349" s="15" t="s">
        <v>800</v>
      </c>
      <c r="D1349" s="15" t="s">
        <v>3339</v>
      </c>
      <c r="E1349" s="15">
        <v>24.479099999999999</v>
      </c>
      <c r="F1349" s="42">
        <v>46198</v>
      </c>
    </row>
    <row r="1350" spans="1:6" x14ac:dyDescent="0.3">
      <c r="A1350" s="15" t="s">
        <v>33499</v>
      </c>
      <c r="B1350" s="15" t="s">
        <v>795</v>
      </c>
      <c r="C1350" s="15" t="s">
        <v>795</v>
      </c>
      <c r="D1350" s="15" t="s">
        <v>795</v>
      </c>
      <c r="F1350" s="42"/>
    </row>
    <row r="1351" spans="1:6" x14ac:dyDescent="0.3">
      <c r="A1351" s="15" t="s">
        <v>37618</v>
      </c>
      <c r="B1351" s="15" t="s">
        <v>795</v>
      </c>
      <c r="C1351" s="15" t="s">
        <v>795</v>
      </c>
      <c r="D1351" s="15" t="s">
        <v>795</v>
      </c>
      <c r="F1351" s="42"/>
    </row>
    <row r="1352" spans="1:6" x14ac:dyDescent="0.3">
      <c r="A1352" s="15" t="s">
        <v>33499</v>
      </c>
      <c r="B1352" s="15" t="s">
        <v>795</v>
      </c>
      <c r="C1352" s="15" t="s">
        <v>795</v>
      </c>
      <c r="D1352" s="15" t="s">
        <v>795</v>
      </c>
      <c r="F1352" s="42"/>
    </row>
    <row r="1353" spans="1:6" x14ac:dyDescent="0.3">
      <c r="A1353" s="15" t="s">
        <v>45881</v>
      </c>
      <c r="B1353" s="15" t="s">
        <v>3340</v>
      </c>
      <c r="C1353" s="15" t="s">
        <v>800</v>
      </c>
      <c r="D1353" s="15" t="s">
        <v>3341</v>
      </c>
      <c r="E1353" s="15">
        <v>66.957400000000007</v>
      </c>
      <c r="F1353" s="42">
        <v>46198</v>
      </c>
    </row>
    <row r="1354" spans="1:6" x14ac:dyDescent="0.3">
      <c r="A1354" s="15" t="s">
        <v>45880</v>
      </c>
      <c r="B1354" s="15" t="s">
        <v>3342</v>
      </c>
      <c r="C1354" s="15" t="s">
        <v>3343</v>
      </c>
      <c r="D1354" s="15" t="s">
        <v>3344</v>
      </c>
      <c r="E1354" s="15">
        <v>19.2882</v>
      </c>
      <c r="F1354" s="42">
        <v>46198</v>
      </c>
    </row>
    <row r="1355" spans="1:6" x14ac:dyDescent="0.3">
      <c r="A1355" s="15" t="s">
        <v>45879</v>
      </c>
      <c r="B1355" s="15" t="s">
        <v>3345</v>
      </c>
      <c r="C1355" s="15" t="s">
        <v>800</v>
      </c>
      <c r="D1355" s="15" t="s">
        <v>3346</v>
      </c>
      <c r="E1355" s="15">
        <v>34.890099999999997</v>
      </c>
      <c r="F1355" s="42">
        <v>46198</v>
      </c>
    </row>
    <row r="1356" spans="1:6" x14ac:dyDescent="0.3">
      <c r="A1356" s="15" t="s">
        <v>45878</v>
      </c>
      <c r="B1356" s="15" t="s">
        <v>3347</v>
      </c>
      <c r="C1356" s="15" t="s">
        <v>3348</v>
      </c>
      <c r="D1356" s="15" t="s">
        <v>3349</v>
      </c>
      <c r="E1356" s="15">
        <v>22.577500000000001</v>
      </c>
      <c r="F1356" s="42">
        <v>46198</v>
      </c>
    </row>
    <row r="1357" spans="1:6" x14ac:dyDescent="0.3">
      <c r="A1357" s="15" t="s">
        <v>45877</v>
      </c>
      <c r="B1357" s="15" t="s">
        <v>3350</v>
      </c>
      <c r="C1357" s="15" t="s">
        <v>800</v>
      </c>
      <c r="D1357" s="15" t="s">
        <v>3351</v>
      </c>
      <c r="E1357" s="15">
        <v>60.408999999999999</v>
      </c>
      <c r="F1357" s="42">
        <v>46198</v>
      </c>
    </row>
    <row r="1358" spans="1:6" x14ac:dyDescent="0.3">
      <c r="A1358" s="15" t="s">
        <v>45876</v>
      </c>
      <c r="B1358" s="15" t="s">
        <v>3352</v>
      </c>
      <c r="C1358" s="15" t="s">
        <v>3353</v>
      </c>
      <c r="D1358" s="15" t="s">
        <v>3354</v>
      </c>
      <c r="E1358" s="15">
        <v>17.4129</v>
      </c>
      <c r="F1358" s="42">
        <v>46198</v>
      </c>
    </row>
    <row r="1359" spans="1:6" x14ac:dyDescent="0.3">
      <c r="A1359" s="15" t="s">
        <v>33499</v>
      </c>
      <c r="B1359" s="15" t="s">
        <v>795</v>
      </c>
      <c r="C1359" s="15" t="s">
        <v>795</v>
      </c>
      <c r="D1359" s="15" t="s">
        <v>795</v>
      </c>
      <c r="F1359" s="42"/>
    </row>
    <row r="1360" spans="1:6" x14ac:dyDescent="0.3">
      <c r="A1360" s="15" t="s">
        <v>208</v>
      </c>
      <c r="B1360" s="15" t="s">
        <v>795</v>
      </c>
      <c r="C1360" s="15" t="s">
        <v>795</v>
      </c>
      <c r="D1360" s="15" t="s">
        <v>795</v>
      </c>
      <c r="F1360" s="42"/>
    </row>
    <row r="1361" spans="1:6" x14ac:dyDescent="0.3">
      <c r="A1361" s="15" t="s">
        <v>33499</v>
      </c>
      <c r="B1361" s="15" t="s">
        <v>795</v>
      </c>
      <c r="C1361" s="15" t="s">
        <v>795</v>
      </c>
      <c r="D1361" s="15" t="s">
        <v>795</v>
      </c>
      <c r="F1361" s="42"/>
    </row>
    <row r="1362" spans="1:6" x14ac:dyDescent="0.3">
      <c r="A1362" s="15" t="s">
        <v>45875</v>
      </c>
      <c r="B1362" s="15" t="s">
        <v>3355</v>
      </c>
      <c r="C1362" s="15" t="s">
        <v>3356</v>
      </c>
      <c r="D1362" s="15" t="s">
        <v>3357</v>
      </c>
      <c r="E1362" s="15">
        <v>11.9046</v>
      </c>
      <c r="F1362" s="42">
        <v>46198</v>
      </c>
    </row>
    <row r="1363" spans="1:6" x14ac:dyDescent="0.3">
      <c r="A1363" s="15" t="s">
        <v>45874</v>
      </c>
      <c r="B1363" s="15" t="s">
        <v>3358</v>
      </c>
      <c r="C1363" s="15" t="s">
        <v>800</v>
      </c>
      <c r="D1363" s="15" t="s">
        <v>3359</v>
      </c>
      <c r="E1363" s="15">
        <v>44.280299999999997</v>
      </c>
      <c r="F1363" s="42">
        <v>46198</v>
      </c>
    </row>
    <row r="1364" spans="1:6" x14ac:dyDescent="0.3">
      <c r="A1364" s="15" t="s">
        <v>45873</v>
      </c>
      <c r="B1364" s="15" t="s">
        <v>3360</v>
      </c>
      <c r="C1364" s="15" t="s">
        <v>800</v>
      </c>
      <c r="D1364" s="15" t="s">
        <v>3361</v>
      </c>
      <c r="E1364" s="15">
        <v>44.515300000000003</v>
      </c>
      <c r="F1364" s="42">
        <v>46198</v>
      </c>
    </row>
    <row r="1365" spans="1:6" x14ac:dyDescent="0.3">
      <c r="A1365" s="15" t="s">
        <v>45872</v>
      </c>
      <c r="B1365" s="15" t="s">
        <v>3362</v>
      </c>
      <c r="C1365" s="15" t="s">
        <v>800</v>
      </c>
      <c r="D1365" s="15" t="s">
        <v>3363</v>
      </c>
      <c r="E1365" s="15">
        <v>44.395299999999999</v>
      </c>
      <c r="F1365" s="42">
        <v>46198</v>
      </c>
    </row>
    <row r="1366" spans="1:6" x14ac:dyDescent="0.3">
      <c r="A1366" s="15" t="s">
        <v>45871</v>
      </c>
      <c r="B1366" s="15" t="s">
        <v>3364</v>
      </c>
      <c r="C1366" s="15" t="s">
        <v>800</v>
      </c>
      <c r="D1366" s="15" t="s">
        <v>3365</v>
      </c>
      <c r="E1366" s="15">
        <v>39.837699999999998</v>
      </c>
      <c r="F1366" s="42">
        <v>46198</v>
      </c>
    </row>
    <row r="1367" spans="1:6" x14ac:dyDescent="0.3">
      <c r="A1367" s="15" t="s">
        <v>45870</v>
      </c>
      <c r="B1367" s="15" t="s">
        <v>3366</v>
      </c>
      <c r="C1367" s="15" t="s">
        <v>3367</v>
      </c>
      <c r="D1367" s="15" t="s">
        <v>3368</v>
      </c>
      <c r="E1367" s="15">
        <v>10.8384</v>
      </c>
      <c r="F1367" s="42">
        <v>46198</v>
      </c>
    </row>
    <row r="1368" spans="1:6" x14ac:dyDescent="0.3">
      <c r="A1368" s="15" t="s">
        <v>45869</v>
      </c>
      <c r="B1368" s="15" t="s">
        <v>3369</v>
      </c>
      <c r="C1368" s="15" t="s">
        <v>800</v>
      </c>
      <c r="D1368" s="15" t="s">
        <v>3370</v>
      </c>
      <c r="E1368" s="15">
        <v>39.080100000000002</v>
      </c>
      <c r="F1368" s="42">
        <v>46198</v>
      </c>
    </row>
    <row r="1369" spans="1:6" x14ac:dyDescent="0.3">
      <c r="A1369" s="15" t="s">
        <v>45868</v>
      </c>
      <c r="B1369" s="15" t="s">
        <v>3371</v>
      </c>
      <c r="C1369" s="15" t="s">
        <v>800</v>
      </c>
      <c r="D1369" s="15" t="s">
        <v>3372</v>
      </c>
      <c r="E1369" s="15">
        <v>32.771000000000001</v>
      </c>
      <c r="F1369" s="42">
        <v>46198</v>
      </c>
    </row>
    <row r="1370" spans="1:6" x14ac:dyDescent="0.3">
      <c r="A1370" s="15" t="s">
        <v>45867</v>
      </c>
      <c r="B1370" s="15" t="s">
        <v>3373</v>
      </c>
      <c r="C1370" s="15" t="s">
        <v>800</v>
      </c>
      <c r="D1370" s="15" t="s">
        <v>3374</v>
      </c>
      <c r="E1370" s="15">
        <v>39.080100000000002</v>
      </c>
      <c r="F1370" s="42">
        <v>46198</v>
      </c>
    </row>
    <row r="1371" spans="1:6" x14ac:dyDescent="0.3">
      <c r="A1371" s="15" t="s">
        <v>45866</v>
      </c>
      <c r="B1371" s="15" t="s">
        <v>3375</v>
      </c>
      <c r="C1371" s="15" t="s">
        <v>800</v>
      </c>
      <c r="D1371" s="15" t="s">
        <v>3376</v>
      </c>
      <c r="E1371" s="15">
        <v>24.8126</v>
      </c>
      <c r="F1371" s="42">
        <v>46198</v>
      </c>
    </row>
    <row r="1372" spans="1:6" x14ac:dyDescent="0.3">
      <c r="A1372" s="15" t="s">
        <v>45865</v>
      </c>
      <c r="B1372" s="15" t="s">
        <v>3377</v>
      </c>
      <c r="C1372" s="15" t="s">
        <v>800</v>
      </c>
      <c r="D1372" s="15" t="s">
        <v>3378</v>
      </c>
      <c r="E1372" s="15">
        <v>13.052199999999999</v>
      </c>
      <c r="F1372" s="42">
        <v>43283</v>
      </c>
    </row>
    <row r="1373" spans="1:6" x14ac:dyDescent="0.3">
      <c r="A1373" s="15" t="s">
        <v>45864</v>
      </c>
      <c r="B1373" s="15" t="s">
        <v>3379</v>
      </c>
      <c r="C1373" s="15" t="s">
        <v>800</v>
      </c>
      <c r="D1373" s="15" t="s">
        <v>3380</v>
      </c>
      <c r="E1373" s="15">
        <v>23.078499999999998</v>
      </c>
      <c r="F1373" s="42">
        <v>42947</v>
      </c>
    </row>
    <row r="1374" spans="1:6" x14ac:dyDescent="0.3">
      <c r="A1374" s="15" t="s">
        <v>45863</v>
      </c>
      <c r="B1374" s="15" t="s">
        <v>3381</v>
      </c>
      <c r="C1374" s="15" t="s">
        <v>800</v>
      </c>
      <c r="D1374" s="15" t="s">
        <v>3382</v>
      </c>
      <c r="E1374" s="15">
        <v>39.080100000000002</v>
      </c>
      <c r="F1374" s="42">
        <v>46198</v>
      </c>
    </row>
    <row r="1375" spans="1:6" x14ac:dyDescent="0.3">
      <c r="A1375" s="15" t="s">
        <v>45862</v>
      </c>
      <c r="B1375" s="15" t="s">
        <v>800</v>
      </c>
      <c r="C1375" s="15" t="s">
        <v>3383</v>
      </c>
      <c r="D1375" s="15" t="s">
        <v>3384</v>
      </c>
      <c r="E1375" s="15">
        <v>24.029399999999999</v>
      </c>
      <c r="F1375" s="42">
        <v>46198</v>
      </c>
    </row>
    <row r="1376" spans="1:6" x14ac:dyDescent="0.3">
      <c r="A1376" s="15" t="s">
        <v>33499</v>
      </c>
      <c r="B1376" s="15" t="s">
        <v>795</v>
      </c>
      <c r="C1376" s="15" t="s">
        <v>795</v>
      </c>
      <c r="D1376" s="15" t="s">
        <v>795</v>
      </c>
      <c r="F1376" s="42"/>
    </row>
    <row r="1377" spans="1:6" x14ac:dyDescent="0.3">
      <c r="A1377" s="15" t="s">
        <v>37523</v>
      </c>
      <c r="B1377" s="15" t="s">
        <v>795</v>
      </c>
      <c r="C1377" s="15" t="s">
        <v>795</v>
      </c>
      <c r="D1377" s="15" t="s">
        <v>795</v>
      </c>
      <c r="F1377" s="42"/>
    </row>
    <row r="1378" spans="1:6" x14ac:dyDescent="0.3">
      <c r="A1378" s="15" t="s">
        <v>33499</v>
      </c>
      <c r="B1378" s="15" t="s">
        <v>795</v>
      </c>
      <c r="C1378" s="15" t="s">
        <v>795</v>
      </c>
      <c r="D1378" s="15" t="s">
        <v>795</v>
      </c>
      <c r="F1378" s="42"/>
    </row>
    <row r="1379" spans="1:6" x14ac:dyDescent="0.3">
      <c r="A1379" s="15" t="s">
        <v>45861</v>
      </c>
      <c r="B1379" s="15" t="s">
        <v>3385</v>
      </c>
      <c r="C1379" s="15" t="s">
        <v>800</v>
      </c>
      <c r="D1379" s="15" t="s">
        <v>3386</v>
      </c>
      <c r="E1379" s="15">
        <v>13.866199999999999</v>
      </c>
      <c r="F1379" s="42">
        <v>42583</v>
      </c>
    </row>
    <row r="1380" spans="1:6" x14ac:dyDescent="0.3">
      <c r="A1380" s="15" t="s">
        <v>45860</v>
      </c>
      <c r="B1380" s="15" t="s">
        <v>3387</v>
      </c>
      <c r="C1380" s="15" t="s">
        <v>800</v>
      </c>
      <c r="D1380" s="15" t="s">
        <v>3388</v>
      </c>
      <c r="E1380" s="15">
        <v>33.487900000000003</v>
      </c>
      <c r="F1380" s="42">
        <v>46198</v>
      </c>
    </row>
    <row r="1381" spans="1:6" x14ac:dyDescent="0.3">
      <c r="A1381" s="15" t="s">
        <v>45859</v>
      </c>
      <c r="B1381" s="15" t="s">
        <v>3389</v>
      </c>
      <c r="C1381" s="15" t="s">
        <v>800</v>
      </c>
      <c r="D1381" s="15" t="s">
        <v>3390</v>
      </c>
      <c r="E1381" s="15">
        <v>12.887700000000001</v>
      </c>
      <c r="F1381" s="42">
        <v>43193</v>
      </c>
    </row>
    <row r="1382" spans="1:6" x14ac:dyDescent="0.3">
      <c r="A1382" s="15" t="s">
        <v>45858</v>
      </c>
      <c r="B1382" s="15" t="s">
        <v>3391</v>
      </c>
      <c r="C1382" s="15" t="s">
        <v>800</v>
      </c>
      <c r="D1382" s="15" t="s">
        <v>3392</v>
      </c>
      <c r="E1382" s="15">
        <v>14.4221</v>
      </c>
      <c r="F1382" s="42">
        <v>46198</v>
      </c>
    </row>
    <row r="1383" spans="1:6" x14ac:dyDescent="0.3">
      <c r="A1383" s="15" t="s">
        <v>45857</v>
      </c>
      <c r="B1383" s="15" t="s">
        <v>3393</v>
      </c>
      <c r="C1383" s="15" t="s">
        <v>800</v>
      </c>
      <c r="D1383" s="15" t="s">
        <v>3394</v>
      </c>
      <c r="E1383" s="15">
        <v>30.697099999999999</v>
      </c>
      <c r="F1383" s="42">
        <v>46198</v>
      </c>
    </row>
    <row r="1384" spans="1:6" x14ac:dyDescent="0.3">
      <c r="A1384" s="15" t="s">
        <v>45856</v>
      </c>
      <c r="B1384" s="15" t="s">
        <v>3395</v>
      </c>
      <c r="C1384" s="15" t="s">
        <v>800</v>
      </c>
      <c r="D1384" s="15" t="s">
        <v>3396</v>
      </c>
      <c r="E1384" s="15">
        <v>12.617800000000001</v>
      </c>
      <c r="F1384" s="42">
        <v>43286</v>
      </c>
    </row>
    <row r="1385" spans="1:6" x14ac:dyDescent="0.3">
      <c r="A1385" s="15" t="s">
        <v>45855</v>
      </c>
      <c r="B1385" s="15" t="s">
        <v>3397</v>
      </c>
      <c r="C1385" s="15" t="s">
        <v>3398</v>
      </c>
      <c r="D1385" s="15" t="s">
        <v>3399</v>
      </c>
      <c r="E1385" s="15">
        <v>13.506</v>
      </c>
      <c r="F1385" s="42">
        <v>46198</v>
      </c>
    </row>
    <row r="1386" spans="1:6" x14ac:dyDescent="0.3">
      <c r="A1386" s="15" t="s">
        <v>33499</v>
      </c>
      <c r="B1386" s="15" t="s">
        <v>795</v>
      </c>
      <c r="C1386" s="15" t="s">
        <v>795</v>
      </c>
      <c r="D1386" s="15" t="s">
        <v>795</v>
      </c>
      <c r="F1386" s="42"/>
    </row>
    <row r="1387" spans="1:6" x14ac:dyDescent="0.3">
      <c r="A1387" s="15" t="s">
        <v>40216</v>
      </c>
      <c r="B1387" s="15" t="s">
        <v>795</v>
      </c>
      <c r="C1387" s="15" t="s">
        <v>795</v>
      </c>
      <c r="D1387" s="15" t="s">
        <v>795</v>
      </c>
      <c r="F1387" s="42"/>
    </row>
    <row r="1388" spans="1:6" x14ac:dyDescent="0.3">
      <c r="A1388" s="15" t="s">
        <v>33499</v>
      </c>
      <c r="B1388" s="15" t="s">
        <v>795</v>
      </c>
      <c r="C1388" s="15" t="s">
        <v>795</v>
      </c>
      <c r="D1388" s="15" t="s">
        <v>795</v>
      </c>
      <c r="F1388" s="42"/>
    </row>
    <row r="1389" spans="1:6" x14ac:dyDescent="0.3">
      <c r="A1389" s="15" t="s">
        <v>45854</v>
      </c>
      <c r="B1389" s="15" t="s">
        <v>3400</v>
      </c>
      <c r="C1389" s="15" t="s">
        <v>800</v>
      </c>
      <c r="D1389" s="15" t="s">
        <v>3401</v>
      </c>
      <c r="E1389" s="15">
        <v>12.531000000000001</v>
      </c>
      <c r="F1389" s="42">
        <v>46198</v>
      </c>
    </row>
    <row r="1390" spans="1:6" x14ac:dyDescent="0.3">
      <c r="A1390" s="15" t="s">
        <v>45853</v>
      </c>
      <c r="B1390" s="15" t="s">
        <v>3402</v>
      </c>
      <c r="C1390" s="15" t="s">
        <v>800</v>
      </c>
      <c r="D1390" s="15" t="s">
        <v>3403</v>
      </c>
      <c r="E1390" s="15">
        <v>12.1197</v>
      </c>
      <c r="F1390" s="42">
        <v>46198</v>
      </c>
    </row>
    <row r="1391" spans="1:6" x14ac:dyDescent="0.3">
      <c r="A1391" s="15" t="s">
        <v>45852</v>
      </c>
      <c r="B1391" s="15" t="s">
        <v>3404</v>
      </c>
      <c r="C1391" s="15" t="s">
        <v>3405</v>
      </c>
      <c r="D1391" s="15" t="s">
        <v>3406</v>
      </c>
      <c r="E1391" s="15">
        <v>12.522399999999999</v>
      </c>
      <c r="F1391" s="42">
        <v>46198</v>
      </c>
    </row>
    <row r="1392" spans="1:6" x14ac:dyDescent="0.3">
      <c r="A1392" s="15" t="s">
        <v>45851</v>
      </c>
      <c r="B1392" s="15" t="s">
        <v>3407</v>
      </c>
      <c r="C1392" s="15" t="s">
        <v>3408</v>
      </c>
      <c r="D1392" s="15" t="s">
        <v>3409</v>
      </c>
      <c r="E1392" s="15">
        <v>12.1303</v>
      </c>
      <c r="F1392" s="42">
        <v>46198</v>
      </c>
    </row>
    <row r="1393" spans="1:6" x14ac:dyDescent="0.3">
      <c r="A1393" s="15" t="s">
        <v>33499</v>
      </c>
      <c r="B1393" s="15" t="s">
        <v>795</v>
      </c>
      <c r="C1393" s="15" t="s">
        <v>795</v>
      </c>
      <c r="D1393" s="15" t="s">
        <v>795</v>
      </c>
      <c r="F1393" s="42"/>
    </row>
    <row r="1394" spans="1:6" x14ac:dyDescent="0.3">
      <c r="A1394" s="15" t="s">
        <v>33636</v>
      </c>
      <c r="B1394" s="15" t="s">
        <v>795</v>
      </c>
      <c r="C1394" s="15" t="s">
        <v>795</v>
      </c>
      <c r="D1394" s="15" t="s">
        <v>795</v>
      </c>
      <c r="F1394" s="42"/>
    </row>
    <row r="1395" spans="1:6" x14ac:dyDescent="0.3">
      <c r="A1395" s="15" t="s">
        <v>33499</v>
      </c>
      <c r="B1395" s="15" t="s">
        <v>795</v>
      </c>
      <c r="C1395" s="15" t="s">
        <v>795</v>
      </c>
      <c r="D1395" s="15" t="s">
        <v>795</v>
      </c>
      <c r="F1395" s="42"/>
    </row>
    <row r="1396" spans="1:6" x14ac:dyDescent="0.3">
      <c r="A1396" s="15" t="s">
        <v>45850</v>
      </c>
      <c r="B1396" s="15" t="s">
        <v>3410</v>
      </c>
      <c r="C1396" s="15" t="s">
        <v>800</v>
      </c>
      <c r="D1396" s="15" t="s">
        <v>3411</v>
      </c>
      <c r="E1396" s="15">
        <v>40.811199999999999</v>
      </c>
      <c r="F1396" s="42">
        <v>46198</v>
      </c>
    </row>
    <row r="1397" spans="1:6" x14ac:dyDescent="0.3">
      <c r="A1397" s="15" t="s">
        <v>45849</v>
      </c>
      <c r="B1397" s="15" t="s">
        <v>3412</v>
      </c>
      <c r="C1397" s="15" t="s">
        <v>800</v>
      </c>
      <c r="D1397" s="15" t="s">
        <v>3413</v>
      </c>
      <c r="E1397" s="15">
        <v>43.69</v>
      </c>
      <c r="F1397" s="42">
        <v>46198</v>
      </c>
    </row>
    <row r="1398" spans="1:6" x14ac:dyDescent="0.3">
      <c r="A1398" s="15" t="s">
        <v>45848</v>
      </c>
      <c r="B1398" s="15" t="s">
        <v>3414</v>
      </c>
      <c r="C1398" s="15" t="s">
        <v>800</v>
      </c>
      <c r="D1398" s="15" t="s">
        <v>3415</v>
      </c>
      <c r="E1398" s="15">
        <v>72.404399999999995</v>
      </c>
      <c r="F1398" s="42">
        <v>46198</v>
      </c>
    </row>
    <row r="1399" spans="1:6" x14ac:dyDescent="0.3">
      <c r="A1399" s="15" t="s">
        <v>45847</v>
      </c>
      <c r="B1399" s="15" t="s">
        <v>3416</v>
      </c>
      <c r="C1399" s="15" t="s">
        <v>3417</v>
      </c>
      <c r="D1399" s="15" t="s">
        <v>3418</v>
      </c>
      <c r="E1399" s="15">
        <v>23.1083</v>
      </c>
      <c r="F1399" s="42">
        <v>46198</v>
      </c>
    </row>
    <row r="1400" spans="1:6" x14ac:dyDescent="0.3">
      <c r="A1400" s="15" t="s">
        <v>45846</v>
      </c>
      <c r="B1400" s="15" t="s">
        <v>3419</v>
      </c>
      <c r="C1400" s="15" t="s">
        <v>3420</v>
      </c>
      <c r="D1400" s="15" t="s">
        <v>3421</v>
      </c>
      <c r="E1400" s="15">
        <v>21.020199999999999</v>
      </c>
      <c r="F1400" s="42">
        <v>46198</v>
      </c>
    </row>
    <row r="1401" spans="1:6" x14ac:dyDescent="0.3">
      <c r="A1401" s="15" t="s">
        <v>45845</v>
      </c>
      <c r="B1401" s="15" t="s">
        <v>3422</v>
      </c>
      <c r="C1401" s="15" t="s">
        <v>3423</v>
      </c>
      <c r="D1401" s="15" t="s">
        <v>3424</v>
      </c>
      <c r="E1401" s="15">
        <v>21.272099999999998</v>
      </c>
      <c r="F1401" s="42">
        <v>46198</v>
      </c>
    </row>
    <row r="1402" spans="1:6" x14ac:dyDescent="0.3">
      <c r="A1402" s="15" t="s">
        <v>45844</v>
      </c>
      <c r="B1402" s="15" t="s">
        <v>3425</v>
      </c>
      <c r="C1402" s="15" t="s">
        <v>3426</v>
      </c>
      <c r="D1402" s="15" t="s">
        <v>3427</v>
      </c>
      <c r="E1402" s="15">
        <v>20.6251</v>
      </c>
      <c r="F1402" s="42">
        <v>46198</v>
      </c>
    </row>
    <row r="1403" spans="1:6" x14ac:dyDescent="0.3">
      <c r="A1403" s="15" t="s">
        <v>45843</v>
      </c>
      <c r="B1403" s="15" t="s">
        <v>3428</v>
      </c>
      <c r="C1403" s="15" t="s">
        <v>800</v>
      </c>
      <c r="D1403" s="15" t="s">
        <v>3429</v>
      </c>
      <c r="E1403" s="15">
        <v>68.039599999999993</v>
      </c>
      <c r="F1403" s="42">
        <v>46198</v>
      </c>
    </row>
    <row r="1404" spans="1:6" x14ac:dyDescent="0.3">
      <c r="A1404" s="15" t="s">
        <v>45842</v>
      </c>
      <c r="B1404" s="15" t="s">
        <v>3430</v>
      </c>
      <c r="C1404" s="15" t="s">
        <v>3431</v>
      </c>
      <c r="D1404" s="15" t="s">
        <v>3432</v>
      </c>
      <c r="E1404" s="15">
        <v>20.922000000000001</v>
      </c>
      <c r="F1404" s="42">
        <v>46198</v>
      </c>
    </row>
    <row r="1405" spans="1:6" x14ac:dyDescent="0.3">
      <c r="A1405" s="15" t="s">
        <v>33499</v>
      </c>
      <c r="B1405" s="15" t="s">
        <v>795</v>
      </c>
      <c r="C1405" s="15" t="s">
        <v>795</v>
      </c>
      <c r="D1405" s="15" t="s">
        <v>795</v>
      </c>
      <c r="F1405" s="42"/>
    </row>
    <row r="1406" spans="1:6" x14ac:dyDescent="0.3">
      <c r="A1406" s="15" t="s">
        <v>33519</v>
      </c>
      <c r="B1406" s="15" t="s">
        <v>795</v>
      </c>
      <c r="C1406" s="15" t="s">
        <v>795</v>
      </c>
      <c r="D1406" s="15" t="s">
        <v>795</v>
      </c>
      <c r="F1406" s="42"/>
    </row>
    <row r="1407" spans="1:6" x14ac:dyDescent="0.3">
      <c r="A1407" s="15" t="s">
        <v>33499</v>
      </c>
      <c r="B1407" s="15" t="s">
        <v>795</v>
      </c>
      <c r="C1407" s="15" t="s">
        <v>795</v>
      </c>
      <c r="D1407" s="15" t="s">
        <v>795</v>
      </c>
      <c r="F1407" s="42"/>
    </row>
    <row r="1408" spans="1:6" x14ac:dyDescent="0.3">
      <c r="A1408" s="15" t="s">
        <v>45841</v>
      </c>
      <c r="B1408" s="15" t="s">
        <v>800</v>
      </c>
      <c r="C1408" s="15" t="s">
        <v>800</v>
      </c>
      <c r="D1408" s="15" t="s">
        <v>3433</v>
      </c>
      <c r="E1408" s="15">
        <v>34.174700000000001</v>
      </c>
      <c r="F1408" s="42">
        <v>45716</v>
      </c>
    </row>
    <row r="1409" spans="1:6" x14ac:dyDescent="0.3">
      <c r="A1409" s="15" t="s">
        <v>45840</v>
      </c>
      <c r="B1409" s="15" t="s">
        <v>800</v>
      </c>
      <c r="C1409" s="15" t="s">
        <v>800</v>
      </c>
      <c r="D1409" s="15" t="s">
        <v>3434</v>
      </c>
      <c r="E1409" s="15">
        <v>34.233400000000003</v>
      </c>
      <c r="F1409" s="42">
        <v>45716</v>
      </c>
    </row>
    <row r="1410" spans="1:6" x14ac:dyDescent="0.3">
      <c r="A1410" s="15" t="s">
        <v>45839</v>
      </c>
      <c r="B1410" s="15" t="s">
        <v>3435</v>
      </c>
      <c r="C1410" s="15" t="s">
        <v>3436</v>
      </c>
      <c r="D1410" s="15" t="s">
        <v>3437</v>
      </c>
      <c r="E1410" s="15">
        <v>25.528600000000001</v>
      </c>
      <c r="F1410" s="42">
        <v>46198</v>
      </c>
    </row>
    <row r="1411" spans="1:6" x14ac:dyDescent="0.3">
      <c r="A1411" s="15" t="s">
        <v>45838</v>
      </c>
      <c r="B1411" s="15" t="s">
        <v>3438</v>
      </c>
      <c r="C1411" s="15" t="s">
        <v>3439</v>
      </c>
      <c r="D1411" s="15" t="s">
        <v>3440</v>
      </c>
      <c r="E1411" s="15">
        <v>22.2087</v>
      </c>
      <c r="F1411" s="42">
        <v>46198</v>
      </c>
    </row>
    <row r="1412" spans="1:6" x14ac:dyDescent="0.3">
      <c r="A1412" s="15" t="s">
        <v>45837</v>
      </c>
      <c r="B1412" s="15" t="s">
        <v>3441</v>
      </c>
      <c r="C1412" s="15" t="s">
        <v>800</v>
      </c>
      <c r="D1412" s="15" t="s">
        <v>3442</v>
      </c>
      <c r="E1412" s="15">
        <v>80.115799999999993</v>
      </c>
      <c r="F1412" s="42">
        <v>46198</v>
      </c>
    </row>
    <row r="1413" spans="1:6" x14ac:dyDescent="0.3">
      <c r="A1413" s="15" t="s">
        <v>45836</v>
      </c>
      <c r="B1413" s="15" t="s">
        <v>3443</v>
      </c>
      <c r="C1413" s="15" t="s">
        <v>800</v>
      </c>
      <c r="D1413" s="15" t="s">
        <v>3444</v>
      </c>
      <c r="E1413" s="15">
        <v>90.660700000000006</v>
      </c>
      <c r="F1413" s="42">
        <v>46198</v>
      </c>
    </row>
    <row r="1414" spans="1:6" x14ac:dyDescent="0.3">
      <c r="A1414" s="15" t="s">
        <v>33499</v>
      </c>
      <c r="B1414" s="15" t="s">
        <v>795</v>
      </c>
      <c r="C1414" s="15" t="s">
        <v>795</v>
      </c>
      <c r="D1414" s="15" t="s">
        <v>795</v>
      </c>
      <c r="F1414" s="42"/>
    </row>
    <row r="1415" spans="1:6" x14ac:dyDescent="0.3">
      <c r="A1415" s="15" t="s">
        <v>33504</v>
      </c>
      <c r="B1415" s="15" t="s">
        <v>795</v>
      </c>
      <c r="C1415" s="15" t="s">
        <v>795</v>
      </c>
      <c r="D1415" s="15" t="s">
        <v>795</v>
      </c>
      <c r="F1415" s="42"/>
    </row>
    <row r="1416" spans="1:6" x14ac:dyDescent="0.3">
      <c r="A1416" s="15" t="s">
        <v>33499</v>
      </c>
      <c r="B1416" s="15" t="s">
        <v>795</v>
      </c>
      <c r="C1416" s="15" t="s">
        <v>795</v>
      </c>
      <c r="D1416" s="15" t="s">
        <v>795</v>
      </c>
      <c r="F1416" s="42"/>
    </row>
    <row r="1417" spans="1:6" x14ac:dyDescent="0.3">
      <c r="A1417" s="15" t="s">
        <v>45835</v>
      </c>
      <c r="B1417" s="15" t="s">
        <v>3445</v>
      </c>
      <c r="C1417" s="15" t="s">
        <v>3446</v>
      </c>
      <c r="D1417" s="15" t="s">
        <v>3447</v>
      </c>
      <c r="E1417" s="15">
        <v>12.5665</v>
      </c>
      <c r="F1417" s="42">
        <v>46198</v>
      </c>
    </row>
    <row r="1418" spans="1:6" x14ac:dyDescent="0.3">
      <c r="A1418" s="15" t="s">
        <v>45834</v>
      </c>
      <c r="B1418" s="15" t="s">
        <v>3448</v>
      </c>
      <c r="C1418" s="15" t="s">
        <v>800</v>
      </c>
      <c r="D1418" s="15" t="s">
        <v>3449</v>
      </c>
      <c r="E1418" s="15">
        <v>12.5665</v>
      </c>
      <c r="F1418" s="42">
        <v>46198</v>
      </c>
    </row>
    <row r="1419" spans="1:6" x14ac:dyDescent="0.3">
      <c r="A1419" s="15" t="s">
        <v>45833</v>
      </c>
      <c r="B1419" s="15" t="s">
        <v>3450</v>
      </c>
      <c r="C1419" s="15" t="s">
        <v>3451</v>
      </c>
      <c r="D1419" s="15" t="s">
        <v>3452</v>
      </c>
      <c r="E1419" s="15">
        <v>12.5665</v>
      </c>
      <c r="F1419" s="42">
        <v>46198</v>
      </c>
    </row>
    <row r="1420" spans="1:6" x14ac:dyDescent="0.3">
      <c r="A1420" s="15" t="s">
        <v>45832</v>
      </c>
      <c r="B1420" s="15" t="s">
        <v>3453</v>
      </c>
      <c r="C1420" s="15" t="s">
        <v>3454</v>
      </c>
      <c r="D1420" s="15" t="s">
        <v>3455</v>
      </c>
      <c r="E1420" s="15">
        <v>12.330500000000001</v>
      </c>
      <c r="F1420" s="42">
        <v>46198</v>
      </c>
    </row>
    <row r="1421" spans="1:6" x14ac:dyDescent="0.3">
      <c r="A1421" s="15" t="s">
        <v>45831</v>
      </c>
      <c r="B1421" s="15" t="s">
        <v>3456</v>
      </c>
      <c r="C1421" s="15" t="s">
        <v>800</v>
      </c>
      <c r="D1421" s="15" t="s">
        <v>3457</v>
      </c>
      <c r="E1421" s="15">
        <v>12.330500000000001</v>
      </c>
      <c r="F1421" s="42">
        <v>46198</v>
      </c>
    </row>
    <row r="1422" spans="1:6" x14ac:dyDescent="0.3">
      <c r="A1422" s="15" t="s">
        <v>45830</v>
      </c>
      <c r="B1422" s="15" t="s">
        <v>3458</v>
      </c>
      <c r="C1422" s="15" t="s">
        <v>3459</v>
      </c>
      <c r="D1422" s="15" t="s">
        <v>3460</v>
      </c>
      <c r="E1422" s="15">
        <v>12.330500000000001</v>
      </c>
      <c r="F1422" s="42">
        <v>46198</v>
      </c>
    </row>
    <row r="1423" spans="1:6" x14ac:dyDescent="0.3">
      <c r="A1423" s="15" t="s">
        <v>33499</v>
      </c>
      <c r="B1423" s="15" t="s">
        <v>795</v>
      </c>
      <c r="C1423" s="15" t="s">
        <v>795</v>
      </c>
      <c r="D1423" s="15" t="s">
        <v>795</v>
      </c>
      <c r="F1423" s="42"/>
    </row>
    <row r="1424" spans="1:6" x14ac:dyDescent="0.3">
      <c r="A1424" s="15" t="s">
        <v>33500</v>
      </c>
      <c r="B1424" s="15" t="s">
        <v>795</v>
      </c>
      <c r="C1424" s="15" t="s">
        <v>795</v>
      </c>
      <c r="D1424" s="15" t="s">
        <v>795</v>
      </c>
      <c r="F1424" s="42"/>
    </row>
    <row r="1425" spans="1:6" x14ac:dyDescent="0.3">
      <c r="A1425" s="15" t="s">
        <v>33499</v>
      </c>
      <c r="B1425" s="15" t="s">
        <v>795</v>
      </c>
      <c r="C1425" s="15" t="s">
        <v>795</v>
      </c>
      <c r="D1425" s="15" t="s">
        <v>795</v>
      </c>
      <c r="F1425" s="42"/>
    </row>
    <row r="1426" spans="1:6" x14ac:dyDescent="0.3">
      <c r="A1426" s="15" t="s">
        <v>45829</v>
      </c>
      <c r="B1426" s="15" t="s">
        <v>3461</v>
      </c>
      <c r="C1426" s="15" t="s">
        <v>800</v>
      </c>
      <c r="D1426" s="15" t="s">
        <v>3462</v>
      </c>
      <c r="E1426" s="15">
        <v>68.139700000000005</v>
      </c>
      <c r="F1426" s="42">
        <v>46198</v>
      </c>
    </row>
    <row r="1427" spans="1:6" x14ac:dyDescent="0.3">
      <c r="A1427" s="15" t="s">
        <v>45828</v>
      </c>
      <c r="B1427" s="15" t="s">
        <v>3463</v>
      </c>
      <c r="C1427" s="15" t="s">
        <v>800</v>
      </c>
      <c r="D1427" s="15" t="s">
        <v>3464</v>
      </c>
      <c r="E1427" s="15">
        <v>48.771900000000002</v>
      </c>
      <c r="F1427" s="42">
        <v>46198</v>
      </c>
    </row>
    <row r="1428" spans="1:6" x14ac:dyDescent="0.3">
      <c r="A1428" s="15" t="s">
        <v>45827</v>
      </c>
      <c r="B1428" s="15" t="s">
        <v>3465</v>
      </c>
      <c r="C1428" s="15" t="s">
        <v>800</v>
      </c>
      <c r="D1428" s="15" t="s">
        <v>3466</v>
      </c>
      <c r="E1428" s="15">
        <v>48.798999999999999</v>
      </c>
      <c r="F1428" s="42">
        <v>46198</v>
      </c>
    </row>
    <row r="1429" spans="1:6" x14ac:dyDescent="0.3">
      <c r="A1429" s="15" t="s">
        <v>45826</v>
      </c>
      <c r="B1429" s="15" t="s">
        <v>3467</v>
      </c>
      <c r="C1429" s="15" t="s">
        <v>800</v>
      </c>
      <c r="D1429" s="15" t="s">
        <v>3468</v>
      </c>
      <c r="E1429" s="15">
        <v>65.594800000000006</v>
      </c>
      <c r="F1429" s="42">
        <v>46198</v>
      </c>
    </row>
    <row r="1430" spans="1:6" x14ac:dyDescent="0.3">
      <c r="A1430" s="15" t="s">
        <v>45825</v>
      </c>
      <c r="B1430" s="15" t="s">
        <v>3469</v>
      </c>
      <c r="C1430" s="15" t="s">
        <v>3470</v>
      </c>
      <c r="D1430" s="15" t="s">
        <v>3471</v>
      </c>
      <c r="E1430" s="15">
        <v>26.844200000000001</v>
      </c>
      <c r="F1430" s="42">
        <v>46198</v>
      </c>
    </row>
    <row r="1431" spans="1:6" x14ac:dyDescent="0.3">
      <c r="A1431" s="15" t="s">
        <v>45824</v>
      </c>
      <c r="B1431" s="15" t="s">
        <v>3472</v>
      </c>
      <c r="C1431" s="15" t="s">
        <v>3473</v>
      </c>
      <c r="D1431" s="15" t="s">
        <v>3474</v>
      </c>
      <c r="E1431" s="15">
        <v>31.534099999999999</v>
      </c>
      <c r="F1431" s="42">
        <v>46198</v>
      </c>
    </row>
    <row r="1432" spans="1:6" x14ac:dyDescent="0.3">
      <c r="A1432" s="15" t="s">
        <v>45823</v>
      </c>
      <c r="B1432" s="15" t="s">
        <v>3475</v>
      </c>
      <c r="C1432" s="15" t="s">
        <v>3476</v>
      </c>
      <c r="D1432" s="15" t="s">
        <v>3477</v>
      </c>
      <c r="E1432" s="15">
        <v>39.323900000000002</v>
      </c>
      <c r="F1432" s="42">
        <v>46198</v>
      </c>
    </row>
    <row r="1433" spans="1:6" x14ac:dyDescent="0.3">
      <c r="A1433" s="15" t="s">
        <v>33499</v>
      </c>
      <c r="B1433" s="15" t="s">
        <v>795</v>
      </c>
      <c r="C1433" s="15" t="s">
        <v>795</v>
      </c>
      <c r="D1433" s="15" t="s">
        <v>795</v>
      </c>
      <c r="F1433" s="42"/>
    </row>
    <row r="1434" spans="1:6" x14ac:dyDescent="0.3">
      <c r="A1434" s="15" t="s">
        <v>45822</v>
      </c>
      <c r="B1434" s="15" t="s">
        <v>795</v>
      </c>
      <c r="C1434" s="15" t="s">
        <v>795</v>
      </c>
      <c r="D1434" s="15" t="s">
        <v>795</v>
      </c>
      <c r="F1434" s="42"/>
    </row>
    <row r="1435" spans="1:6" x14ac:dyDescent="0.3">
      <c r="A1435" s="15" t="s">
        <v>33499</v>
      </c>
      <c r="B1435" s="15" t="s">
        <v>795</v>
      </c>
      <c r="C1435" s="15" t="s">
        <v>795</v>
      </c>
      <c r="D1435" s="15" t="s">
        <v>795</v>
      </c>
      <c r="F1435" s="42"/>
    </row>
    <row r="1436" spans="1:6" x14ac:dyDescent="0.3">
      <c r="A1436" s="15" t="s">
        <v>37073</v>
      </c>
      <c r="B1436" s="15" t="s">
        <v>795</v>
      </c>
      <c r="C1436" s="15" t="s">
        <v>795</v>
      </c>
      <c r="D1436" s="15" t="s">
        <v>795</v>
      </c>
      <c r="F1436" s="42"/>
    </row>
    <row r="1437" spans="1:6" x14ac:dyDescent="0.3">
      <c r="A1437" s="15" t="s">
        <v>33499</v>
      </c>
      <c r="B1437" s="15" t="s">
        <v>795</v>
      </c>
      <c r="C1437" s="15" t="s">
        <v>795</v>
      </c>
      <c r="D1437" s="15" t="s">
        <v>795</v>
      </c>
      <c r="F1437" s="42"/>
    </row>
    <row r="1438" spans="1:6" x14ac:dyDescent="0.3">
      <c r="A1438" s="15" t="s">
        <v>45821</v>
      </c>
      <c r="B1438" s="15" t="s">
        <v>3478</v>
      </c>
      <c r="C1438" s="15" t="s">
        <v>800</v>
      </c>
      <c r="D1438" s="15" t="s">
        <v>3479</v>
      </c>
      <c r="E1438" s="15">
        <v>49.1235</v>
      </c>
      <c r="F1438" s="42">
        <v>46198</v>
      </c>
    </row>
    <row r="1439" spans="1:6" x14ac:dyDescent="0.3">
      <c r="A1439" s="15" t="s">
        <v>45820</v>
      </c>
      <c r="B1439" s="15" t="s">
        <v>3480</v>
      </c>
      <c r="C1439" s="15" t="s">
        <v>3481</v>
      </c>
      <c r="D1439" s="15" t="s">
        <v>3482</v>
      </c>
      <c r="E1439" s="15">
        <v>10.6761</v>
      </c>
      <c r="F1439" s="42">
        <v>46198</v>
      </c>
    </row>
    <row r="1440" spans="1:6" x14ac:dyDescent="0.3">
      <c r="A1440" s="15" t="s">
        <v>45819</v>
      </c>
      <c r="B1440" s="15" t="s">
        <v>3483</v>
      </c>
      <c r="C1440" s="15" t="s">
        <v>3484</v>
      </c>
      <c r="D1440" s="15" t="s">
        <v>3485</v>
      </c>
      <c r="E1440" s="15">
        <v>14.632899999999999</v>
      </c>
      <c r="F1440" s="42">
        <v>46198</v>
      </c>
    </row>
    <row r="1441" spans="1:6" x14ac:dyDescent="0.3">
      <c r="A1441" s="15" t="s">
        <v>45818</v>
      </c>
      <c r="B1441" s="15" t="s">
        <v>3486</v>
      </c>
      <c r="C1441" s="15" t="s">
        <v>3487</v>
      </c>
      <c r="D1441" s="15" t="s">
        <v>3488</v>
      </c>
      <c r="E1441" s="15">
        <v>12.0671</v>
      </c>
      <c r="F1441" s="42">
        <v>46198</v>
      </c>
    </row>
    <row r="1442" spans="1:6" x14ac:dyDescent="0.3">
      <c r="A1442" s="15" t="s">
        <v>45817</v>
      </c>
      <c r="B1442" s="15" t="s">
        <v>800</v>
      </c>
      <c r="C1442" s="15" t="s">
        <v>3489</v>
      </c>
      <c r="D1442" s="15" t="s">
        <v>3490</v>
      </c>
      <c r="E1442" s="15">
        <v>18.113800000000001</v>
      </c>
      <c r="F1442" s="42">
        <v>46198</v>
      </c>
    </row>
    <row r="1443" spans="1:6" x14ac:dyDescent="0.3">
      <c r="A1443" s="15" t="s">
        <v>45816</v>
      </c>
      <c r="B1443" s="15" t="s">
        <v>3491</v>
      </c>
      <c r="C1443" s="15" t="s">
        <v>3492</v>
      </c>
      <c r="D1443" s="15" t="s">
        <v>3493</v>
      </c>
      <c r="E1443" s="15">
        <v>10.628399999999999</v>
      </c>
      <c r="F1443" s="42">
        <v>46198</v>
      </c>
    </row>
    <row r="1444" spans="1:6" x14ac:dyDescent="0.3">
      <c r="A1444" s="15" t="s">
        <v>45815</v>
      </c>
      <c r="B1444" s="15" t="s">
        <v>3494</v>
      </c>
      <c r="C1444" s="15" t="s">
        <v>3495</v>
      </c>
      <c r="D1444" s="15" t="s">
        <v>3496</v>
      </c>
      <c r="E1444" s="15">
        <v>17.258600000000001</v>
      </c>
      <c r="F1444" s="42">
        <v>46198</v>
      </c>
    </row>
    <row r="1445" spans="1:6" x14ac:dyDescent="0.3">
      <c r="A1445" s="15" t="s">
        <v>45814</v>
      </c>
      <c r="B1445" s="15" t="s">
        <v>3497</v>
      </c>
      <c r="C1445" s="15" t="s">
        <v>800</v>
      </c>
      <c r="D1445" s="15" t="s">
        <v>3498</v>
      </c>
      <c r="E1445" s="15">
        <v>48.211799999999997</v>
      </c>
      <c r="F1445" s="42">
        <v>46198</v>
      </c>
    </row>
    <row r="1446" spans="1:6" x14ac:dyDescent="0.3">
      <c r="A1446" s="15" t="s">
        <v>45813</v>
      </c>
      <c r="B1446" s="15" t="s">
        <v>3499</v>
      </c>
      <c r="C1446" s="15" t="s">
        <v>3500</v>
      </c>
      <c r="D1446" s="15" t="s">
        <v>3501</v>
      </c>
      <c r="E1446" s="15">
        <v>10.410299999999999</v>
      </c>
      <c r="F1446" s="42">
        <v>46198</v>
      </c>
    </row>
    <row r="1447" spans="1:6" x14ac:dyDescent="0.3">
      <c r="A1447" s="15" t="s">
        <v>45812</v>
      </c>
      <c r="B1447" s="15" t="s">
        <v>3502</v>
      </c>
      <c r="C1447" s="15" t="s">
        <v>3503</v>
      </c>
      <c r="D1447" s="15" t="s">
        <v>3504</v>
      </c>
      <c r="E1447" s="15">
        <v>11.757300000000001</v>
      </c>
      <c r="F1447" s="42">
        <v>46198</v>
      </c>
    </row>
    <row r="1448" spans="1:6" x14ac:dyDescent="0.3">
      <c r="A1448" s="15" t="s">
        <v>33499</v>
      </c>
      <c r="B1448" s="15" t="s">
        <v>795</v>
      </c>
      <c r="C1448" s="15" t="s">
        <v>795</v>
      </c>
      <c r="D1448" s="15" t="s">
        <v>795</v>
      </c>
      <c r="F1448" s="42"/>
    </row>
    <row r="1449" spans="1:6" x14ac:dyDescent="0.3">
      <c r="A1449" s="15" t="s">
        <v>37061</v>
      </c>
      <c r="B1449" s="15" t="s">
        <v>795</v>
      </c>
      <c r="C1449" s="15" t="s">
        <v>795</v>
      </c>
      <c r="D1449" s="15" t="s">
        <v>795</v>
      </c>
      <c r="F1449" s="42"/>
    </row>
    <row r="1450" spans="1:6" x14ac:dyDescent="0.3">
      <c r="A1450" s="15" t="s">
        <v>33499</v>
      </c>
      <c r="B1450" s="15" t="s">
        <v>795</v>
      </c>
      <c r="C1450" s="15" t="s">
        <v>795</v>
      </c>
      <c r="D1450" s="15" t="s">
        <v>795</v>
      </c>
      <c r="F1450" s="42"/>
    </row>
    <row r="1451" spans="1:6" x14ac:dyDescent="0.3">
      <c r="A1451" s="15" t="s">
        <v>45811</v>
      </c>
      <c r="B1451" s="15" t="s">
        <v>3505</v>
      </c>
      <c r="C1451" s="15" t="s">
        <v>800</v>
      </c>
      <c r="D1451" s="15" t="s">
        <v>3506</v>
      </c>
      <c r="E1451" s="15">
        <v>23.040600000000001</v>
      </c>
      <c r="F1451" s="42">
        <v>46198</v>
      </c>
    </row>
    <row r="1452" spans="1:6" x14ac:dyDescent="0.3">
      <c r="A1452" s="15" t="s">
        <v>45810</v>
      </c>
      <c r="B1452" s="15" t="s">
        <v>3507</v>
      </c>
      <c r="C1452" s="15" t="s">
        <v>3508</v>
      </c>
      <c r="D1452" s="15" t="s">
        <v>3509</v>
      </c>
      <c r="E1452" s="15">
        <v>10.8017</v>
      </c>
      <c r="F1452" s="42">
        <v>46198</v>
      </c>
    </row>
    <row r="1453" spans="1:6" x14ac:dyDescent="0.3">
      <c r="A1453" s="15" t="s">
        <v>45809</v>
      </c>
      <c r="B1453" s="15" t="s">
        <v>3510</v>
      </c>
      <c r="C1453" s="15" t="s">
        <v>3511</v>
      </c>
      <c r="D1453" s="15" t="s">
        <v>3512</v>
      </c>
      <c r="E1453" s="15">
        <v>10.6995</v>
      </c>
      <c r="F1453" s="42">
        <v>46198</v>
      </c>
    </row>
    <row r="1454" spans="1:6" x14ac:dyDescent="0.3">
      <c r="A1454" s="15" t="s">
        <v>45808</v>
      </c>
      <c r="B1454" s="15" t="s">
        <v>3513</v>
      </c>
      <c r="C1454" s="15" t="s">
        <v>3514</v>
      </c>
      <c r="D1454" s="15" t="s">
        <v>3515</v>
      </c>
      <c r="E1454" s="15">
        <v>11.045199999999999</v>
      </c>
      <c r="F1454" s="42">
        <v>46198</v>
      </c>
    </row>
    <row r="1455" spans="1:6" x14ac:dyDescent="0.3">
      <c r="A1455" s="15" t="s">
        <v>45807</v>
      </c>
      <c r="B1455" s="15" t="s">
        <v>3516</v>
      </c>
      <c r="C1455" s="15" t="s">
        <v>800</v>
      </c>
      <c r="D1455" s="15" t="s">
        <v>3517</v>
      </c>
      <c r="E1455" s="15">
        <v>22.4436</v>
      </c>
      <c r="F1455" s="42">
        <v>46198</v>
      </c>
    </row>
    <row r="1456" spans="1:6" x14ac:dyDescent="0.3">
      <c r="A1456" s="15" t="s">
        <v>45806</v>
      </c>
      <c r="B1456" s="15" t="s">
        <v>3518</v>
      </c>
      <c r="C1456" s="15" t="s">
        <v>3519</v>
      </c>
      <c r="D1456" s="15" t="s">
        <v>3520</v>
      </c>
      <c r="E1456" s="15">
        <v>10.595800000000001</v>
      </c>
      <c r="F1456" s="42">
        <v>46198</v>
      </c>
    </row>
    <row r="1457" spans="1:6" x14ac:dyDescent="0.3">
      <c r="A1457" s="15" t="s">
        <v>45805</v>
      </c>
      <c r="B1457" s="15" t="s">
        <v>3521</v>
      </c>
      <c r="C1457" s="15" t="s">
        <v>3522</v>
      </c>
      <c r="D1457" s="15" t="s">
        <v>3523</v>
      </c>
      <c r="E1457" s="15">
        <v>10.8482</v>
      </c>
      <c r="F1457" s="42">
        <v>46198</v>
      </c>
    </row>
    <row r="1458" spans="1:6" x14ac:dyDescent="0.3">
      <c r="A1458" s="15" t="s">
        <v>45804</v>
      </c>
      <c r="B1458" s="15" t="s">
        <v>3524</v>
      </c>
      <c r="C1458" s="15" t="s">
        <v>3525</v>
      </c>
      <c r="D1458" s="15" t="s">
        <v>3526</v>
      </c>
      <c r="E1458" s="15">
        <v>11.095000000000001</v>
      </c>
      <c r="F1458" s="42">
        <v>46198</v>
      </c>
    </row>
    <row r="1459" spans="1:6" x14ac:dyDescent="0.3">
      <c r="A1459" s="15" t="s">
        <v>33499</v>
      </c>
      <c r="B1459" s="15" t="s">
        <v>795</v>
      </c>
      <c r="C1459" s="15" t="s">
        <v>795</v>
      </c>
      <c r="D1459" s="15" t="s">
        <v>795</v>
      </c>
      <c r="F1459" s="42"/>
    </row>
    <row r="1460" spans="1:6" x14ac:dyDescent="0.3">
      <c r="A1460" s="15" t="s">
        <v>36764</v>
      </c>
      <c r="B1460" s="15" t="s">
        <v>795</v>
      </c>
      <c r="C1460" s="15" t="s">
        <v>795</v>
      </c>
      <c r="D1460" s="15" t="s">
        <v>795</v>
      </c>
      <c r="F1460" s="42"/>
    </row>
    <row r="1461" spans="1:6" x14ac:dyDescent="0.3">
      <c r="A1461" s="15" t="s">
        <v>33499</v>
      </c>
      <c r="B1461" s="15" t="s">
        <v>795</v>
      </c>
      <c r="C1461" s="15" t="s">
        <v>795</v>
      </c>
      <c r="D1461" s="15" t="s">
        <v>795</v>
      </c>
      <c r="F1461" s="42"/>
    </row>
    <row r="1462" spans="1:6" x14ac:dyDescent="0.3">
      <c r="A1462" s="15" t="s">
        <v>45803</v>
      </c>
      <c r="B1462" s="15" t="s">
        <v>3527</v>
      </c>
      <c r="C1462" s="15" t="s">
        <v>3528</v>
      </c>
      <c r="D1462" s="15" t="s">
        <v>3529</v>
      </c>
      <c r="E1462" s="15">
        <v>10.488899999999999</v>
      </c>
      <c r="F1462" s="42">
        <v>44820</v>
      </c>
    </row>
    <row r="1463" spans="1:6" x14ac:dyDescent="0.3">
      <c r="A1463" s="15" t="s">
        <v>45802</v>
      </c>
      <c r="B1463" s="15" t="s">
        <v>3530</v>
      </c>
      <c r="C1463" s="15" t="s">
        <v>3531</v>
      </c>
      <c r="D1463" s="15" t="s">
        <v>3532</v>
      </c>
      <c r="E1463" s="15">
        <v>10.6928</v>
      </c>
      <c r="F1463" s="42">
        <v>44820</v>
      </c>
    </row>
    <row r="1464" spans="1:6" x14ac:dyDescent="0.3">
      <c r="A1464" s="15" t="s">
        <v>45801</v>
      </c>
      <c r="B1464" s="15" t="s">
        <v>3533</v>
      </c>
      <c r="C1464" s="15" t="s">
        <v>800</v>
      </c>
      <c r="D1464" s="15" t="s">
        <v>3534</v>
      </c>
      <c r="E1464" s="15">
        <v>26.541699999999999</v>
      </c>
      <c r="F1464" s="42">
        <v>46198</v>
      </c>
    </row>
    <row r="1465" spans="1:6" x14ac:dyDescent="0.3">
      <c r="A1465" s="15" t="s">
        <v>45800</v>
      </c>
      <c r="B1465" s="15" t="s">
        <v>3535</v>
      </c>
      <c r="C1465" s="15" t="s">
        <v>3536</v>
      </c>
      <c r="D1465" s="15" t="s">
        <v>3537</v>
      </c>
      <c r="E1465" s="15">
        <v>10.679</v>
      </c>
      <c r="F1465" s="42">
        <v>44820</v>
      </c>
    </row>
    <row r="1466" spans="1:6" x14ac:dyDescent="0.3">
      <c r="A1466" s="15" t="s">
        <v>45799</v>
      </c>
      <c r="B1466" s="15" t="s">
        <v>3538</v>
      </c>
      <c r="C1466" s="15" t="s">
        <v>3539</v>
      </c>
      <c r="D1466" s="15" t="s">
        <v>3540</v>
      </c>
      <c r="E1466" s="15">
        <v>11.387</v>
      </c>
      <c r="F1466" s="42">
        <v>44820</v>
      </c>
    </row>
    <row r="1467" spans="1:6" x14ac:dyDescent="0.3">
      <c r="A1467" s="15" t="s">
        <v>45798</v>
      </c>
      <c r="B1467" s="15" t="s">
        <v>3541</v>
      </c>
      <c r="C1467" s="15" t="s">
        <v>3542</v>
      </c>
      <c r="D1467" s="15" t="s">
        <v>3543</v>
      </c>
      <c r="E1467" s="15">
        <v>11.815799999999999</v>
      </c>
      <c r="F1467" s="42">
        <v>46198</v>
      </c>
    </row>
    <row r="1468" spans="1:6" x14ac:dyDescent="0.3">
      <c r="A1468" s="15" t="s">
        <v>45797</v>
      </c>
      <c r="B1468" s="15" t="s">
        <v>3544</v>
      </c>
      <c r="C1468" s="15" t="s">
        <v>800</v>
      </c>
      <c r="D1468" s="15" t="s">
        <v>3545</v>
      </c>
      <c r="E1468" s="15">
        <v>25.9267</v>
      </c>
      <c r="F1468" s="42">
        <v>46198</v>
      </c>
    </row>
    <row r="1469" spans="1:6" x14ac:dyDescent="0.3">
      <c r="A1469" s="15" t="s">
        <v>45796</v>
      </c>
      <c r="B1469" s="15" t="s">
        <v>3546</v>
      </c>
      <c r="C1469" s="15" t="s">
        <v>3547</v>
      </c>
      <c r="D1469" s="15" t="s">
        <v>3548</v>
      </c>
      <c r="E1469" s="15">
        <v>10.381600000000001</v>
      </c>
      <c r="F1469" s="42">
        <v>44820</v>
      </c>
    </row>
    <row r="1470" spans="1:6" x14ac:dyDescent="0.3">
      <c r="A1470" s="15" t="s">
        <v>45795</v>
      </c>
      <c r="B1470" s="15" t="s">
        <v>3549</v>
      </c>
      <c r="C1470" s="15" t="s">
        <v>3550</v>
      </c>
      <c r="D1470" s="15" t="s">
        <v>3551</v>
      </c>
      <c r="E1470" s="15">
        <v>11.1867</v>
      </c>
      <c r="F1470" s="42">
        <v>44820</v>
      </c>
    </row>
    <row r="1471" spans="1:6" x14ac:dyDescent="0.3">
      <c r="A1471" s="15" t="s">
        <v>45794</v>
      </c>
      <c r="B1471" s="15" t="s">
        <v>3552</v>
      </c>
      <c r="C1471" s="15" t="s">
        <v>3553</v>
      </c>
      <c r="D1471" s="15" t="s">
        <v>3554</v>
      </c>
      <c r="E1471" s="15">
        <v>11.547800000000001</v>
      </c>
      <c r="F1471" s="42">
        <v>46198</v>
      </c>
    </row>
    <row r="1472" spans="1:6" x14ac:dyDescent="0.3">
      <c r="A1472" s="15" t="s">
        <v>33499</v>
      </c>
      <c r="B1472" s="15" t="s">
        <v>795</v>
      </c>
      <c r="C1472" s="15" t="s">
        <v>795</v>
      </c>
      <c r="D1472" s="15" t="s">
        <v>795</v>
      </c>
      <c r="F1472" s="42"/>
    </row>
    <row r="1473" spans="1:6" x14ac:dyDescent="0.3">
      <c r="A1473" s="15" t="s">
        <v>33636</v>
      </c>
      <c r="B1473" s="15" t="s">
        <v>795</v>
      </c>
      <c r="C1473" s="15" t="s">
        <v>795</v>
      </c>
      <c r="D1473" s="15" t="s">
        <v>795</v>
      </c>
      <c r="F1473" s="42"/>
    </row>
    <row r="1474" spans="1:6" x14ac:dyDescent="0.3">
      <c r="A1474" s="15" t="s">
        <v>33499</v>
      </c>
      <c r="B1474" s="15" t="s">
        <v>795</v>
      </c>
      <c r="C1474" s="15" t="s">
        <v>795</v>
      </c>
      <c r="D1474" s="15" t="s">
        <v>795</v>
      </c>
      <c r="F1474" s="42"/>
    </row>
    <row r="1475" spans="1:6" x14ac:dyDescent="0.3">
      <c r="A1475" s="15" t="s">
        <v>45793</v>
      </c>
      <c r="B1475" s="15" t="s">
        <v>3555</v>
      </c>
      <c r="C1475" s="15" t="s">
        <v>800</v>
      </c>
      <c r="D1475" s="15" t="s">
        <v>3556</v>
      </c>
      <c r="E1475" s="15">
        <v>69.175600000000003</v>
      </c>
      <c r="F1475" s="42">
        <v>46198</v>
      </c>
    </row>
    <row r="1476" spans="1:6" x14ac:dyDescent="0.3">
      <c r="A1476" s="15" t="s">
        <v>45792</v>
      </c>
      <c r="B1476" s="15" t="s">
        <v>3557</v>
      </c>
      <c r="C1476" s="15" t="s">
        <v>3558</v>
      </c>
      <c r="D1476" s="15" t="s">
        <v>3559</v>
      </c>
      <c r="E1476" s="15">
        <v>22.501799999999999</v>
      </c>
      <c r="F1476" s="42">
        <v>46198</v>
      </c>
    </row>
    <row r="1477" spans="1:6" x14ac:dyDescent="0.3">
      <c r="A1477" s="15" t="s">
        <v>45791</v>
      </c>
      <c r="B1477" s="15" t="s">
        <v>3560</v>
      </c>
      <c r="C1477" s="15" t="s">
        <v>800</v>
      </c>
      <c r="D1477" s="15" t="s">
        <v>3561</v>
      </c>
      <c r="E1477" s="15">
        <v>66.324299999999994</v>
      </c>
      <c r="F1477" s="42">
        <v>46198</v>
      </c>
    </row>
    <row r="1478" spans="1:6" x14ac:dyDescent="0.3">
      <c r="A1478" s="15" t="s">
        <v>45790</v>
      </c>
      <c r="B1478" s="15" t="s">
        <v>3562</v>
      </c>
      <c r="C1478" s="15" t="s">
        <v>3563</v>
      </c>
      <c r="D1478" s="15" t="s">
        <v>3564</v>
      </c>
      <c r="E1478" s="15">
        <v>21.570900000000002</v>
      </c>
      <c r="F1478" s="42">
        <v>46198</v>
      </c>
    </row>
    <row r="1479" spans="1:6" x14ac:dyDescent="0.3">
      <c r="A1479" s="15" t="s">
        <v>33499</v>
      </c>
      <c r="B1479" s="15" t="s">
        <v>795</v>
      </c>
      <c r="C1479" s="15" t="s">
        <v>795</v>
      </c>
      <c r="D1479" s="15" t="s">
        <v>795</v>
      </c>
      <c r="F1479" s="42"/>
    </row>
    <row r="1480" spans="1:6" x14ac:dyDescent="0.3">
      <c r="A1480" s="15" t="s">
        <v>33500</v>
      </c>
      <c r="B1480" s="15" t="s">
        <v>795</v>
      </c>
      <c r="C1480" s="15" t="s">
        <v>795</v>
      </c>
      <c r="D1480" s="15" t="s">
        <v>795</v>
      </c>
      <c r="F1480" s="42"/>
    </row>
    <row r="1481" spans="1:6" x14ac:dyDescent="0.3">
      <c r="A1481" s="15" t="s">
        <v>33499</v>
      </c>
      <c r="B1481" s="15" t="s">
        <v>795</v>
      </c>
      <c r="C1481" s="15" t="s">
        <v>795</v>
      </c>
      <c r="D1481" s="15" t="s">
        <v>795</v>
      </c>
      <c r="F1481" s="42"/>
    </row>
    <row r="1482" spans="1:6" x14ac:dyDescent="0.3">
      <c r="A1482" s="15" t="s">
        <v>45789</v>
      </c>
      <c r="B1482" s="15" t="s">
        <v>3565</v>
      </c>
      <c r="C1482" s="15" t="s">
        <v>3566</v>
      </c>
      <c r="D1482" s="15" t="s">
        <v>3567</v>
      </c>
      <c r="E1482" s="15">
        <v>11.6282</v>
      </c>
      <c r="F1482" s="42">
        <v>46198</v>
      </c>
    </row>
    <row r="1483" spans="1:6" x14ac:dyDescent="0.3">
      <c r="A1483" s="15" t="s">
        <v>45788</v>
      </c>
      <c r="B1483" s="15" t="s">
        <v>3568</v>
      </c>
      <c r="C1483" s="15" t="s">
        <v>3569</v>
      </c>
      <c r="D1483" s="15" t="s">
        <v>3570</v>
      </c>
      <c r="E1483" s="15">
        <v>13.337999999999999</v>
      </c>
      <c r="F1483" s="42">
        <v>46198</v>
      </c>
    </row>
    <row r="1484" spans="1:6" x14ac:dyDescent="0.3">
      <c r="A1484" s="15" t="s">
        <v>45787</v>
      </c>
      <c r="B1484" s="15" t="s">
        <v>3571</v>
      </c>
      <c r="C1484" s="15" t="s">
        <v>800</v>
      </c>
      <c r="D1484" s="15" t="s">
        <v>3572</v>
      </c>
      <c r="E1484" s="15">
        <v>13.337899999999999</v>
      </c>
      <c r="F1484" s="42">
        <v>46198</v>
      </c>
    </row>
    <row r="1485" spans="1:6" x14ac:dyDescent="0.3">
      <c r="A1485" s="15" t="s">
        <v>45786</v>
      </c>
      <c r="B1485" s="15" t="s">
        <v>3573</v>
      </c>
      <c r="C1485" s="15" t="s">
        <v>3574</v>
      </c>
      <c r="D1485" s="15" t="s">
        <v>3575</v>
      </c>
      <c r="E1485" s="15">
        <v>13.206300000000001</v>
      </c>
      <c r="F1485" s="42">
        <v>46198</v>
      </c>
    </row>
    <row r="1486" spans="1:6" x14ac:dyDescent="0.3">
      <c r="A1486" s="15" t="s">
        <v>45785</v>
      </c>
      <c r="B1486" s="15" t="s">
        <v>3576</v>
      </c>
      <c r="C1486" s="15" t="s">
        <v>3577</v>
      </c>
      <c r="D1486" s="15" t="s">
        <v>3578</v>
      </c>
      <c r="E1486" s="15">
        <v>13.338100000000001</v>
      </c>
      <c r="F1486" s="42">
        <v>46198</v>
      </c>
    </row>
    <row r="1487" spans="1:6" x14ac:dyDescent="0.3">
      <c r="A1487" s="15" t="s">
        <v>45784</v>
      </c>
      <c r="B1487" s="15" t="s">
        <v>3579</v>
      </c>
      <c r="C1487" s="15" t="s">
        <v>3580</v>
      </c>
      <c r="D1487" s="15" t="s">
        <v>3581</v>
      </c>
      <c r="E1487" s="15">
        <v>11.393800000000001</v>
      </c>
      <c r="F1487" s="42">
        <v>46198</v>
      </c>
    </row>
    <row r="1488" spans="1:6" x14ac:dyDescent="0.3">
      <c r="A1488" s="15" t="s">
        <v>45783</v>
      </c>
      <c r="B1488" s="15" t="s">
        <v>3582</v>
      </c>
      <c r="C1488" s="15" t="s">
        <v>3583</v>
      </c>
      <c r="D1488" s="15" t="s">
        <v>3584</v>
      </c>
      <c r="E1488" s="15">
        <v>13.089700000000001</v>
      </c>
      <c r="F1488" s="42">
        <v>46198</v>
      </c>
    </row>
    <row r="1489" spans="1:6" x14ac:dyDescent="0.3">
      <c r="A1489" s="15" t="s">
        <v>45782</v>
      </c>
      <c r="B1489" s="15" t="s">
        <v>3585</v>
      </c>
      <c r="C1489" s="15" t="s">
        <v>800</v>
      </c>
      <c r="D1489" s="15" t="s">
        <v>3586</v>
      </c>
      <c r="E1489" s="15">
        <v>13.090199999999999</v>
      </c>
      <c r="F1489" s="42">
        <v>46198</v>
      </c>
    </row>
    <row r="1490" spans="1:6" x14ac:dyDescent="0.3">
      <c r="A1490" s="15" t="s">
        <v>45781</v>
      </c>
      <c r="B1490" s="15" t="s">
        <v>3587</v>
      </c>
      <c r="C1490" s="15" t="s">
        <v>3588</v>
      </c>
      <c r="D1490" s="15" t="s">
        <v>3589</v>
      </c>
      <c r="E1490" s="15">
        <v>13.0899</v>
      </c>
      <c r="F1490" s="42">
        <v>46198</v>
      </c>
    </row>
    <row r="1491" spans="1:6" x14ac:dyDescent="0.3">
      <c r="A1491" s="15" t="s">
        <v>45780</v>
      </c>
      <c r="B1491" s="15" t="s">
        <v>3590</v>
      </c>
      <c r="C1491" s="15" t="s">
        <v>3591</v>
      </c>
      <c r="D1491" s="15" t="s">
        <v>3592</v>
      </c>
      <c r="E1491" s="15">
        <v>13.090199999999999</v>
      </c>
      <c r="F1491" s="42">
        <v>46198</v>
      </c>
    </row>
    <row r="1492" spans="1:6" x14ac:dyDescent="0.3">
      <c r="A1492" s="15" t="s">
        <v>33499</v>
      </c>
      <c r="B1492" s="15" t="s">
        <v>795</v>
      </c>
      <c r="C1492" s="15" t="s">
        <v>795</v>
      </c>
      <c r="D1492" s="15" t="s">
        <v>795</v>
      </c>
      <c r="F1492" s="42"/>
    </row>
    <row r="1493" spans="1:6" x14ac:dyDescent="0.3">
      <c r="A1493" s="15" t="s">
        <v>45779</v>
      </c>
      <c r="B1493" s="15" t="s">
        <v>795</v>
      </c>
      <c r="C1493" s="15" t="s">
        <v>795</v>
      </c>
      <c r="D1493" s="15" t="s">
        <v>795</v>
      </c>
      <c r="F1493" s="42"/>
    </row>
    <row r="1494" spans="1:6" x14ac:dyDescent="0.3">
      <c r="A1494" s="15" t="s">
        <v>33499</v>
      </c>
      <c r="B1494" s="15" t="s">
        <v>795</v>
      </c>
      <c r="C1494" s="15" t="s">
        <v>795</v>
      </c>
      <c r="D1494" s="15" t="s">
        <v>795</v>
      </c>
      <c r="F1494" s="42"/>
    </row>
    <row r="1495" spans="1:6" x14ac:dyDescent="0.3">
      <c r="A1495" s="15" t="s">
        <v>37954</v>
      </c>
      <c r="B1495" s="15" t="s">
        <v>795</v>
      </c>
      <c r="C1495" s="15" t="s">
        <v>795</v>
      </c>
      <c r="D1495" s="15" t="s">
        <v>795</v>
      </c>
      <c r="F1495" s="42"/>
    </row>
    <row r="1496" spans="1:6" x14ac:dyDescent="0.3">
      <c r="A1496" s="15" t="s">
        <v>33499</v>
      </c>
      <c r="B1496" s="15" t="s">
        <v>795</v>
      </c>
      <c r="C1496" s="15" t="s">
        <v>795</v>
      </c>
      <c r="D1496" s="15" t="s">
        <v>795</v>
      </c>
      <c r="F1496" s="42"/>
    </row>
    <row r="1497" spans="1:6" x14ac:dyDescent="0.3">
      <c r="A1497" s="15" t="s">
        <v>45778</v>
      </c>
      <c r="B1497" s="15" t="s">
        <v>800</v>
      </c>
      <c r="C1497" s="15" t="s">
        <v>3593</v>
      </c>
      <c r="D1497" s="15" t="s">
        <v>3594</v>
      </c>
      <c r="E1497" s="15">
        <v>1000.5309999999999</v>
      </c>
      <c r="F1497" s="42">
        <v>46201</v>
      </c>
    </row>
    <row r="1498" spans="1:6" x14ac:dyDescent="0.3">
      <c r="A1498" s="15" t="s">
        <v>45777</v>
      </c>
      <c r="B1498" s="15" t="s">
        <v>3595</v>
      </c>
      <c r="C1498" s="15" t="s">
        <v>800</v>
      </c>
      <c r="D1498" s="15" t="s">
        <v>3596</v>
      </c>
      <c r="E1498" s="15">
        <v>2145.9837000000002</v>
      </c>
      <c r="F1498" s="42">
        <v>46201</v>
      </c>
    </row>
    <row r="1499" spans="1:6" x14ac:dyDescent="0.3">
      <c r="A1499" s="15" t="s">
        <v>45776</v>
      </c>
      <c r="B1499" s="15" t="s">
        <v>3597</v>
      </c>
      <c r="C1499" s="15" t="s">
        <v>3598</v>
      </c>
      <c r="D1499" s="15" t="s">
        <v>3599</v>
      </c>
      <c r="E1499" s="15">
        <v>1005.8785</v>
      </c>
      <c r="F1499" s="42">
        <v>46201</v>
      </c>
    </row>
    <row r="1500" spans="1:6" x14ac:dyDescent="0.3">
      <c r="A1500" s="15" t="s">
        <v>45775</v>
      </c>
      <c r="B1500" s="15" t="s">
        <v>800</v>
      </c>
      <c r="C1500" s="15" t="s">
        <v>3600</v>
      </c>
      <c r="D1500" s="15" t="s">
        <v>3601</v>
      </c>
      <c r="E1500" s="15">
        <v>1000.5309999999999</v>
      </c>
      <c r="F1500" s="42">
        <v>46201</v>
      </c>
    </row>
    <row r="1501" spans="1:6" x14ac:dyDescent="0.3">
      <c r="A1501" s="15" t="s">
        <v>45774</v>
      </c>
      <c r="B1501" s="15" t="s">
        <v>3602</v>
      </c>
      <c r="C1501" s="15" t="s">
        <v>800</v>
      </c>
      <c r="D1501" s="15" t="s">
        <v>3603</v>
      </c>
      <c r="E1501" s="15">
        <v>2130.5016999999998</v>
      </c>
      <c r="F1501" s="42">
        <v>46201</v>
      </c>
    </row>
    <row r="1502" spans="1:6" x14ac:dyDescent="0.3">
      <c r="A1502" s="15" t="s">
        <v>45773</v>
      </c>
      <c r="B1502" s="15" t="s">
        <v>3604</v>
      </c>
      <c r="C1502" s="15" t="s">
        <v>3605</v>
      </c>
      <c r="D1502" s="15" t="s">
        <v>3606</v>
      </c>
      <c r="E1502" s="15">
        <v>1005.8705</v>
      </c>
      <c r="F1502" s="42">
        <v>46201</v>
      </c>
    </row>
    <row r="1503" spans="1:6" x14ac:dyDescent="0.3">
      <c r="A1503" s="15" t="s">
        <v>33499</v>
      </c>
      <c r="B1503" s="15" t="s">
        <v>795</v>
      </c>
      <c r="C1503" s="15" t="s">
        <v>795</v>
      </c>
      <c r="D1503" s="15" t="s">
        <v>795</v>
      </c>
      <c r="F1503" s="42"/>
    </row>
    <row r="1504" spans="1:6" x14ac:dyDescent="0.3">
      <c r="A1504" s="15" t="s">
        <v>41434</v>
      </c>
      <c r="B1504" s="15" t="s">
        <v>795</v>
      </c>
      <c r="C1504" s="15" t="s">
        <v>795</v>
      </c>
      <c r="D1504" s="15" t="s">
        <v>795</v>
      </c>
      <c r="F1504" s="42"/>
    </row>
    <row r="1505" spans="1:6" x14ac:dyDescent="0.3">
      <c r="A1505" s="15" t="s">
        <v>33499</v>
      </c>
      <c r="B1505" s="15" t="s">
        <v>795</v>
      </c>
      <c r="C1505" s="15" t="s">
        <v>795</v>
      </c>
      <c r="D1505" s="15" t="s">
        <v>795</v>
      </c>
      <c r="F1505" s="42"/>
    </row>
    <row r="1506" spans="1:6" x14ac:dyDescent="0.3">
      <c r="A1506" s="15" t="s">
        <v>45772</v>
      </c>
      <c r="B1506" s="15" t="s">
        <v>800</v>
      </c>
      <c r="C1506" s="15" t="s">
        <v>3607</v>
      </c>
      <c r="D1506" s="15" t="s">
        <v>3608</v>
      </c>
      <c r="E1506" s="15">
        <v>100.06</v>
      </c>
      <c r="F1506" s="42">
        <v>46201</v>
      </c>
    </row>
    <row r="1507" spans="1:6" x14ac:dyDescent="0.3">
      <c r="A1507" s="15" t="s">
        <v>45771</v>
      </c>
      <c r="B1507" s="15" t="s">
        <v>3609</v>
      </c>
      <c r="C1507" s="15" t="s">
        <v>800</v>
      </c>
      <c r="D1507" s="15" t="s">
        <v>3610</v>
      </c>
      <c r="E1507" s="15">
        <v>103.1647</v>
      </c>
      <c r="F1507" s="42">
        <v>46201</v>
      </c>
    </row>
    <row r="1508" spans="1:6" x14ac:dyDescent="0.3">
      <c r="A1508" s="15" t="s">
        <v>45770</v>
      </c>
      <c r="B1508" s="15" t="s">
        <v>800</v>
      </c>
      <c r="C1508" s="15" t="s">
        <v>3611</v>
      </c>
      <c r="D1508" s="15" t="s">
        <v>3612</v>
      </c>
      <c r="E1508" s="15">
        <v>100.2872</v>
      </c>
      <c r="F1508" s="42">
        <v>46201</v>
      </c>
    </row>
    <row r="1509" spans="1:6" x14ac:dyDescent="0.3">
      <c r="A1509" s="15" t="s">
        <v>45769</v>
      </c>
      <c r="B1509" s="15" t="s">
        <v>800</v>
      </c>
      <c r="C1509" s="15" t="s">
        <v>3613</v>
      </c>
      <c r="D1509" s="15" t="s">
        <v>3614</v>
      </c>
      <c r="E1509" s="15">
        <v>101.4628</v>
      </c>
      <c r="F1509" s="42">
        <v>46201</v>
      </c>
    </row>
    <row r="1510" spans="1:6" x14ac:dyDescent="0.3">
      <c r="A1510" s="15" t="s">
        <v>45768</v>
      </c>
      <c r="B1510" s="15" t="s">
        <v>800</v>
      </c>
      <c r="C1510" s="15" t="s">
        <v>3615</v>
      </c>
      <c r="D1510" s="15" t="s">
        <v>3616</v>
      </c>
      <c r="E1510" s="15">
        <v>100.1622</v>
      </c>
      <c r="F1510" s="42">
        <v>46201</v>
      </c>
    </row>
    <row r="1511" spans="1:6" x14ac:dyDescent="0.3">
      <c r="A1511" s="15" t="s">
        <v>45767</v>
      </c>
      <c r="B1511" s="15" t="s">
        <v>800</v>
      </c>
      <c r="C1511" s="15" t="s">
        <v>3617</v>
      </c>
      <c r="D1511" s="15" t="s">
        <v>3618</v>
      </c>
      <c r="E1511" s="15">
        <v>100.06</v>
      </c>
      <c r="F1511" s="42">
        <v>46201</v>
      </c>
    </row>
    <row r="1512" spans="1:6" x14ac:dyDescent="0.3">
      <c r="A1512" s="15" t="s">
        <v>45766</v>
      </c>
      <c r="B1512" s="15" t="s">
        <v>3619</v>
      </c>
      <c r="C1512" s="15" t="s">
        <v>800</v>
      </c>
      <c r="D1512" s="15" t="s">
        <v>3620</v>
      </c>
      <c r="E1512" s="15">
        <v>103.11920000000001</v>
      </c>
      <c r="F1512" s="42">
        <v>46201</v>
      </c>
    </row>
    <row r="1513" spans="1:6" x14ac:dyDescent="0.3">
      <c r="A1513" s="15" t="s">
        <v>45765</v>
      </c>
      <c r="B1513" s="15" t="s">
        <v>800</v>
      </c>
      <c r="C1513" s="15" t="s">
        <v>3621</v>
      </c>
      <c r="D1513" s="15" t="s">
        <v>3622</v>
      </c>
      <c r="E1513" s="15">
        <v>100.2847</v>
      </c>
      <c r="F1513" s="42">
        <v>46201</v>
      </c>
    </row>
    <row r="1514" spans="1:6" x14ac:dyDescent="0.3">
      <c r="A1514" s="15" t="s">
        <v>45764</v>
      </c>
      <c r="B1514" s="15" t="s">
        <v>800</v>
      </c>
      <c r="C1514" s="15" t="s">
        <v>3623</v>
      </c>
      <c r="D1514" s="15" t="s">
        <v>3624</v>
      </c>
      <c r="E1514" s="15">
        <v>101.4192</v>
      </c>
      <c r="F1514" s="42">
        <v>46201</v>
      </c>
    </row>
    <row r="1515" spans="1:6" x14ac:dyDescent="0.3">
      <c r="A1515" s="15" t="s">
        <v>45763</v>
      </c>
      <c r="B1515" s="15" t="s">
        <v>800</v>
      </c>
      <c r="C1515" s="15" t="s">
        <v>3625</v>
      </c>
      <c r="D1515" s="15" t="s">
        <v>3626</v>
      </c>
      <c r="E1515" s="15">
        <v>100.15730000000001</v>
      </c>
      <c r="F1515" s="42">
        <v>46201</v>
      </c>
    </row>
    <row r="1516" spans="1:6" x14ac:dyDescent="0.3">
      <c r="A1516" s="15" t="s">
        <v>33499</v>
      </c>
      <c r="B1516" s="15" t="s">
        <v>795</v>
      </c>
      <c r="C1516" s="15" t="s">
        <v>795</v>
      </c>
      <c r="D1516" s="15" t="s">
        <v>795</v>
      </c>
      <c r="F1516" s="42"/>
    </row>
    <row r="1517" spans="1:6" x14ac:dyDescent="0.3">
      <c r="A1517" s="15" t="s">
        <v>37122</v>
      </c>
      <c r="B1517" s="15" t="s">
        <v>795</v>
      </c>
      <c r="C1517" s="15" t="s">
        <v>795</v>
      </c>
      <c r="D1517" s="15" t="s">
        <v>795</v>
      </c>
      <c r="F1517" s="42"/>
    </row>
    <row r="1518" spans="1:6" x14ac:dyDescent="0.3">
      <c r="A1518" s="15" t="s">
        <v>33499</v>
      </c>
      <c r="B1518" s="15" t="s">
        <v>795</v>
      </c>
      <c r="C1518" s="15" t="s">
        <v>795</v>
      </c>
      <c r="D1518" s="15" t="s">
        <v>795</v>
      </c>
      <c r="F1518" s="42"/>
    </row>
    <row r="1519" spans="1:6" x14ac:dyDescent="0.3">
      <c r="A1519" s="15" t="s">
        <v>45762</v>
      </c>
      <c r="B1519" s="15" t="s">
        <v>3627</v>
      </c>
      <c r="C1519" s="15" t="s">
        <v>800</v>
      </c>
      <c r="D1519" s="15" t="s">
        <v>3628</v>
      </c>
      <c r="E1519" s="15">
        <v>446.72519999999997</v>
      </c>
      <c r="F1519" s="42">
        <v>46198</v>
      </c>
    </row>
    <row r="1520" spans="1:6" x14ac:dyDescent="0.3">
      <c r="A1520" s="15" t="s">
        <v>45761</v>
      </c>
      <c r="B1520" s="15" t="s">
        <v>3629</v>
      </c>
      <c r="C1520" s="15" t="s">
        <v>800</v>
      </c>
      <c r="D1520" s="15" t="s">
        <v>3630</v>
      </c>
      <c r="E1520" s="15">
        <v>452.71210000000002</v>
      </c>
      <c r="F1520" s="42">
        <v>46198</v>
      </c>
    </row>
    <row r="1521" spans="1:6" x14ac:dyDescent="0.3">
      <c r="A1521" s="15" t="s">
        <v>45760</v>
      </c>
      <c r="B1521" s="15" t="s">
        <v>3631</v>
      </c>
      <c r="C1521" s="15" t="s">
        <v>3632</v>
      </c>
      <c r="D1521" s="15" t="s">
        <v>3633</v>
      </c>
      <c r="E1521" s="15">
        <v>100.19499999999999</v>
      </c>
      <c r="F1521" s="42">
        <v>46198</v>
      </c>
    </row>
    <row r="1522" spans="1:6" x14ac:dyDescent="0.3">
      <c r="A1522" s="15" t="s">
        <v>45759</v>
      </c>
      <c r="B1522" s="15" t="s">
        <v>3634</v>
      </c>
      <c r="C1522" s="15" t="s">
        <v>800</v>
      </c>
      <c r="D1522" s="15" t="s">
        <v>3635</v>
      </c>
      <c r="E1522" s="15">
        <v>100.19499999999999</v>
      </c>
      <c r="F1522" s="42">
        <v>46198</v>
      </c>
    </row>
    <row r="1523" spans="1:6" x14ac:dyDescent="0.3">
      <c r="A1523" s="15" t="s">
        <v>45758</v>
      </c>
      <c r="B1523" s="15" t="s">
        <v>3636</v>
      </c>
      <c r="C1523" s="15" t="s">
        <v>800</v>
      </c>
      <c r="D1523" s="15" t="s">
        <v>3637</v>
      </c>
      <c r="E1523" s="15">
        <v>136.1591</v>
      </c>
      <c r="F1523" s="42">
        <v>46198</v>
      </c>
    </row>
    <row r="1524" spans="1:6" x14ac:dyDescent="0.3">
      <c r="A1524" s="15" t="s">
        <v>45757</v>
      </c>
      <c r="B1524" s="15" t="s">
        <v>3638</v>
      </c>
      <c r="C1524" s="15" t="s">
        <v>800</v>
      </c>
      <c r="D1524" s="15" t="s">
        <v>3639</v>
      </c>
      <c r="E1524" s="15">
        <v>100.3347</v>
      </c>
      <c r="F1524" s="42">
        <v>46198</v>
      </c>
    </row>
    <row r="1525" spans="1:6" x14ac:dyDescent="0.3">
      <c r="A1525" s="15" t="s">
        <v>45756</v>
      </c>
      <c r="B1525" s="15" t="s">
        <v>800</v>
      </c>
      <c r="C1525" s="15" t="s">
        <v>3640</v>
      </c>
      <c r="D1525" s="15" t="s">
        <v>3641</v>
      </c>
      <c r="E1525" s="15">
        <v>108.023</v>
      </c>
      <c r="F1525" s="42">
        <v>46192</v>
      </c>
    </row>
    <row r="1526" spans="1:6" x14ac:dyDescent="0.3">
      <c r="A1526" s="15" t="s">
        <v>45755</v>
      </c>
      <c r="B1526" s="15" t="s">
        <v>3642</v>
      </c>
      <c r="C1526" s="15" t="s">
        <v>3643</v>
      </c>
      <c r="D1526" s="15" t="s">
        <v>3644</v>
      </c>
      <c r="E1526" s="15">
        <v>108.068</v>
      </c>
      <c r="F1526" s="42">
        <v>46192</v>
      </c>
    </row>
    <row r="1527" spans="1:6" x14ac:dyDescent="0.3">
      <c r="A1527" s="15" t="s">
        <v>45754</v>
      </c>
      <c r="B1527" s="15" t="s">
        <v>3645</v>
      </c>
      <c r="C1527" s="15" t="s">
        <v>800</v>
      </c>
      <c r="D1527" s="15" t="s">
        <v>3646</v>
      </c>
      <c r="E1527" s="15">
        <v>103.56570000000001</v>
      </c>
      <c r="F1527" s="42">
        <v>46198</v>
      </c>
    </row>
    <row r="1528" spans="1:6" x14ac:dyDescent="0.3">
      <c r="A1528" s="15" t="s">
        <v>45753</v>
      </c>
      <c r="B1528" s="15" t="s">
        <v>800</v>
      </c>
      <c r="C1528" s="15" t="s">
        <v>3647</v>
      </c>
      <c r="D1528" s="15" t="s">
        <v>3648</v>
      </c>
      <c r="E1528" s="15">
        <v>163.69399999999999</v>
      </c>
      <c r="F1528" s="42">
        <v>46192</v>
      </c>
    </row>
    <row r="1529" spans="1:6" x14ac:dyDescent="0.3">
      <c r="A1529" s="15" t="s">
        <v>45752</v>
      </c>
      <c r="B1529" s="15" t="s">
        <v>3649</v>
      </c>
      <c r="C1529" s="15" t="s">
        <v>3650</v>
      </c>
      <c r="D1529" s="15" t="s">
        <v>3651</v>
      </c>
      <c r="E1529" s="15">
        <v>100.33240000000001</v>
      </c>
      <c r="F1529" s="42">
        <v>46198</v>
      </c>
    </row>
    <row r="1530" spans="1:6" x14ac:dyDescent="0.3">
      <c r="A1530" s="15" t="s">
        <v>33499</v>
      </c>
      <c r="B1530" s="15" t="s">
        <v>795</v>
      </c>
      <c r="C1530" s="15" t="s">
        <v>795</v>
      </c>
      <c r="D1530" s="15" t="s">
        <v>795</v>
      </c>
      <c r="F1530" s="42"/>
    </row>
    <row r="1531" spans="1:6" x14ac:dyDescent="0.3">
      <c r="A1531" s="15" t="s">
        <v>37087</v>
      </c>
      <c r="B1531" s="15" t="s">
        <v>795</v>
      </c>
      <c r="C1531" s="15" t="s">
        <v>795</v>
      </c>
      <c r="D1531" s="15" t="s">
        <v>795</v>
      </c>
      <c r="F1531" s="42"/>
    </row>
    <row r="1532" spans="1:6" x14ac:dyDescent="0.3">
      <c r="A1532" s="15" t="s">
        <v>33499</v>
      </c>
      <c r="B1532" s="15" t="s">
        <v>795</v>
      </c>
      <c r="C1532" s="15" t="s">
        <v>795</v>
      </c>
      <c r="D1532" s="15" t="s">
        <v>795</v>
      </c>
      <c r="F1532" s="42"/>
    </row>
    <row r="1533" spans="1:6" x14ac:dyDescent="0.3">
      <c r="A1533" s="15" t="s">
        <v>45751</v>
      </c>
      <c r="B1533" s="15" t="s">
        <v>3652</v>
      </c>
      <c r="C1533" s="15" t="s">
        <v>800</v>
      </c>
      <c r="D1533" s="15" t="s">
        <v>3653</v>
      </c>
      <c r="E1533" s="15">
        <v>2215.5704999999998</v>
      </c>
      <c r="F1533" s="42">
        <v>43956</v>
      </c>
    </row>
    <row r="1534" spans="1:6" x14ac:dyDescent="0.3">
      <c r="A1534" s="15" t="s">
        <v>45750</v>
      </c>
      <c r="B1534" s="15" t="s">
        <v>800</v>
      </c>
      <c r="C1534" s="15" t="s">
        <v>3654</v>
      </c>
      <c r="D1534" s="15" t="s">
        <v>3655</v>
      </c>
      <c r="E1534" s="15">
        <v>1000.956</v>
      </c>
      <c r="F1534" s="42">
        <v>46201</v>
      </c>
    </row>
    <row r="1535" spans="1:6" x14ac:dyDescent="0.3">
      <c r="A1535" s="15" t="s">
        <v>45749</v>
      </c>
      <c r="B1535" s="15" t="s">
        <v>3656</v>
      </c>
      <c r="C1535" s="15" t="s">
        <v>800</v>
      </c>
      <c r="D1535" s="15" t="s">
        <v>3657</v>
      </c>
      <c r="E1535" s="15">
        <v>3119.0989</v>
      </c>
      <c r="F1535" s="42">
        <v>46201</v>
      </c>
    </row>
    <row r="1536" spans="1:6" x14ac:dyDescent="0.3">
      <c r="A1536" s="15" t="s">
        <v>45748</v>
      </c>
      <c r="B1536" s="15" t="s">
        <v>3658</v>
      </c>
      <c r="C1536" s="15" t="s">
        <v>3659</v>
      </c>
      <c r="D1536" s="15" t="s">
        <v>3660</v>
      </c>
      <c r="E1536" s="15">
        <v>1001.3819999999999</v>
      </c>
      <c r="F1536" s="42">
        <v>46201</v>
      </c>
    </row>
    <row r="1537" spans="1:6" x14ac:dyDescent="0.3">
      <c r="A1537" s="15" t="s">
        <v>45747</v>
      </c>
      <c r="B1537" s="15" t="s">
        <v>3661</v>
      </c>
      <c r="C1537" s="15" t="s">
        <v>3662</v>
      </c>
      <c r="D1537" s="15" t="s">
        <v>3663</v>
      </c>
      <c r="E1537" s="15">
        <v>1003.1799</v>
      </c>
      <c r="F1537" s="42">
        <v>46201</v>
      </c>
    </row>
    <row r="1538" spans="1:6" x14ac:dyDescent="0.3">
      <c r="A1538" s="15" t="s">
        <v>45746</v>
      </c>
      <c r="B1538" s="15" t="s">
        <v>800</v>
      </c>
      <c r="C1538" s="15" t="s">
        <v>3664</v>
      </c>
      <c r="D1538" s="15" t="s">
        <v>3665</v>
      </c>
      <c r="E1538" s="15">
        <v>1001.3998</v>
      </c>
      <c r="F1538" s="42">
        <v>46201</v>
      </c>
    </row>
    <row r="1539" spans="1:6" x14ac:dyDescent="0.3">
      <c r="A1539" s="15" t="s">
        <v>45745</v>
      </c>
      <c r="B1539" s="15" t="s">
        <v>3666</v>
      </c>
      <c r="C1539" s="15" t="s">
        <v>800</v>
      </c>
      <c r="D1539" s="15" t="s">
        <v>3667</v>
      </c>
      <c r="E1539" s="15">
        <v>3089.6767</v>
      </c>
      <c r="F1539" s="42">
        <v>46201</v>
      </c>
    </row>
    <row r="1540" spans="1:6" x14ac:dyDescent="0.3">
      <c r="A1540" s="15" t="s">
        <v>45744</v>
      </c>
      <c r="B1540" s="15" t="s">
        <v>3668</v>
      </c>
      <c r="C1540" s="15" t="s">
        <v>3669</v>
      </c>
      <c r="D1540" s="15" t="s">
        <v>3670</v>
      </c>
      <c r="E1540" s="15">
        <v>1001.7847</v>
      </c>
      <c r="F1540" s="42">
        <v>46201</v>
      </c>
    </row>
    <row r="1541" spans="1:6" x14ac:dyDescent="0.3">
      <c r="A1541" s="15" t="s">
        <v>45743</v>
      </c>
      <c r="B1541" s="15" t="s">
        <v>3671</v>
      </c>
      <c r="C1541" s="15" t="s">
        <v>3672</v>
      </c>
      <c r="D1541" s="15" t="s">
        <v>3673</v>
      </c>
      <c r="E1541" s="15">
        <v>1003.1643</v>
      </c>
      <c r="F1541" s="42">
        <v>46201</v>
      </c>
    </row>
    <row r="1542" spans="1:6" x14ac:dyDescent="0.3">
      <c r="A1542" s="15" t="s">
        <v>45742</v>
      </c>
      <c r="B1542" s="15" t="s">
        <v>800</v>
      </c>
      <c r="C1542" s="15" t="s">
        <v>3674</v>
      </c>
      <c r="D1542" s="15" t="s">
        <v>3675</v>
      </c>
      <c r="E1542" s="15">
        <v>1000.9559</v>
      </c>
      <c r="F1542" s="42">
        <v>46201</v>
      </c>
    </row>
    <row r="1543" spans="1:6" x14ac:dyDescent="0.3">
      <c r="A1543" s="15" t="s">
        <v>45741</v>
      </c>
      <c r="B1543" s="15" t="s">
        <v>3676</v>
      </c>
      <c r="C1543" s="15" t="s">
        <v>800</v>
      </c>
      <c r="D1543" s="15" t="s">
        <v>3677</v>
      </c>
      <c r="E1543" s="15">
        <v>2815.4036000000001</v>
      </c>
      <c r="F1543" s="42">
        <v>46201</v>
      </c>
    </row>
    <row r="1544" spans="1:6" x14ac:dyDescent="0.3">
      <c r="A1544" s="15" t="s">
        <v>45740</v>
      </c>
      <c r="B1544" s="15" t="s">
        <v>3678</v>
      </c>
      <c r="C1544" s="15" t="s">
        <v>3679</v>
      </c>
      <c r="D1544" s="15" t="s">
        <v>3680</v>
      </c>
      <c r="E1544" s="15">
        <v>1001.3547</v>
      </c>
      <c r="F1544" s="42">
        <v>46201</v>
      </c>
    </row>
    <row r="1545" spans="1:6" x14ac:dyDescent="0.3">
      <c r="A1545" s="15" t="s">
        <v>45739</v>
      </c>
      <c r="B1545" s="15" t="s">
        <v>3681</v>
      </c>
      <c r="C1545" s="15" t="s">
        <v>3682</v>
      </c>
      <c r="D1545" s="15" t="s">
        <v>3683</v>
      </c>
      <c r="E1545" s="15">
        <v>1001.9607999999999</v>
      </c>
      <c r="F1545" s="42">
        <v>46201</v>
      </c>
    </row>
    <row r="1546" spans="1:6" x14ac:dyDescent="0.3">
      <c r="A1546" s="15" t="s">
        <v>33499</v>
      </c>
      <c r="B1546" s="15" t="s">
        <v>795</v>
      </c>
      <c r="C1546" s="15" t="s">
        <v>795</v>
      </c>
      <c r="D1546" s="15" t="s">
        <v>795</v>
      </c>
      <c r="F1546" s="42"/>
    </row>
    <row r="1547" spans="1:6" x14ac:dyDescent="0.3">
      <c r="A1547" s="15" t="s">
        <v>37923</v>
      </c>
      <c r="B1547" s="15" t="s">
        <v>795</v>
      </c>
      <c r="C1547" s="15" t="s">
        <v>795</v>
      </c>
      <c r="D1547" s="15" t="s">
        <v>795</v>
      </c>
      <c r="F1547" s="42"/>
    </row>
    <row r="1548" spans="1:6" x14ac:dyDescent="0.3">
      <c r="A1548" s="15" t="s">
        <v>33499</v>
      </c>
      <c r="B1548" s="15" t="s">
        <v>795</v>
      </c>
      <c r="C1548" s="15" t="s">
        <v>795</v>
      </c>
      <c r="D1548" s="15" t="s">
        <v>795</v>
      </c>
      <c r="F1548" s="42"/>
    </row>
    <row r="1549" spans="1:6" x14ac:dyDescent="0.3">
      <c r="A1549" s="15" t="s">
        <v>45738</v>
      </c>
      <c r="B1549" s="15" t="s">
        <v>800</v>
      </c>
      <c r="C1549" s="15" t="s">
        <v>3684</v>
      </c>
      <c r="D1549" s="15" t="s">
        <v>3685</v>
      </c>
      <c r="E1549" s="15">
        <v>1034.6939</v>
      </c>
      <c r="F1549" s="42">
        <v>46201</v>
      </c>
    </row>
    <row r="1550" spans="1:6" x14ac:dyDescent="0.3">
      <c r="A1550" s="15" t="s">
        <v>45737</v>
      </c>
      <c r="B1550" s="15" t="s">
        <v>3686</v>
      </c>
      <c r="C1550" s="15" t="s">
        <v>3687</v>
      </c>
      <c r="D1550" s="15" t="s">
        <v>3688</v>
      </c>
      <c r="E1550" s="15">
        <v>1037.2532000000001</v>
      </c>
      <c r="F1550" s="42">
        <v>46201</v>
      </c>
    </row>
    <row r="1551" spans="1:6" x14ac:dyDescent="0.3">
      <c r="A1551" s="15" t="s">
        <v>45736</v>
      </c>
      <c r="B1551" s="15" t="s">
        <v>3689</v>
      </c>
      <c r="C1551" s="15" t="s">
        <v>800</v>
      </c>
      <c r="D1551" s="15" t="s">
        <v>3690</v>
      </c>
      <c r="E1551" s="15">
        <v>1223.4411</v>
      </c>
      <c r="F1551" s="42">
        <v>46201</v>
      </c>
    </row>
    <row r="1552" spans="1:6" x14ac:dyDescent="0.3">
      <c r="A1552" s="15" t="s">
        <v>45735</v>
      </c>
      <c r="B1552" s="15" t="s">
        <v>3691</v>
      </c>
      <c r="C1552" s="15" t="s">
        <v>3692</v>
      </c>
      <c r="D1552" s="15" t="s">
        <v>3693</v>
      </c>
      <c r="E1552" s="15">
        <v>1037.2589</v>
      </c>
      <c r="F1552" s="42">
        <v>46201</v>
      </c>
    </row>
    <row r="1553" spans="1:6" x14ac:dyDescent="0.3">
      <c r="A1553" s="15" t="s">
        <v>45734</v>
      </c>
      <c r="B1553" s="15" t="s">
        <v>3694</v>
      </c>
      <c r="C1553" s="15" t="s">
        <v>3695</v>
      </c>
      <c r="D1553" s="15" t="s">
        <v>3696</v>
      </c>
      <c r="E1553" s="15">
        <v>1035.8357000000001</v>
      </c>
      <c r="F1553" s="42">
        <v>46201</v>
      </c>
    </row>
    <row r="1554" spans="1:6" x14ac:dyDescent="0.3">
      <c r="A1554" s="15" t="s">
        <v>45733</v>
      </c>
      <c r="B1554" s="15" t="s">
        <v>800</v>
      </c>
      <c r="C1554" s="15" t="s">
        <v>3697</v>
      </c>
      <c r="D1554" s="15" t="s">
        <v>3698</v>
      </c>
      <c r="E1554" s="15">
        <v>1033.8241</v>
      </c>
      <c r="F1554" s="42">
        <v>46201</v>
      </c>
    </row>
    <row r="1555" spans="1:6" x14ac:dyDescent="0.3">
      <c r="A1555" s="15" t="s">
        <v>45732</v>
      </c>
      <c r="B1555" s="15" t="s">
        <v>3699</v>
      </c>
      <c r="C1555" s="15" t="s">
        <v>3700</v>
      </c>
      <c r="D1555" s="15" t="s">
        <v>3701</v>
      </c>
      <c r="E1555" s="15">
        <v>1036.3171</v>
      </c>
      <c r="F1555" s="42">
        <v>46201</v>
      </c>
    </row>
    <row r="1556" spans="1:6" x14ac:dyDescent="0.3">
      <c r="A1556" s="15" t="s">
        <v>45731</v>
      </c>
      <c r="B1556" s="15" t="s">
        <v>3702</v>
      </c>
      <c r="C1556" s="15" t="s">
        <v>800</v>
      </c>
      <c r="D1556" s="15" t="s">
        <v>3703</v>
      </c>
      <c r="E1556" s="15">
        <v>1217.0459000000001</v>
      </c>
      <c r="F1556" s="42">
        <v>46201</v>
      </c>
    </row>
    <row r="1557" spans="1:6" x14ac:dyDescent="0.3">
      <c r="A1557" s="15" t="s">
        <v>45730</v>
      </c>
      <c r="B1557" s="15" t="s">
        <v>3704</v>
      </c>
      <c r="C1557" s="15" t="s">
        <v>3705</v>
      </c>
      <c r="D1557" s="15" t="s">
        <v>3706</v>
      </c>
      <c r="E1557" s="15">
        <v>1036.3141000000001</v>
      </c>
      <c r="F1557" s="42">
        <v>46201</v>
      </c>
    </row>
    <row r="1558" spans="1:6" x14ac:dyDescent="0.3">
      <c r="A1558" s="15" t="s">
        <v>45729</v>
      </c>
      <c r="B1558" s="15" t="s">
        <v>3707</v>
      </c>
      <c r="C1558" s="15" t="s">
        <v>3708</v>
      </c>
      <c r="D1558" s="15" t="s">
        <v>3709</v>
      </c>
      <c r="E1558" s="15">
        <v>1034.9308000000001</v>
      </c>
      <c r="F1558" s="42">
        <v>46201</v>
      </c>
    </row>
    <row r="1559" spans="1:6" x14ac:dyDescent="0.3">
      <c r="A1559" s="15" t="s">
        <v>33499</v>
      </c>
      <c r="B1559" s="15" t="s">
        <v>795</v>
      </c>
      <c r="C1559" s="15" t="s">
        <v>795</v>
      </c>
      <c r="D1559" s="15" t="s">
        <v>795</v>
      </c>
      <c r="F1559" s="42"/>
    </row>
    <row r="1560" spans="1:6" x14ac:dyDescent="0.3">
      <c r="A1560" s="15" t="s">
        <v>37073</v>
      </c>
      <c r="B1560" s="15" t="s">
        <v>795</v>
      </c>
      <c r="C1560" s="15" t="s">
        <v>795</v>
      </c>
      <c r="D1560" s="15" t="s">
        <v>795</v>
      </c>
      <c r="F1560" s="42"/>
    </row>
    <row r="1561" spans="1:6" x14ac:dyDescent="0.3">
      <c r="A1561" s="15" t="s">
        <v>33499</v>
      </c>
      <c r="B1561" s="15" t="s">
        <v>795</v>
      </c>
      <c r="C1561" s="15" t="s">
        <v>795</v>
      </c>
      <c r="D1561" s="15" t="s">
        <v>795</v>
      </c>
      <c r="F1561" s="42"/>
    </row>
    <row r="1562" spans="1:6" x14ac:dyDescent="0.3">
      <c r="A1562" s="15" t="s">
        <v>45728</v>
      </c>
      <c r="B1562" s="15" t="s">
        <v>3710</v>
      </c>
      <c r="C1562" s="15" t="s">
        <v>3711</v>
      </c>
      <c r="D1562" s="15" t="s">
        <v>3712</v>
      </c>
      <c r="E1562" s="15">
        <v>0</v>
      </c>
      <c r="F1562" s="42">
        <v>39723</v>
      </c>
    </row>
    <row r="1563" spans="1:6" x14ac:dyDescent="0.3">
      <c r="A1563" s="15" t="s">
        <v>45727</v>
      </c>
      <c r="B1563" s="15" t="s">
        <v>3713</v>
      </c>
      <c r="C1563" s="15" t="s">
        <v>3714</v>
      </c>
      <c r="D1563" s="15" t="s">
        <v>3715</v>
      </c>
      <c r="E1563" s="15">
        <v>1001.4161</v>
      </c>
      <c r="F1563" s="42">
        <v>46201</v>
      </c>
    </row>
    <row r="1564" spans="1:6" x14ac:dyDescent="0.3">
      <c r="A1564" s="15" t="s">
        <v>45726</v>
      </c>
      <c r="B1564" s="15" t="s">
        <v>3716</v>
      </c>
      <c r="C1564" s="15" t="s">
        <v>800</v>
      </c>
      <c r="D1564" s="15" t="s">
        <v>3717</v>
      </c>
      <c r="E1564" s="15">
        <v>3347.6334999999999</v>
      </c>
      <c r="F1564" s="42">
        <v>46201</v>
      </c>
    </row>
    <row r="1565" spans="1:6" x14ac:dyDescent="0.3">
      <c r="A1565" s="15" t="s">
        <v>45725</v>
      </c>
      <c r="B1565" s="15" t="s">
        <v>3718</v>
      </c>
      <c r="C1565" s="15" t="s">
        <v>3719</v>
      </c>
      <c r="D1565" s="15" t="s">
        <v>3720</v>
      </c>
      <c r="E1565" s="15">
        <v>1007.2486</v>
      </c>
      <c r="F1565" s="42">
        <v>46201</v>
      </c>
    </row>
    <row r="1566" spans="1:6" x14ac:dyDescent="0.3">
      <c r="A1566" s="15" t="s">
        <v>45724</v>
      </c>
      <c r="B1566" s="15" t="s">
        <v>3721</v>
      </c>
      <c r="C1566" s="15" t="s">
        <v>3722</v>
      </c>
      <c r="D1566" s="15" t="s">
        <v>3723</v>
      </c>
      <c r="E1566" s="15">
        <v>1445.3043</v>
      </c>
      <c r="F1566" s="42">
        <v>46201</v>
      </c>
    </row>
    <row r="1567" spans="1:6" x14ac:dyDescent="0.3">
      <c r="A1567" s="15" t="s">
        <v>45723</v>
      </c>
      <c r="B1567" s="15" t="s">
        <v>3724</v>
      </c>
      <c r="C1567" s="15" t="s">
        <v>3725</v>
      </c>
      <c r="D1567" s="15" t="s">
        <v>3726</v>
      </c>
      <c r="E1567" s="15">
        <v>1001.8722</v>
      </c>
      <c r="F1567" s="42">
        <v>46201</v>
      </c>
    </row>
    <row r="1568" spans="1:6" x14ac:dyDescent="0.3">
      <c r="A1568" s="15" t="s">
        <v>45722</v>
      </c>
      <c r="B1568" s="15" t="s">
        <v>3727</v>
      </c>
      <c r="C1568" s="15" t="s">
        <v>800</v>
      </c>
      <c r="D1568" s="15" t="s">
        <v>3728</v>
      </c>
      <c r="E1568" s="15">
        <v>1.8028999999999999</v>
      </c>
      <c r="F1568" s="42">
        <v>46201</v>
      </c>
    </row>
    <row r="1569" spans="1:6" x14ac:dyDescent="0.3">
      <c r="A1569" s="15" t="s">
        <v>45721</v>
      </c>
      <c r="B1569" s="15" t="s">
        <v>3729</v>
      </c>
      <c r="C1569" s="15" t="s">
        <v>800</v>
      </c>
      <c r="D1569" s="15" t="s">
        <v>3730</v>
      </c>
      <c r="E1569" s="15">
        <v>1</v>
      </c>
      <c r="F1569" s="42">
        <v>46201</v>
      </c>
    </row>
    <row r="1570" spans="1:6" x14ac:dyDescent="0.3">
      <c r="A1570" s="15" t="s">
        <v>45720</v>
      </c>
      <c r="B1570" s="15" t="s">
        <v>3731</v>
      </c>
      <c r="C1570" s="15" t="s">
        <v>800</v>
      </c>
      <c r="D1570" s="15" t="s">
        <v>3732</v>
      </c>
      <c r="E1570" s="15">
        <v>1.8028999999999999</v>
      </c>
      <c r="F1570" s="42">
        <v>46201</v>
      </c>
    </row>
    <row r="1571" spans="1:6" x14ac:dyDescent="0.3">
      <c r="A1571" s="15" t="s">
        <v>45719</v>
      </c>
      <c r="B1571" s="15" t="s">
        <v>3733</v>
      </c>
      <c r="C1571" s="15" t="s">
        <v>800</v>
      </c>
      <c r="D1571" s="15" t="s">
        <v>3734</v>
      </c>
      <c r="E1571" s="15">
        <v>1</v>
      </c>
      <c r="F1571" s="42">
        <v>46201</v>
      </c>
    </row>
    <row r="1572" spans="1:6" x14ac:dyDescent="0.3">
      <c r="A1572" s="15" t="s">
        <v>45718</v>
      </c>
      <c r="B1572" s="15" t="s">
        <v>3735</v>
      </c>
      <c r="C1572" s="15" t="s">
        <v>3736</v>
      </c>
      <c r="D1572" s="15" t="s">
        <v>3737</v>
      </c>
      <c r="E1572" s="15">
        <v>1013.6531</v>
      </c>
      <c r="F1572" s="42">
        <v>46201</v>
      </c>
    </row>
    <row r="1573" spans="1:6" x14ac:dyDescent="0.3">
      <c r="A1573" s="15" t="s">
        <v>45717</v>
      </c>
      <c r="B1573" s="15" t="s">
        <v>3738</v>
      </c>
      <c r="C1573" s="15" t="s">
        <v>3739</v>
      </c>
      <c r="D1573" s="15" t="s">
        <v>3740</v>
      </c>
      <c r="E1573" s="15">
        <v>1007.6251</v>
      </c>
      <c r="F1573" s="42">
        <v>46201</v>
      </c>
    </row>
    <row r="1574" spans="1:6" x14ac:dyDescent="0.3">
      <c r="A1574" s="15" t="s">
        <v>45716</v>
      </c>
      <c r="B1574" s="15" t="s">
        <v>800</v>
      </c>
      <c r="C1574" s="15" t="s">
        <v>3741</v>
      </c>
      <c r="D1574" s="15" t="s">
        <v>3742</v>
      </c>
      <c r="E1574" s="15">
        <v>1001.6663</v>
      </c>
      <c r="F1574" s="42">
        <v>46201</v>
      </c>
    </row>
    <row r="1575" spans="1:6" x14ac:dyDescent="0.3">
      <c r="A1575" s="15" t="s">
        <v>45715</v>
      </c>
      <c r="B1575" s="15" t="s">
        <v>3743</v>
      </c>
      <c r="C1575" s="15" t="s">
        <v>800</v>
      </c>
      <c r="D1575" s="15" t="s">
        <v>3744</v>
      </c>
      <c r="E1575" s="15">
        <v>3385.0569</v>
      </c>
      <c r="F1575" s="42">
        <v>46201</v>
      </c>
    </row>
    <row r="1576" spans="1:6" x14ac:dyDescent="0.3">
      <c r="A1576" s="15" t="s">
        <v>45714</v>
      </c>
      <c r="B1576" s="15" t="s">
        <v>3745</v>
      </c>
      <c r="C1576" s="15" t="s">
        <v>3746</v>
      </c>
      <c r="D1576" s="15" t="s">
        <v>3747</v>
      </c>
      <c r="E1576" s="15">
        <v>1363.7212999999999</v>
      </c>
      <c r="F1576" s="42">
        <v>46201</v>
      </c>
    </row>
    <row r="1577" spans="1:6" x14ac:dyDescent="0.3">
      <c r="A1577" s="15" t="s">
        <v>33499</v>
      </c>
      <c r="B1577" s="15" t="s">
        <v>795</v>
      </c>
      <c r="C1577" s="15" t="s">
        <v>795</v>
      </c>
      <c r="D1577" s="15" t="s">
        <v>795</v>
      </c>
      <c r="F1577" s="42"/>
    </row>
    <row r="1578" spans="1:6" x14ac:dyDescent="0.3">
      <c r="A1578" s="15" t="s">
        <v>37447</v>
      </c>
      <c r="B1578" s="15" t="s">
        <v>795</v>
      </c>
      <c r="C1578" s="15" t="s">
        <v>795</v>
      </c>
      <c r="D1578" s="15" t="s">
        <v>795</v>
      </c>
      <c r="F1578" s="42"/>
    </row>
    <row r="1579" spans="1:6" x14ac:dyDescent="0.3">
      <c r="A1579" s="15" t="s">
        <v>33499</v>
      </c>
      <c r="B1579" s="15" t="s">
        <v>795</v>
      </c>
      <c r="C1579" s="15" t="s">
        <v>795</v>
      </c>
      <c r="D1579" s="15" t="s">
        <v>795</v>
      </c>
      <c r="F1579" s="42"/>
    </row>
    <row r="1580" spans="1:6" x14ac:dyDescent="0.3">
      <c r="A1580" s="15" t="s">
        <v>45713</v>
      </c>
      <c r="B1580" s="15" t="s">
        <v>800</v>
      </c>
      <c r="C1580" s="15" t="s">
        <v>800</v>
      </c>
      <c r="D1580" s="15" t="s">
        <v>3748</v>
      </c>
      <c r="E1580" s="15">
        <v>1000</v>
      </c>
      <c r="F1580" s="42">
        <v>44530</v>
      </c>
    </row>
    <row r="1581" spans="1:6" x14ac:dyDescent="0.3">
      <c r="A1581" s="15" t="s">
        <v>45712</v>
      </c>
      <c r="B1581" s="15" t="s">
        <v>800</v>
      </c>
      <c r="C1581" s="15" t="s">
        <v>800</v>
      </c>
      <c r="D1581" s="15" t="s">
        <v>3749</v>
      </c>
      <c r="E1581" s="15">
        <v>1226.9964</v>
      </c>
      <c r="F1581" s="42">
        <v>44530</v>
      </c>
    </row>
    <row r="1582" spans="1:6" x14ac:dyDescent="0.3">
      <c r="A1582" s="15" t="s">
        <v>45711</v>
      </c>
      <c r="B1582" s="15" t="s">
        <v>800</v>
      </c>
      <c r="C1582" s="15" t="s">
        <v>800</v>
      </c>
      <c r="D1582" s="15" t="s">
        <v>3750</v>
      </c>
      <c r="E1582" s="15">
        <v>1000</v>
      </c>
      <c r="F1582" s="42">
        <v>44530</v>
      </c>
    </row>
    <row r="1583" spans="1:6" x14ac:dyDescent="0.3">
      <c r="A1583" s="15" t="s">
        <v>45710</v>
      </c>
      <c r="B1583" s="15" t="s">
        <v>800</v>
      </c>
      <c r="C1583" s="15" t="s">
        <v>800</v>
      </c>
      <c r="D1583" s="15" t="s">
        <v>3751</v>
      </c>
      <c r="E1583" s="15">
        <v>1226.8681999999999</v>
      </c>
      <c r="F1583" s="42">
        <v>44530</v>
      </c>
    </row>
    <row r="1584" spans="1:6" x14ac:dyDescent="0.3">
      <c r="A1584" s="15" t="s">
        <v>45709</v>
      </c>
      <c r="B1584" s="15" t="s">
        <v>800</v>
      </c>
      <c r="C1584" s="15" t="s">
        <v>3752</v>
      </c>
      <c r="D1584" s="15" t="s">
        <v>3753</v>
      </c>
      <c r="E1584" s="15">
        <v>1005</v>
      </c>
      <c r="F1584" s="42">
        <v>46201</v>
      </c>
    </row>
    <row r="1585" spans="1:6" x14ac:dyDescent="0.3">
      <c r="A1585" s="15" t="s">
        <v>45708</v>
      </c>
      <c r="B1585" s="15" t="s">
        <v>3754</v>
      </c>
      <c r="C1585" s="15" t="s">
        <v>800</v>
      </c>
      <c r="D1585" s="15" t="s">
        <v>3755</v>
      </c>
      <c r="E1585" s="15">
        <v>3228.2694999999999</v>
      </c>
      <c r="F1585" s="42">
        <v>46201</v>
      </c>
    </row>
    <row r="1586" spans="1:6" x14ac:dyDescent="0.3">
      <c r="A1586" s="15" t="s">
        <v>45707</v>
      </c>
      <c r="B1586" s="15" t="s">
        <v>800</v>
      </c>
      <c r="C1586" s="15" t="s">
        <v>3756</v>
      </c>
      <c r="D1586" s="15" t="s">
        <v>3757</v>
      </c>
      <c r="E1586" s="15">
        <v>1006.1007</v>
      </c>
      <c r="F1586" s="42">
        <v>46201</v>
      </c>
    </row>
    <row r="1587" spans="1:6" x14ac:dyDescent="0.3">
      <c r="A1587" s="15" t="s">
        <v>45706</v>
      </c>
      <c r="B1587" s="15" t="s">
        <v>800</v>
      </c>
      <c r="C1587" s="15" t="s">
        <v>3758</v>
      </c>
      <c r="D1587" s="15" t="s">
        <v>3759</v>
      </c>
      <c r="E1587" s="15">
        <v>1005</v>
      </c>
      <c r="F1587" s="42">
        <v>46201</v>
      </c>
    </row>
    <row r="1588" spans="1:6" x14ac:dyDescent="0.3">
      <c r="A1588" s="15" t="s">
        <v>45705</v>
      </c>
      <c r="B1588" s="15" t="s">
        <v>3760</v>
      </c>
      <c r="C1588" s="15" t="s">
        <v>800</v>
      </c>
      <c r="D1588" s="15" t="s">
        <v>3761</v>
      </c>
      <c r="E1588" s="15">
        <v>3195.1819999999998</v>
      </c>
      <c r="F1588" s="42">
        <v>46201</v>
      </c>
    </row>
    <row r="1589" spans="1:6" x14ac:dyDescent="0.3">
      <c r="A1589" s="15" t="s">
        <v>45704</v>
      </c>
      <c r="B1589" s="15" t="s">
        <v>800</v>
      </c>
      <c r="C1589" s="15" t="s">
        <v>3762</v>
      </c>
      <c r="D1589" s="15" t="s">
        <v>3763</v>
      </c>
      <c r="E1589" s="15">
        <v>1006.0909</v>
      </c>
      <c r="F1589" s="42">
        <v>46201</v>
      </c>
    </row>
    <row r="1590" spans="1:6" x14ac:dyDescent="0.3">
      <c r="A1590" s="15" t="s">
        <v>33499</v>
      </c>
      <c r="B1590" s="15" t="s">
        <v>795</v>
      </c>
      <c r="C1590" s="15" t="s">
        <v>795</v>
      </c>
      <c r="D1590" s="15" t="s">
        <v>795</v>
      </c>
      <c r="F1590" s="42"/>
    </row>
    <row r="1591" spans="1:6" x14ac:dyDescent="0.3">
      <c r="A1591" s="15" t="s">
        <v>37566</v>
      </c>
      <c r="B1591" s="15" t="s">
        <v>795</v>
      </c>
      <c r="C1591" s="15" t="s">
        <v>795</v>
      </c>
      <c r="D1591" s="15" t="s">
        <v>795</v>
      </c>
      <c r="F1591" s="42"/>
    </row>
    <row r="1592" spans="1:6" x14ac:dyDescent="0.3">
      <c r="A1592" s="15" t="s">
        <v>33499</v>
      </c>
      <c r="B1592" s="15" t="s">
        <v>795</v>
      </c>
      <c r="C1592" s="15" t="s">
        <v>795</v>
      </c>
      <c r="D1592" s="15" t="s">
        <v>795</v>
      </c>
      <c r="F1592" s="42"/>
    </row>
    <row r="1593" spans="1:6" x14ac:dyDescent="0.3">
      <c r="A1593" s="15" t="s">
        <v>45703</v>
      </c>
      <c r="B1593" s="15" t="s">
        <v>3764</v>
      </c>
      <c r="C1593" s="15" t="s">
        <v>800</v>
      </c>
      <c r="D1593" s="15" t="s">
        <v>3765</v>
      </c>
      <c r="E1593" s="15">
        <v>1002.0848999999999</v>
      </c>
      <c r="F1593" s="42">
        <v>46201</v>
      </c>
    </row>
    <row r="1594" spans="1:6" x14ac:dyDescent="0.3">
      <c r="A1594" s="15" t="s">
        <v>45702</v>
      </c>
      <c r="B1594" s="15" t="s">
        <v>3766</v>
      </c>
      <c r="C1594" s="15" t="s">
        <v>800</v>
      </c>
      <c r="D1594" s="15" t="s">
        <v>3767</v>
      </c>
      <c r="E1594" s="15">
        <v>3230.3917000000001</v>
      </c>
      <c r="F1594" s="42">
        <v>46201</v>
      </c>
    </row>
    <row r="1595" spans="1:6" x14ac:dyDescent="0.3">
      <c r="A1595" s="15" t="s">
        <v>45701</v>
      </c>
      <c r="B1595" s="15" t="s">
        <v>3768</v>
      </c>
      <c r="C1595" s="15" t="s">
        <v>800</v>
      </c>
      <c r="D1595" s="15" t="s">
        <v>3769</v>
      </c>
      <c r="E1595" s="15">
        <v>1221.3031000000001</v>
      </c>
      <c r="F1595" s="42">
        <v>46201</v>
      </c>
    </row>
    <row r="1596" spans="1:6" x14ac:dyDescent="0.3">
      <c r="A1596" s="15" t="s">
        <v>45700</v>
      </c>
      <c r="B1596" s="15" t="s">
        <v>3770</v>
      </c>
      <c r="C1596" s="15" t="s">
        <v>800</v>
      </c>
      <c r="D1596" s="15" t="s">
        <v>3771</v>
      </c>
      <c r="E1596" s="15">
        <v>1422.9738</v>
      </c>
      <c r="F1596" s="42">
        <v>44634</v>
      </c>
    </row>
    <row r="1597" spans="1:6" x14ac:dyDescent="0.3">
      <c r="A1597" s="15" t="s">
        <v>45699</v>
      </c>
      <c r="B1597" s="15" t="s">
        <v>3772</v>
      </c>
      <c r="C1597" s="15" t="s">
        <v>3773</v>
      </c>
      <c r="D1597" s="15" t="s">
        <v>3774</v>
      </c>
      <c r="E1597" s="15">
        <v>0</v>
      </c>
      <c r="F1597" s="42">
        <v>41397</v>
      </c>
    </row>
    <row r="1598" spans="1:6" x14ac:dyDescent="0.3">
      <c r="A1598" s="15" t="s">
        <v>45698</v>
      </c>
      <c r="B1598" s="15" t="s">
        <v>3775</v>
      </c>
      <c r="C1598" s="15" t="s">
        <v>3776</v>
      </c>
      <c r="D1598" s="15" t="s">
        <v>3777</v>
      </c>
      <c r="E1598" s="15">
        <v>1001.1996</v>
      </c>
      <c r="F1598" s="42">
        <v>46201</v>
      </c>
    </row>
    <row r="1599" spans="1:6" x14ac:dyDescent="0.3">
      <c r="A1599" s="15" t="s">
        <v>45697</v>
      </c>
      <c r="B1599" s="15" t="s">
        <v>3778</v>
      </c>
      <c r="C1599" s="15" t="s">
        <v>800</v>
      </c>
      <c r="D1599" s="15" t="s">
        <v>3779</v>
      </c>
      <c r="E1599" s="15">
        <v>3186.5320999999999</v>
      </c>
      <c r="F1599" s="42">
        <v>46201</v>
      </c>
    </row>
    <row r="1600" spans="1:6" x14ac:dyDescent="0.3">
      <c r="A1600" s="15" t="s">
        <v>45696</v>
      </c>
      <c r="B1600" s="15" t="s">
        <v>3780</v>
      </c>
      <c r="C1600" s="15" t="s">
        <v>3781</v>
      </c>
      <c r="D1600" s="15" t="s">
        <v>3782</v>
      </c>
      <c r="E1600" s="15">
        <v>1001.5507</v>
      </c>
      <c r="F1600" s="42">
        <v>46201</v>
      </c>
    </row>
    <row r="1601" spans="1:6" x14ac:dyDescent="0.3">
      <c r="A1601" s="15" t="s">
        <v>45695</v>
      </c>
      <c r="B1601" s="15" t="s">
        <v>800</v>
      </c>
      <c r="C1601" s="15" t="s">
        <v>800</v>
      </c>
      <c r="D1601" s="15" t="s">
        <v>3783</v>
      </c>
      <c r="E1601" s="15">
        <v>1000</v>
      </c>
      <c r="F1601" s="42">
        <v>44634</v>
      </c>
    </row>
    <row r="1602" spans="1:6" x14ac:dyDescent="0.3">
      <c r="A1602" s="15" t="s">
        <v>45694</v>
      </c>
      <c r="B1602" s="15" t="s">
        <v>800</v>
      </c>
      <c r="C1602" s="15" t="s">
        <v>800</v>
      </c>
      <c r="D1602" s="15" t="s">
        <v>3784</v>
      </c>
      <c r="E1602" s="15">
        <v>1391.4327000000001</v>
      </c>
      <c r="F1602" s="42">
        <v>44634</v>
      </c>
    </row>
    <row r="1603" spans="1:6" x14ac:dyDescent="0.3">
      <c r="A1603" s="15" t="s">
        <v>45693</v>
      </c>
      <c r="B1603" s="15" t="s">
        <v>800</v>
      </c>
      <c r="C1603" s="15" t="s">
        <v>800</v>
      </c>
      <c r="D1603" s="15" t="s">
        <v>3785</v>
      </c>
      <c r="E1603" s="15">
        <v>1000</v>
      </c>
      <c r="F1603" s="42">
        <v>44634</v>
      </c>
    </row>
    <row r="1604" spans="1:6" x14ac:dyDescent="0.3">
      <c r="A1604" s="15" t="s">
        <v>45692</v>
      </c>
      <c r="B1604" s="15" t="s">
        <v>800</v>
      </c>
      <c r="C1604" s="15" t="s">
        <v>800</v>
      </c>
      <c r="D1604" s="15" t="s">
        <v>3786</v>
      </c>
      <c r="E1604" s="15">
        <v>1387.3652</v>
      </c>
      <c r="F1604" s="42">
        <v>44634</v>
      </c>
    </row>
    <row r="1605" spans="1:6" x14ac:dyDescent="0.3">
      <c r="A1605" s="15" t="s">
        <v>45691</v>
      </c>
      <c r="B1605" s="15" t="s">
        <v>3787</v>
      </c>
      <c r="C1605" s="15" t="s">
        <v>800</v>
      </c>
      <c r="D1605" s="15" t="s">
        <v>3788</v>
      </c>
      <c r="E1605" s="15">
        <v>4691.3181000000004</v>
      </c>
      <c r="F1605" s="42">
        <v>46201</v>
      </c>
    </row>
    <row r="1606" spans="1:6" x14ac:dyDescent="0.3">
      <c r="A1606" s="15" t="s">
        <v>45690</v>
      </c>
      <c r="B1606" s="15" t="s">
        <v>3789</v>
      </c>
      <c r="C1606" s="15" t="s">
        <v>3790</v>
      </c>
      <c r="D1606" s="15" t="s">
        <v>3791</v>
      </c>
      <c r="E1606" s="15">
        <v>3870.7485000000001</v>
      </c>
      <c r="F1606" s="42">
        <v>46201</v>
      </c>
    </row>
    <row r="1607" spans="1:6" x14ac:dyDescent="0.3">
      <c r="A1607" s="15" t="s">
        <v>45689</v>
      </c>
      <c r="B1607" s="15" t="s">
        <v>3792</v>
      </c>
      <c r="C1607" s="15" t="s">
        <v>3793</v>
      </c>
      <c r="D1607" s="15" t="s">
        <v>3794</v>
      </c>
      <c r="E1607" s="15">
        <v>1006.0602</v>
      </c>
      <c r="F1607" s="42">
        <v>44777</v>
      </c>
    </row>
    <row r="1608" spans="1:6" x14ac:dyDescent="0.3">
      <c r="A1608" s="15" t="s">
        <v>33499</v>
      </c>
      <c r="B1608" s="15" t="s">
        <v>795</v>
      </c>
      <c r="C1608" s="15" t="s">
        <v>795</v>
      </c>
      <c r="D1608" s="15" t="s">
        <v>795</v>
      </c>
      <c r="F1608" s="42"/>
    </row>
    <row r="1609" spans="1:6" x14ac:dyDescent="0.3">
      <c r="A1609" s="15" t="s">
        <v>40284</v>
      </c>
      <c r="B1609" s="15" t="s">
        <v>795</v>
      </c>
      <c r="C1609" s="15" t="s">
        <v>795</v>
      </c>
      <c r="D1609" s="15" t="s">
        <v>795</v>
      </c>
      <c r="F1609" s="42"/>
    </row>
    <row r="1610" spans="1:6" x14ac:dyDescent="0.3">
      <c r="A1610" s="15" t="s">
        <v>33499</v>
      </c>
      <c r="B1610" s="15" t="s">
        <v>795</v>
      </c>
      <c r="C1610" s="15" t="s">
        <v>795</v>
      </c>
      <c r="D1610" s="15" t="s">
        <v>795</v>
      </c>
      <c r="F1610" s="42"/>
    </row>
    <row r="1611" spans="1:6" x14ac:dyDescent="0.3">
      <c r="A1611" s="15" t="s">
        <v>45688</v>
      </c>
      <c r="B1611" s="15" t="s">
        <v>800</v>
      </c>
      <c r="C1611" s="15" t="s">
        <v>3795</v>
      </c>
      <c r="D1611" s="15" t="s">
        <v>3796</v>
      </c>
      <c r="E1611" s="15">
        <v>1005.5</v>
      </c>
      <c r="F1611" s="42">
        <v>46201</v>
      </c>
    </row>
    <row r="1612" spans="1:6" x14ac:dyDescent="0.3">
      <c r="A1612" s="15" t="s">
        <v>45687</v>
      </c>
      <c r="B1612" s="15" t="s">
        <v>3797</v>
      </c>
      <c r="C1612" s="15" t="s">
        <v>800</v>
      </c>
      <c r="D1612" s="15" t="s">
        <v>3798</v>
      </c>
      <c r="E1612" s="15">
        <v>3359.4906999999998</v>
      </c>
      <c r="F1612" s="42">
        <v>46201</v>
      </c>
    </row>
    <row r="1613" spans="1:6" x14ac:dyDescent="0.3">
      <c r="A1613" s="15" t="s">
        <v>45686</v>
      </c>
      <c r="B1613" s="15" t="s">
        <v>3799</v>
      </c>
      <c r="C1613" s="15" t="s">
        <v>800</v>
      </c>
      <c r="D1613" s="15" t="s">
        <v>3800</v>
      </c>
      <c r="E1613" s="15">
        <v>2404.1437000000001</v>
      </c>
      <c r="F1613" s="42">
        <v>46201</v>
      </c>
    </row>
    <row r="1614" spans="1:6" x14ac:dyDescent="0.3">
      <c r="A1614" s="15" t="s">
        <v>45685</v>
      </c>
      <c r="B1614" s="15" t="s">
        <v>3801</v>
      </c>
      <c r="C1614" s="15" t="s">
        <v>3802</v>
      </c>
      <c r="D1614" s="15" t="s">
        <v>3803</v>
      </c>
      <c r="E1614" s="15">
        <v>1001.5873</v>
      </c>
      <c r="F1614" s="42">
        <v>46201</v>
      </c>
    </row>
    <row r="1615" spans="1:6" x14ac:dyDescent="0.3">
      <c r="A1615" s="15" t="s">
        <v>45684</v>
      </c>
      <c r="B1615" s="15" t="s">
        <v>3804</v>
      </c>
      <c r="C1615" s="15" t="s">
        <v>3805</v>
      </c>
      <c r="D1615" s="15" t="s">
        <v>3806</v>
      </c>
      <c r="E1615" s="15">
        <v>1001.4136</v>
      </c>
      <c r="F1615" s="42">
        <v>46201</v>
      </c>
    </row>
    <row r="1616" spans="1:6" x14ac:dyDescent="0.3">
      <c r="A1616" s="15" t="s">
        <v>45683</v>
      </c>
      <c r="B1616" s="15" t="s">
        <v>800</v>
      </c>
      <c r="C1616" s="15" t="s">
        <v>3807</v>
      </c>
      <c r="D1616" s="15" t="s">
        <v>3808</v>
      </c>
      <c r="E1616" s="15">
        <v>1005.5</v>
      </c>
      <c r="F1616" s="42">
        <v>46201</v>
      </c>
    </row>
    <row r="1617" spans="1:6" x14ac:dyDescent="0.3">
      <c r="A1617" s="15" t="s">
        <v>45682</v>
      </c>
      <c r="B1617" s="15" t="s">
        <v>3809</v>
      </c>
      <c r="C1617" s="15" t="s">
        <v>800</v>
      </c>
      <c r="D1617" s="15" t="s">
        <v>3810</v>
      </c>
      <c r="E1617" s="15">
        <v>3337.6961999999999</v>
      </c>
      <c r="F1617" s="42">
        <v>46201</v>
      </c>
    </row>
    <row r="1618" spans="1:6" x14ac:dyDescent="0.3">
      <c r="A1618" s="15" t="s">
        <v>45681</v>
      </c>
      <c r="B1618" s="15" t="s">
        <v>3811</v>
      </c>
      <c r="C1618" s="15" t="s">
        <v>3812</v>
      </c>
      <c r="D1618" s="15" t="s">
        <v>3813</v>
      </c>
      <c r="E1618" s="15">
        <v>1001.4331</v>
      </c>
      <c r="F1618" s="42">
        <v>46201</v>
      </c>
    </row>
    <row r="1619" spans="1:6" x14ac:dyDescent="0.3">
      <c r="A1619" s="15" t="s">
        <v>45680</v>
      </c>
      <c r="B1619" s="15" t="s">
        <v>3814</v>
      </c>
      <c r="C1619" s="15" t="s">
        <v>3815</v>
      </c>
      <c r="D1619" s="15" t="s">
        <v>3816</v>
      </c>
      <c r="E1619" s="15">
        <v>1001.4072</v>
      </c>
      <c r="F1619" s="42">
        <v>46201</v>
      </c>
    </row>
    <row r="1620" spans="1:6" x14ac:dyDescent="0.3">
      <c r="A1620" s="15" t="s">
        <v>45679</v>
      </c>
      <c r="B1620" s="15" t="s">
        <v>3817</v>
      </c>
      <c r="C1620" s="15" t="s">
        <v>800</v>
      </c>
      <c r="D1620" s="15" t="s">
        <v>3818</v>
      </c>
      <c r="E1620" s="15">
        <v>1833.3956000000001</v>
      </c>
      <c r="F1620" s="42">
        <v>46201</v>
      </c>
    </row>
    <row r="1621" spans="1:6" x14ac:dyDescent="0.3">
      <c r="A1621" s="15" t="s">
        <v>33499</v>
      </c>
      <c r="B1621" s="15" t="s">
        <v>795</v>
      </c>
      <c r="C1621" s="15" t="s">
        <v>795</v>
      </c>
      <c r="D1621" s="15" t="s">
        <v>795</v>
      </c>
      <c r="F1621" s="42"/>
    </row>
    <row r="1622" spans="1:6" x14ac:dyDescent="0.3">
      <c r="A1622" s="15" t="s">
        <v>40279</v>
      </c>
      <c r="B1622" s="15" t="s">
        <v>795</v>
      </c>
      <c r="C1622" s="15" t="s">
        <v>795</v>
      </c>
      <c r="D1622" s="15" t="s">
        <v>795</v>
      </c>
      <c r="F1622" s="42"/>
    </row>
    <row r="1623" spans="1:6" x14ac:dyDescent="0.3">
      <c r="A1623" s="15" t="s">
        <v>33499</v>
      </c>
      <c r="B1623" s="15" t="s">
        <v>795</v>
      </c>
      <c r="C1623" s="15" t="s">
        <v>795</v>
      </c>
      <c r="D1623" s="15" t="s">
        <v>795</v>
      </c>
      <c r="F1623" s="42"/>
    </row>
    <row r="1624" spans="1:6" x14ac:dyDescent="0.3">
      <c r="A1624" s="15" t="s">
        <v>45678</v>
      </c>
      <c r="B1624" s="15" t="s">
        <v>3819</v>
      </c>
      <c r="C1624" s="15" t="s">
        <v>800</v>
      </c>
      <c r="D1624" s="15" t="s">
        <v>3820</v>
      </c>
      <c r="E1624" s="15">
        <v>1039.2708</v>
      </c>
      <c r="F1624" s="42">
        <v>46201</v>
      </c>
    </row>
    <row r="1625" spans="1:6" x14ac:dyDescent="0.3">
      <c r="A1625" s="15" t="s">
        <v>45677</v>
      </c>
      <c r="B1625" s="15" t="s">
        <v>3821</v>
      </c>
      <c r="C1625" s="15" t="s">
        <v>800</v>
      </c>
      <c r="D1625" s="15" t="s">
        <v>3822</v>
      </c>
      <c r="E1625" s="15">
        <v>1038.0595000000001</v>
      </c>
      <c r="F1625" s="42">
        <v>46201</v>
      </c>
    </row>
    <row r="1626" spans="1:6" x14ac:dyDescent="0.3">
      <c r="A1626" s="15" t="s">
        <v>33499</v>
      </c>
      <c r="B1626" s="15" t="s">
        <v>795</v>
      </c>
      <c r="C1626" s="15" t="s">
        <v>795</v>
      </c>
      <c r="D1626" s="15" t="s">
        <v>795</v>
      </c>
      <c r="F1626" s="42"/>
    </row>
    <row r="1627" spans="1:6" x14ac:dyDescent="0.3">
      <c r="A1627" s="15" t="s">
        <v>37061</v>
      </c>
      <c r="B1627" s="15" t="s">
        <v>795</v>
      </c>
      <c r="C1627" s="15" t="s">
        <v>795</v>
      </c>
      <c r="D1627" s="15" t="s">
        <v>795</v>
      </c>
      <c r="F1627" s="42"/>
    </row>
    <row r="1628" spans="1:6" x14ac:dyDescent="0.3">
      <c r="A1628" s="15" t="s">
        <v>33499</v>
      </c>
      <c r="B1628" s="15" t="s">
        <v>795</v>
      </c>
      <c r="C1628" s="15" t="s">
        <v>795</v>
      </c>
      <c r="D1628" s="15" t="s">
        <v>795</v>
      </c>
      <c r="F1628" s="42"/>
    </row>
    <row r="1629" spans="1:6" x14ac:dyDescent="0.3">
      <c r="A1629" s="15" t="s">
        <v>45676</v>
      </c>
      <c r="B1629" s="15" t="s">
        <v>3823</v>
      </c>
      <c r="C1629" s="15" t="s">
        <v>800</v>
      </c>
      <c r="D1629" s="15" t="s">
        <v>3824</v>
      </c>
      <c r="E1629" s="15">
        <v>4009.5698000000002</v>
      </c>
      <c r="F1629" s="42">
        <v>46201</v>
      </c>
    </row>
    <row r="1630" spans="1:6" x14ac:dyDescent="0.3">
      <c r="A1630" s="15" t="s">
        <v>45675</v>
      </c>
      <c r="B1630" s="15" t="s">
        <v>800</v>
      </c>
      <c r="C1630" s="15" t="s">
        <v>3825</v>
      </c>
      <c r="D1630" s="15" t="s">
        <v>3826</v>
      </c>
      <c r="E1630" s="15">
        <v>1001.4663</v>
      </c>
      <c r="F1630" s="42">
        <v>46201</v>
      </c>
    </row>
    <row r="1631" spans="1:6" x14ac:dyDescent="0.3">
      <c r="A1631" s="15" t="s">
        <v>45674</v>
      </c>
      <c r="B1631" s="15" t="s">
        <v>3827</v>
      </c>
      <c r="C1631" s="15" t="s">
        <v>3828</v>
      </c>
      <c r="D1631" s="15" t="s">
        <v>3829</v>
      </c>
      <c r="E1631" s="15">
        <v>1001.9662</v>
      </c>
      <c r="F1631" s="42">
        <v>46201</v>
      </c>
    </row>
    <row r="1632" spans="1:6" x14ac:dyDescent="0.3">
      <c r="A1632" s="15" t="s">
        <v>45673</v>
      </c>
      <c r="B1632" s="15" t="s">
        <v>3830</v>
      </c>
      <c r="C1632" s="15" t="s">
        <v>800</v>
      </c>
      <c r="D1632" s="15" t="s">
        <v>3831</v>
      </c>
      <c r="E1632" s="15">
        <v>3960.4659999999999</v>
      </c>
      <c r="F1632" s="42">
        <v>46201</v>
      </c>
    </row>
    <row r="1633" spans="1:6" x14ac:dyDescent="0.3">
      <c r="A1633" s="15" t="s">
        <v>45672</v>
      </c>
      <c r="B1633" s="15" t="s">
        <v>3832</v>
      </c>
      <c r="C1633" s="15" t="s">
        <v>3833</v>
      </c>
      <c r="D1633" s="15" t="s">
        <v>3834</v>
      </c>
      <c r="E1633" s="15">
        <v>1001.9587</v>
      </c>
      <c r="F1633" s="42">
        <v>46201</v>
      </c>
    </row>
    <row r="1634" spans="1:6" x14ac:dyDescent="0.3">
      <c r="A1634" s="15" t="s">
        <v>45671</v>
      </c>
      <c r="B1634" s="15" t="s">
        <v>800</v>
      </c>
      <c r="C1634" s="15" t="s">
        <v>3835</v>
      </c>
      <c r="D1634" s="15" t="s">
        <v>3836</v>
      </c>
      <c r="E1634" s="15">
        <v>1001.4663</v>
      </c>
      <c r="F1634" s="42">
        <v>46201</v>
      </c>
    </row>
    <row r="1635" spans="1:6" x14ac:dyDescent="0.3">
      <c r="A1635" s="15" t="s">
        <v>33499</v>
      </c>
      <c r="B1635" s="15" t="s">
        <v>795</v>
      </c>
      <c r="C1635" s="15" t="s">
        <v>795</v>
      </c>
      <c r="D1635" s="15" t="s">
        <v>795</v>
      </c>
      <c r="F1635" s="42"/>
    </row>
    <row r="1636" spans="1:6" x14ac:dyDescent="0.3">
      <c r="A1636" s="15" t="s">
        <v>37895</v>
      </c>
      <c r="B1636" s="15" t="s">
        <v>795</v>
      </c>
      <c r="C1636" s="15" t="s">
        <v>795</v>
      </c>
      <c r="D1636" s="15" t="s">
        <v>795</v>
      </c>
      <c r="F1636" s="42"/>
    </row>
    <row r="1637" spans="1:6" x14ac:dyDescent="0.3">
      <c r="A1637" s="15" t="s">
        <v>33499</v>
      </c>
      <c r="B1637" s="15" t="s">
        <v>795</v>
      </c>
      <c r="C1637" s="15" t="s">
        <v>795</v>
      </c>
      <c r="D1637" s="15" t="s">
        <v>795</v>
      </c>
      <c r="F1637" s="42"/>
    </row>
    <row r="1638" spans="1:6" x14ac:dyDescent="0.3">
      <c r="A1638" s="15" t="s">
        <v>45670</v>
      </c>
      <c r="B1638" s="15" t="s">
        <v>3837</v>
      </c>
      <c r="C1638" s="15" t="s">
        <v>800</v>
      </c>
      <c r="D1638" s="15" t="s">
        <v>3838</v>
      </c>
      <c r="E1638" s="15">
        <v>2108.3425000000002</v>
      </c>
      <c r="F1638" s="42">
        <v>46201</v>
      </c>
    </row>
    <row r="1639" spans="1:6" x14ac:dyDescent="0.3">
      <c r="A1639" s="15" t="s">
        <v>45669</v>
      </c>
      <c r="B1639" s="15" t="s">
        <v>3839</v>
      </c>
      <c r="C1639" s="15" t="s">
        <v>800</v>
      </c>
      <c r="D1639" s="15" t="s">
        <v>3840</v>
      </c>
      <c r="E1639" s="15">
        <v>3623.9454000000001</v>
      </c>
      <c r="F1639" s="42">
        <v>46201</v>
      </c>
    </row>
    <row r="1640" spans="1:6" x14ac:dyDescent="0.3">
      <c r="A1640" s="15" t="s">
        <v>45668</v>
      </c>
      <c r="B1640" s="15" t="s">
        <v>3841</v>
      </c>
      <c r="C1640" s="15" t="s">
        <v>3842</v>
      </c>
      <c r="D1640" s="15" t="s">
        <v>3843</v>
      </c>
      <c r="E1640" s="15">
        <v>3623.9587999999999</v>
      </c>
      <c r="F1640" s="42">
        <v>46201</v>
      </c>
    </row>
    <row r="1641" spans="1:6" x14ac:dyDescent="0.3">
      <c r="A1641" s="15" t="s">
        <v>45667</v>
      </c>
      <c r="B1641" s="15" t="s">
        <v>3844</v>
      </c>
      <c r="C1641" s="15" t="s">
        <v>3845</v>
      </c>
      <c r="D1641" s="15" t="s">
        <v>3846</v>
      </c>
      <c r="E1641" s="15">
        <v>3623.9196000000002</v>
      </c>
      <c r="F1641" s="42">
        <v>46201</v>
      </c>
    </row>
    <row r="1642" spans="1:6" x14ac:dyDescent="0.3">
      <c r="A1642" s="15" t="s">
        <v>45666</v>
      </c>
      <c r="B1642" s="15" t="s">
        <v>800</v>
      </c>
      <c r="C1642" s="15" t="s">
        <v>3847</v>
      </c>
      <c r="D1642" s="15" t="s">
        <v>3848</v>
      </c>
      <c r="E1642" s="15">
        <v>1194.4512</v>
      </c>
      <c r="F1642" s="42">
        <v>46201</v>
      </c>
    </row>
    <row r="1643" spans="1:6" x14ac:dyDescent="0.3">
      <c r="A1643" s="15" t="s">
        <v>45665</v>
      </c>
      <c r="B1643" s="15" t="s">
        <v>3849</v>
      </c>
      <c r="C1643" s="15" t="s">
        <v>3850</v>
      </c>
      <c r="D1643" s="15" t="s">
        <v>3851</v>
      </c>
      <c r="E1643" s="15">
        <v>2472.9852000000001</v>
      </c>
      <c r="F1643" s="42">
        <v>46201</v>
      </c>
    </row>
    <row r="1644" spans="1:6" x14ac:dyDescent="0.3">
      <c r="A1644" s="15" t="s">
        <v>45664</v>
      </c>
      <c r="B1644" s="15" t="s">
        <v>3852</v>
      </c>
      <c r="C1644" s="15" t="s">
        <v>3853</v>
      </c>
      <c r="D1644" s="15" t="s">
        <v>3854</v>
      </c>
      <c r="E1644" s="15">
        <v>1004.7944</v>
      </c>
      <c r="F1644" s="42">
        <v>46201</v>
      </c>
    </row>
    <row r="1645" spans="1:6" x14ac:dyDescent="0.3">
      <c r="A1645" s="15" t="s">
        <v>45663</v>
      </c>
      <c r="B1645" s="15" t="s">
        <v>3855</v>
      </c>
      <c r="C1645" s="15" t="s">
        <v>3856</v>
      </c>
      <c r="D1645" s="15" t="s">
        <v>3857</v>
      </c>
      <c r="E1645" s="15">
        <v>2175.1565000000001</v>
      </c>
      <c r="F1645" s="42">
        <v>46201</v>
      </c>
    </row>
    <row r="1646" spans="1:6" x14ac:dyDescent="0.3">
      <c r="A1646" s="15" t="s">
        <v>45662</v>
      </c>
      <c r="B1646" s="15" t="s">
        <v>3858</v>
      </c>
      <c r="C1646" s="15" t="s">
        <v>800</v>
      </c>
      <c r="D1646" s="15" t="s">
        <v>3859</v>
      </c>
      <c r="E1646" s="15">
        <v>2066.9229</v>
      </c>
      <c r="F1646" s="42">
        <v>46201</v>
      </c>
    </row>
    <row r="1647" spans="1:6" x14ac:dyDescent="0.3">
      <c r="A1647" s="15" t="s">
        <v>45661</v>
      </c>
      <c r="B1647" s="15" t="s">
        <v>3860</v>
      </c>
      <c r="C1647" s="15" t="s">
        <v>800</v>
      </c>
      <c r="D1647" s="15" t="s">
        <v>3861</v>
      </c>
      <c r="E1647" s="15">
        <v>3548.1426999999999</v>
      </c>
      <c r="F1647" s="42">
        <v>46201</v>
      </c>
    </row>
    <row r="1648" spans="1:6" x14ac:dyDescent="0.3">
      <c r="A1648" s="15" t="s">
        <v>45660</v>
      </c>
      <c r="B1648" s="15" t="s">
        <v>3862</v>
      </c>
      <c r="C1648" s="15" t="s">
        <v>3863</v>
      </c>
      <c r="D1648" s="15" t="s">
        <v>3864</v>
      </c>
      <c r="E1648" s="15">
        <v>3548.1459</v>
      </c>
      <c r="F1648" s="42">
        <v>46201</v>
      </c>
    </row>
    <row r="1649" spans="1:6" x14ac:dyDescent="0.3">
      <c r="A1649" s="15" t="s">
        <v>45659</v>
      </c>
      <c r="B1649" s="15" t="s">
        <v>3865</v>
      </c>
      <c r="C1649" s="15" t="s">
        <v>3866</v>
      </c>
      <c r="D1649" s="15" t="s">
        <v>3867</v>
      </c>
      <c r="E1649" s="15">
        <v>2455.0091000000002</v>
      </c>
      <c r="F1649" s="42">
        <v>46201</v>
      </c>
    </row>
    <row r="1650" spans="1:6" x14ac:dyDescent="0.3">
      <c r="A1650" s="15" t="s">
        <v>45658</v>
      </c>
      <c r="B1650" s="15" t="s">
        <v>800</v>
      </c>
      <c r="C1650" s="15" t="s">
        <v>3868</v>
      </c>
      <c r="D1650" s="15" t="s">
        <v>3869</v>
      </c>
      <c r="E1650" s="15">
        <v>1313.7752</v>
      </c>
      <c r="F1650" s="42">
        <v>46201</v>
      </c>
    </row>
    <row r="1651" spans="1:6" x14ac:dyDescent="0.3">
      <c r="A1651" s="15" t="s">
        <v>45657</v>
      </c>
      <c r="B1651" s="15" t="s">
        <v>3870</v>
      </c>
      <c r="C1651" s="15" t="s">
        <v>3871</v>
      </c>
      <c r="D1651" s="15" t="s">
        <v>3872</v>
      </c>
      <c r="E1651" s="15">
        <v>2152.6815000000001</v>
      </c>
      <c r="F1651" s="42">
        <v>46201</v>
      </c>
    </row>
    <row r="1652" spans="1:6" x14ac:dyDescent="0.3">
      <c r="A1652" s="15" t="s">
        <v>45656</v>
      </c>
      <c r="B1652" s="15" t="s">
        <v>3873</v>
      </c>
      <c r="C1652" s="15" t="s">
        <v>3874</v>
      </c>
      <c r="D1652" s="15" t="s">
        <v>3875</v>
      </c>
      <c r="E1652" s="15">
        <v>1082.98</v>
      </c>
      <c r="F1652" s="42">
        <v>46201</v>
      </c>
    </row>
    <row r="1653" spans="1:6" x14ac:dyDescent="0.3">
      <c r="A1653" s="15" t="s">
        <v>45655</v>
      </c>
      <c r="B1653" s="15" t="s">
        <v>3876</v>
      </c>
      <c r="C1653" s="15" t="s">
        <v>3877</v>
      </c>
      <c r="D1653" s="15" t="s">
        <v>3878</v>
      </c>
      <c r="E1653" s="15">
        <v>1216.3676</v>
      </c>
      <c r="F1653" s="42">
        <v>46201</v>
      </c>
    </row>
    <row r="1654" spans="1:6" x14ac:dyDescent="0.3">
      <c r="A1654" s="15" t="s">
        <v>45654</v>
      </c>
      <c r="B1654" s="15" t="s">
        <v>3879</v>
      </c>
      <c r="C1654" s="15" t="s">
        <v>800</v>
      </c>
      <c r="D1654" s="15" t="s">
        <v>3880</v>
      </c>
      <c r="E1654" s="15">
        <v>3226.7473</v>
      </c>
      <c r="F1654" s="42">
        <v>46201</v>
      </c>
    </row>
    <row r="1655" spans="1:6" x14ac:dyDescent="0.3">
      <c r="A1655" s="15" t="s">
        <v>45653</v>
      </c>
      <c r="B1655" s="15" t="s">
        <v>800</v>
      </c>
      <c r="C1655" s="15" t="s">
        <v>3881</v>
      </c>
      <c r="D1655" s="15" t="s">
        <v>3882</v>
      </c>
      <c r="E1655" s="15">
        <v>1232.1436000000001</v>
      </c>
      <c r="F1655" s="42">
        <v>46201</v>
      </c>
    </row>
    <row r="1656" spans="1:6" x14ac:dyDescent="0.3">
      <c r="A1656" s="15" t="s">
        <v>45652</v>
      </c>
      <c r="B1656" s="15" t="s">
        <v>800</v>
      </c>
      <c r="C1656" s="15" t="s">
        <v>3883</v>
      </c>
      <c r="D1656" s="15" t="s">
        <v>3884</v>
      </c>
      <c r="E1656" s="15">
        <v>1156.3253999999999</v>
      </c>
      <c r="F1656" s="42">
        <v>46201</v>
      </c>
    </row>
    <row r="1657" spans="1:6" x14ac:dyDescent="0.3">
      <c r="A1657" s="15" t="s">
        <v>45651</v>
      </c>
      <c r="B1657" s="15" t="s">
        <v>800</v>
      </c>
      <c r="C1657" s="15" t="s">
        <v>3885</v>
      </c>
      <c r="D1657" s="15" t="s">
        <v>3886</v>
      </c>
      <c r="E1657" s="15">
        <v>1244.2186999999999</v>
      </c>
      <c r="F1657" s="42">
        <v>46201</v>
      </c>
    </row>
    <row r="1658" spans="1:6" x14ac:dyDescent="0.3">
      <c r="A1658" s="15" t="s">
        <v>33499</v>
      </c>
      <c r="B1658" s="15" t="s">
        <v>795</v>
      </c>
      <c r="C1658" s="15" t="s">
        <v>795</v>
      </c>
      <c r="D1658" s="15" t="s">
        <v>795</v>
      </c>
      <c r="F1658" s="42"/>
    </row>
    <row r="1659" spans="1:6" x14ac:dyDescent="0.3">
      <c r="A1659" s="15" t="s">
        <v>37044</v>
      </c>
      <c r="B1659" s="15" t="s">
        <v>795</v>
      </c>
      <c r="C1659" s="15" t="s">
        <v>795</v>
      </c>
      <c r="D1659" s="15" t="s">
        <v>795</v>
      </c>
      <c r="F1659" s="42"/>
    </row>
    <row r="1660" spans="1:6" x14ac:dyDescent="0.3">
      <c r="A1660" s="15" t="s">
        <v>33499</v>
      </c>
      <c r="B1660" s="15" t="s">
        <v>795</v>
      </c>
      <c r="C1660" s="15" t="s">
        <v>795</v>
      </c>
      <c r="D1660" s="15" t="s">
        <v>795</v>
      </c>
      <c r="F1660" s="42"/>
    </row>
    <row r="1661" spans="1:6" x14ac:dyDescent="0.3">
      <c r="A1661" s="15" t="s">
        <v>45650</v>
      </c>
      <c r="B1661" s="15" t="s">
        <v>800</v>
      </c>
      <c r="C1661" s="15" t="s">
        <v>3887</v>
      </c>
      <c r="D1661" s="15" t="s">
        <v>3888</v>
      </c>
      <c r="E1661" s="15">
        <v>1509.0074999999999</v>
      </c>
      <c r="F1661" s="42">
        <v>46201</v>
      </c>
    </row>
    <row r="1662" spans="1:6" x14ac:dyDescent="0.3">
      <c r="A1662" s="15" t="s">
        <v>45649</v>
      </c>
      <c r="B1662" s="15" t="s">
        <v>3889</v>
      </c>
      <c r="C1662" s="15" t="s">
        <v>800</v>
      </c>
      <c r="D1662" s="15" t="s">
        <v>3890</v>
      </c>
      <c r="E1662" s="15">
        <v>6240.7781000000004</v>
      </c>
      <c r="F1662" s="42">
        <v>46201</v>
      </c>
    </row>
    <row r="1663" spans="1:6" x14ac:dyDescent="0.3">
      <c r="A1663" s="15" t="s">
        <v>45648</v>
      </c>
      <c r="B1663" s="15" t="s">
        <v>3891</v>
      </c>
      <c r="C1663" s="15" t="s">
        <v>3892</v>
      </c>
      <c r="D1663" s="15" t="s">
        <v>3893</v>
      </c>
      <c r="E1663" s="15">
        <v>1244.2967000000001</v>
      </c>
      <c r="F1663" s="42">
        <v>46201</v>
      </c>
    </row>
    <row r="1664" spans="1:6" x14ac:dyDescent="0.3">
      <c r="A1664" s="15" t="s">
        <v>45647</v>
      </c>
      <c r="B1664" s="15" t="s">
        <v>3894</v>
      </c>
      <c r="C1664" s="15" t="s">
        <v>800</v>
      </c>
      <c r="D1664" s="15" t="s">
        <v>3895</v>
      </c>
      <c r="E1664" s="15">
        <v>4213.8775999999998</v>
      </c>
      <c r="F1664" s="42">
        <v>46201</v>
      </c>
    </row>
    <row r="1665" spans="1:6" x14ac:dyDescent="0.3">
      <c r="A1665" s="15" t="s">
        <v>45646</v>
      </c>
      <c r="B1665" s="15" t="s">
        <v>800</v>
      </c>
      <c r="C1665" s="15" t="s">
        <v>3896</v>
      </c>
      <c r="D1665" s="15" t="s">
        <v>3897</v>
      </c>
      <c r="E1665" s="15">
        <v>1000</v>
      </c>
      <c r="F1665" s="42">
        <v>46201</v>
      </c>
    </row>
    <row r="1666" spans="1:6" x14ac:dyDescent="0.3">
      <c r="A1666" s="15" t="s">
        <v>45645</v>
      </c>
      <c r="B1666" s="15" t="s">
        <v>3898</v>
      </c>
      <c r="C1666" s="15" t="s">
        <v>800</v>
      </c>
      <c r="D1666" s="15" t="s">
        <v>3899</v>
      </c>
      <c r="E1666" s="15">
        <v>1002.8152</v>
      </c>
      <c r="F1666" s="42">
        <v>46201</v>
      </c>
    </row>
    <row r="1667" spans="1:6" x14ac:dyDescent="0.3">
      <c r="A1667" s="15" t="s">
        <v>45644</v>
      </c>
      <c r="B1667" s="15" t="s">
        <v>3900</v>
      </c>
      <c r="C1667" s="15" t="s">
        <v>3901</v>
      </c>
      <c r="D1667" s="15" t="s">
        <v>3902</v>
      </c>
      <c r="E1667" s="15">
        <v>1021.9698</v>
      </c>
      <c r="F1667" s="42">
        <v>46201</v>
      </c>
    </row>
    <row r="1668" spans="1:6" x14ac:dyDescent="0.3">
      <c r="A1668" s="15" t="s">
        <v>45643</v>
      </c>
      <c r="B1668" s="15" t="s">
        <v>3903</v>
      </c>
      <c r="C1668" s="15" t="s">
        <v>800</v>
      </c>
      <c r="D1668" s="15" t="s">
        <v>3904</v>
      </c>
      <c r="E1668" s="15">
        <v>4176.6706999999997</v>
      </c>
      <c r="F1668" s="42">
        <v>46201</v>
      </c>
    </row>
    <row r="1669" spans="1:6" x14ac:dyDescent="0.3">
      <c r="A1669" s="15" t="s">
        <v>45642</v>
      </c>
      <c r="B1669" s="15" t="s">
        <v>3905</v>
      </c>
      <c r="C1669" s="15" t="s">
        <v>3906</v>
      </c>
      <c r="D1669" s="15" t="s">
        <v>3907</v>
      </c>
      <c r="E1669" s="15">
        <v>1037.1069</v>
      </c>
      <c r="F1669" s="42">
        <v>46201</v>
      </c>
    </row>
    <row r="1670" spans="1:6" x14ac:dyDescent="0.3">
      <c r="A1670" s="15" t="s">
        <v>45641</v>
      </c>
      <c r="B1670" s="15" t="s">
        <v>3908</v>
      </c>
      <c r="C1670" s="15" t="s">
        <v>800</v>
      </c>
      <c r="D1670" s="15" t="s">
        <v>3909</v>
      </c>
      <c r="E1670" s="15">
        <v>10</v>
      </c>
      <c r="F1670" s="42">
        <v>46201</v>
      </c>
    </row>
    <row r="1671" spans="1:6" x14ac:dyDescent="0.3">
      <c r="A1671" s="15" t="s">
        <v>45640</v>
      </c>
      <c r="B1671" s="15" t="s">
        <v>3910</v>
      </c>
      <c r="C1671" s="15" t="s">
        <v>800</v>
      </c>
      <c r="D1671" s="15" t="s">
        <v>3911</v>
      </c>
      <c r="E1671" s="15">
        <v>17.781400000000001</v>
      </c>
      <c r="F1671" s="42">
        <v>46201</v>
      </c>
    </row>
    <row r="1672" spans="1:6" x14ac:dyDescent="0.3">
      <c r="A1672" s="15" t="s">
        <v>45639</v>
      </c>
      <c r="B1672" s="15" t="s">
        <v>3912</v>
      </c>
      <c r="C1672" s="15" t="s">
        <v>800</v>
      </c>
      <c r="D1672" s="15" t="s">
        <v>3913</v>
      </c>
      <c r="E1672" s="15">
        <v>10</v>
      </c>
      <c r="F1672" s="42">
        <v>46201</v>
      </c>
    </row>
    <row r="1673" spans="1:6" x14ac:dyDescent="0.3">
      <c r="A1673" s="15" t="s">
        <v>45638</v>
      </c>
      <c r="B1673" s="15" t="s">
        <v>3914</v>
      </c>
      <c r="C1673" s="15" t="s">
        <v>800</v>
      </c>
      <c r="D1673" s="15" t="s">
        <v>3915</v>
      </c>
      <c r="E1673" s="15">
        <v>17.781400000000001</v>
      </c>
      <c r="F1673" s="42">
        <v>46201</v>
      </c>
    </row>
    <row r="1674" spans="1:6" x14ac:dyDescent="0.3">
      <c r="A1674" s="15" t="s">
        <v>45637</v>
      </c>
      <c r="B1674" s="15" t="s">
        <v>3916</v>
      </c>
      <c r="C1674" s="15" t="s">
        <v>800</v>
      </c>
      <c r="D1674" s="15" t="s">
        <v>3917</v>
      </c>
      <c r="E1674" s="15">
        <v>0</v>
      </c>
      <c r="F1674" s="42">
        <v>44020</v>
      </c>
    </row>
    <row r="1675" spans="1:6" x14ac:dyDescent="0.3">
      <c r="A1675" s="15" t="s">
        <v>45636</v>
      </c>
      <c r="B1675" s="15" t="s">
        <v>800</v>
      </c>
      <c r="C1675" s="15" t="s">
        <v>3918</v>
      </c>
      <c r="D1675" s="15" t="s">
        <v>3919</v>
      </c>
      <c r="E1675" s="15">
        <v>1000</v>
      </c>
      <c r="F1675" s="42">
        <v>46201</v>
      </c>
    </row>
    <row r="1676" spans="1:6" x14ac:dyDescent="0.3">
      <c r="A1676" s="15" t="s">
        <v>45635</v>
      </c>
      <c r="B1676" s="15" t="s">
        <v>3920</v>
      </c>
      <c r="C1676" s="15" t="s">
        <v>3921</v>
      </c>
      <c r="D1676" s="15" t="s">
        <v>3922</v>
      </c>
      <c r="E1676" s="15">
        <v>1054.7184</v>
      </c>
      <c r="F1676" s="42">
        <v>46201</v>
      </c>
    </row>
    <row r="1677" spans="1:6" x14ac:dyDescent="0.3">
      <c r="A1677" s="15" t="s">
        <v>33499</v>
      </c>
      <c r="B1677" s="15" t="s">
        <v>795</v>
      </c>
      <c r="C1677" s="15" t="s">
        <v>795</v>
      </c>
      <c r="D1677" s="15" t="s">
        <v>795</v>
      </c>
      <c r="F1677" s="42"/>
    </row>
    <row r="1678" spans="1:6" x14ac:dyDescent="0.3">
      <c r="A1678" s="15" t="s">
        <v>37881</v>
      </c>
      <c r="B1678" s="15" t="s">
        <v>795</v>
      </c>
      <c r="C1678" s="15" t="s">
        <v>795</v>
      </c>
      <c r="D1678" s="15" t="s">
        <v>795</v>
      </c>
      <c r="F1678" s="42"/>
    </row>
    <row r="1679" spans="1:6" x14ac:dyDescent="0.3">
      <c r="A1679" s="15" t="s">
        <v>33499</v>
      </c>
      <c r="B1679" s="15" t="s">
        <v>795</v>
      </c>
      <c r="C1679" s="15" t="s">
        <v>795</v>
      </c>
      <c r="D1679" s="15" t="s">
        <v>795</v>
      </c>
      <c r="F1679" s="42"/>
    </row>
    <row r="1680" spans="1:6" x14ac:dyDescent="0.3">
      <c r="A1680" s="15" t="s">
        <v>45634</v>
      </c>
      <c r="B1680" s="15" t="s">
        <v>3923</v>
      </c>
      <c r="C1680" s="15" t="s">
        <v>800</v>
      </c>
      <c r="D1680" s="15" t="s">
        <v>3924</v>
      </c>
      <c r="E1680" s="15">
        <v>2717.4562999999998</v>
      </c>
      <c r="F1680" s="42">
        <v>46201</v>
      </c>
    </row>
    <row r="1681" spans="1:6" x14ac:dyDescent="0.3">
      <c r="A1681" s="15" t="s">
        <v>45633</v>
      </c>
      <c r="B1681" s="15" t="s">
        <v>800</v>
      </c>
      <c r="C1681" s="15" t="s">
        <v>3925</v>
      </c>
      <c r="D1681" s="15" t="s">
        <v>3926</v>
      </c>
      <c r="E1681" s="15">
        <v>1002.0907</v>
      </c>
      <c r="F1681" s="42">
        <v>46201</v>
      </c>
    </row>
    <row r="1682" spans="1:6" x14ac:dyDescent="0.3">
      <c r="A1682" s="15" t="s">
        <v>45632</v>
      </c>
      <c r="B1682" s="15" t="s">
        <v>3927</v>
      </c>
      <c r="C1682" s="15" t="s">
        <v>800</v>
      </c>
      <c r="D1682" s="15" t="s">
        <v>3928</v>
      </c>
      <c r="E1682" s="15">
        <v>2681.9378000000002</v>
      </c>
      <c r="F1682" s="42">
        <v>46201</v>
      </c>
    </row>
    <row r="1683" spans="1:6" x14ac:dyDescent="0.3">
      <c r="A1683" s="15" t="s">
        <v>45631</v>
      </c>
      <c r="B1683" s="15" t="s">
        <v>3929</v>
      </c>
      <c r="C1683" s="15" t="s">
        <v>3930</v>
      </c>
      <c r="D1683" s="15" t="s">
        <v>3931</v>
      </c>
      <c r="E1683" s="15">
        <v>1002.2857</v>
      </c>
      <c r="F1683" s="42">
        <v>46201</v>
      </c>
    </row>
    <row r="1684" spans="1:6" x14ac:dyDescent="0.3">
      <c r="A1684" s="15" t="s">
        <v>45630</v>
      </c>
      <c r="B1684" s="15" t="s">
        <v>3932</v>
      </c>
      <c r="C1684" s="15" t="s">
        <v>3933</v>
      </c>
      <c r="D1684" s="15" t="s">
        <v>3934</v>
      </c>
      <c r="E1684" s="15">
        <v>1034.9484</v>
      </c>
      <c r="F1684" s="42">
        <v>46201</v>
      </c>
    </row>
    <row r="1685" spans="1:6" x14ac:dyDescent="0.3">
      <c r="A1685" s="15" t="s">
        <v>45629</v>
      </c>
      <c r="B1685" s="15" t="s">
        <v>3935</v>
      </c>
      <c r="C1685" s="15" t="s">
        <v>3936</v>
      </c>
      <c r="D1685" s="15" t="s">
        <v>3937</v>
      </c>
      <c r="E1685" s="15">
        <v>1002.8884</v>
      </c>
      <c r="F1685" s="42">
        <v>46201</v>
      </c>
    </row>
    <row r="1686" spans="1:6" x14ac:dyDescent="0.3">
      <c r="A1686" s="15" t="s">
        <v>45628</v>
      </c>
      <c r="B1686" s="15" t="s">
        <v>800</v>
      </c>
      <c r="C1686" s="15" t="s">
        <v>3938</v>
      </c>
      <c r="D1686" s="15" t="s">
        <v>3939</v>
      </c>
      <c r="E1686" s="15">
        <v>1002.0894</v>
      </c>
      <c r="F1686" s="42">
        <v>46201</v>
      </c>
    </row>
    <row r="1687" spans="1:6" x14ac:dyDescent="0.3">
      <c r="A1687" s="15" t="s">
        <v>45627</v>
      </c>
      <c r="B1687" s="15" t="s">
        <v>3940</v>
      </c>
      <c r="C1687" s="15" t="s">
        <v>3941</v>
      </c>
      <c r="D1687" s="15" t="s">
        <v>3942</v>
      </c>
      <c r="E1687" s="15">
        <v>1007.071</v>
      </c>
      <c r="F1687" s="42">
        <v>46201</v>
      </c>
    </row>
    <row r="1688" spans="1:6" x14ac:dyDescent="0.3">
      <c r="A1688" s="15" t="s">
        <v>45626</v>
      </c>
      <c r="B1688" s="15" t="s">
        <v>3943</v>
      </c>
      <c r="C1688" s="15" t="s">
        <v>3944</v>
      </c>
      <c r="D1688" s="15" t="s">
        <v>3945</v>
      </c>
      <c r="E1688" s="15">
        <v>1002.8694</v>
      </c>
      <c r="F1688" s="42">
        <v>46201</v>
      </c>
    </row>
    <row r="1689" spans="1:6" x14ac:dyDescent="0.3">
      <c r="A1689" s="15" t="s">
        <v>45625</v>
      </c>
      <c r="B1689" s="15" t="s">
        <v>3946</v>
      </c>
      <c r="C1689" s="15" t="s">
        <v>3947</v>
      </c>
      <c r="D1689" s="15" t="s">
        <v>3948</v>
      </c>
      <c r="E1689" s="15">
        <v>1002.2892000000001</v>
      </c>
      <c r="F1689" s="42">
        <v>46201</v>
      </c>
    </row>
    <row r="1690" spans="1:6" x14ac:dyDescent="0.3">
      <c r="A1690" s="15" t="s">
        <v>33499</v>
      </c>
      <c r="B1690" s="15" t="s">
        <v>795</v>
      </c>
      <c r="C1690" s="15" t="s">
        <v>795</v>
      </c>
      <c r="D1690" s="15" t="s">
        <v>795</v>
      </c>
      <c r="F1690" s="42"/>
    </row>
    <row r="1691" spans="1:6" x14ac:dyDescent="0.3">
      <c r="A1691" s="15" t="s">
        <v>37043</v>
      </c>
      <c r="B1691" s="15" t="s">
        <v>795</v>
      </c>
      <c r="C1691" s="15" t="s">
        <v>795</v>
      </c>
      <c r="D1691" s="15" t="s">
        <v>795</v>
      </c>
      <c r="F1691" s="42"/>
    </row>
    <row r="1692" spans="1:6" x14ac:dyDescent="0.3">
      <c r="A1692" s="15" t="s">
        <v>33499</v>
      </c>
      <c r="B1692" s="15" t="s">
        <v>795</v>
      </c>
      <c r="C1692" s="15" t="s">
        <v>795</v>
      </c>
      <c r="D1692" s="15" t="s">
        <v>795</v>
      </c>
      <c r="F1692" s="42"/>
    </row>
    <row r="1693" spans="1:6" x14ac:dyDescent="0.3">
      <c r="A1693" s="15" t="s">
        <v>45624</v>
      </c>
      <c r="B1693" s="15" t="s">
        <v>3949</v>
      </c>
      <c r="C1693" s="15" t="s">
        <v>800</v>
      </c>
      <c r="D1693" s="15" t="s">
        <v>3950</v>
      </c>
      <c r="E1693" s="15">
        <v>5504.2842000000001</v>
      </c>
      <c r="F1693" s="42">
        <v>46201</v>
      </c>
    </row>
    <row r="1694" spans="1:6" x14ac:dyDescent="0.3">
      <c r="A1694" s="15" t="s">
        <v>45623</v>
      </c>
      <c r="B1694" s="15" t="s">
        <v>3951</v>
      </c>
      <c r="C1694" s="15" t="s">
        <v>800</v>
      </c>
      <c r="D1694" s="15" t="s">
        <v>3952</v>
      </c>
      <c r="E1694" s="15">
        <v>5440.5469000000003</v>
      </c>
      <c r="F1694" s="42">
        <v>46201</v>
      </c>
    </row>
    <row r="1695" spans="1:6" x14ac:dyDescent="0.3">
      <c r="A1695" s="15" t="s">
        <v>45622</v>
      </c>
      <c r="B1695" s="15" t="s">
        <v>800</v>
      </c>
      <c r="C1695" s="15" t="s">
        <v>3953</v>
      </c>
      <c r="D1695" s="15" t="s">
        <v>3954</v>
      </c>
      <c r="E1695" s="15">
        <v>1019.82</v>
      </c>
      <c r="F1695" s="42">
        <v>46201</v>
      </c>
    </row>
    <row r="1696" spans="1:6" x14ac:dyDescent="0.3">
      <c r="A1696" s="15" t="s">
        <v>45621</v>
      </c>
      <c r="B1696" s="15" t="s">
        <v>800</v>
      </c>
      <c r="C1696" s="15" t="s">
        <v>3955</v>
      </c>
      <c r="D1696" s="15" t="s">
        <v>3956</v>
      </c>
      <c r="E1696" s="15">
        <v>1019.82</v>
      </c>
      <c r="F1696" s="42">
        <v>46201</v>
      </c>
    </row>
    <row r="1697" spans="1:6" x14ac:dyDescent="0.3">
      <c r="A1697" s="15" t="s">
        <v>45620</v>
      </c>
      <c r="B1697" s="15" t="s">
        <v>3957</v>
      </c>
      <c r="C1697" s="15" t="s">
        <v>3958</v>
      </c>
      <c r="D1697" s="15" t="s">
        <v>3959</v>
      </c>
      <c r="E1697" s="15">
        <v>1033.2155</v>
      </c>
      <c r="F1697" s="42">
        <v>46201</v>
      </c>
    </row>
    <row r="1698" spans="1:6" x14ac:dyDescent="0.3">
      <c r="A1698" s="15" t="s">
        <v>45619</v>
      </c>
      <c r="B1698" s="15" t="s">
        <v>3960</v>
      </c>
      <c r="C1698" s="15" t="s">
        <v>3961</v>
      </c>
      <c r="D1698" s="15" t="s">
        <v>3962</v>
      </c>
      <c r="E1698" s="15">
        <v>1033.2950000000001</v>
      </c>
      <c r="F1698" s="42">
        <v>46201</v>
      </c>
    </row>
    <row r="1699" spans="1:6" x14ac:dyDescent="0.3">
      <c r="A1699" s="15" t="s">
        <v>45618</v>
      </c>
      <c r="B1699" s="15" t="s">
        <v>3963</v>
      </c>
      <c r="C1699" s="15" t="s">
        <v>800</v>
      </c>
      <c r="D1699" s="15" t="s">
        <v>3964</v>
      </c>
      <c r="E1699" s="15">
        <v>1032.0957000000001</v>
      </c>
      <c r="F1699" s="42">
        <v>46201</v>
      </c>
    </row>
    <row r="1700" spans="1:6" x14ac:dyDescent="0.3">
      <c r="A1700" s="15" t="s">
        <v>45617</v>
      </c>
      <c r="B1700" s="15" t="s">
        <v>800</v>
      </c>
      <c r="C1700" s="15" t="s">
        <v>800</v>
      </c>
      <c r="D1700" s="15" t="s">
        <v>3965</v>
      </c>
      <c r="E1700" s="15">
        <v>1032.1116999999999</v>
      </c>
      <c r="F1700" s="42">
        <v>46201</v>
      </c>
    </row>
    <row r="1701" spans="1:6" x14ac:dyDescent="0.3">
      <c r="A1701" s="15" t="s">
        <v>45616</v>
      </c>
      <c r="B1701" s="15" t="s">
        <v>3966</v>
      </c>
      <c r="C1701" s="15" t="s">
        <v>800</v>
      </c>
      <c r="D1701" s="15" t="s">
        <v>3967</v>
      </c>
      <c r="E1701" s="15">
        <v>10</v>
      </c>
      <c r="F1701" s="42">
        <v>42108</v>
      </c>
    </row>
    <row r="1702" spans="1:6" x14ac:dyDescent="0.3">
      <c r="A1702" s="15" t="s">
        <v>45615</v>
      </c>
      <c r="B1702" s="15" t="s">
        <v>3968</v>
      </c>
      <c r="C1702" s="15" t="s">
        <v>800</v>
      </c>
      <c r="D1702" s="15" t="s">
        <v>3969</v>
      </c>
      <c r="E1702" s="15">
        <v>10</v>
      </c>
      <c r="F1702" s="42">
        <v>41043</v>
      </c>
    </row>
    <row r="1703" spans="1:6" x14ac:dyDescent="0.3">
      <c r="A1703" s="15" t="s">
        <v>45614</v>
      </c>
      <c r="B1703" s="15" t="s">
        <v>3970</v>
      </c>
      <c r="C1703" s="15" t="s">
        <v>800</v>
      </c>
      <c r="D1703" s="15" t="s">
        <v>3971</v>
      </c>
      <c r="E1703" s="15">
        <v>10</v>
      </c>
      <c r="F1703" s="42">
        <v>41260</v>
      </c>
    </row>
    <row r="1704" spans="1:6" x14ac:dyDescent="0.3">
      <c r="A1704" s="15" t="s">
        <v>33499</v>
      </c>
      <c r="B1704" s="15" t="s">
        <v>795</v>
      </c>
      <c r="C1704" s="15" t="s">
        <v>795</v>
      </c>
      <c r="D1704" s="15" t="s">
        <v>795</v>
      </c>
      <c r="F1704" s="42"/>
    </row>
    <row r="1705" spans="1:6" x14ac:dyDescent="0.3">
      <c r="A1705" s="15" t="s">
        <v>36815</v>
      </c>
      <c r="B1705" s="15" t="s">
        <v>795</v>
      </c>
      <c r="C1705" s="15" t="s">
        <v>795</v>
      </c>
      <c r="D1705" s="15" t="s">
        <v>795</v>
      </c>
      <c r="F1705" s="42"/>
    </row>
    <row r="1706" spans="1:6" x14ac:dyDescent="0.3">
      <c r="A1706" s="15" t="s">
        <v>33499</v>
      </c>
      <c r="B1706" s="15" t="s">
        <v>795</v>
      </c>
      <c r="C1706" s="15" t="s">
        <v>795</v>
      </c>
      <c r="D1706" s="15" t="s">
        <v>795</v>
      </c>
      <c r="F1706" s="42"/>
    </row>
    <row r="1707" spans="1:6" x14ac:dyDescent="0.3">
      <c r="A1707" s="15" t="s">
        <v>45613</v>
      </c>
      <c r="B1707" s="15" t="s">
        <v>3972</v>
      </c>
      <c r="C1707" s="15" t="s">
        <v>800</v>
      </c>
      <c r="D1707" s="15" t="s">
        <v>3973</v>
      </c>
      <c r="E1707" s="15">
        <v>2792.9555999999998</v>
      </c>
      <c r="F1707" s="42">
        <v>46201</v>
      </c>
    </row>
    <row r="1708" spans="1:6" x14ac:dyDescent="0.3">
      <c r="A1708" s="15" t="s">
        <v>45612</v>
      </c>
      <c r="B1708" s="15" t="s">
        <v>800</v>
      </c>
      <c r="C1708" s="15" t="s">
        <v>3974</v>
      </c>
      <c r="D1708" s="15" t="s">
        <v>3975</v>
      </c>
      <c r="E1708" s="15">
        <v>1001.576</v>
      </c>
      <c r="F1708" s="42">
        <v>46201</v>
      </c>
    </row>
    <row r="1709" spans="1:6" x14ac:dyDescent="0.3">
      <c r="A1709" s="15" t="s">
        <v>45611</v>
      </c>
      <c r="B1709" s="15" t="s">
        <v>3976</v>
      </c>
      <c r="C1709" s="15" t="s">
        <v>3977</v>
      </c>
      <c r="D1709" s="15" t="s">
        <v>3978</v>
      </c>
      <c r="E1709" s="15">
        <v>1038.4190000000001</v>
      </c>
      <c r="F1709" s="42">
        <v>46201</v>
      </c>
    </row>
    <row r="1710" spans="1:6" x14ac:dyDescent="0.3">
      <c r="A1710" s="15" t="s">
        <v>45610</v>
      </c>
      <c r="B1710" s="15" t="s">
        <v>3979</v>
      </c>
      <c r="C1710" s="15" t="s">
        <v>3980</v>
      </c>
      <c r="D1710" s="15" t="s">
        <v>3981</v>
      </c>
      <c r="E1710" s="15">
        <v>1196.2574</v>
      </c>
      <c r="F1710" s="42">
        <v>46201</v>
      </c>
    </row>
    <row r="1711" spans="1:6" x14ac:dyDescent="0.3">
      <c r="A1711" s="15" t="s">
        <v>45609</v>
      </c>
      <c r="B1711" s="15" t="s">
        <v>3982</v>
      </c>
      <c r="C1711" s="15" t="s">
        <v>800</v>
      </c>
      <c r="D1711" s="15" t="s">
        <v>3983</v>
      </c>
      <c r="E1711" s="15">
        <v>3988.8254000000002</v>
      </c>
      <c r="F1711" s="42">
        <v>46201</v>
      </c>
    </row>
    <row r="1712" spans="1:6" x14ac:dyDescent="0.3">
      <c r="A1712" s="15" t="s">
        <v>45608</v>
      </c>
      <c r="B1712" s="15" t="s">
        <v>800</v>
      </c>
      <c r="C1712" s="15" t="s">
        <v>3984</v>
      </c>
      <c r="D1712" s="15" t="s">
        <v>3985</v>
      </c>
      <c r="E1712" s="15">
        <v>1019.3</v>
      </c>
      <c r="F1712" s="42">
        <v>46201</v>
      </c>
    </row>
    <row r="1713" spans="1:6" x14ac:dyDescent="0.3">
      <c r="A1713" s="15" t="s">
        <v>45607</v>
      </c>
      <c r="B1713" s="15" t="s">
        <v>800</v>
      </c>
      <c r="C1713" s="15" t="s">
        <v>3986</v>
      </c>
      <c r="D1713" s="15" t="s">
        <v>3987</v>
      </c>
      <c r="E1713" s="15">
        <v>1562.8262</v>
      </c>
      <c r="F1713" s="42">
        <v>46201</v>
      </c>
    </row>
    <row r="1714" spans="1:6" x14ac:dyDescent="0.3">
      <c r="A1714" s="15" t="s">
        <v>45606</v>
      </c>
      <c r="B1714" s="15" t="s">
        <v>800</v>
      </c>
      <c r="C1714" s="15" t="s">
        <v>3988</v>
      </c>
      <c r="D1714" s="15" t="s">
        <v>3989</v>
      </c>
      <c r="E1714" s="15">
        <v>1001.3789</v>
      </c>
      <c r="F1714" s="42">
        <v>46201</v>
      </c>
    </row>
    <row r="1715" spans="1:6" x14ac:dyDescent="0.3">
      <c r="A1715" s="15" t="s">
        <v>45605</v>
      </c>
      <c r="B1715" s="15" t="s">
        <v>3990</v>
      </c>
      <c r="C1715" s="15" t="s">
        <v>800</v>
      </c>
      <c r="D1715" s="15" t="s">
        <v>3991</v>
      </c>
      <c r="E1715" s="15">
        <v>2764.6338000000001</v>
      </c>
      <c r="F1715" s="42">
        <v>46201</v>
      </c>
    </row>
    <row r="1716" spans="1:6" x14ac:dyDescent="0.3">
      <c r="A1716" s="15" t="s">
        <v>45604</v>
      </c>
      <c r="B1716" s="15" t="s">
        <v>3992</v>
      </c>
      <c r="C1716" s="15" t="s">
        <v>3993</v>
      </c>
      <c r="D1716" s="15" t="s">
        <v>3994</v>
      </c>
      <c r="E1716" s="15">
        <v>1002.8086</v>
      </c>
      <c r="F1716" s="42">
        <v>46201</v>
      </c>
    </row>
    <row r="1717" spans="1:6" x14ac:dyDescent="0.3">
      <c r="A1717" s="15" t="s">
        <v>45603</v>
      </c>
      <c r="B1717" s="15" t="s">
        <v>3995</v>
      </c>
      <c r="C1717" s="15" t="s">
        <v>3996</v>
      </c>
      <c r="D1717" s="15" t="s">
        <v>3997</v>
      </c>
      <c r="E1717" s="15">
        <v>1108.4735000000001</v>
      </c>
      <c r="F1717" s="42">
        <v>46201</v>
      </c>
    </row>
    <row r="1718" spans="1:6" x14ac:dyDescent="0.3">
      <c r="A1718" s="15" t="s">
        <v>45602</v>
      </c>
      <c r="B1718" s="15" t="s">
        <v>800</v>
      </c>
      <c r="C1718" s="15" t="s">
        <v>3998</v>
      </c>
      <c r="D1718" s="15" t="s">
        <v>3999</v>
      </c>
      <c r="E1718" s="15">
        <v>1002.2157</v>
      </c>
      <c r="F1718" s="42">
        <v>46201</v>
      </c>
    </row>
    <row r="1719" spans="1:6" x14ac:dyDescent="0.3">
      <c r="A1719" s="15" t="s">
        <v>33499</v>
      </c>
      <c r="B1719" s="15" t="s">
        <v>795</v>
      </c>
      <c r="C1719" s="15" t="s">
        <v>795</v>
      </c>
      <c r="D1719" s="15" t="s">
        <v>795</v>
      </c>
      <c r="F1719" s="42"/>
    </row>
    <row r="1720" spans="1:6" x14ac:dyDescent="0.3">
      <c r="A1720" s="15" t="s">
        <v>36764</v>
      </c>
      <c r="B1720" s="15" t="s">
        <v>795</v>
      </c>
      <c r="C1720" s="15" t="s">
        <v>795</v>
      </c>
      <c r="D1720" s="15" t="s">
        <v>795</v>
      </c>
      <c r="F1720" s="42"/>
    </row>
    <row r="1721" spans="1:6" x14ac:dyDescent="0.3">
      <c r="A1721" s="15" t="s">
        <v>33499</v>
      </c>
      <c r="B1721" s="15" t="s">
        <v>795</v>
      </c>
      <c r="C1721" s="15" t="s">
        <v>795</v>
      </c>
      <c r="D1721" s="15" t="s">
        <v>795</v>
      </c>
      <c r="F1721" s="42"/>
    </row>
    <row r="1722" spans="1:6" x14ac:dyDescent="0.3">
      <c r="A1722" s="15" t="s">
        <v>45601</v>
      </c>
      <c r="B1722" s="15" t="s">
        <v>4000</v>
      </c>
      <c r="C1722" s="15" t="s">
        <v>4001</v>
      </c>
      <c r="D1722" s="15" t="s">
        <v>4002</v>
      </c>
      <c r="E1722" s="15">
        <v>101.4288</v>
      </c>
      <c r="F1722" s="42">
        <v>44820</v>
      </c>
    </row>
    <row r="1723" spans="1:6" x14ac:dyDescent="0.3">
      <c r="A1723" s="15" t="s">
        <v>45600</v>
      </c>
      <c r="B1723" s="15" t="s">
        <v>4003</v>
      </c>
      <c r="C1723" s="15" t="s">
        <v>800</v>
      </c>
      <c r="D1723" s="15" t="s">
        <v>4004</v>
      </c>
      <c r="E1723" s="15">
        <v>118.51519999999999</v>
      </c>
      <c r="F1723" s="42">
        <v>43945</v>
      </c>
    </row>
    <row r="1724" spans="1:6" x14ac:dyDescent="0.3">
      <c r="A1724" s="15" t="s">
        <v>45599</v>
      </c>
      <c r="B1724" s="15" t="s">
        <v>4005</v>
      </c>
      <c r="C1724" s="15" t="s">
        <v>800</v>
      </c>
      <c r="D1724" s="15" t="s">
        <v>4006</v>
      </c>
      <c r="E1724" s="15">
        <v>121.07040000000001</v>
      </c>
      <c r="F1724" s="42">
        <v>42802</v>
      </c>
    </row>
    <row r="1725" spans="1:6" x14ac:dyDescent="0.3">
      <c r="A1725" s="15" t="s">
        <v>45598</v>
      </c>
      <c r="B1725" s="15" t="s">
        <v>4007</v>
      </c>
      <c r="C1725" s="15" t="s">
        <v>800</v>
      </c>
      <c r="D1725" s="15" t="s">
        <v>4008</v>
      </c>
      <c r="E1725" s="15">
        <v>100.1482</v>
      </c>
      <c r="F1725" s="42">
        <v>46201</v>
      </c>
    </row>
    <row r="1726" spans="1:6" x14ac:dyDescent="0.3">
      <c r="A1726" s="15" t="s">
        <v>45597</v>
      </c>
      <c r="B1726" s="15" t="s">
        <v>4009</v>
      </c>
      <c r="C1726" s="15" t="s">
        <v>4010</v>
      </c>
      <c r="D1726" s="15" t="s">
        <v>4011</v>
      </c>
      <c r="E1726" s="15">
        <v>103.985</v>
      </c>
      <c r="F1726" s="42">
        <v>44820</v>
      </c>
    </row>
    <row r="1727" spans="1:6" x14ac:dyDescent="0.3">
      <c r="A1727" s="15" t="s">
        <v>45596</v>
      </c>
      <c r="B1727" s="15" t="s">
        <v>4012</v>
      </c>
      <c r="C1727" s="15" t="s">
        <v>4013</v>
      </c>
      <c r="D1727" s="15" t="s">
        <v>4014</v>
      </c>
      <c r="E1727" s="15">
        <v>106.7325</v>
      </c>
      <c r="F1727" s="42">
        <v>44820</v>
      </c>
    </row>
    <row r="1728" spans="1:6" x14ac:dyDescent="0.3">
      <c r="A1728" s="15" t="s">
        <v>45595</v>
      </c>
      <c r="B1728" s="15" t="s">
        <v>4015</v>
      </c>
      <c r="C1728" s="15" t="s">
        <v>4016</v>
      </c>
      <c r="D1728" s="15" t="s">
        <v>4017</v>
      </c>
      <c r="E1728" s="15">
        <v>192.37620000000001</v>
      </c>
      <c r="F1728" s="42">
        <v>46201</v>
      </c>
    </row>
    <row r="1729" spans="1:6" x14ac:dyDescent="0.3">
      <c r="A1729" s="15" t="s">
        <v>45594</v>
      </c>
      <c r="B1729" s="15" t="s">
        <v>800</v>
      </c>
      <c r="C1729" s="15" t="s">
        <v>4018</v>
      </c>
      <c r="D1729" s="15" t="s">
        <v>4019</v>
      </c>
      <c r="E1729" s="15">
        <v>100.1082</v>
      </c>
      <c r="F1729" s="42">
        <v>46201</v>
      </c>
    </row>
    <row r="1730" spans="1:6" x14ac:dyDescent="0.3">
      <c r="A1730" s="15" t="s">
        <v>45593</v>
      </c>
      <c r="B1730" s="15" t="s">
        <v>4020</v>
      </c>
      <c r="C1730" s="15" t="s">
        <v>800</v>
      </c>
      <c r="D1730" s="15" t="s">
        <v>4021</v>
      </c>
      <c r="E1730" s="15">
        <v>414.7842</v>
      </c>
      <c r="F1730" s="42">
        <v>46201</v>
      </c>
    </row>
    <row r="1731" spans="1:6" x14ac:dyDescent="0.3">
      <c r="A1731" s="15" t="s">
        <v>45592</v>
      </c>
      <c r="B1731" s="15" t="s">
        <v>4022</v>
      </c>
      <c r="C1731" s="15" t="s">
        <v>800</v>
      </c>
      <c r="D1731" s="15" t="s">
        <v>4023</v>
      </c>
      <c r="E1731" s="15">
        <v>100.42870000000001</v>
      </c>
      <c r="F1731" s="42">
        <v>44820</v>
      </c>
    </row>
    <row r="1732" spans="1:6" x14ac:dyDescent="0.3">
      <c r="A1732" s="15" t="s">
        <v>45591</v>
      </c>
      <c r="B1732" s="15" t="s">
        <v>4024</v>
      </c>
      <c r="C1732" s="15" t="s">
        <v>4025</v>
      </c>
      <c r="D1732" s="15" t="s">
        <v>4026</v>
      </c>
      <c r="E1732" s="15">
        <v>102.2043</v>
      </c>
      <c r="F1732" s="42">
        <v>44820</v>
      </c>
    </row>
    <row r="1733" spans="1:6" x14ac:dyDescent="0.3">
      <c r="A1733" s="15" t="s">
        <v>45590</v>
      </c>
      <c r="B1733" s="15" t="s">
        <v>4027</v>
      </c>
      <c r="C1733" s="15" t="s">
        <v>800</v>
      </c>
      <c r="D1733" s="15" t="s">
        <v>4028</v>
      </c>
      <c r="E1733" s="15">
        <v>100.291</v>
      </c>
      <c r="F1733" s="42">
        <v>46201</v>
      </c>
    </row>
    <row r="1734" spans="1:6" x14ac:dyDescent="0.3">
      <c r="A1734" s="15" t="s">
        <v>45589</v>
      </c>
      <c r="B1734" s="15" t="s">
        <v>4029</v>
      </c>
      <c r="C1734" s="15" t="s">
        <v>800</v>
      </c>
      <c r="D1734" s="15" t="s">
        <v>4030</v>
      </c>
      <c r="E1734" s="15">
        <v>149.19040000000001</v>
      </c>
      <c r="F1734" s="42">
        <v>43945</v>
      </c>
    </row>
    <row r="1735" spans="1:6" x14ac:dyDescent="0.3">
      <c r="A1735" s="15" t="s">
        <v>45588</v>
      </c>
      <c r="B1735" s="15" t="s">
        <v>4031</v>
      </c>
      <c r="C1735" s="15" t="s">
        <v>800</v>
      </c>
      <c r="D1735" s="15" t="s">
        <v>4032</v>
      </c>
      <c r="E1735" s="15">
        <v>410.37700000000001</v>
      </c>
      <c r="F1735" s="42">
        <v>46201</v>
      </c>
    </row>
    <row r="1736" spans="1:6" x14ac:dyDescent="0.3">
      <c r="A1736" s="15" t="s">
        <v>45587</v>
      </c>
      <c r="B1736" s="15" t="s">
        <v>4033</v>
      </c>
      <c r="C1736" s="15" t="s">
        <v>4034</v>
      </c>
      <c r="D1736" s="15" t="s">
        <v>4035</v>
      </c>
      <c r="E1736" s="15">
        <v>105.64749999999999</v>
      </c>
      <c r="F1736" s="42">
        <v>44820</v>
      </c>
    </row>
    <row r="1737" spans="1:6" x14ac:dyDescent="0.3">
      <c r="A1737" s="15" t="s">
        <v>45586</v>
      </c>
      <c r="B1737" s="15" t="s">
        <v>4036</v>
      </c>
      <c r="C1737" s="15" t="s">
        <v>4037</v>
      </c>
      <c r="D1737" s="15" t="s">
        <v>4038</v>
      </c>
      <c r="E1737" s="15">
        <v>190.7218</v>
      </c>
      <c r="F1737" s="42">
        <v>46201</v>
      </c>
    </row>
    <row r="1738" spans="1:6" x14ac:dyDescent="0.3">
      <c r="A1738" s="15" t="s">
        <v>45585</v>
      </c>
      <c r="B1738" s="15" t="s">
        <v>4039</v>
      </c>
      <c r="C1738" s="15" t="s">
        <v>800</v>
      </c>
      <c r="D1738" s="15" t="s">
        <v>4040</v>
      </c>
      <c r="E1738" s="15">
        <v>275.61509999999998</v>
      </c>
      <c r="F1738" s="42">
        <v>43945</v>
      </c>
    </row>
    <row r="1739" spans="1:6" x14ac:dyDescent="0.3">
      <c r="A1739" s="15" t="s">
        <v>45584</v>
      </c>
      <c r="B1739" s="15" t="s">
        <v>4041</v>
      </c>
      <c r="C1739" s="15" t="s">
        <v>800</v>
      </c>
      <c r="D1739" s="15" t="s">
        <v>4042</v>
      </c>
      <c r="E1739" s="15">
        <v>137.2884</v>
      </c>
      <c r="F1739" s="42">
        <v>44530</v>
      </c>
    </row>
    <row r="1740" spans="1:6" x14ac:dyDescent="0.3">
      <c r="A1740" s="15" t="s">
        <v>45583</v>
      </c>
      <c r="B1740" s="15" t="s">
        <v>4043</v>
      </c>
      <c r="C1740" s="15" t="s">
        <v>800</v>
      </c>
      <c r="D1740" s="15" t="s">
        <v>4044</v>
      </c>
      <c r="E1740" s="15">
        <v>100</v>
      </c>
      <c r="F1740" s="42">
        <v>44530</v>
      </c>
    </row>
    <row r="1741" spans="1:6" x14ac:dyDescent="0.3">
      <c r="A1741" s="15" t="s">
        <v>45582</v>
      </c>
      <c r="B1741" s="15" t="s">
        <v>4045</v>
      </c>
      <c r="C1741" s="15" t="s">
        <v>800</v>
      </c>
      <c r="D1741" s="15" t="s">
        <v>4046</v>
      </c>
      <c r="E1741" s="15">
        <v>137.2884</v>
      </c>
      <c r="F1741" s="42">
        <v>44530</v>
      </c>
    </row>
    <row r="1742" spans="1:6" x14ac:dyDescent="0.3">
      <c r="A1742" s="15" t="s">
        <v>45581</v>
      </c>
      <c r="B1742" s="15" t="s">
        <v>4047</v>
      </c>
      <c r="C1742" s="15" t="s">
        <v>800</v>
      </c>
      <c r="D1742" s="15" t="s">
        <v>4048</v>
      </c>
      <c r="E1742" s="15">
        <v>100</v>
      </c>
      <c r="F1742" s="42">
        <v>44530</v>
      </c>
    </row>
    <row r="1743" spans="1:6" x14ac:dyDescent="0.3">
      <c r="A1743" s="15" t="s">
        <v>45580</v>
      </c>
      <c r="B1743" s="15" t="s">
        <v>4049</v>
      </c>
      <c r="C1743" s="15" t="s">
        <v>800</v>
      </c>
      <c r="D1743" s="15" t="s">
        <v>4050</v>
      </c>
      <c r="E1743" s="15">
        <v>100.26430000000001</v>
      </c>
      <c r="F1743" s="42">
        <v>46201</v>
      </c>
    </row>
    <row r="1744" spans="1:6" x14ac:dyDescent="0.3">
      <c r="A1744" s="15" t="s">
        <v>45579</v>
      </c>
      <c r="B1744" s="15" t="s">
        <v>4051</v>
      </c>
      <c r="C1744" s="15" t="s">
        <v>800</v>
      </c>
      <c r="D1744" s="15" t="s">
        <v>4052</v>
      </c>
      <c r="E1744" s="15">
        <v>100.3202</v>
      </c>
      <c r="F1744" s="42">
        <v>44820</v>
      </c>
    </row>
    <row r="1745" spans="1:6" x14ac:dyDescent="0.3">
      <c r="A1745" s="15" t="s">
        <v>45578</v>
      </c>
      <c r="B1745" s="15" t="s">
        <v>4053</v>
      </c>
      <c r="C1745" s="15" t="s">
        <v>4054</v>
      </c>
      <c r="D1745" s="15" t="s">
        <v>4055</v>
      </c>
      <c r="E1745" s="15">
        <v>103.8506</v>
      </c>
      <c r="F1745" s="42">
        <v>44820</v>
      </c>
    </row>
    <row r="1746" spans="1:6" x14ac:dyDescent="0.3">
      <c r="A1746" s="15" t="s">
        <v>45577</v>
      </c>
      <c r="B1746" s="15" t="s">
        <v>4056</v>
      </c>
      <c r="C1746" s="15" t="s">
        <v>800</v>
      </c>
      <c r="D1746" s="15" t="s">
        <v>4057</v>
      </c>
      <c r="E1746" s="15">
        <v>118.5022</v>
      </c>
      <c r="F1746" s="42">
        <v>43945</v>
      </c>
    </row>
    <row r="1747" spans="1:6" x14ac:dyDescent="0.3">
      <c r="A1747" s="15" t="s">
        <v>45576</v>
      </c>
      <c r="B1747" s="15" t="s">
        <v>4058</v>
      </c>
      <c r="C1747" s="15" t="s">
        <v>800</v>
      </c>
      <c r="D1747" s="15" t="s">
        <v>4059</v>
      </c>
      <c r="E1747" s="15">
        <v>118.6133</v>
      </c>
      <c r="F1747" s="42">
        <v>42275</v>
      </c>
    </row>
    <row r="1748" spans="1:6" x14ac:dyDescent="0.3">
      <c r="A1748" s="15" t="s">
        <v>45575</v>
      </c>
      <c r="B1748" s="15" t="s">
        <v>4060</v>
      </c>
      <c r="C1748" s="15" t="s">
        <v>800</v>
      </c>
      <c r="D1748" s="15" t="s">
        <v>4061</v>
      </c>
      <c r="E1748" s="15">
        <v>118.5142</v>
      </c>
      <c r="F1748" s="42">
        <v>43945</v>
      </c>
    </row>
    <row r="1749" spans="1:6" x14ac:dyDescent="0.3">
      <c r="A1749" s="15" t="s">
        <v>45574</v>
      </c>
      <c r="B1749" s="15" t="s">
        <v>4062</v>
      </c>
      <c r="C1749" s="15" t="s">
        <v>800</v>
      </c>
      <c r="D1749" s="15" t="s">
        <v>4063</v>
      </c>
      <c r="E1749" s="15">
        <v>450.77969999999999</v>
      </c>
      <c r="F1749" s="42">
        <v>43945</v>
      </c>
    </row>
    <row r="1750" spans="1:6" x14ac:dyDescent="0.3">
      <c r="A1750" s="15" t="s">
        <v>45573</v>
      </c>
      <c r="B1750" s="15" t="s">
        <v>4064</v>
      </c>
      <c r="C1750" s="15" t="s">
        <v>800</v>
      </c>
      <c r="D1750" s="15" t="s">
        <v>4065</v>
      </c>
      <c r="E1750" s="15">
        <v>100.5372</v>
      </c>
      <c r="F1750" s="42">
        <v>43945</v>
      </c>
    </row>
    <row r="1751" spans="1:6" x14ac:dyDescent="0.3">
      <c r="A1751" s="15" t="s">
        <v>45572</v>
      </c>
      <c r="B1751" s="15" t="s">
        <v>4066</v>
      </c>
      <c r="C1751" s="15" t="s">
        <v>800</v>
      </c>
      <c r="D1751" s="15" t="s">
        <v>4067</v>
      </c>
      <c r="E1751" s="15">
        <v>118.9171</v>
      </c>
      <c r="F1751" s="42">
        <v>43945</v>
      </c>
    </row>
    <row r="1752" spans="1:6" x14ac:dyDescent="0.3">
      <c r="A1752" s="15" t="s">
        <v>45571</v>
      </c>
      <c r="B1752" s="15" t="s">
        <v>4068</v>
      </c>
      <c r="C1752" s="15" t="s">
        <v>800</v>
      </c>
      <c r="D1752" s="15" t="s">
        <v>4069</v>
      </c>
      <c r="E1752" s="15">
        <v>462.33</v>
      </c>
      <c r="F1752" s="42">
        <v>43945</v>
      </c>
    </row>
    <row r="1753" spans="1:6" x14ac:dyDescent="0.3">
      <c r="A1753" s="15" t="s">
        <v>33499</v>
      </c>
      <c r="B1753" s="15" t="s">
        <v>795</v>
      </c>
      <c r="C1753" s="15" t="s">
        <v>795</v>
      </c>
      <c r="D1753" s="15" t="s">
        <v>795</v>
      </c>
      <c r="F1753" s="42"/>
    </row>
    <row r="1754" spans="1:6" x14ac:dyDescent="0.3">
      <c r="A1754" s="15" t="s">
        <v>37807</v>
      </c>
      <c r="B1754" s="15" t="s">
        <v>795</v>
      </c>
      <c r="C1754" s="15" t="s">
        <v>795</v>
      </c>
      <c r="D1754" s="15" t="s">
        <v>795</v>
      </c>
      <c r="F1754" s="42"/>
    </row>
    <row r="1755" spans="1:6" x14ac:dyDescent="0.3">
      <c r="A1755" s="15" t="s">
        <v>33499</v>
      </c>
      <c r="B1755" s="15" t="s">
        <v>795</v>
      </c>
      <c r="C1755" s="15" t="s">
        <v>795</v>
      </c>
      <c r="D1755" s="15" t="s">
        <v>795</v>
      </c>
      <c r="F1755" s="42"/>
    </row>
    <row r="1756" spans="1:6" x14ac:dyDescent="0.3">
      <c r="A1756" s="15" t="s">
        <v>45570</v>
      </c>
      <c r="B1756" s="15" t="s">
        <v>800</v>
      </c>
      <c r="C1756" s="15" t="s">
        <v>4070</v>
      </c>
      <c r="D1756" s="15" t="s">
        <v>4071</v>
      </c>
      <c r="E1756" s="15">
        <v>1002.7594</v>
      </c>
      <c r="F1756" s="42">
        <v>46201</v>
      </c>
    </row>
    <row r="1757" spans="1:6" x14ac:dyDescent="0.3">
      <c r="A1757" s="15" t="s">
        <v>45569</v>
      </c>
      <c r="B1757" s="15" t="s">
        <v>4072</v>
      </c>
      <c r="C1757" s="15" t="s">
        <v>800</v>
      </c>
      <c r="D1757" s="15" t="s">
        <v>4073</v>
      </c>
      <c r="E1757" s="15">
        <v>3847.1705999999999</v>
      </c>
      <c r="F1757" s="42">
        <v>46201</v>
      </c>
    </row>
    <row r="1758" spans="1:6" x14ac:dyDescent="0.3">
      <c r="A1758" s="15" t="s">
        <v>45568</v>
      </c>
      <c r="B1758" s="15" t="s">
        <v>4074</v>
      </c>
      <c r="C1758" s="15" t="s">
        <v>4075</v>
      </c>
      <c r="D1758" s="15" t="s">
        <v>4076</v>
      </c>
      <c r="E1758" s="15">
        <v>1089.299</v>
      </c>
      <c r="F1758" s="42">
        <v>46201</v>
      </c>
    </row>
    <row r="1759" spans="1:6" x14ac:dyDescent="0.3">
      <c r="A1759" s="15" t="s">
        <v>45567</v>
      </c>
      <c r="B1759" s="15" t="s">
        <v>4077</v>
      </c>
      <c r="C1759" s="15" t="s">
        <v>4078</v>
      </c>
      <c r="D1759" s="15" t="s">
        <v>4079</v>
      </c>
      <c r="E1759" s="15">
        <v>1073.5319</v>
      </c>
      <c r="F1759" s="42">
        <v>46201</v>
      </c>
    </row>
    <row r="1760" spans="1:6" x14ac:dyDescent="0.3">
      <c r="A1760" s="15" t="s">
        <v>45566</v>
      </c>
      <c r="B1760" s="15" t="s">
        <v>800</v>
      </c>
      <c r="C1760" s="15" t="s">
        <v>4080</v>
      </c>
      <c r="D1760" s="15" t="s">
        <v>4081</v>
      </c>
      <c r="E1760" s="15">
        <v>1005.8604</v>
      </c>
      <c r="F1760" s="42">
        <v>46201</v>
      </c>
    </row>
    <row r="1761" spans="1:6" x14ac:dyDescent="0.3">
      <c r="A1761" s="15" t="s">
        <v>45565</v>
      </c>
      <c r="B1761" s="15" t="s">
        <v>4082</v>
      </c>
      <c r="C1761" s="15" t="s">
        <v>800</v>
      </c>
      <c r="D1761" s="15" t="s">
        <v>4083</v>
      </c>
      <c r="E1761" s="15">
        <v>3812.2287999999999</v>
      </c>
      <c r="F1761" s="42">
        <v>46201</v>
      </c>
    </row>
    <row r="1762" spans="1:6" x14ac:dyDescent="0.3">
      <c r="A1762" s="15" t="s">
        <v>45564</v>
      </c>
      <c r="B1762" s="15" t="s">
        <v>4084</v>
      </c>
      <c r="C1762" s="15" t="s">
        <v>4085</v>
      </c>
      <c r="D1762" s="15" t="s">
        <v>4086</v>
      </c>
      <c r="E1762" s="15">
        <v>1009.5555000000001</v>
      </c>
      <c r="F1762" s="42">
        <v>46201</v>
      </c>
    </row>
    <row r="1763" spans="1:6" x14ac:dyDescent="0.3">
      <c r="A1763" s="15" t="s">
        <v>45563</v>
      </c>
      <c r="B1763" s="15" t="s">
        <v>4087</v>
      </c>
      <c r="C1763" s="15" t="s">
        <v>800</v>
      </c>
      <c r="D1763" s="15" t="s">
        <v>4088</v>
      </c>
      <c r="E1763" s="15">
        <v>3358.7435999999998</v>
      </c>
      <c r="F1763" s="42">
        <v>46201</v>
      </c>
    </row>
    <row r="1764" spans="1:6" x14ac:dyDescent="0.3">
      <c r="A1764" s="15" t="s">
        <v>45562</v>
      </c>
      <c r="B1764" s="15" t="s">
        <v>800</v>
      </c>
      <c r="C1764" s="15" t="s">
        <v>4089</v>
      </c>
      <c r="D1764" s="15" t="s">
        <v>4090</v>
      </c>
      <c r="E1764" s="15">
        <v>1005.081</v>
      </c>
      <c r="F1764" s="42">
        <v>46201</v>
      </c>
    </row>
    <row r="1765" spans="1:6" x14ac:dyDescent="0.3">
      <c r="A1765" s="15" t="s">
        <v>45561</v>
      </c>
      <c r="B1765" s="15" t="s">
        <v>800</v>
      </c>
      <c r="C1765" s="15" t="s">
        <v>800</v>
      </c>
      <c r="D1765" s="15" t="s">
        <v>4091</v>
      </c>
      <c r="E1765" s="15">
        <v>1000</v>
      </c>
      <c r="F1765" s="42">
        <v>46201</v>
      </c>
    </row>
    <row r="1766" spans="1:6" x14ac:dyDescent="0.3">
      <c r="A1766" s="15" t="s">
        <v>45560</v>
      </c>
      <c r="B1766" s="15" t="s">
        <v>800</v>
      </c>
      <c r="C1766" s="15" t="s">
        <v>800</v>
      </c>
      <c r="D1766" s="15" t="s">
        <v>4092</v>
      </c>
      <c r="E1766" s="15">
        <v>1823.4827</v>
      </c>
      <c r="F1766" s="42">
        <v>46201</v>
      </c>
    </row>
    <row r="1767" spans="1:6" x14ac:dyDescent="0.3">
      <c r="A1767" s="15" t="s">
        <v>45559</v>
      </c>
      <c r="B1767" s="15" t="s">
        <v>800</v>
      </c>
      <c r="C1767" s="15" t="s">
        <v>800</v>
      </c>
      <c r="D1767" s="15" t="s">
        <v>4093</v>
      </c>
      <c r="E1767" s="15">
        <v>1000</v>
      </c>
      <c r="F1767" s="42">
        <v>46201</v>
      </c>
    </row>
    <row r="1768" spans="1:6" x14ac:dyDescent="0.3">
      <c r="A1768" s="15" t="s">
        <v>45558</v>
      </c>
      <c r="B1768" s="15" t="s">
        <v>800</v>
      </c>
      <c r="C1768" s="15" t="s">
        <v>800</v>
      </c>
      <c r="D1768" s="15" t="s">
        <v>4094</v>
      </c>
      <c r="E1768" s="15">
        <v>1823.0762999999999</v>
      </c>
      <c r="F1768" s="42">
        <v>46201</v>
      </c>
    </row>
    <row r="1769" spans="1:6" x14ac:dyDescent="0.3">
      <c r="A1769" s="15" t="s">
        <v>45557</v>
      </c>
      <c r="B1769" s="15" t="s">
        <v>4095</v>
      </c>
      <c r="C1769" s="15" t="s">
        <v>4096</v>
      </c>
      <c r="D1769" s="15" t="s">
        <v>4097</v>
      </c>
      <c r="E1769" s="15">
        <v>1019.6609</v>
      </c>
      <c r="F1769" s="42">
        <v>46201</v>
      </c>
    </row>
    <row r="1770" spans="1:6" x14ac:dyDescent="0.3">
      <c r="A1770" s="15" t="s">
        <v>33499</v>
      </c>
      <c r="B1770" s="15" t="s">
        <v>795</v>
      </c>
      <c r="C1770" s="15" t="s">
        <v>795</v>
      </c>
      <c r="D1770" s="15" t="s">
        <v>795</v>
      </c>
      <c r="F1770" s="42"/>
    </row>
    <row r="1771" spans="1:6" x14ac:dyDescent="0.3">
      <c r="A1771" s="15" t="s">
        <v>40577</v>
      </c>
      <c r="B1771" s="15" t="s">
        <v>795</v>
      </c>
      <c r="C1771" s="15" t="s">
        <v>795</v>
      </c>
      <c r="D1771" s="15" t="s">
        <v>795</v>
      </c>
      <c r="F1771" s="42"/>
    </row>
    <row r="1772" spans="1:6" x14ac:dyDescent="0.3">
      <c r="A1772" s="15" t="s">
        <v>33499</v>
      </c>
      <c r="B1772" s="15" t="s">
        <v>795</v>
      </c>
      <c r="C1772" s="15" t="s">
        <v>795</v>
      </c>
      <c r="D1772" s="15" t="s">
        <v>795</v>
      </c>
      <c r="F1772" s="42"/>
    </row>
    <row r="1773" spans="1:6" x14ac:dyDescent="0.3">
      <c r="A1773" s="15" t="s">
        <v>45556</v>
      </c>
      <c r="B1773" s="15" t="s">
        <v>4098</v>
      </c>
      <c r="C1773" s="15" t="s">
        <v>4099</v>
      </c>
      <c r="D1773" s="15" t="s">
        <v>4100</v>
      </c>
      <c r="E1773" s="15">
        <v>1457.4518</v>
      </c>
      <c r="F1773" s="42">
        <v>46201</v>
      </c>
    </row>
    <row r="1774" spans="1:6" x14ac:dyDescent="0.3">
      <c r="A1774" s="15" t="s">
        <v>45555</v>
      </c>
      <c r="B1774" s="15" t="s">
        <v>800</v>
      </c>
      <c r="C1774" s="15" t="s">
        <v>4101</v>
      </c>
      <c r="D1774" s="15" t="s">
        <v>4102</v>
      </c>
      <c r="E1774" s="15">
        <v>1001</v>
      </c>
      <c r="F1774" s="42">
        <v>46201</v>
      </c>
    </row>
    <row r="1775" spans="1:6" x14ac:dyDescent="0.3">
      <c r="A1775" s="15" t="s">
        <v>45554</v>
      </c>
      <c r="B1775" s="15" t="s">
        <v>4103</v>
      </c>
      <c r="C1775" s="15" t="s">
        <v>4104</v>
      </c>
      <c r="D1775" s="15" t="s">
        <v>4105</v>
      </c>
      <c r="E1775" s="15">
        <v>1001.3362</v>
      </c>
      <c r="F1775" s="42">
        <v>46201</v>
      </c>
    </row>
    <row r="1776" spans="1:6" x14ac:dyDescent="0.3">
      <c r="A1776" s="15" t="s">
        <v>45553</v>
      </c>
      <c r="B1776" s="15" t="s">
        <v>4106</v>
      </c>
      <c r="C1776" s="15" t="s">
        <v>800</v>
      </c>
      <c r="D1776" s="15" t="s">
        <v>4107</v>
      </c>
      <c r="E1776" s="15">
        <v>1455.5199</v>
      </c>
      <c r="F1776" s="42">
        <v>46201</v>
      </c>
    </row>
    <row r="1777" spans="1:6" x14ac:dyDescent="0.3">
      <c r="A1777" s="15" t="s">
        <v>45552</v>
      </c>
      <c r="B1777" s="15" t="s">
        <v>4108</v>
      </c>
      <c r="C1777" s="15" t="s">
        <v>4109</v>
      </c>
      <c r="D1777" s="15" t="s">
        <v>4110</v>
      </c>
      <c r="E1777" s="15">
        <v>1001.3355</v>
      </c>
      <c r="F1777" s="42">
        <v>46201</v>
      </c>
    </row>
    <row r="1778" spans="1:6" x14ac:dyDescent="0.3">
      <c r="A1778" s="15" t="s">
        <v>45551</v>
      </c>
      <c r="B1778" s="15" t="s">
        <v>800</v>
      </c>
      <c r="C1778" s="15" t="s">
        <v>4111</v>
      </c>
      <c r="D1778" s="15" t="s">
        <v>4112</v>
      </c>
      <c r="E1778" s="15">
        <v>1001.9248</v>
      </c>
      <c r="F1778" s="42">
        <v>46201</v>
      </c>
    </row>
    <row r="1779" spans="1:6" x14ac:dyDescent="0.3">
      <c r="A1779" s="15" t="s">
        <v>45550</v>
      </c>
      <c r="B1779" s="15" t="s">
        <v>4113</v>
      </c>
      <c r="C1779" s="15" t="s">
        <v>4114</v>
      </c>
      <c r="D1779" s="15" t="s">
        <v>4115</v>
      </c>
      <c r="E1779" s="15">
        <v>1450.3896</v>
      </c>
      <c r="F1779" s="42">
        <v>46201</v>
      </c>
    </row>
    <row r="1780" spans="1:6" x14ac:dyDescent="0.3">
      <c r="A1780" s="15" t="s">
        <v>45549</v>
      </c>
      <c r="B1780" s="15" t="s">
        <v>800</v>
      </c>
      <c r="C1780" s="15" t="s">
        <v>4116</v>
      </c>
      <c r="D1780" s="15" t="s">
        <v>4117</v>
      </c>
      <c r="E1780" s="15">
        <v>1001.0001</v>
      </c>
      <c r="F1780" s="42">
        <v>46201</v>
      </c>
    </row>
    <row r="1781" spans="1:6" x14ac:dyDescent="0.3">
      <c r="A1781" s="15" t="s">
        <v>45548</v>
      </c>
      <c r="B1781" s="15" t="s">
        <v>4118</v>
      </c>
      <c r="C1781" s="15" t="s">
        <v>4119</v>
      </c>
      <c r="D1781" s="15" t="s">
        <v>4120</v>
      </c>
      <c r="E1781" s="15">
        <v>1003.0784</v>
      </c>
      <c r="F1781" s="42">
        <v>46128</v>
      </c>
    </row>
    <row r="1782" spans="1:6" x14ac:dyDescent="0.3">
      <c r="A1782" s="15" t="s">
        <v>45547</v>
      </c>
      <c r="B1782" s="15" t="s">
        <v>4121</v>
      </c>
      <c r="C1782" s="15" t="s">
        <v>800</v>
      </c>
      <c r="D1782" s="15" t="s">
        <v>4122</v>
      </c>
      <c r="E1782" s="15">
        <v>1441.2159999999999</v>
      </c>
      <c r="F1782" s="42">
        <v>46201</v>
      </c>
    </row>
    <row r="1783" spans="1:6" x14ac:dyDescent="0.3">
      <c r="A1783" s="15" t="s">
        <v>45546</v>
      </c>
      <c r="B1783" s="15" t="s">
        <v>4123</v>
      </c>
      <c r="C1783" s="15" t="s">
        <v>4124</v>
      </c>
      <c r="D1783" s="15" t="s">
        <v>4125</v>
      </c>
      <c r="E1783" s="15">
        <v>1001.1538</v>
      </c>
      <c r="F1783" s="42">
        <v>46201</v>
      </c>
    </row>
    <row r="1784" spans="1:6" x14ac:dyDescent="0.3">
      <c r="A1784" s="15" t="s">
        <v>45545</v>
      </c>
      <c r="B1784" s="15" t="s">
        <v>800</v>
      </c>
      <c r="C1784" s="15" t="s">
        <v>4126</v>
      </c>
      <c r="D1784" s="15" t="s">
        <v>4127</v>
      </c>
      <c r="E1784" s="15">
        <v>1001.9126</v>
      </c>
      <c r="F1784" s="42">
        <v>46201</v>
      </c>
    </row>
    <row r="1785" spans="1:6" x14ac:dyDescent="0.3">
      <c r="A1785" s="15" t="s">
        <v>33499</v>
      </c>
      <c r="B1785" s="15" t="s">
        <v>795</v>
      </c>
      <c r="C1785" s="15" t="s">
        <v>795</v>
      </c>
      <c r="D1785" s="15" t="s">
        <v>795</v>
      </c>
      <c r="F1785" s="42"/>
    </row>
    <row r="1786" spans="1:6" x14ac:dyDescent="0.3">
      <c r="A1786" s="15" t="s">
        <v>38568</v>
      </c>
      <c r="B1786" s="15" t="s">
        <v>795</v>
      </c>
      <c r="C1786" s="15" t="s">
        <v>795</v>
      </c>
      <c r="D1786" s="15" t="s">
        <v>795</v>
      </c>
      <c r="F1786" s="42"/>
    </row>
    <row r="1787" spans="1:6" x14ac:dyDescent="0.3">
      <c r="A1787" s="15" t="s">
        <v>33499</v>
      </c>
      <c r="B1787" s="15" t="s">
        <v>795</v>
      </c>
      <c r="C1787" s="15" t="s">
        <v>795</v>
      </c>
      <c r="D1787" s="15" t="s">
        <v>795</v>
      </c>
      <c r="F1787" s="42"/>
    </row>
    <row r="1788" spans="1:6" x14ac:dyDescent="0.3">
      <c r="A1788" s="15" t="s">
        <v>45544</v>
      </c>
      <c r="B1788" s="15" t="s">
        <v>4128</v>
      </c>
      <c r="C1788" s="15" t="s">
        <v>800</v>
      </c>
      <c r="D1788" s="15" t="s">
        <v>4129</v>
      </c>
      <c r="E1788" s="15">
        <v>1062.9531999999999</v>
      </c>
      <c r="F1788" s="42">
        <v>46201</v>
      </c>
    </row>
    <row r="1789" spans="1:6" x14ac:dyDescent="0.3">
      <c r="A1789" s="15" t="s">
        <v>33499</v>
      </c>
      <c r="B1789" s="15" t="s">
        <v>795</v>
      </c>
      <c r="C1789" s="15" t="s">
        <v>795</v>
      </c>
      <c r="D1789" s="15" t="s">
        <v>795</v>
      </c>
      <c r="F1789" s="42"/>
    </row>
    <row r="1790" spans="1:6" x14ac:dyDescent="0.3">
      <c r="A1790" s="15" t="s">
        <v>40894</v>
      </c>
      <c r="B1790" s="15" t="s">
        <v>795</v>
      </c>
      <c r="C1790" s="15" t="s">
        <v>795</v>
      </c>
      <c r="D1790" s="15" t="s">
        <v>795</v>
      </c>
      <c r="F1790" s="42"/>
    </row>
    <row r="1791" spans="1:6" x14ac:dyDescent="0.3">
      <c r="A1791" s="15" t="s">
        <v>33499</v>
      </c>
      <c r="B1791" s="15" t="s">
        <v>795</v>
      </c>
      <c r="C1791" s="15" t="s">
        <v>795</v>
      </c>
      <c r="D1791" s="15" t="s">
        <v>795</v>
      </c>
      <c r="F1791" s="42"/>
    </row>
    <row r="1792" spans="1:6" x14ac:dyDescent="0.3">
      <c r="A1792" s="15" t="s">
        <v>45543</v>
      </c>
      <c r="B1792" s="15" t="s">
        <v>4130</v>
      </c>
      <c r="C1792" s="15" t="s">
        <v>800</v>
      </c>
      <c r="D1792" s="15" t="s">
        <v>4131</v>
      </c>
      <c r="E1792" s="15">
        <v>22.489799999999999</v>
      </c>
      <c r="F1792" s="42">
        <v>45684</v>
      </c>
    </row>
    <row r="1793" spans="1:6" x14ac:dyDescent="0.3">
      <c r="A1793" s="15" t="s">
        <v>45542</v>
      </c>
      <c r="B1793" s="15" t="s">
        <v>800</v>
      </c>
      <c r="C1793" s="15" t="s">
        <v>4132</v>
      </c>
      <c r="D1793" s="15" t="s">
        <v>4133</v>
      </c>
      <c r="E1793" s="15">
        <v>10.430199999999999</v>
      </c>
      <c r="F1793" s="42">
        <v>46201</v>
      </c>
    </row>
    <row r="1794" spans="1:6" x14ac:dyDescent="0.3">
      <c r="A1794" s="15" t="s">
        <v>45541</v>
      </c>
      <c r="B1794" s="15" t="s">
        <v>4134</v>
      </c>
      <c r="C1794" s="15" t="s">
        <v>800</v>
      </c>
      <c r="D1794" s="15" t="s">
        <v>4135</v>
      </c>
      <c r="E1794" s="15">
        <v>76.472200000000001</v>
      </c>
      <c r="F1794" s="42">
        <v>46201</v>
      </c>
    </row>
    <row r="1795" spans="1:6" x14ac:dyDescent="0.3">
      <c r="A1795" s="15" t="s">
        <v>45540</v>
      </c>
      <c r="B1795" s="15" t="s">
        <v>4136</v>
      </c>
      <c r="C1795" s="15" t="s">
        <v>4137</v>
      </c>
      <c r="D1795" s="15" t="s">
        <v>4138</v>
      </c>
      <c r="E1795" s="15">
        <v>43.416400000000003</v>
      </c>
      <c r="F1795" s="42">
        <v>46201</v>
      </c>
    </row>
    <row r="1796" spans="1:6" x14ac:dyDescent="0.3">
      <c r="A1796" s="15" t="s">
        <v>45539</v>
      </c>
      <c r="B1796" s="15" t="s">
        <v>4139</v>
      </c>
      <c r="C1796" s="15" t="s">
        <v>4140</v>
      </c>
      <c r="D1796" s="15" t="s">
        <v>4141</v>
      </c>
      <c r="E1796" s="15">
        <v>11.016299999999999</v>
      </c>
      <c r="F1796" s="42">
        <v>46201</v>
      </c>
    </row>
    <row r="1797" spans="1:6" x14ac:dyDescent="0.3">
      <c r="A1797" s="15" t="s">
        <v>45538</v>
      </c>
      <c r="B1797" s="15" t="s">
        <v>4142</v>
      </c>
      <c r="C1797" s="15" t="s">
        <v>4143</v>
      </c>
      <c r="D1797" s="15" t="s">
        <v>4144</v>
      </c>
      <c r="E1797" s="15">
        <v>42.783299999999997</v>
      </c>
      <c r="F1797" s="42">
        <v>46201</v>
      </c>
    </row>
    <row r="1798" spans="1:6" x14ac:dyDescent="0.3">
      <c r="A1798" s="15" t="s">
        <v>45537</v>
      </c>
      <c r="B1798" s="15" t="s">
        <v>4145</v>
      </c>
      <c r="C1798" s="15" t="s">
        <v>800</v>
      </c>
      <c r="D1798" s="15" t="s">
        <v>4146</v>
      </c>
      <c r="E1798" s="15">
        <v>43.460500000000003</v>
      </c>
      <c r="F1798" s="42">
        <v>46201</v>
      </c>
    </row>
    <row r="1799" spans="1:6" x14ac:dyDescent="0.3">
      <c r="A1799" s="15" t="s">
        <v>45536</v>
      </c>
      <c r="B1799" s="15" t="s">
        <v>4147</v>
      </c>
      <c r="C1799" s="15" t="s">
        <v>4148</v>
      </c>
      <c r="D1799" s="15" t="s">
        <v>4149</v>
      </c>
      <c r="E1799" s="15">
        <v>11.0136</v>
      </c>
      <c r="F1799" s="42">
        <v>46201</v>
      </c>
    </row>
    <row r="1800" spans="1:6" x14ac:dyDescent="0.3">
      <c r="A1800" s="15" t="s">
        <v>45535</v>
      </c>
      <c r="B1800" s="15" t="s">
        <v>4150</v>
      </c>
      <c r="C1800" s="15" t="s">
        <v>800</v>
      </c>
      <c r="D1800" s="15" t="s">
        <v>4151</v>
      </c>
      <c r="E1800" s="15">
        <v>75.587500000000006</v>
      </c>
      <c r="F1800" s="42">
        <v>46201</v>
      </c>
    </row>
    <row r="1801" spans="1:6" x14ac:dyDescent="0.3">
      <c r="A1801" s="15" t="s">
        <v>45534</v>
      </c>
      <c r="B1801" s="15" t="s">
        <v>800</v>
      </c>
      <c r="C1801" s="15" t="s">
        <v>800</v>
      </c>
      <c r="D1801" s="15" t="s">
        <v>4152</v>
      </c>
      <c r="E1801" s="15">
        <v>41.4437</v>
      </c>
      <c r="F1801" s="42">
        <v>46201</v>
      </c>
    </row>
    <row r="1802" spans="1:6" x14ac:dyDescent="0.3">
      <c r="A1802" s="15" t="s">
        <v>45533</v>
      </c>
      <c r="B1802" s="15" t="s">
        <v>800</v>
      </c>
      <c r="C1802" s="15" t="s">
        <v>800</v>
      </c>
      <c r="D1802" s="15" t="s">
        <v>4153</v>
      </c>
      <c r="E1802" s="15">
        <v>41.4437</v>
      </c>
      <c r="F1802" s="42">
        <v>46201</v>
      </c>
    </row>
    <row r="1803" spans="1:6" x14ac:dyDescent="0.3">
      <c r="A1803" s="15" t="s">
        <v>45532</v>
      </c>
      <c r="B1803" s="15" t="s">
        <v>800</v>
      </c>
      <c r="C1803" s="15" t="s">
        <v>800</v>
      </c>
      <c r="D1803" s="15" t="s">
        <v>4154</v>
      </c>
      <c r="E1803" s="15">
        <v>41.4437</v>
      </c>
      <c r="F1803" s="42">
        <v>45743</v>
      </c>
    </row>
    <row r="1804" spans="1:6" x14ac:dyDescent="0.3">
      <c r="A1804" s="15" t="s">
        <v>45531</v>
      </c>
      <c r="B1804" s="15" t="s">
        <v>4155</v>
      </c>
      <c r="C1804" s="15" t="s">
        <v>800</v>
      </c>
      <c r="D1804" s="15" t="s">
        <v>4156</v>
      </c>
      <c r="E1804" s="15">
        <v>57.822899999999997</v>
      </c>
      <c r="F1804" s="42">
        <v>44585</v>
      </c>
    </row>
    <row r="1805" spans="1:6" x14ac:dyDescent="0.3">
      <c r="A1805" s="15" t="s">
        <v>45530</v>
      </c>
      <c r="B1805" s="15" t="s">
        <v>4157</v>
      </c>
      <c r="C1805" s="15" t="s">
        <v>800</v>
      </c>
      <c r="D1805" s="15" t="s">
        <v>4158</v>
      </c>
      <c r="E1805" s="15">
        <v>41.4437</v>
      </c>
      <c r="F1805" s="42">
        <v>44585</v>
      </c>
    </row>
    <row r="1806" spans="1:6" x14ac:dyDescent="0.3">
      <c r="A1806" s="15" t="s">
        <v>45529</v>
      </c>
      <c r="B1806" s="15" t="s">
        <v>4159</v>
      </c>
      <c r="C1806" s="15" t="s">
        <v>800</v>
      </c>
      <c r="D1806" s="15" t="s">
        <v>4160</v>
      </c>
      <c r="E1806" s="15">
        <v>57.823</v>
      </c>
      <c r="F1806" s="42">
        <v>44585</v>
      </c>
    </row>
    <row r="1807" spans="1:6" x14ac:dyDescent="0.3">
      <c r="A1807" s="15" t="s">
        <v>45528</v>
      </c>
      <c r="B1807" s="15" t="s">
        <v>4161</v>
      </c>
      <c r="C1807" s="15" t="s">
        <v>800</v>
      </c>
      <c r="D1807" s="15" t="s">
        <v>4162</v>
      </c>
      <c r="E1807" s="15">
        <v>41.4437</v>
      </c>
      <c r="F1807" s="42">
        <v>44585</v>
      </c>
    </row>
    <row r="1808" spans="1:6" x14ac:dyDescent="0.3">
      <c r="A1808" s="15" t="s">
        <v>45527</v>
      </c>
      <c r="B1808" s="15" t="s">
        <v>4163</v>
      </c>
      <c r="C1808" s="15" t="s">
        <v>800</v>
      </c>
      <c r="D1808" s="15" t="s">
        <v>4164</v>
      </c>
      <c r="E1808" s="15">
        <v>24.203399999999998</v>
      </c>
      <c r="F1808" s="42">
        <v>46201</v>
      </c>
    </row>
    <row r="1809" spans="1:6" x14ac:dyDescent="0.3">
      <c r="A1809" s="15" t="s">
        <v>45526</v>
      </c>
      <c r="B1809" s="15" t="s">
        <v>800</v>
      </c>
      <c r="C1809" s="15" t="s">
        <v>4165</v>
      </c>
      <c r="D1809" s="15" t="s">
        <v>4166</v>
      </c>
      <c r="E1809" s="15">
        <v>10.430199999999999</v>
      </c>
      <c r="F1809" s="42">
        <v>46201</v>
      </c>
    </row>
    <row r="1810" spans="1:6" x14ac:dyDescent="0.3">
      <c r="A1810" s="15" t="s">
        <v>33499</v>
      </c>
      <c r="B1810" s="15" t="s">
        <v>795</v>
      </c>
      <c r="C1810" s="15" t="s">
        <v>795</v>
      </c>
      <c r="D1810" s="15" t="s">
        <v>795</v>
      </c>
      <c r="F1810" s="42"/>
    </row>
    <row r="1811" spans="1:6" x14ac:dyDescent="0.3">
      <c r="A1811" s="15" t="s">
        <v>139</v>
      </c>
      <c r="B1811" s="15" t="s">
        <v>795</v>
      </c>
      <c r="C1811" s="15" t="s">
        <v>795</v>
      </c>
      <c r="D1811" s="15" t="s">
        <v>795</v>
      </c>
      <c r="F1811" s="42"/>
    </row>
    <row r="1812" spans="1:6" x14ac:dyDescent="0.3">
      <c r="A1812" s="15" t="s">
        <v>33499</v>
      </c>
      <c r="B1812" s="15" t="s">
        <v>795</v>
      </c>
      <c r="C1812" s="15" t="s">
        <v>795</v>
      </c>
      <c r="D1812" s="15" t="s">
        <v>795</v>
      </c>
      <c r="F1812" s="42"/>
    </row>
    <row r="1813" spans="1:6" x14ac:dyDescent="0.3">
      <c r="A1813" s="15" t="s">
        <v>45525</v>
      </c>
      <c r="B1813" s="15" t="s">
        <v>800</v>
      </c>
      <c r="C1813" s="15" t="s">
        <v>4167</v>
      </c>
      <c r="D1813" s="15" t="s">
        <v>4168</v>
      </c>
      <c r="E1813" s="15">
        <v>1222.81</v>
      </c>
      <c r="F1813" s="42">
        <v>46201</v>
      </c>
    </row>
    <row r="1814" spans="1:6" x14ac:dyDescent="0.3">
      <c r="A1814" s="15" t="s">
        <v>45524</v>
      </c>
      <c r="B1814" s="15" t="s">
        <v>4169</v>
      </c>
      <c r="C1814" s="15" t="s">
        <v>800</v>
      </c>
      <c r="D1814" s="15" t="s">
        <v>4170</v>
      </c>
      <c r="E1814" s="15">
        <v>5663.1413000000002</v>
      </c>
      <c r="F1814" s="42">
        <v>46201</v>
      </c>
    </row>
    <row r="1815" spans="1:6" x14ac:dyDescent="0.3">
      <c r="A1815" s="15" t="s">
        <v>45523</v>
      </c>
      <c r="B1815" s="15" t="s">
        <v>4171</v>
      </c>
      <c r="C1815" s="15" t="s">
        <v>4172</v>
      </c>
      <c r="D1815" s="15" t="s">
        <v>4173</v>
      </c>
      <c r="E1815" s="15">
        <v>1004.5006</v>
      </c>
      <c r="F1815" s="42">
        <v>46201</v>
      </c>
    </row>
    <row r="1816" spans="1:6" x14ac:dyDescent="0.3">
      <c r="A1816" s="15" t="s">
        <v>45522</v>
      </c>
      <c r="B1816" s="15" t="s">
        <v>800</v>
      </c>
      <c r="C1816" s="15" t="s">
        <v>4174</v>
      </c>
      <c r="D1816" s="15" t="s">
        <v>4175</v>
      </c>
      <c r="E1816" s="15">
        <v>1268.6629</v>
      </c>
      <c r="F1816" s="42">
        <v>46201</v>
      </c>
    </row>
    <row r="1817" spans="1:6" x14ac:dyDescent="0.3">
      <c r="A1817" s="15" t="s">
        <v>45521</v>
      </c>
      <c r="B1817" s="15" t="s">
        <v>4176</v>
      </c>
      <c r="C1817" s="15" t="s">
        <v>800</v>
      </c>
      <c r="D1817" s="15" t="s">
        <v>4177</v>
      </c>
      <c r="E1817" s="15">
        <v>5603.4111000000003</v>
      </c>
      <c r="F1817" s="42">
        <v>46201</v>
      </c>
    </row>
    <row r="1818" spans="1:6" x14ac:dyDescent="0.3">
      <c r="A1818" s="15" t="s">
        <v>45520</v>
      </c>
      <c r="B1818" s="15" t="s">
        <v>4178</v>
      </c>
      <c r="C1818" s="15" t="s">
        <v>4179</v>
      </c>
      <c r="D1818" s="15" t="s">
        <v>4180</v>
      </c>
      <c r="E1818" s="15">
        <v>1040.9719</v>
      </c>
      <c r="F1818" s="42">
        <v>46201</v>
      </c>
    </row>
    <row r="1819" spans="1:6" x14ac:dyDescent="0.3">
      <c r="A1819" s="15" t="s">
        <v>33499</v>
      </c>
      <c r="B1819" s="15" t="s">
        <v>795</v>
      </c>
      <c r="C1819" s="15" t="s">
        <v>795</v>
      </c>
      <c r="D1819" s="15" t="s">
        <v>795</v>
      </c>
      <c r="F1819" s="42"/>
    </row>
    <row r="1820" spans="1:6" x14ac:dyDescent="0.3">
      <c r="A1820" s="15" t="s">
        <v>37618</v>
      </c>
      <c r="B1820" s="15" t="s">
        <v>795</v>
      </c>
      <c r="C1820" s="15" t="s">
        <v>795</v>
      </c>
      <c r="D1820" s="15" t="s">
        <v>795</v>
      </c>
      <c r="F1820" s="42"/>
    </row>
    <row r="1821" spans="1:6" x14ac:dyDescent="0.3">
      <c r="A1821" s="15" t="s">
        <v>33499</v>
      </c>
      <c r="B1821" s="15" t="s">
        <v>795</v>
      </c>
      <c r="C1821" s="15" t="s">
        <v>795</v>
      </c>
      <c r="D1821" s="15" t="s">
        <v>795</v>
      </c>
      <c r="F1821" s="42"/>
    </row>
    <row r="1822" spans="1:6" x14ac:dyDescent="0.3">
      <c r="A1822" s="15" t="s">
        <v>45519</v>
      </c>
      <c r="B1822" s="15" t="s">
        <v>4181</v>
      </c>
      <c r="C1822" s="15" t="s">
        <v>4182</v>
      </c>
      <c r="D1822" s="15" t="s">
        <v>4183</v>
      </c>
      <c r="E1822" s="15">
        <v>1035.2974999999999</v>
      </c>
      <c r="F1822" s="42">
        <v>46201</v>
      </c>
    </row>
    <row r="1823" spans="1:6" x14ac:dyDescent="0.3">
      <c r="A1823" s="15" t="s">
        <v>45518</v>
      </c>
      <c r="B1823" s="15" t="s">
        <v>4184</v>
      </c>
      <c r="C1823" s="15" t="s">
        <v>800</v>
      </c>
      <c r="D1823" s="15" t="s">
        <v>4185</v>
      </c>
      <c r="E1823" s="15">
        <v>5088.701</v>
      </c>
      <c r="F1823" s="42">
        <v>46201</v>
      </c>
    </row>
    <row r="1824" spans="1:6" x14ac:dyDescent="0.3">
      <c r="A1824" s="15" t="s">
        <v>45517</v>
      </c>
      <c r="B1824" s="15" t="s">
        <v>4186</v>
      </c>
      <c r="C1824" s="15" t="s">
        <v>4187</v>
      </c>
      <c r="D1824" s="15" t="s">
        <v>4188</v>
      </c>
      <c r="E1824" s="15">
        <v>1235.2587000000001</v>
      </c>
      <c r="F1824" s="42">
        <v>46201</v>
      </c>
    </row>
    <row r="1825" spans="1:6" x14ac:dyDescent="0.3">
      <c r="A1825" s="15" t="s">
        <v>45516</v>
      </c>
      <c r="B1825" s="15" t="s">
        <v>4189</v>
      </c>
      <c r="C1825" s="15" t="s">
        <v>4190</v>
      </c>
      <c r="D1825" s="15" t="s">
        <v>4191</v>
      </c>
      <c r="E1825" s="15">
        <v>1103.3463999999999</v>
      </c>
      <c r="F1825" s="42">
        <v>46201</v>
      </c>
    </row>
    <row r="1826" spans="1:6" x14ac:dyDescent="0.3">
      <c r="A1826" s="15" t="s">
        <v>45515</v>
      </c>
      <c r="B1826" s="15" t="s">
        <v>4192</v>
      </c>
      <c r="C1826" s="15" t="s">
        <v>4193</v>
      </c>
      <c r="D1826" s="15" t="s">
        <v>4194</v>
      </c>
      <c r="E1826" s="15">
        <v>1000.1751</v>
      </c>
      <c r="F1826" s="42">
        <v>46201</v>
      </c>
    </row>
    <row r="1827" spans="1:6" x14ac:dyDescent="0.3">
      <c r="A1827" s="15" t="s">
        <v>45514</v>
      </c>
      <c r="B1827" s="15" t="s">
        <v>4195</v>
      </c>
      <c r="C1827" s="15" t="s">
        <v>800</v>
      </c>
      <c r="D1827" s="15" t="s">
        <v>4196</v>
      </c>
      <c r="E1827" s="15">
        <v>5012.1638999999996</v>
      </c>
      <c r="F1827" s="42">
        <v>46201</v>
      </c>
    </row>
    <row r="1828" spans="1:6" x14ac:dyDescent="0.3">
      <c r="A1828" s="15" t="s">
        <v>45513</v>
      </c>
      <c r="B1828" s="15" t="s">
        <v>4197</v>
      </c>
      <c r="C1828" s="15" t="s">
        <v>4198</v>
      </c>
      <c r="D1828" s="15" t="s">
        <v>4199</v>
      </c>
      <c r="E1828" s="15">
        <v>1214.2569000000001</v>
      </c>
      <c r="F1828" s="42">
        <v>46201</v>
      </c>
    </row>
    <row r="1829" spans="1:6" x14ac:dyDescent="0.3">
      <c r="A1829" s="15" t="s">
        <v>45512</v>
      </c>
      <c r="B1829" s="15" t="s">
        <v>4200</v>
      </c>
      <c r="C1829" s="15" t="s">
        <v>4201</v>
      </c>
      <c r="D1829" s="15" t="s">
        <v>4202</v>
      </c>
      <c r="E1829" s="15">
        <v>1003.0696</v>
      </c>
      <c r="F1829" s="42">
        <v>46201</v>
      </c>
    </row>
    <row r="1830" spans="1:6" x14ac:dyDescent="0.3">
      <c r="A1830" s="15" t="s">
        <v>33499</v>
      </c>
      <c r="B1830" s="15" t="s">
        <v>795</v>
      </c>
      <c r="C1830" s="15" t="s">
        <v>795</v>
      </c>
      <c r="D1830" s="15" t="s">
        <v>795</v>
      </c>
      <c r="F1830" s="42"/>
    </row>
    <row r="1831" spans="1:6" x14ac:dyDescent="0.3">
      <c r="A1831" s="15" t="s">
        <v>39301</v>
      </c>
      <c r="B1831" s="15" t="s">
        <v>795</v>
      </c>
      <c r="C1831" s="15" t="s">
        <v>795</v>
      </c>
      <c r="D1831" s="15" t="s">
        <v>795</v>
      </c>
      <c r="F1831" s="42"/>
    </row>
    <row r="1832" spans="1:6" x14ac:dyDescent="0.3">
      <c r="A1832" s="15" t="s">
        <v>33499</v>
      </c>
      <c r="B1832" s="15" t="s">
        <v>795</v>
      </c>
      <c r="C1832" s="15" t="s">
        <v>795</v>
      </c>
      <c r="D1832" s="15" t="s">
        <v>795</v>
      </c>
      <c r="F1832" s="42"/>
    </row>
    <row r="1833" spans="1:6" x14ac:dyDescent="0.3">
      <c r="A1833" s="15" t="s">
        <v>45511</v>
      </c>
      <c r="B1833" s="15" t="s">
        <v>800</v>
      </c>
      <c r="C1833" s="15" t="s">
        <v>4203</v>
      </c>
      <c r="D1833" s="15" t="s">
        <v>4204</v>
      </c>
      <c r="E1833" s="15">
        <v>1281.8291999999999</v>
      </c>
      <c r="F1833" s="42">
        <v>46201</v>
      </c>
    </row>
    <row r="1834" spans="1:6" x14ac:dyDescent="0.3">
      <c r="A1834" s="15" t="s">
        <v>45510</v>
      </c>
      <c r="B1834" s="15" t="s">
        <v>800</v>
      </c>
      <c r="C1834" s="15" t="s">
        <v>4205</v>
      </c>
      <c r="D1834" s="15" t="s">
        <v>4206</v>
      </c>
      <c r="E1834" s="15">
        <v>1003.6789</v>
      </c>
      <c r="F1834" s="42">
        <v>46201</v>
      </c>
    </row>
    <row r="1835" spans="1:6" x14ac:dyDescent="0.3">
      <c r="A1835" s="15" t="s">
        <v>45509</v>
      </c>
      <c r="B1835" s="15" t="s">
        <v>4207</v>
      </c>
      <c r="C1835" s="15" t="s">
        <v>800</v>
      </c>
      <c r="D1835" s="15" t="s">
        <v>4208</v>
      </c>
      <c r="E1835" s="15">
        <v>1825.6712</v>
      </c>
      <c r="F1835" s="42">
        <v>46201</v>
      </c>
    </row>
    <row r="1836" spans="1:6" x14ac:dyDescent="0.3">
      <c r="A1836" s="15" t="s">
        <v>45508</v>
      </c>
      <c r="B1836" s="15" t="s">
        <v>800</v>
      </c>
      <c r="C1836" s="15" t="s">
        <v>4209</v>
      </c>
      <c r="D1836" s="15" t="s">
        <v>4210</v>
      </c>
      <c r="E1836" s="15">
        <v>1001.7781</v>
      </c>
      <c r="F1836" s="42">
        <v>46201</v>
      </c>
    </row>
    <row r="1837" spans="1:6" x14ac:dyDescent="0.3">
      <c r="A1837" s="15" t="s">
        <v>45507</v>
      </c>
      <c r="B1837" s="15" t="s">
        <v>4211</v>
      </c>
      <c r="C1837" s="15" t="s">
        <v>800</v>
      </c>
      <c r="D1837" s="15" t="s">
        <v>4212</v>
      </c>
      <c r="E1837" s="15">
        <v>1804.3251</v>
      </c>
      <c r="F1837" s="42">
        <v>46201</v>
      </c>
    </row>
    <row r="1838" spans="1:6" x14ac:dyDescent="0.3">
      <c r="A1838" s="15" t="s">
        <v>45506</v>
      </c>
      <c r="B1838" s="15" t="s">
        <v>800</v>
      </c>
      <c r="C1838" s="15" t="s">
        <v>4213</v>
      </c>
      <c r="D1838" s="15" t="s">
        <v>4214</v>
      </c>
      <c r="E1838" s="15">
        <v>1010.0898</v>
      </c>
      <c r="F1838" s="42">
        <v>46201</v>
      </c>
    </row>
    <row r="1839" spans="1:6" x14ac:dyDescent="0.3">
      <c r="A1839" s="15" t="s">
        <v>45505</v>
      </c>
      <c r="B1839" s="15" t="s">
        <v>800</v>
      </c>
      <c r="C1839" s="15" t="s">
        <v>800</v>
      </c>
      <c r="D1839" s="15" t="s">
        <v>4215</v>
      </c>
      <c r="E1839" s="15">
        <v>1000</v>
      </c>
      <c r="F1839" s="42">
        <v>44530</v>
      </c>
    </row>
    <row r="1840" spans="1:6" x14ac:dyDescent="0.3">
      <c r="A1840" s="15" t="s">
        <v>45504</v>
      </c>
      <c r="B1840" s="15" t="s">
        <v>800</v>
      </c>
      <c r="C1840" s="15" t="s">
        <v>800</v>
      </c>
      <c r="D1840" s="15" t="s">
        <v>4216</v>
      </c>
      <c r="E1840" s="15">
        <v>1218.6342999999999</v>
      </c>
      <c r="F1840" s="42">
        <v>44530</v>
      </c>
    </row>
    <row r="1841" spans="1:6" x14ac:dyDescent="0.3">
      <c r="A1841" s="15" t="s">
        <v>33499</v>
      </c>
      <c r="B1841" s="15" t="s">
        <v>795</v>
      </c>
      <c r="C1841" s="15" t="s">
        <v>795</v>
      </c>
      <c r="D1841" s="15" t="s">
        <v>795</v>
      </c>
      <c r="F1841" s="42"/>
    </row>
    <row r="1842" spans="1:6" x14ac:dyDescent="0.3">
      <c r="A1842" s="15" t="s">
        <v>37780</v>
      </c>
      <c r="B1842" s="15" t="s">
        <v>795</v>
      </c>
      <c r="C1842" s="15" t="s">
        <v>795</v>
      </c>
      <c r="D1842" s="15" t="s">
        <v>795</v>
      </c>
      <c r="F1842" s="42"/>
    </row>
    <row r="1843" spans="1:6" x14ac:dyDescent="0.3">
      <c r="A1843" s="15" t="s">
        <v>33499</v>
      </c>
      <c r="B1843" s="15" t="s">
        <v>795</v>
      </c>
      <c r="C1843" s="15" t="s">
        <v>795</v>
      </c>
      <c r="D1843" s="15" t="s">
        <v>795</v>
      </c>
      <c r="F1843" s="42"/>
    </row>
    <row r="1844" spans="1:6" x14ac:dyDescent="0.3">
      <c r="A1844" s="15" t="s">
        <v>45503</v>
      </c>
      <c r="B1844" s="15" t="s">
        <v>4217</v>
      </c>
      <c r="C1844" s="15" t="s">
        <v>800</v>
      </c>
      <c r="D1844" s="15" t="s">
        <v>4218</v>
      </c>
      <c r="E1844" s="15">
        <v>2958.7891</v>
      </c>
      <c r="F1844" s="42">
        <v>46200</v>
      </c>
    </row>
    <row r="1845" spans="1:6" x14ac:dyDescent="0.3">
      <c r="A1845" s="15" t="s">
        <v>45502</v>
      </c>
      <c r="B1845" s="15" t="s">
        <v>4219</v>
      </c>
      <c r="C1845" s="15" t="s">
        <v>4220</v>
      </c>
      <c r="D1845" s="15" t="s">
        <v>4221</v>
      </c>
      <c r="E1845" s="15">
        <v>1216.8780999999999</v>
      </c>
      <c r="F1845" s="42">
        <v>46200</v>
      </c>
    </row>
    <row r="1846" spans="1:6" x14ac:dyDescent="0.3">
      <c r="A1846" s="15" t="s">
        <v>45501</v>
      </c>
      <c r="B1846" s="15" t="s">
        <v>800</v>
      </c>
      <c r="C1846" s="15" t="s">
        <v>4222</v>
      </c>
      <c r="D1846" s="15" t="s">
        <v>4223</v>
      </c>
      <c r="E1846" s="15">
        <v>1075.8332</v>
      </c>
      <c r="F1846" s="42">
        <v>46200</v>
      </c>
    </row>
    <row r="1847" spans="1:6" x14ac:dyDescent="0.3">
      <c r="A1847" s="15" t="s">
        <v>45500</v>
      </c>
      <c r="B1847" s="15" t="s">
        <v>4224</v>
      </c>
      <c r="C1847" s="15" t="s">
        <v>4225</v>
      </c>
      <c r="D1847" s="15" t="s">
        <v>4226</v>
      </c>
      <c r="E1847" s="15">
        <v>1135.2793999999999</v>
      </c>
      <c r="F1847" s="42">
        <v>46200</v>
      </c>
    </row>
    <row r="1848" spans="1:6" x14ac:dyDescent="0.3">
      <c r="A1848" s="15" t="s">
        <v>45499</v>
      </c>
      <c r="B1848" s="15" t="s">
        <v>800</v>
      </c>
      <c r="C1848" s="15" t="s">
        <v>4227</v>
      </c>
      <c r="D1848" s="15" t="s">
        <v>4228</v>
      </c>
      <c r="E1848" s="15">
        <v>1066.4347</v>
      </c>
      <c r="F1848" s="42">
        <v>46200</v>
      </c>
    </row>
    <row r="1849" spans="1:6" x14ac:dyDescent="0.3">
      <c r="A1849" s="15" t="s">
        <v>45498</v>
      </c>
      <c r="B1849" s="15" t="s">
        <v>4229</v>
      </c>
      <c r="C1849" s="15" t="s">
        <v>800</v>
      </c>
      <c r="D1849" s="15" t="s">
        <v>4230</v>
      </c>
      <c r="E1849" s="15">
        <v>2905.5154000000002</v>
      </c>
      <c r="F1849" s="42">
        <v>46200</v>
      </c>
    </row>
    <row r="1850" spans="1:6" x14ac:dyDescent="0.3">
      <c r="A1850" s="15" t="s">
        <v>45497</v>
      </c>
      <c r="B1850" s="15" t="s">
        <v>4231</v>
      </c>
      <c r="C1850" s="15" t="s">
        <v>4232</v>
      </c>
      <c r="D1850" s="15" t="s">
        <v>4233</v>
      </c>
      <c r="E1850" s="15">
        <v>1152.9347</v>
      </c>
      <c r="F1850" s="42">
        <v>46200</v>
      </c>
    </row>
    <row r="1851" spans="1:6" x14ac:dyDescent="0.3">
      <c r="A1851" s="15" t="s">
        <v>45496</v>
      </c>
      <c r="B1851" s="15" t="s">
        <v>4234</v>
      </c>
      <c r="C1851" s="15" t="s">
        <v>4235</v>
      </c>
      <c r="D1851" s="15" t="s">
        <v>4236</v>
      </c>
      <c r="E1851" s="15">
        <v>1153.1746000000001</v>
      </c>
      <c r="F1851" s="42">
        <v>46200</v>
      </c>
    </row>
    <row r="1852" spans="1:6" x14ac:dyDescent="0.3">
      <c r="A1852" s="15" t="s">
        <v>33499</v>
      </c>
      <c r="B1852" s="15" t="s">
        <v>795</v>
      </c>
      <c r="C1852" s="15" t="s">
        <v>795</v>
      </c>
      <c r="D1852" s="15" t="s">
        <v>795</v>
      </c>
      <c r="F1852" s="42"/>
    </row>
    <row r="1853" spans="1:6" x14ac:dyDescent="0.3">
      <c r="A1853" s="15" t="s">
        <v>37742</v>
      </c>
      <c r="B1853" s="15" t="s">
        <v>795</v>
      </c>
      <c r="C1853" s="15" t="s">
        <v>795</v>
      </c>
      <c r="D1853" s="15" t="s">
        <v>795</v>
      </c>
      <c r="F1853" s="42"/>
    </row>
    <row r="1854" spans="1:6" x14ac:dyDescent="0.3">
      <c r="A1854" s="15" t="s">
        <v>33499</v>
      </c>
      <c r="B1854" s="15" t="s">
        <v>795</v>
      </c>
      <c r="C1854" s="15" t="s">
        <v>795</v>
      </c>
      <c r="D1854" s="15" t="s">
        <v>795</v>
      </c>
      <c r="F1854" s="42"/>
    </row>
    <row r="1855" spans="1:6" x14ac:dyDescent="0.3">
      <c r="A1855" s="15" t="s">
        <v>45495</v>
      </c>
      <c r="B1855" s="15" t="s">
        <v>4237</v>
      </c>
      <c r="C1855" s="15" t="s">
        <v>800</v>
      </c>
      <c r="D1855" s="15" t="s">
        <v>4238</v>
      </c>
      <c r="E1855" s="15">
        <v>14.767300000000001</v>
      </c>
      <c r="F1855" s="42">
        <v>46201</v>
      </c>
    </row>
    <row r="1856" spans="1:6" x14ac:dyDescent="0.3">
      <c r="A1856" s="15" t="s">
        <v>45494</v>
      </c>
      <c r="B1856" s="15" t="s">
        <v>4239</v>
      </c>
      <c r="C1856" s="15" t="s">
        <v>800</v>
      </c>
      <c r="D1856" s="15" t="s">
        <v>4240</v>
      </c>
      <c r="E1856" s="15">
        <v>14.594799999999999</v>
      </c>
      <c r="F1856" s="42">
        <v>46201</v>
      </c>
    </row>
    <row r="1857" spans="1:6" x14ac:dyDescent="0.3">
      <c r="A1857" s="15" t="s">
        <v>45493</v>
      </c>
      <c r="B1857" s="15" t="s">
        <v>800</v>
      </c>
      <c r="C1857" s="15" t="s">
        <v>800</v>
      </c>
      <c r="D1857" s="15" t="s">
        <v>4241</v>
      </c>
      <c r="E1857" s="15">
        <v>10</v>
      </c>
      <c r="F1857" s="42">
        <v>46201</v>
      </c>
    </row>
    <row r="1858" spans="1:6" x14ac:dyDescent="0.3">
      <c r="A1858" s="15" t="s">
        <v>45492</v>
      </c>
      <c r="B1858" s="15" t="s">
        <v>800</v>
      </c>
      <c r="C1858" s="15" t="s">
        <v>800</v>
      </c>
      <c r="D1858" s="15" t="s">
        <v>4242</v>
      </c>
      <c r="E1858" s="15">
        <v>14.383100000000001</v>
      </c>
      <c r="F1858" s="42">
        <v>46201</v>
      </c>
    </row>
    <row r="1859" spans="1:6" x14ac:dyDescent="0.3">
      <c r="A1859" s="15" t="s">
        <v>45491</v>
      </c>
      <c r="B1859" s="15" t="s">
        <v>800</v>
      </c>
      <c r="C1859" s="15" t="s">
        <v>800</v>
      </c>
      <c r="D1859" s="15" t="s">
        <v>4243</v>
      </c>
      <c r="E1859" s="15">
        <v>10</v>
      </c>
      <c r="F1859" s="42">
        <v>46201</v>
      </c>
    </row>
    <row r="1860" spans="1:6" x14ac:dyDescent="0.3">
      <c r="A1860" s="15" t="s">
        <v>45490</v>
      </c>
      <c r="B1860" s="15" t="s">
        <v>800</v>
      </c>
      <c r="C1860" s="15" t="s">
        <v>800</v>
      </c>
      <c r="D1860" s="15" t="s">
        <v>4244</v>
      </c>
      <c r="E1860" s="15">
        <v>14.0968</v>
      </c>
      <c r="F1860" s="42">
        <v>46201</v>
      </c>
    </row>
    <row r="1861" spans="1:6" x14ac:dyDescent="0.3">
      <c r="A1861" s="15" t="s">
        <v>45489</v>
      </c>
      <c r="B1861" s="15" t="s">
        <v>4245</v>
      </c>
      <c r="C1861" s="15" t="s">
        <v>4246</v>
      </c>
      <c r="D1861" s="15" t="s">
        <v>4247</v>
      </c>
      <c r="E1861" s="15">
        <v>10.285500000000001</v>
      </c>
      <c r="F1861" s="42">
        <v>46201</v>
      </c>
    </row>
    <row r="1862" spans="1:6" x14ac:dyDescent="0.3">
      <c r="A1862" s="15" t="s">
        <v>45488</v>
      </c>
      <c r="B1862" s="15" t="s">
        <v>800</v>
      </c>
      <c r="C1862" s="15" t="s">
        <v>4248</v>
      </c>
      <c r="D1862" s="15" t="s">
        <v>4249</v>
      </c>
      <c r="E1862" s="15">
        <v>10.034800000000001</v>
      </c>
      <c r="F1862" s="42">
        <v>46201</v>
      </c>
    </row>
    <row r="1863" spans="1:6" x14ac:dyDescent="0.3">
      <c r="A1863" s="15" t="s">
        <v>45487</v>
      </c>
      <c r="B1863" s="15" t="s">
        <v>4250</v>
      </c>
      <c r="C1863" s="15" t="s">
        <v>4251</v>
      </c>
      <c r="D1863" s="15" t="s">
        <v>4252</v>
      </c>
      <c r="E1863" s="15">
        <v>10.0892</v>
      </c>
      <c r="F1863" s="42">
        <v>46201</v>
      </c>
    </row>
    <row r="1864" spans="1:6" x14ac:dyDescent="0.3">
      <c r="A1864" s="15" t="s">
        <v>45486</v>
      </c>
      <c r="B1864" s="15" t="s">
        <v>800</v>
      </c>
      <c r="C1864" s="15" t="s">
        <v>4253</v>
      </c>
      <c r="D1864" s="15" t="s">
        <v>4254</v>
      </c>
      <c r="E1864" s="15">
        <v>10.0077</v>
      </c>
      <c r="F1864" s="42">
        <v>46201</v>
      </c>
    </row>
    <row r="1865" spans="1:6" x14ac:dyDescent="0.3">
      <c r="A1865" s="15" t="s">
        <v>45485</v>
      </c>
      <c r="B1865" s="15" t="s">
        <v>800</v>
      </c>
      <c r="C1865" s="15" t="s">
        <v>4255</v>
      </c>
      <c r="D1865" s="15" t="s">
        <v>4256</v>
      </c>
      <c r="E1865" s="15">
        <v>10.0229</v>
      </c>
      <c r="F1865" s="42">
        <v>46201</v>
      </c>
    </row>
    <row r="1866" spans="1:6" x14ac:dyDescent="0.3">
      <c r="A1866" s="15" t="s">
        <v>45484</v>
      </c>
      <c r="B1866" s="15" t="s">
        <v>800</v>
      </c>
      <c r="C1866" s="15" t="s">
        <v>4257</v>
      </c>
      <c r="D1866" s="15" t="s">
        <v>4258</v>
      </c>
      <c r="E1866" s="15">
        <v>10.007400000000001</v>
      </c>
      <c r="F1866" s="42">
        <v>46201</v>
      </c>
    </row>
    <row r="1867" spans="1:6" x14ac:dyDescent="0.3">
      <c r="A1867" s="15" t="s">
        <v>45483</v>
      </c>
      <c r="B1867" s="15" t="s">
        <v>800</v>
      </c>
      <c r="C1867" s="15" t="s">
        <v>4259</v>
      </c>
      <c r="D1867" s="15" t="s">
        <v>4260</v>
      </c>
      <c r="E1867" s="15">
        <v>10.033899999999999</v>
      </c>
      <c r="F1867" s="42">
        <v>46201</v>
      </c>
    </row>
    <row r="1868" spans="1:6" x14ac:dyDescent="0.3">
      <c r="A1868" s="15" t="s">
        <v>45482</v>
      </c>
      <c r="B1868" s="15" t="s">
        <v>4261</v>
      </c>
      <c r="C1868" s="15" t="s">
        <v>4262</v>
      </c>
      <c r="D1868" s="15" t="s">
        <v>4263</v>
      </c>
      <c r="E1868" s="15">
        <v>10.0875</v>
      </c>
      <c r="F1868" s="42">
        <v>46201</v>
      </c>
    </row>
    <row r="1869" spans="1:6" x14ac:dyDescent="0.3">
      <c r="A1869" s="15" t="s">
        <v>45481</v>
      </c>
      <c r="B1869" s="15" t="s">
        <v>4264</v>
      </c>
      <c r="C1869" s="15" t="s">
        <v>4265</v>
      </c>
      <c r="D1869" s="15" t="s">
        <v>4266</v>
      </c>
      <c r="E1869" s="15">
        <v>10.275700000000001</v>
      </c>
      <c r="F1869" s="42">
        <v>46201</v>
      </c>
    </row>
    <row r="1870" spans="1:6" x14ac:dyDescent="0.3">
      <c r="A1870" s="15" t="s">
        <v>45480</v>
      </c>
      <c r="B1870" s="15" t="s">
        <v>800</v>
      </c>
      <c r="C1870" s="15" t="s">
        <v>4267</v>
      </c>
      <c r="D1870" s="15" t="s">
        <v>4268</v>
      </c>
      <c r="E1870" s="15">
        <v>10.0276</v>
      </c>
      <c r="F1870" s="42">
        <v>46201</v>
      </c>
    </row>
    <row r="1871" spans="1:6" x14ac:dyDescent="0.3">
      <c r="A1871" s="15" t="s">
        <v>33499</v>
      </c>
      <c r="B1871" s="15" t="s">
        <v>795</v>
      </c>
      <c r="C1871" s="15" t="s">
        <v>795</v>
      </c>
      <c r="D1871" s="15" t="s">
        <v>795</v>
      </c>
      <c r="F1871" s="42"/>
    </row>
    <row r="1872" spans="1:6" x14ac:dyDescent="0.3">
      <c r="A1872" s="15" t="s">
        <v>38348</v>
      </c>
      <c r="B1872" s="15" t="s">
        <v>795</v>
      </c>
      <c r="C1872" s="15" t="s">
        <v>795</v>
      </c>
      <c r="D1872" s="15" t="s">
        <v>795</v>
      </c>
      <c r="F1872" s="42"/>
    </row>
    <row r="1873" spans="1:6" x14ac:dyDescent="0.3">
      <c r="A1873" s="15" t="s">
        <v>33499</v>
      </c>
      <c r="B1873" s="15" t="s">
        <v>795</v>
      </c>
      <c r="C1873" s="15" t="s">
        <v>795</v>
      </c>
      <c r="D1873" s="15" t="s">
        <v>795</v>
      </c>
      <c r="F1873" s="42"/>
    </row>
    <row r="1874" spans="1:6" x14ac:dyDescent="0.3">
      <c r="A1874" s="15" t="s">
        <v>45479</v>
      </c>
      <c r="B1874" s="15" t="s">
        <v>800</v>
      </c>
      <c r="C1874" s="15" t="s">
        <v>4269</v>
      </c>
      <c r="D1874" s="15" t="s">
        <v>4270</v>
      </c>
      <c r="E1874" s="15">
        <v>10.0129</v>
      </c>
      <c r="F1874" s="42">
        <v>46201</v>
      </c>
    </row>
    <row r="1875" spans="1:6" x14ac:dyDescent="0.3">
      <c r="A1875" s="15" t="s">
        <v>45478</v>
      </c>
      <c r="B1875" s="15" t="s">
        <v>4271</v>
      </c>
      <c r="C1875" s="15" t="s">
        <v>4272</v>
      </c>
      <c r="D1875" s="15" t="s">
        <v>4273</v>
      </c>
      <c r="E1875" s="15">
        <v>10.017300000000001</v>
      </c>
      <c r="F1875" s="42">
        <v>46201</v>
      </c>
    </row>
    <row r="1876" spans="1:6" x14ac:dyDescent="0.3">
      <c r="A1876" s="15" t="s">
        <v>45477</v>
      </c>
      <c r="B1876" s="15" t="s">
        <v>4274</v>
      </c>
      <c r="C1876" s="15" t="s">
        <v>4275</v>
      </c>
      <c r="D1876" s="15" t="s">
        <v>4276</v>
      </c>
      <c r="E1876" s="15">
        <v>10.014099999999999</v>
      </c>
      <c r="F1876" s="42">
        <v>46201</v>
      </c>
    </row>
    <row r="1877" spans="1:6" x14ac:dyDescent="0.3">
      <c r="A1877" s="15" t="s">
        <v>45476</v>
      </c>
      <c r="B1877" s="15" t="s">
        <v>800</v>
      </c>
      <c r="C1877" s="15" t="s">
        <v>4277</v>
      </c>
      <c r="D1877" s="15" t="s">
        <v>4278</v>
      </c>
      <c r="E1877" s="15">
        <v>10.037100000000001</v>
      </c>
      <c r="F1877" s="42">
        <v>46201</v>
      </c>
    </row>
    <row r="1878" spans="1:6" x14ac:dyDescent="0.3">
      <c r="A1878" s="15" t="s">
        <v>45475</v>
      </c>
      <c r="B1878" s="15" t="s">
        <v>4279</v>
      </c>
      <c r="C1878" s="15" t="s">
        <v>4280</v>
      </c>
      <c r="D1878" s="15" t="s">
        <v>4281</v>
      </c>
      <c r="E1878" s="15">
        <v>10.017099999999999</v>
      </c>
      <c r="F1878" s="42">
        <v>46201</v>
      </c>
    </row>
    <row r="1879" spans="1:6" x14ac:dyDescent="0.3">
      <c r="A1879" s="15" t="s">
        <v>45474</v>
      </c>
      <c r="B1879" s="15" t="s">
        <v>4282</v>
      </c>
      <c r="C1879" s="15" t="s">
        <v>4283</v>
      </c>
      <c r="D1879" s="15" t="s">
        <v>4284</v>
      </c>
      <c r="E1879" s="15">
        <v>10.0144</v>
      </c>
      <c r="F1879" s="42">
        <v>46201</v>
      </c>
    </row>
    <row r="1880" spans="1:6" x14ac:dyDescent="0.3">
      <c r="A1880" s="15" t="s">
        <v>45473</v>
      </c>
      <c r="B1880" s="15" t="s">
        <v>4285</v>
      </c>
      <c r="C1880" s="15" t="s">
        <v>800</v>
      </c>
      <c r="D1880" s="15" t="s">
        <v>4286</v>
      </c>
      <c r="E1880" s="15">
        <v>30.282</v>
      </c>
      <c r="F1880" s="42">
        <v>46201</v>
      </c>
    </row>
    <row r="1881" spans="1:6" x14ac:dyDescent="0.3">
      <c r="A1881" s="15" t="s">
        <v>45472</v>
      </c>
      <c r="B1881" s="15" t="s">
        <v>4287</v>
      </c>
      <c r="C1881" s="15" t="s">
        <v>800</v>
      </c>
      <c r="D1881" s="15" t="s">
        <v>4288</v>
      </c>
      <c r="E1881" s="15">
        <v>29.999300000000002</v>
      </c>
      <c r="F1881" s="42">
        <v>46201</v>
      </c>
    </row>
    <row r="1882" spans="1:6" x14ac:dyDescent="0.3">
      <c r="A1882" s="15" t="s">
        <v>45471</v>
      </c>
      <c r="B1882" s="15" t="s">
        <v>4289</v>
      </c>
      <c r="C1882" s="15" t="s">
        <v>800</v>
      </c>
      <c r="D1882" s="15" t="s">
        <v>4290</v>
      </c>
      <c r="E1882" s="15">
        <v>10</v>
      </c>
      <c r="F1882" s="42">
        <v>46201</v>
      </c>
    </row>
    <row r="1883" spans="1:6" x14ac:dyDescent="0.3">
      <c r="A1883" s="15" t="s">
        <v>45470</v>
      </c>
      <c r="B1883" s="15" t="s">
        <v>4291</v>
      </c>
      <c r="C1883" s="15" t="s">
        <v>800</v>
      </c>
      <c r="D1883" s="15" t="s">
        <v>4292</v>
      </c>
      <c r="E1883" s="15">
        <v>30.179600000000001</v>
      </c>
      <c r="F1883" s="42">
        <v>46201</v>
      </c>
    </row>
    <row r="1884" spans="1:6" x14ac:dyDescent="0.3">
      <c r="A1884" s="15" t="s">
        <v>33499</v>
      </c>
      <c r="B1884" s="15" t="s">
        <v>795</v>
      </c>
      <c r="C1884" s="15" t="s">
        <v>795</v>
      </c>
      <c r="D1884" s="15" t="s">
        <v>795</v>
      </c>
      <c r="F1884" s="42"/>
    </row>
    <row r="1885" spans="1:6" x14ac:dyDescent="0.3">
      <c r="A1885" s="15" t="s">
        <v>208</v>
      </c>
      <c r="B1885" s="15" t="s">
        <v>795</v>
      </c>
      <c r="C1885" s="15" t="s">
        <v>795</v>
      </c>
      <c r="D1885" s="15" t="s">
        <v>795</v>
      </c>
      <c r="F1885" s="42"/>
    </row>
    <row r="1886" spans="1:6" x14ac:dyDescent="0.3">
      <c r="A1886" s="15" t="s">
        <v>33499</v>
      </c>
      <c r="B1886" s="15" t="s">
        <v>795</v>
      </c>
      <c r="C1886" s="15" t="s">
        <v>795</v>
      </c>
      <c r="D1886" s="15" t="s">
        <v>795</v>
      </c>
      <c r="F1886" s="42"/>
    </row>
    <row r="1887" spans="1:6" x14ac:dyDescent="0.3">
      <c r="A1887" s="15" t="s">
        <v>45469</v>
      </c>
      <c r="B1887" s="15" t="s">
        <v>800</v>
      </c>
      <c r="C1887" s="15" t="s">
        <v>4293</v>
      </c>
      <c r="D1887" s="15" t="s">
        <v>4294</v>
      </c>
      <c r="E1887" s="15">
        <v>1528.74</v>
      </c>
      <c r="F1887" s="42">
        <v>46201</v>
      </c>
    </row>
    <row r="1888" spans="1:6" x14ac:dyDescent="0.3">
      <c r="A1888" s="15" t="s">
        <v>45468</v>
      </c>
      <c r="B1888" s="15" t="s">
        <v>800</v>
      </c>
      <c r="C1888" s="15" t="s">
        <v>4295</v>
      </c>
      <c r="D1888" s="15" t="s">
        <v>4296</v>
      </c>
      <c r="E1888" s="15">
        <v>1528.74</v>
      </c>
      <c r="F1888" s="42">
        <v>46201</v>
      </c>
    </row>
    <row r="1889" spans="1:6" x14ac:dyDescent="0.3">
      <c r="A1889" s="15" t="s">
        <v>45467</v>
      </c>
      <c r="B1889" s="15" t="s">
        <v>4297</v>
      </c>
      <c r="C1889" s="15" t="s">
        <v>4298</v>
      </c>
      <c r="D1889" s="15" t="s">
        <v>4299</v>
      </c>
      <c r="E1889" s="15">
        <v>1587.9486999999999</v>
      </c>
      <c r="F1889" s="42">
        <v>46201</v>
      </c>
    </row>
    <row r="1890" spans="1:6" x14ac:dyDescent="0.3">
      <c r="A1890" s="15" t="s">
        <v>45466</v>
      </c>
      <c r="B1890" s="15" t="s">
        <v>4300</v>
      </c>
      <c r="C1890" s="15" t="s">
        <v>4301</v>
      </c>
      <c r="D1890" s="15" t="s">
        <v>4302</v>
      </c>
      <c r="E1890" s="15">
        <v>1005.5747</v>
      </c>
      <c r="F1890" s="42">
        <v>46201</v>
      </c>
    </row>
    <row r="1891" spans="1:6" x14ac:dyDescent="0.3">
      <c r="A1891" s="15" t="s">
        <v>45465</v>
      </c>
      <c r="B1891" s="15" t="s">
        <v>4303</v>
      </c>
      <c r="C1891" s="15" t="s">
        <v>4304</v>
      </c>
      <c r="D1891" s="15" t="s">
        <v>4305</v>
      </c>
      <c r="E1891" s="15">
        <v>1531.4434000000001</v>
      </c>
      <c r="F1891" s="42">
        <v>46201</v>
      </c>
    </row>
    <row r="1892" spans="1:6" x14ac:dyDescent="0.3">
      <c r="A1892" s="15" t="s">
        <v>45464</v>
      </c>
      <c r="B1892" s="15" t="s">
        <v>4306</v>
      </c>
      <c r="C1892" s="15" t="s">
        <v>800</v>
      </c>
      <c r="D1892" s="15" t="s">
        <v>4307</v>
      </c>
      <c r="E1892" s="15">
        <v>6863.2873</v>
      </c>
      <c r="F1892" s="42">
        <v>46201</v>
      </c>
    </row>
    <row r="1893" spans="1:6" x14ac:dyDescent="0.3">
      <c r="A1893" s="15" t="s">
        <v>45463</v>
      </c>
      <c r="B1893" s="15" t="s">
        <v>4308</v>
      </c>
      <c r="C1893" s="15" t="s">
        <v>4309</v>
      </c>
      <c r="D1893" s="15" t="s">
        <v>4310</v>
      </c>
      <c r="E1893" s="15">
        <v>1584.6279999999999</v>
      </c>
      <c r="F1893" s="42">
        <v>46201</v>
      </c>
    </row>
    <row r="1894" spans="1:6" x14ac:dyDescent="0.3">
      <c r="A1894" s="15" t="s">
        <v>45462</v>
      </c>
      <c r="B1894" s="15" t="s">
        <v>4311</v>
      </c>
      <c r="C1894" s="15" t="s">
        <v>4312</v>
      </c>
      <c r="D1894" s="15" t="s">
        <v>4313</v>
      </c>
      <c r="E1894" s="15">
        <v>1005.2395</v>
      </c>
      <c r="F1894" s="42">
        <v>46201</v>
      </c>
    </row>
    <row r="1895" spans="1:6" x14ac:dyDescent="0.3">
      <c r="A1895" s="15" t="s">
        <v>45461</v>
      </c>
      <c r="B1895" s="15" t="s">
        <v>4314</v>
      </c>
      <c r="C1895" s="15" t="s">
        <v>800</v>
      </c>
      <c r="D1895" s="15" t="s">
        <v>4315</v>
      </c>
      <c r="E1895" s="15">
        <v>5996.6457</v>
      </c>
      <c r="F1895" s="42">
        <v>46201</v>
      </c>
    </row>
    <row r="1896" spans="1:6" x14ac:dyDescent="0.3">
      <c r="A1896" s="15" t="s">
        <v>45460</v>
      </c>
      <c r="B1896" s="15" t="s">
        <v>800</v>
      </c>
      <c r="C1896" s="15" t="s">
        <v>4316</v>
      </c>
      <c r="D1896" s="15" t="s">
        <v>4317</v>
      </c>
      <c r="E1896" s="15">
        <v>1524.28</v>
      </c>
      <c r="F1896" s="42">
        <v>46201</v>
      </c>
    </row>
    <row r="1897" spans="1:6" x14ac:dyDescent="0.3">
      <c r="A1897" s="15" t="s">
        <v>45459</v>
      </c>
      <c r="B1897" s="15" t="s">
        <v>4318</v>
      </c>
      <c r="C1897" s="15" t="s">
        <v>4319</v>
      </c>
      <c r="D1897" s="15" t="s">
        <v>4320</v>
      </c>
      <c r="E1897" s="15">
        <v>1327.1184000000001</v>
      </c>
      <c r="F1897" s="42">
        <v>46201</v>
      </c>
    </row>
    <row r="1898" spans="1:6" x14ac:dyDescent="0.3">
      <c r="A1898" s="15" t="s">
        <v>45458</v>
      </c>
      <c r="B1898" s="15" t="s">
        <v>4321</v>
      </c>
      <c r="C1898" s="15" t="s">
        <v>4322</v>
      </c>
      <c r="D1898" s="15" t="s">
        <v>4323</v>
      </c>
      <c r="E1898" s="15">
        <v>1214.9088999999999</v>
      </c>
      <c r="F1898" s="42">
        <v>46201</v>
      </c>
    </row>
    <row r="1899" spans="1:6" x14ac:dyDescent="0.3">
      <c r="A1899" s="15" t="s">
        <v>45457</v>
      </c>
      <c r="B1899" s="15" t="s">
        <v>800</v>
      </c>
      <c r="C1899" s="15" t="s">
        <v>4324</v>
      </c>
      <c r="D1899" s="15" t="s">
        <v>4325</v>
      </c>
      <c r="E1899" s="15">
        <v>1034.9085</v>
      </c>
      <c r="F1899" s="42">
        <v>46201</v>
      </c>
    </row>
    <row r="1900" spans="1:6" x14ac:dyDescent="0.3">
      <c r="A1900" s="15" t="s">
        <v>45456</v>
      </c>
      <c r="B1900" s="15" t="s">
        <v>4326</v>
      </c>
      <c r="C1900" s="15" t="s">
        <v>4327</v>
      </c>
      <c r="D1900" s="15" t="s">
        <v>4328</v>
      </c>
      <c r="E1900" s="15">
        <v>1531.4224999999999</v>
      </c>
      <c r="F1900" s="42">
        <v>46201</v>
      </c>
    </row>
    <row r="1901" spans="1:6" x14ac:dyDescent="0.3">
      <c r="A1901" s="15" t="s">
        <v>45455</v>
      </c>
      <c r="B1901" s="15" t="s">
        <v>4329</v>
      </c>
      <c r="C1901" s="15" t="s">
        <v>800</v>
      </c>
      <c r="D1901" s="15" t="s">
        <v>4330</v>
      </c>
      <c r="E1901" s="15">
        <v>6767.5221000000001</v>
      </c>
      <c r="F1901" s="42">
        <v>46201</v>
      </c>
    </row>
    <row r="1902" spans="1:6" x14ac:dyDescent="0.3">
      <c r="A1902" s="15" t="s">
        <v>45454</v>
      </c>
      <c r="B1902" s="15" t="s">
        <v>800</v>
      </c>
      <c r="C1902" s="15" t="s">
        <v>800</v>
      </c>
      <c r="D1902" s="15" t="s">
        <v>4331</v>
      </c>
      <c r="E1902" s="15">
        <v>1114.1500000000001</v>
      </c>
      <c r="F1902" s="42">
        <v>43240</v>
      </c>
    </row>
    <row r="1903" spans="1:6" x14ac:dyDescent="0.3">
      <c r="A1903" s="15" t="s">
        <v>45453</v>
      </c>
      <c r="B1903" s="15" t="s">
        <v>800</v>
      </c>
      <c r="C1903" s="15" t="s">
        <v>800</v>
      </c>
      <c r="D1903" s="15" t="s">
        <v>4332</v>
      </c>
      <c r="E1903" s="15">
        <v>2714.7678000000001</v>
      </c>
      <c r="F1903" s="42">
        <v>43240</v>
      </c>
    </row>
    <row r="1904" spans="1:6" x14ac:dyDescent="0.3">
      <c r="A1904" s="15" t="s">
        <v>45452</v>
      </c>
      <c r="B1904" s="15" t="s">
        <v>800</v>
      </c>
      <c r="C1904" s="15" t="s">
        <v>800</v>
      </c>
      <c r="D1904" s="15" t="s">
        <v>4333</v>
      </c>
      <c r="E1904" s="15">
        <v>1004.4865</v>
      </c>
      <c r="F1904" s="42">
        <v>43240</v>
      </c>
    </row>
    <row r="1905" spans="1:6" x14ac:dyDescent="0.3">
      <c r="A1905" s="15" t="s">
        <v>45451</v>
      </c>
      <c r="B1905" s="15" t="s">
        <v>800</v>
      </c>
      <c r="C1905" s="15" t="s">
        <v>800</v>
      </c>
      <c r="D1905" s="15" t="s">
        <v>4334</v>
      </c>
      <c r="E1905" s="15">
        <v>1013.831</v>
      </c>
      <c r="F1905" s="42">
        <v>43240</v>
      </c>
    </row>
    <row r="1906" spans="1:6" x14ac:dyDescent="0.3">
      <c r="A1906" s="15" t="s">
        <v>45450</v>
      </c>
      <c r="B1906" s="15" t="s">
        <v>800</v>
      </c>
      <c r="C1906" s="15" t="s">
        <v>800</v>
      </c>
      <c r="D1906" s="15" t="s">
        <v>4335</v>
      </c>
      <c r="E1906" s="15">
        <v>1092.0644</v>
      </c>
      <c r="F1906" s="42">
        <v>43240</v>
      </c>
    </row>
    <row r="1907" spans="1:6" x14ac:dyDescent="0.3">
      <c r="A1907" s="15" t="s">
        <v>33499</v>
      </c>
      <c r="B1907" s="15" t="s">
        <v>795</v>
      </c>
      <c r="C1907" s="15" t="s">
        <v>795</v>
      </c>
      <c r="D1907" s="15" t="s">
        <v>795</v>
      </c>
      <c r="F1907" s="42"/>
    </row>
    <row r="1908" spans="1:6" x14ac:dyDescent="0.3">
      <c r="A1908" s="15" t="s">
        <v>37523</v>
      </c>
      <c r="B1908" s="15" t="s">
        <v>795</v>
      </c>
      <c r="C1908" s="15" t="s">
        <v>795</v>
      </c>
      <c r="D1908" s="15" t="s">
        <v>795</v>
      </c>
      <c r="F1908" s="42"/>
    </row>
    <row r="1909" spans="1:6" x14ac:dyDescent="0.3">
      <c r="A1909" s="15" t="s">
        <v>33499</v>
      </c>
      <c r="B1909" s="15" t="s">
        <v>795</v>
      </c>
      <c r="C1909" s="15" t="s">
        <v>795</v>
      </c>
      <c r="D1909" s="15" t="s">
        <v>795</v>
      </c>
      <c r="F1909" s="42"/>
    </row>
    <row r="1910" spans="1:6" x14ac:dyDescent="0.3">
      <c r="A1910" s="15" t="s">
        <v>45449</v>
      </c>
      <c r="B1910" s="15" t="s">
        <v>4336</v>
      </c>
      <c r="C1910" s="15" t="s">
        <v>800</v>
      </c>
      <c r="D1910" s="15" t="s">
        <v>4337</v>
      </c>
      <c r="E1910" s="15">
        <v>144.91739999999999</v>
      </c>
      <c r="F1910" s="42">
        <v>43593</v>
      </c>
    </row>
    <row r="1911" spans="1:6" x14ac:dyDescent="0.3">
      <c r="A1911" s="15" t="s">
        <v>45448</v>
      </c>
      <c r="B1911" s="15" t="s">
        <v>4338</v>
      </c>
      <c r="C1911" s="15" t="s">
        <v>800</v>
      </c>
      <c r="D1911" s="15" t="s">
        <v>4339</v>
      </c>
      <c r="E1911" s="15">
        <v>148.9974</v>
      </c>
      <c r="F1911" s="42">
        <v>43627</v>
      </c>
    </row>
    <row r="1912" spans="1:6" x14ac:dyDescent="0.3">
      <c r="A1912" s="15" t="s">
        <v>45447</v>
      </c>
      <c r="B1912" s="15" t="s">
        <v>4340</v>
      </c>
      <c r="C1912" s="15" t="s">
        <v>800</v>
      </c>
      <c r="D1912" s="15" t="s">
        <v>4341</v>
      </c>
      <c r="E1912" s="15">
        <v>138.2962</v>
      </c>
      <c r="F1912" s="42">
        <v>42583</v>
      </c>
    </row>
    <row r="1913" spans="1:6" x14ac:dyDescent="0.3">
      <c r="A1913" s="15" t="s">
        <v>45446</v>
      </c>
      <c r="B1913" s="15" t="s">
        <v>4342</v>
      </c>
      <c r="C1913" s="15" t="s">
        <v>4343</v>
      </c>
      <c r="D1913" s="15" t="s">
        <v>4344</v>
      </c>
      <c r="E1913" s="15">
        <v>144.7765</v>
      </c>
      <c r="F1913" s="42">
        <v>43674</v>
      </c>
    </row>
    <row r="1914" spans="1:6" x14ac:dyDescent="0.3">
      <c r="A1914" s="15" t="s">
        <v>45445</v>
      </c>
      <c r="B1914" s="15" t="s">
        <v>4345</v>
      </c>
      <c r="C1914" s="15" t="s">
        <v>800</v>
      </c>
      <c r="D1914" s="15" t="s">
        <v>4346</v>
      </c>
      <c r="E1914" s="15">
        <v>145.68889999999999</v>
      </c>
      <c r="F1914" s="42">
        <v>43674</v>
      </c>
    </row>
    <row r="1915" spans="1:6" x14ac:dyDescent="0.3">
      <c r="A1915" s="15" t="s">
        <v>45444</v>
      </c>
      <c r="B1915" s="15" t="s">
        <v>4347</v>
      </c>
      <c r="C1915" s="15" t="s">
        <v>800</v>
      </c>
      <c r="D1915" s="15" t="s">
        <v>4348</v>
      </c>
      <c r="E1915" s="15">
        <v>132.95959999999999</v>
      </c>
      <c r="F1915" s="42">
        <v>42583</v>
      </c>
    </row>
    <row r="1916" spans="1:6" x14ac:dyDescent="0.3">
      <c r="A1916" s="15" t="s">
        <v>45443</v>
      </c>
      <c r="B1916" s="15" t="s">
        <v>4349</v>
      </c>
      <c r="C1916" s="15" t="s">
        <v>4350</v>
      </c>
      <c r="D1916" s="15" t="s">
        <v>4351</v>
      </c>
      <c r="E1916" s="15">
        <v>143.9385</v>
      </c>
      <c r="F1916" s="42">
        <v>43674</v>
      </c>
    </row>
    <row r="1917" spans="1:6" x14ac:dyDescent="0.3">
      <c r="A1917" s="15" t="s">
        <v>45442</v>
      </c>
      <c r="B1917" s="15" t="s">
        <v>4352</v>
      </c>
      <c r="C1917" s="15" t="s">
        <v>800</v>
      </c>
      <c r="D1917" s="15" t="s">
        <v>4353</v>
      </c>
      <c r="E1917" s="15">
        <v>13.7989</v>
      </c>
      <c r="F1917" s="42">
        <v>43354</v>
      </c>
    </row>
    <row r="1918" spans="1:6" x14ac:dyDescent="0.3">
      <c r="A1918" s="15" t="s">
        <v>45441</v>
      </c>
      <c r="B1918" s="15" t="s">
        <v>4354</v>
      </c>
      <c r="C1918" s="15" t="s">
        <v>4355</v>
      </c>
      <c r="D1918" s="15" t="s">
        <v>4356</v>
      </c>
      <c r="E1918" s="15">
        <v>144.7569</v>
      </c>
      <c r="F1918" s="42">
        <v>43674</v>
      </c>
    </row>
    <row r="1919" spans="1:6" x14ac:dyDescent="0.3">
      <c r="A1919" s="15" t="s">
        <v>45440</v>
      </c>
      <c r="B1919" s="15" t="s">
        <v>4357</v>
      </c>
      <c r="C1919" s="15" t="s">
        <v>800</v>
      </c>
      <c r="D1919" s="15" t="s">
        <v>4358</v>
      </c>
      <c r="E1919" s="15">
        <v>10.357699999999999</v>
      </c>
      <c r="F1919" s="42">
        <v>43674</v>
      </c>
    </row>
    <row r="1920" spans="1:6" x14ac:dyDescent="0.3">
      <c r="A1920" s="15" t="s">
        <v>45439</v>
      </c>
      <c r="B1920" s="15" t="s">
        <v>4359</v>
      </c>
      <c r="C1920" s="15" t="s">
        <v>800</v>
      </c>
      <c r="D1920" s="15" t="s">
        <v>4360</v>
      </c>
      <c r="E1920" s="15">
        <v>10.051600000000001</v>
      </c>
      <c r="F1920" s="42">
        <v>43674</v>
      </c>
    </row>
    <row r="1921" spans="1:6" x14ac:dyDescent="0.3">
      <c r="A1921" s="15" t="s">
        <v>45438</v>
      </c>
      <c r="B1921" s="15" t="s">
        <v>4361</v>
      </c>
      <c r="C1921" s="15" t="s">
        <v>800</v>
      </c>
      <c r="D1921" s="15" t="s">
        <v>4362</v>
      </c>
      <c r="E1921" s="15">
        <v>26.2743</v>
      </c>
      <c r="F1921" s="42">
        <v>43674</v>
      </c>
    </row>
    <row r="1922" spans="1:6" x14ac:dyDescent="0.3">
      <c r="A1922" s="15" t="s">
        <v>45437</v>
      </c>
      <c r="B1922" s="15" t="s">
        <v>4363</v>
      </c>
      <c r="C1922" s="15" t="s">
        <v>800</v>
      </c>
      <c r="D1922" s="15" t="s">
        <v>4364</v>
      </c>
      <c r="E1922" s="15">
        <v>140.06639999999999</v>
      </c>
      <c r="F1922" s="42">
        <v>43674</v>
      </c>
    </row>
    <row r="1923" spans="1:6" x14ac:dyDescent="0.3">
      <c r="A1923" s="15" t="s">
        <v>45436</v>
      </c>
      <c r="B1923" s="15" t="s">
        <v>4365</v>
      </c>
      <c r="C1923" s="15" t="s">
        <v>800</v>
      </c>
      <c r="D1923" s="15" t="s">
        <v>4366</v>
      </c>
      <c r="E1923" s="15">
        <v>186.89750000000001</v>
      </c>
      <c r="F1923" s="42">
        <v>44582</v>
      </c>
    </row>
    <row r="1924" spans="1:6" x14ac:dyDescent="0.3">
      <c r="A1924" s="15" t="s">
        <v>45435</v>
      </c>
      <c r="B1924" s="15" t="s">
        <v>800</v>
      </c>
      <c r="C1924" s="15" t="s">
        <v>4367</v>
      </c>
      <c r="D1924" s="15" t="s">
        <v>4368</v>
      </c>
      <c r="E1924" s="15">
        <v>100.304</v>
      </c>
      <c r="F1924" s="42">
        <v>46201</v>
      </c>
    </row>
    <row r="1925" spans="1:6" x14ac:dyDescent="0.3">
      <c r="A1925" s="15" t="s">
        <v>45434</v>
      </c>
      <c r="B1925" s="15" t="s">
        <v>4369</v>
      </c>
      <c r="C1925" s="15" t="s">
        <v>800</v>
      </c>
      <c r="D1925" s="15" t="s">
        <v>4370</v>
      </c>
      <c r="E1925" s="15">
        <v>130.37129999999999</v>
      </c>
      <c r="F1925" s="42">
        <v>46201</v>
      </c>
    </row>
    <row r="1926" spans="1:6" x14ac:dyDescent="0.3">
      <c r="A1926" s="15" t="s">
        <v>45433</v>
      </c>
      <c r="B1926" s="15" t="s">
        <v>4371</v>
      </c>
      <c r="C1926" s="15" t="s">
        <v>800</v>
      </c>
      <c r="D1926" s="15" t="s">
        <v>4372</v>
      </c>
      <c r="E1926" s="15">
        <v>365.8134</v>
      </c>
      <c r="F1926" s="42">
        <v>46201</v>
      </c>
    </row>
    <row r="1927" spans="1:6" x14ac:dyDescent="0.3">
      <c r="A1927" s="15" t="s">
        <v>45432</v>
      </c>
      <c r="B1927" s="15" t="s">
        <v>4373</v>
      </c>
      <c r="C1927" s="15" t="s">
        <v>4374</v>
      </c>
      <c r="D1927" s="15" t="s">
        <v>4375</v>
      </c>
      <c r="E1927" s="15">
        <v>115.9712</v>
      </c>
      <c r="F1927" s="42">
        <v>46201</v>
      </c>
    </row>
    <row r="1928" spans="1:6" x14ac:dyDescent="0.3">
      <c r="A1928" s="15" t="s">
        <v>45431</v>
      </c>
      <c r="B1928" s="15" t="s">
        <v>4376</v>
      </c>
      <c r="C1928" s="15" t="s">
        <v>4377</v>
      </c>
      <c r="D1928" s="15" t="s">
        <v>4378</v>
      </c>
      <c r="E1928" s="15">
        <v>100.5562</v>
      </c>
      <c r="F1928" s="42">
        <v>46201</v>
      </c>
    </row>
    <row r="1929" spans="1:6" x14ac:dyDescent="0.3">
      <c r="A1929" s="15" t="s">
        <v>45430</v>
      </c>
      <c r="B1929" s="15" t="s">
        <v>4379</v>
      </c>
      <c r="C1929" s="15" t="s">
        <v>800</v>
      </c>
      <c r="D1929" s="15" t="s">
        <v>4380</v>
      </c>
      <c r="E1929" s="15">
        <v>361.1069</v>
      </c>
      <c r="F1929" s="42">
        <v>46201</v>
      </c>
    </row>
    <row r="1930" spans="1:6" x14ac:dyDescent="0.3">
      <c r="A1930" s="15" t="s">
        <v>45429</v>
      </c>
      <c r="B1930" s="15" t="s">
        <v>4381</v>
      </c>
      <c r="C1930" s="15" t="s">
        <v>800</v>
      </c>
      <c r="D1930" s="15" t="s">
        <v>4382</v>
      </c>
      <c r="E1930" s="15">
        <v>116.4093</v>
      </c>
      <c r="F1930" s="42">
        <v>46201</v>
      </c>
    </row>
    <row r="1931" spans="1:6" x14ac:dyDescent="0.3">
      <c r="A1931" s="15" t="s">
        <v>45428</v>
      </c>
      <c r="B1931" s="15" t="s">
        <v>4383</v>
      </c>
      <c r="C1931" s="15" t="s">
        <v>800</v>
      </c>
      <c r="D1931" s="15" t="s">
        <v>4384</v>
      </c>
      <c r="E1931" s="15">
        <v>100.5553</v>
      </c>
      <c r="F1931" s="42">
        <v>46201</v>
      </c>
    </row>
    <row r="1932" spans="1:6" x14ac:dyDescent="0.3">
      <c r="A1932" s="15" t="s">
        <v>45427</v>
      </c>
      <c r="B1932" s="15" t="s">
        <v>800</v>
      </c>
      <c r="C1932" s="15" t="s">
        <v>4385</v>
      </c>
      <c r="D1932" s="15" t="s">
        <v>4386</v>
      </c>
      <c r="E1932" s="15">
        <v>10.301</v>
      </c>
      <c r="F1932" s="42">
        <v>43674</v>
      </c>
    </row>
    <row r="1933" spans="1:6" x14ac:dyDescent="0.3">
      <c r="A1933" s="15" t="s">
        <v>45426</v>
      </c>
      <c r="B1933" s="15" t="s">
        <v>4387</v>
      </c>
      <c r="C1933" s="15" t="s">
        <v>4388</v>
      </c>
      <c r="D1933" s="15" t="s">
        <v>4389</v>
      </c>
      <c r="E1933" s="15">
        <v>10.057700000000001</v>
      </c>
      <c r="F1933" s="42">
        <v>43311</v>
      </c>
    </row>
    <row r="1934" spans="1:6" x14ac:dyDescent="0.3">
      <c r="A1934" s="15" t="s">
        <v>45425</v>
      </c>
      <c r="B1934" s="15" t="s">
        <v>4390</v>
      </c>
      <c r="C1934" s="15" t="s">
        <v>800</v>
      </c>
      <c r="D1934" s="15" t="s">
        <v>4391</v>
      </c>
      <c r="E1934" s="15">
        <v>27.706</v>
      </c>
      <c r="F1934" s="42">
        <v>43674</v>
      </c>
    </row>
    <row r="1935" spans="1:6" x14ac:dyDescent="0.3">
      <c r="A1935" s="15" t="s">
        <v>33499</v>
      </c>
      <c r="B1935" s="15" t="s">
        <v>795</v>
      </c>
      <c r="C1935" s="15" t="s">
        <v>795</v>
      </c>
      <c r="D1935" s="15" t="s">
        <v>795</v>
      </c>
      <c r="F1935" s="42"/>
    </row>
    <row r="1936" spans="1:6" x14ac:dyDescent="0.3">
      <c r="A1936" s="15" t="s">
        <v>40535</v>
      </c>
      <c r="B1936" s="15" t="s">
        <v>795</v>
      </c>
      <c r="C1936" s="15" t="s">
        <v>795</v>
      </c>
      <c r="D1936" s="15" t="s">
        <v>795</v>
      </c>
      <c r="F1936" s="42"/>
    </row>
    <row r="1937" spans="1:6" x14ac:dyDescent="0.3">
      <c r="A1937" s="15" t="s">
        <v>33499</v>
      </c>
      <c r="B1937" s="15" t="s">
        <v>795</v>
      </c>
      <c r="C1937" s="15" t="s">
        <v>795</v>
      </c>
      <c r="D1937" s="15" t="s">
        <v>795</v>
      </c>
      <c r="F1937" s="42"/>
    </row>
    <row r="1938" spans="1:6" x14ac:dyDescent="0.3">
      <c r="A1938" s="15" t="s">
        <v>45424</v>
      </c>
      <c r="B1938" s="15" t="s">
        <v>800</v>
      </c>
      <c r="C1938" s="15" t="s">
        <v>4392</v>
      </c>
      <c r="D1938" s="15" t="s">
        <v>4393</v>
      </c>
      <c r="E1938" s="15">
        <v>1000.6763</v>
      </c>
      <c r="F1938" s="42">
        <v>46201</v>
      </c>
    </row>
    <row r="1939" spans="1:6" x14ac:dyDescent="0.3">
      <c r="A1939" s="15" t="s">
        <v>45423</v>
      </c>
      <c r="B1939" s="15" t="s">
        <v>4394</v>
      </c>
      <c r="C1939" s="15" t="s">
        <v>800</v>
      </c>
      <c r="D1939" s="15" t="s">
        <v>4395</v>
      </c>
      <c r="E1939" s="15">
        <v>1550.0002999999999</v>
      </c>
      <c r="F1939" s="42">
        <v>46201</v>
      </c>
    </row>
    <row r="1940" spans="1:6" x14ac:dyDescent="0.3">
      <c r="A1940" s="15" t="s">
        <v>45422</v>
      </c>
      <c r="B1940" s="15" t="s">
        <v>4396</v>
      </c>
      <c r="C1940" s="15" t="s">
        <v>4397</v>
      </c>
      <c r="D1940" s="15" t="s">
        <v>4398</v>
      </c>
      <c r="E1940" s="15">
        <v>1009.7632</v>
      </c>
      <c r="F1940" s="42">
        <v>46201</v>
      </c>
    </row>
    <row r="1941" spans="1:6" x14ac:dyDescent="0.3">
      <c r="A1941" s="15" t="s">
        <v>45421</v>
      </c>
      <c r="B1941" s="15" t="s">
        <v>800</v>
      </c>
      <c r="C1941" s="15" t="s">
        <v>4399</v>
      </c>
      <c r="D1941" s="15" t="s">
        <v>4400</v>
      </c>
      <c r="E1941" s="15">
        <v>1002.1031</v>
      </c>
      <c r="F1941" s="42">
        <v>46201</v>
      </c>
    </row>
    <row r="1942" spans="1:6" x14ac:dyDescent="0.3">
      <c r="A1942" s="15" t="s">
        <v>45420</v>
      </c>
      <c r="B1942" s="15" t="s">
        <v>800</v>
      </c>
      <c r="C1942" s="15" t="s">
        <v>4401</v>
      </c>
      <c r="D1942" s="15" t="s">
        <v>4402</v>
      </c>
      <c r="E1942" s="15">
        <v>1000.6378</v>
      </c>
      <c r="F1942" s="42">
        <v>46201</v>
      </c>
    </row>
    <row r="1943" spans="1:6" x14ac:dyDescent="0.3">
      <c r="A1943" s="15" t="s">
        <v>45419</v>
      </c>
      <c r="B1943" s="15" t="s">
        <v>4403</v>
      </c>
      <c r="C1943" s="15" t="s">
        <v>800</v>
      </c>
      <c r="D1943" s="15" t="s">
        <v>4404</v>
      </c>
      <c r="E1943" s="15">
        <v>1537.3574000000001</v>
      </c>
      <c r="F1943" s="42">
        <v>46201</v>
      </c>
    </row>
    <row r="1944" spans="1:6" x14ac:dyDescent="0.3">
      <c r="A1944" s="15" t="s">
        <v>45418</v>
      </c>
      <c r="B1944" s="15" t="s">
        <v>4405</v>
      </c>
      <c r="C1944" s="15" t="s">
        <v>4406</v>
      </c>
      <c r="D1944" s="15" t="s">
        <v>4407</v>
      </c>
      <c r="E1944" s="15">
        <v>1009.6775</v>
      </c>
      <c r="F1944" s="42">
        <v>46201</v>
      </c>
    </row>
    <row r="1945" spans="1:6" x14ac:dyDescent="0.3">
      <c r="A1945" s="15" t="s">
        <v>45417</v>
      </c>
      <c r="B1945" s="15" t="s">
        <v>800</v>
      </c>
      <c r="C1945" s="15" t="s">
        <v>4408</v>
      </c>
      <c r="D1945" s="15" t="s">
        <v>4409</v>
      </c>
      <c r="E1945" s="15">
        <v>1002.0875</v>
      </c>
      <c r="F1945" s="42">
        <v>46201</v>
      </c>
    </row>
    <row r="1946" spans="1:6" x14ac:dyDescent="0.3">
      <c r="A1946" s="15" t="s">
        <v>33499</v>
      </c>
      <c r="B1946" s="15" t="s">
        <v>795</v>
      </c>
      <c r="C1946" s="15" t="s">
        <v>795</v>
      </c>
      <c r="D1946" s="15" t="s">
        <v>795</v>
      </c>
      <c r="F1946" s="42"/>
    </row>
    <row r="1947" spans="1:6" x14ac:dyDescent="0.3">
      <c r="A1947" s="15" t="s">
        <v>40216</v>
      </c>
      <c r="B1947" s="15" t="s">
        <v>795</v>
      </c>
      <c r="C1947" s="15" t="s">
        <v>795</v>
      </c>
      <c r="D1947" s="15" t="s">
        <v>795</v>
      </c>
      <c r="F1947" s="42"/>
    </row>
    <row r="1948" spans="1:6" x14ac:dyDescent="0.3">
      <c r="A1948" s="15" t="s">
        <v>33499</v>
      </c>
      <c r="B1948" s="15" t="s">
        <v>795</v>
      </c>
      <c r="C1948" s="15" t="s">
        <v>795</v>
      </c>
      <c r="D1948" s="15" t="s">
        <v>795</v>
      </c>
      <c r="F1948" s="42"/>
    </row>
    <row r="1949" spans="1:6" x14ac:dyDescent="0.3">
      <c r="A1949" s="15" t="s">
        <v>45416</v>
      </c>
      <c r="B1949" s="15" t="s">
        <v>4410</v>
      </c>
      <c r="C1949" s="15" t="s">
        <v>800</v>
      </c>
      <c r="D1949" s="15" t="s">
        <v>4411</v>
      </c>
      <c r="E1949" s="15">
        <v>44.913600000000002</v>
      </c>
      <c r="F1949" s="42">
        <v>46201</v>
      </c>
    </row>
    <row r="1950" spans="1:6" x14ac:dyDescent="0.3">
      <c r="A1950" s="15" t="s">
        <v>45415</v>
      </c>
      <c r="B1950" s="15" t="s">
        <v>4412</v>
      </c>
      <c r="C1950" s="15" t="s">
        <v>800</v>
      </c>
      <c r="D1950" s="15" t="s">
        <v>4413</v>
      </c>
      <c r="E1950" s="15">
        <v>43.641199999999998</v>
      </c>
      <c r="F1950" s="42">
        <v>46201</v>
      </c>
    </row>
    <row r="1951" spans="1:6" x14ac:dyDescent="0.3">
      <c r="A1951" s="15" t="s">
        <v>45414</v>
      </c>
      <c r="B1951" s="15" t="s">
        <v>4414</v>
      </c>
      <c r="C1951" s="15" t="s">
        <v>4415</v>
      </c>
      <c r="D1951" s="15" t="s">
        <v>4416</v>
      </c>
      <c r="E1951" s="15">
        <v>15.834099999999999</v>
      </c>
      <c r="F1951" s="42">
        <v>46201</v>
      </c>
    </row>
    <row r="1952" spans="1:6" x14ac:dyDescent="0.3">
      <c r="A1952" s="15" t="s">
        <v>45413</v>
      </c>
      <c r="B1952" s="15" t="s">
        <v>4417</v>
      </c>
      <c r="C1952" s="15" t="s">
        <v>4418</v>
      </c>
      <c r="D1952" s="15" t="s">
        <v>4419</v>
      </c>
      <c r="E1952" s="15">
        <v>15.237</v>
      </c>
      <c r="F1952" s="42">
        <v>46201</v>
      </c>
    </row>
    <row r="1953" spans="1:6" x14ac:dyDescent="0.3">
      <c r="A1953" s="15" t="s">
        <v>45412</v>
      </c>
      <c r="B1953" s="15" t="s">
        <v>4420</v>
      </c>
      <c r="C1953" s="15" t="s">
        <v>4421</v>
      </c>
      <c r="D1953" s="15" t="s">
        <v>4422</v>
      </c>
      <c r="E1953" s="15">
        <v>14.693899999999999</v>
      </c>
      <c r="F1953" s="42">
        <v>46201</v>
      </c>
    </row>
    <row r="1954" spans="1:6" x14ac:dyDescent="0.3">
      <c r="A1954" s="15" t="s">
        <v>45411</v>
      </c>
      <c r="B1954" s="15" t="s">
        <v>4423</v>
      </c>
      <c r="C1954" s="15" t="s">
        <v>4424</v>
      </c>
      <c r="D1954" s="15" t="s">
        <v>4425</v>
      </c>
      <c r="E1954" s="15">
        <v>14.511799999999999</v>
      </c>
      <c r="F1954" s="42">
        <v>46201</v>
      </c>
    </row>
    <row r="1955" spans="1:6" x14ac:dyDescent="0.3">
      <c r="A1955" s="15" t="s">
        <v>45410</v>
      </c>
      <c r="B1955" s="15" t="s">
        <v>800</v>
      </c>
      <c r="C1955" s="15" t="s">
        <v>4426</v>
      </c>
      <c r="D1955" s="15" t="s">
        <v>4427</v>
      </c>
      <c r="E1955" s="15">
        <v>13.1836</v>
      </c>
      <c r="F1955" s="42">
        <v>46201</v>
      </c>
    </row>
    <row r="1956" spans="1:6" x14ac:dyDescent="0.3">
      <c r="A1956" s="15" t="s">
        <v>45409</v>
      </c>
      <c r="B1956" s="15" t="s">
        <v>800</v>
      </c>
      <c r="C1956" s="15" t="s">
        <v>4428</v>
      </c>
      <c r="D1956" s="15" t="s">
        <v>4429</v>
      </c>
      <c r="E1956" s="15">
        <v>12.653</v>
      </c>
      <c r="F1956" s="42">
        <v>46201</v>
      </c>
    </row>
    <row r="1957" spans="1:6" x14ac:dyDescent="0.3">
      <c r="A1957" s="15" t="s">
        <v>45408</v>
      </c>
      <c r="B1957" s="15" t="s">
        <v>800</v>
      </c>
      <c r="C1957" s="15" t="s">
        <v>800</v>
      </c>
      <c r="D1957" s="15" t="s">
        <v>4430</v>
      </c>
      <c r="E1957" s="15">
        <v>10</v>
      </c>
      <c r="F1957" s="42">
        <v>46006</v>
      </c>
    </row>
    <row r="1958" spans="1:6" x14ac:dyDescent="0.3">
      <c r="A1958" s="15" t="s">
        <v>45407</v>
      </c>
      <c r="B1958" s="15" t="s">
        <v>800</v>
      </c>
      <c r="C1958" s="15" t="s">
        <v>800</v>
      </c>
      <c r="D1958" s="15" t="s">
        <v>4431</v>
      </c>
      <c r="E1958" s="15">
        <v>13.523199999999999</v>
      </c>
      <c r="F1958" s="42">
        <v>46006</v>
      </c>
    </row>
    <row r="1959" spans="1:6" x14ac:dyDescent="0.3">
      <c r="A1959" s="15" t="s">
        <v>45406</v>
      </c>
      <c r="B1959" s="15" t="s">
        <v>800</v>
      </c>
      <c r="C1959" s="15" t="s">
        <v>800</v>
      </c>
      <c r="D1959" s="15" t="s">
        <v>4432</v>
      </c>
      <c r="E1959" s="15">
        <v>10</v>
      </c>
      <c r="F1959" s="42">
        <v>46006</v>
      </c>
    </row>
    <row r="1960" spans="1:6" x14ac:dyDescent="0.3">
      <c r="A1960" s="15" t="s">
        <v>45405</v>
      </c>
      <c r="B1960" s="15" t="s">
        <v>800</v>
      </c>
      <c r="C1960" s="15" t="s">
        <v>800</v>
      </c>
      <c r="D1960" s="15" t="s">
        <v>4433</v>
      </c>
      <c r="E1960" s="15">
        <v>13.3371</v>
      </c>
      <c r="F1960" s="42">
        <v>46006</v>
      </c>
    </row>
    <row r="1961" spans="1:6" x14ac:dyDescent="0.3">
      <c r="A1961" s="15" t="s">
        <v>33499</v>
      </c>
      <c r="B1961" s="15" t="s">
        <v>795</v>
      </c>
      <c r="C1961" s="15" t="s">
        <v>795</v>
      </c>
      <c r="D1961" s="15" t="s">
        <v>795</v>
      </c>
      <c r="F1961" s="42"/>
    </row>
    <row r="1962" spans="1:6" x14ac:dyDescent="0.3">
      <c r="A1962" s="15" t="s">
        <v>37684</v>
      </c>
      <c r="B1962" s="15" t="s">
        <v>795</v>
      </c>
      <c r="C1962" s="15" t="s">
        <v>795</v>
      </c>
      <c r="D1962" s="15" t="s">
        <v>795</v>
      </c>
      <c r="F1962" s="42"/>
    </row>
    <row r="1963" spans="1:6" x14ac:dyDescent="0.3">
      <c r="A1963" s="15" t="s">
        <v>33499</v>
      </c>
      <c r="B1963" s="15" t="s">
        <v>795</v>
      </c>
      <c r="C1963" s="15" t="s">
        <v>795</v>
      </c>
      <c r="D1963" s="15" t="s">
        <v>795</v>
      </c>
      <c r="F1963" s="42"/>
    </row>
    <row r="1964" spans="1:6" x14ac:dyDescent="0.3">
      <c r="A1964" s="15" t="s">
        <v>45404</v>
      </c>
      <c r="B1964" s="15" t="s">
        <v>800</v>
      </c>
      <c r="C1964" s="15" t="s">
        <v>4434</v>
      </c>
      <c r="D1964" s="15" t="s">
        <v>4435</v>
      </c>
      <c r="E1964" s="15">
        <v>10.0085</v>
      </c>
      <c r="F1964" s="42">
        <v>46201</v>
      </c>
    </row>
    <row r="1965" spans="1:6" x14ac:dyDescent="0.3">
      <c r="A1965" s="15" t="s">
        <v>45403</v>
      </c>
      <c r="B1965" s="15" t="s">
        <v>4436</v>
      </c>
      <c r="C1965" s="15" t="s">
        <v>800</v>
      </c>
      <c r="D1965" s="15" t="s">
        <v>4437</v>
      </c>
      <c r="E1965" s="15">
        <v>37.269300000000001</v>
      </c>
      <c r="F1965" s="42">
        <v>46201</v>
      </c>
    </row>
    <row r="1966" spans="1:6" x14ac:dyDescent="0.3">
      <c r="A1966" s="15" t="s">
        <v>45402</v>
      </c>
      <c r="B1966" s="15" t="s">
        <v>4438</v>
      </c>
      <c r="C1966" s="15" t="s">
        <v>4439</v>
      </c>
      <c r="D1966" s="15" t="s">
        <v>4440</v>
      </c>
      <c r="E1966" s="15">
        <v>10.0158</v>
      </c>
      <c r="F1966" s="42">
        <v>46201</v>
      </c>
    </row>
    <row r="1967" spans="1:6" x14ac:dyDescent="0.3">
      <c r="A1967" s="15" t="s">
        <v>45401</v>
      </c>
      <c r="B1967" s="15" t="s">
        <v>800</v>
      </c>
      <c r="C1967" s="15" t="s">
        <v>4441</v>
      </c>
      <c r="D1967" s="15" t="s">
        <v>4442</v>
      </c>
      <c r="E1967" s="15">
        <v>10.0002</v>
      </c>
      <c r="F1967" s="42">
        <v>46201</v>
      </c>
    </row>
    <row r="1968" spans="1:6" x14ac:dyDescent="0.3">
      <c r="A1968" s="15" t="s">
        <v>45400</v>
      </c>
      <c r="B1968" s="15" t="s">
        <v>4443</v>
      </c>
      <c r="C1968" s="15" t="s">
        <v>800</v>
      </c>
      <c r="D1968" s="15" t="s">
        <v>4444</v>
      </c>
      <c r="E1968" s="15">
        <v>36.968499999999999</v>
      </c>
      <c r="F1968" s="42">
        <v>46201</v>
      </c>
    </row>
    <row r="1969" spans="1:6" x14ac:dyDescent="0.3">
      <c r="A1969" s="15" t="s">
        <v>45399</v>
      </c>
      <c r="B1969" s="15" t="s">
        <v>4445</v>
      </c>
      <c r="C1969" s="15" t="s">
        <v>4446</v>
      </c>
      <c r="D1969" s="15" t="s">
        <v>4447</v>
      </c>
      <c r="E1969" s="15">
        <v>10.013</v>
      </c>
      <c r="F1969" s="42">
        <v>46201</v>
      </c>
    </row>
    <row r="1970" spans="1:6" x14ac:dyDescent="0.3">
      <c r="A1970" s="15" t="s">
        <v>45398</v>
      </c>
      <c r="B1970" s="15" t="s">
        <v>800</v>
      </c>
      <c r="C1970" s="15" t="s">
        <v>800</v>
      </c>
      <c r="D1970" s="15" t="s">
        <v>4448</v>
      </c>
      <c r="E1970" s="15">
        <v>10</v>
      </c>
      <c r="F1970" s="42">
        <v>46201</v>
      </c>
    </row>
    <row r="1971" spans="1:6" x14ac:dyDescent="0.3">
      <c r="A1971" s="15" t="s">
        <v>45397</v>
      </c>
      <c r="B1971" s="15" t="s">
        <v>800</v>
      </c>
      <c r="C1971" s="15" t="s">
        <v>800</v>
      </c>
      <c r="D1971" s="15" t="s">
        <v>4449</v>
      </c>
      <c r="E1971" s="15">
        <v>11.717599999999999</v>
      </c>
      <c r="F1971" s="42">
        <v>46201</v>
      </c>
    </row>
    <row r="1972" spans="1:6" x14ac:dyDescent="0.3">
      <c r="A1972" s="15" t="s">
        <v>45396</v>
      </c>
      <c r="B1972" s="15" t="s">
        <v>800</v>
      </c>
      <c r="C1972" s="15" t="s">
        <v>800</v>
      </c>
      <c r="D1972" s="15" t="s">
        <v>4450</v>
      </c>
      <c r="E1972" s="15">
        <v>10</v>
      </c>
      <c r="F1972" s="42">
        <v>46201</v>
      </c>
    </row>
    <row r="1973" spans="1:6" x14ac:dyDescent="0.3">
      <c r="A1973" s="15" t="s">
        <v>45395</v>
      </c>
      <c r="B1973" s="15" t="s">
        <v>800</v>
      </c>
      <c r="C1973" s="15" t="s">
        <v>800</v>
      </c>
      <c r="D1973" s="15" t="s">
        <v>4451</v>
      </c>
      <c r="E1973" s="15">
        <v>11.247199999999999</v>
      </c>
      <c r="F1973" s="42">
        <v>46201</v>
      </c>
    </row>
    <row r="1974" spans="1:6" x14ac:dyDescent="0.3">
      <c r="A1974" s="15" t="s">
        <v>33499</v>
      </c>
      <c r="B1974" s="15" t="s">
        <v>795</v>
      </c>
      <c r="C1974" s="15" t="s">
        <v>795</v>
      </c>
      <c r="D1974" s="15" t="s">
        <v>795</v>
      </c>
      <c r="F1974" s="42"/>
    </row>
    <row r="1975" spans="1:6" x14ac:dyDescent="0.3">
      <c r="A1975" s="15" t="s">
        <v>33636</v>
      </c>
      <c r="B1975" s="15" t="s">
        <v>795</v>
      </c>
      <c r="C1975" s="15" t="s">
        <v>795</v>
      </c>
      <c r="D1975" s="15" t="s">
        <v>795</v>
      </c>
      <c r="F1975" s="42"/>
    </row>
    <row r="1976" spans="1:6" x14ac:dyDescent="0.3">
      <c r="A1976" s="15" t="s">
        <v>33499</v>
      </c>
      <c r="B1976" s="15" t="s">
        <v>795</v>
      </c>
      <c r="C1976" s="15" t="s">
        <v>795</v>
      </c>
      <c r="D1976" s="15" t="s">
        <v>795</v>
      </c>
      <c r="F1976" s="42"/>
    </row>
    <row r="1977" spans="1:6" x14ac:dyDescent="0.3">
      <c r="A1977" s="15" t="s">
        <v>45394</v>
      </c>
      <c r="B1977" s="15" t="s">
        <v>4452</v>
      </c>
      <c r="C1977" s="15" t="s">
        <v>4453</v>
      </c>
      <c r="D1977" s="15" t="s">
        <v>4454</v>
      </c>
      <c r="E1977" s="15">
        <v>1430.8594000000001</v>
      </c>
      <c r="F1977" s="42">
        <v>46201</v>
      </c>
    </row>
    <row r="1978" spans="1:6" x14ac:dyDescent="0.3">
      <c r="A1978" s="15" t="s">
        <v>45393</v>
      </c>
      <c r="B1978" s="15" t="s">
        <v>800</v>
      </c>
      <c r="C1978" s="15" t="s">
        <v>4455</v>
      </c>
      <c r="D1978" s="15" t="s">
        <v>4456</v>
      </c>
      <c r="E1978" s="15">
        <v>1144.0483999999999</v>
      </c>
      <c r="F1978" s="42">
        <v>46201</v>
      </c>
    </row>
    <row r="1979" spans="1:6" x14ac:dyDescent="0.3">
      <c r="A1979" s="15" t="s">
        <v>45392</v>
      </c>
      <c r="B1979" s="15" t="s">
        <v>4457</v>
      </c>
      <c r="C1979" s="15" t="s">
        <v>4458</v>
      </c>
      <c r="D1979" s="15" t="s">
        <v>4459</v>
      </c>
      <c r="E1979" s="15">
        <v>1386.2141999999999</v>
      </c>
      <c r="F1979" s="42">
        <v>46201</v>
      </c>
    </row>
    <row r="1980" spans="1:6" x14ac:dyDescent="0.3">
      <c r="A1980" s="15" t="s">
        <v>45391</v>
      </c>
      <c r="B1980" s="15" t="s">
        <v>4460</v>
      </c>
      <c r="C1980" s="15" t="s">
        <v>800</v>
      </c>
      <c r="D1980" s="15" t="s">
        <v>4461</v>
      </c>
      <c r="E1980" s="15">
        <v>4381.7428</v>
      </c>
      <c r="F1980" s="42">
        <v>46201</v>
      </c>
    </row>
    <row r="1981" spans="1:6" x14ac:dyDescent="0.3">
      <c r="A1981" s="15" t="s">
        <v>45390</v>
      </c>
      <c r="B1981" s="15" t="s">
        <v>4462</v>
      </c>
      <c r="C1981" s="15" t="s">
        <v>800</v>
      </c>
      <c r="D1981" s="15" t="s">
        <v>4463</v>
      </c>
      <c r="E1981" s="15">
        <v>4374.1112999999996</v>
      </c>
      <c r="F1981" s="42">
        <v>46201</v>
      </c>
    </row>
    <row r="1982" spans="1:6" x14ac:dyDescent="0.3">
      <c r="A1982" s="15" t="s">
        <v>45389</v>
      </c>
      <c r="B1982" s="15" t="s">
        <v>800</v>
      </c>
      <c r="C1982" s="15" t="s">
        <v>4464</v>
      </c>
      <c r="D1982" s="15" t="s">
        <v>4465</v>
      </c>
      <c r="E1982" s="15">
        <v>1405.2437</v>
      </c>
      <c r="F1982" s="42">
        <v>46201</v>
      </c>
    </row>
    <row r="1983" spans="1:6" x14ac:dyDescent="0.3">
      <c r="A1983" s="15" t="s">
        <v>45388</v>
      </c>
      <c r="B1983" s="15" t="s">
        <v>800</v>
      </c>
      <c r="C1983" s="15" t="s">
        <v>4466</v>
      </c>
      <c r="D1983" s="15" t="s">
        <v>4467</v>
      </c>
      <c r="E1983" s="15">
        <v>1140.7391</v>
      </c>
      <c r="F1983" s="42">
        <v>46201</v>
      </c>
    </row>
    <row r="1984" spans="1:6" x14ac:dyDescent="0.3">
      <c r="A1984" s="15" t="s">
        <v>45387</v>
      </c>
      <c r="B1984" s="15" t="s">
        <v>4468</v>
      </c>
      <c r="C1984" s="15" t="s">
        <v>4469</v>
      </c>
      <c r="D1984" s="15" t="s">
        <v>4470</v>
      </c>
      <c r="E1984" s="15">
        <v>1422.0547999999999</v>
      </c>
      <c r="F1984" s="42">
        <v>46201</v>
      </c>
    </row>
    <row r="1985" spans="1:6" x14ac:dyDescent="0.3">
      <c r="A1985" s="15" t="s">
        <v>45386</v>
      </c>
      <c r="B1985" s="15" t="s">
        <v>4471</v>
      </c>
      <c r="C1985" s="15" t="s">
        <v>4472</v>
      </c>
      <c r="D1985" s="15" t="s">
        <v>4473</v>
      </c>
      <c r="E1985" s="15">
        <v>1379.3085000000001</v>
      </c>
      <c r="F1985" s="42">
        <v>46201</v>
      </c>
    </row>
    <row r="1986" spans="1:6" x14ac:dyDescent="0.3">
      <c r="A1986" s="15" t="s">
        <v>45385</v>
      </c>
      <c r="B1986" s="15" t="s">
        <v>4474</v>
      </c>
      <c r="C1986" s="15" t="s">
        <v>800</v>
      </c>
      <c r="D1986" s="15" t="s">
        <v>4475</v>
      </c>
      <c r="E1986" s="15">
        <v>4333.1381000000001</v>
      </c>
      <c r="F1986" s="42">
        <v>46201</v>
      </c>
    </row>
    <row r="1987" spans="1:6" x14ac:dyDescent="0.3">
      <c r="A1987" s="15" t="s">
        <v>33499</v>
      </c>
      <c r="B1987" s="15" t="s">
        <v>795</v>
      </c>
      <c r="C1987" s="15" t="s">
        <v>795</v>
      </c>
      <c r="D1987" s="15" t="s">
        <v>795</v>
      </c>
      <c r="F1987" s="42"/>
    </row>
    <row r="1988" spans="1:6" x14ac:dyDescent="0.3">
      <c r="A1988" s="15" t="s">
        <v>37664</v>
      </c>
      <c r="B1988" s="15" t="s">
        <v>795</v>
      </c>
      <c r="C1988" s="15" t="s">
        <v>795</v>
      </c>
      <c r="D1988" s="15" t="s">
        <v>795</v>
      </c>
      <c r="F1988" s="42"/>
    </row>
    <row r="1989" spans="1:6" x14ac:dyDescent="0.3">
      <c r="A1989" s="15" t="s">
        <v>33499</v>
      </c>
      <c r="B1989" s="15" t="s">
        <v>795</v>
      </c>
      <c r="C1989" s="15" t="s">
        <v>795</v>
      </c>
      <c r="D1989" s="15" t="s">
        <v>795</v>
      </c>
      <c r="F1989" s="42"/>
    </row>
    <row r="1990" spans="1:6" x14ac:dyDescent="0.3">
      <c r="A1990" s="15" t="s">
        <v>45384</v>
      </c>
      <c r="B1990" s="15" t="s">
        <v>4476</v>
      </c>
      <c r="C1990" s="15" t="s">
        <v>800</v>
      </c>
      <c r="D1990" s="15" t="s">
        <v>4477</v>
      </c>
      <c r="E1990" s="15">
        <v>1106.9301</v>
      </c>
      <c r="F1990" s="42">
        <v>46201</v>
      </c>
    </row>
    <row r="1991" spans="1:6" x14ac:dyDescent="0.3">
      <c r="A1991" s="15" t="s">
        <v>45383</v>
      </c>
      <c r="B1991" s="15" t="s">
        <v>4478</v>
      </c>
      <c r="C1991" s="15" t="s">
        <v>800</v>
      </c>
      <c r="D1991" s="15" t="s">
        <v>4479</v>
      </c>
      <c r="E1991" s="15">
        <v>1104.4069999999999</v>
      </c>
      <c r="F1991" s="42">
        <v>46201</v>
      </c>
    </row>
    <row r="1992" spans="1:6" x14ac:dyDescent="0.3">
      <c r="A1992" s="15" t="s">
        <v>45382</v>
      </c>
      <c r="B1992" s="15" t="s">
        <v>800</v>
      </c>
      <c r="C1992" s="15" t="s">
        <v>800</v>
      </c>
      <c r="D1992" s="15" t="s">
        <v>4480</v>
      </c>
      <c r="E1992" s="15">
        <v>1079.74</v>
      </c>
      <c r="F1992" s="42">
        <v>46201</v>
      </c>
    </row>
    <row r="1993" spans="1:6" x14ac:dyDescent="0.3">
      <c r="A1993" s="15" t="s">
        <v>45381</v>
      </c>
      <c r="B1993" s="15" t="s">
        <v>800</v>
      </c>
      <c r="C1993" s="15" t="s">
        <v>800</v>
      </c>
      <c r="D1993" s="15" t="s">
        <v>4481</v>
      </c>
      <c r="E1993" s="15">
        <v>1000</v>
      </c>
      <c r="F1993" s="42">
        <v>46201</v>
      </c>
    </row>
    <row r="1994" spans="1:6" x14ac:dyDescent="0.3">
      <c r="A1994" s="15" t="s">
        <v>45380</v>
      </c>
      <c r="B1994" s="15" t="s">
        <v>800</v>
      </c>
      <c r="C1994" s="15" t="s">
        <v>800</v>
      </c>
      <c r="D1994" s="15" t="s">
        <v>4482</v>
      </c>
      <c r="E1994" s="15">
        <v>1092.0959</v>
      </c>
      <c r="F1994" s="42">
        <v>46201</v>
      </c>
    </row>
    <row r="1995" spans="1:6" x14ac:dyDescent="0.3">
      <c r="A1995" s="15" t="s">
        <v>45379</v>
      </c>
      <c r="B1995" s="15" t="s">
        <v>800</v>
      </c>
      <c r="C1995" s="15" t="s">
        <v>800</v>
      </c>
      <c r="D1995" s="15" t="s">
        <v>4483</v>
      </c>
      <c r="E1995" s="15">
        <v>1000</v>
      </c>
      <c r="F1995" s="42">
        <v>46201</v>
      </c>
    </row>
    <row r="1996" spans="1:6" x14ac:dyDescent="0.3">
      <c r="A1996" s="15" t="s">
        <v>33499</v>
      </c>
      <c r="B1996" s="15" t="s">
        <v>795</v>
      </c>
      <c r="C1996" s="15" t="s">
        <v>795</v>
      </c>
      <c r="D1996" s="15" t="s">
        <v>795</v>
      </c>
      <c r="F1996" s="42"/>
    </row>
    <row r="1997" spans="1:6" x14ac:dyDescent="0.3">
      <c r="A1997" s="15" t="s">
        <v>37414</v>
      </c>
      <c r="B1997" s="15" t="s">
        <v>795</v>
      </c>
      <c r="C1997" s="15" t="s">
        <v>795</v>
      </c>
      <c r="D1997" s="15" t="s">
        <v>795</v>
      </c>
      <c r="F1997" s="42"/>
    </row>
    <row r="1998" spans="1:6" x14ac:dyDescent="0.3">
      <c r="A1998" s="15" t="s">
        <v>33499</v>
      </c>
      <c r="B1998" s="15" t="s">
        <v>795</v>
      </c>
      <c r="C1998" s="15" t="s">
        <v>795</v>
      </c>
      <c r="D1998" s="15" t="s">
        <v>795</v>
      </c>
      <c r="F1998" s="42"/>
    </row>
    <row r="1999" spans="1:6" x14ac:dyDescent="0.3">
      <c r="A1999" s="15" t="s">
        <v>45378</v>
      </c>
      <c r="B1999" s="15" t="s">
        <v>800</v>
      </c>
      <c r="C1999" s="15" t="s">
        <v>4484</v>
      </c>
      <c r="D1999" s="15" t="s">
        <v>4485</v>
      </c>
      <c r="E1999" s="15">
        <v>1152.6697999999999</v>
      </c>
      <c r="F1999" s="42">
        <v>45835</v>
      </c>
    </row>
    <row r="2000" spans="1:6" x14ac:dyDescent="0.3">
      <c r="A2000" s="15" t="s">
        <v>45377</v>
      </c>
      <c r="B2000" s="15" t="s">
        <v>800</v>
      </c>
      <c r="C2000" s="15" t="s">
        <v>4486</v>
      </c>
      <c r="D2000" s="15" t="s">
        <v>4487</v>
      </c>
      <c r="E2000" s="15">
        <v>1274.1205</v>
      </c>
      <c r="F2000" s="42">
        <v>45835</v>
      </c>
    </row>
    <row r="2001" spans="1:6" x14ac:dyDescent="0.3">
      <c r="A2001" s="15" t="s">
        <v>45376</v>
      </c>
      <c r="B2001" s="15" t="s">
        <v>800</v>
      </c>
      <c r="C2001" s="15" t="s">
        <v>4488</v>
      </c>
      <c r="D2001" s="15" t="s">
        <v>4489</v>
      </c>
      <c r="E2001" s="15">
        <v>1000.6367</v>
      </c>
      <c r="F2001" s="42">
        <v>45548</v>
      </c>
    </row>
    <row r="2002" spans="1:6" x14ac:dyDescent="0.3">
      <c r="A2002" s="15" t="s">
        <v>45375</v>
      </c>
      <c r="B2002" s="15" t="s">
        <v>800</v>
      </c>
      <c r="C2002" s="15" t="s">
        <v>4490</v>
      </c>
      <c r="D2002" s="15" t="s">
        <v>4491</v>
      </c>
      <c r="E2002" s="15">
        <v>1000.8893</v>
      </c>
      <c r="F2002" s="42">
        <v>45548</v>
      </c>
    </row>
    <row r="2003" spans="1:6" x14ac:dyDescent="0.3">
      <c r="A2003" s="15" t="s">
        <v>45374</v>
      </c>
      <c r="B2003" s="15" t="s">
        <v>4492</v>
      </c>
      <c r="C2003" s="15" t="s">
        <v>800</v>
      </c>
      <c r="D2003" s="15" t="s">
        <v>4493</v>
      </c>
      <c r="E2003" s="15">
        <v>2476.7266</v>
      </c>
      <c r="F2003" s="42">
        <v>46201</v>
      </c>
    </row>
    <row r="2004" spans="1:6" x14ac:dyDescent="0.3">
      <c r="A2004" s="15" t="s">
        <v>45373</v>
      </c>
      <c r="B2004" s="15" t="s">
        <v>4494</v>
      </c>
      <c r="C2004" s="15" t="s">
        <v>4495</v>
      </c>
      <c r="D2004" s="15" t="s">
        <v>4496</v>
      </c>
      <c r="E2004" s="15">
        <v>1046.5318</v>
      </c>
      <c r="F2004" s="42">
        <v>46201</v>
      </c>
    </row>
    <row r="2005" spans="1:6" x14ac:dyDescent="0.3">
      <c r="A2005" s="15" t="s">
        <v>45372</v>
      </c>
      <c r="B2005" s="15" t="s">
        <v>4497</v>
      </c>
      <c r="C2005" s="15" t="s">
        <v>4498</v>
      </c>
      <c r="D2005" s="15" t="s">
        <v>4499</v>
      </c>
      <c r="E2005" s="15">
        <v>1049.4342999999999</v>
      </c>
      <c r="F2005" s="42">
        <v>46201</v>
      </c>
    </row>
    <row r="2006" spans="1:6" x14ac:dyDescent="0.3">
      <c r="A2006" s="15" t="s">
        <v>45371</v>
      </c>
      <c r="B2006" s="15" t="s">
        <v>4500</v>
      </c>
      <c r="C2006" s="15" t="s">
        <v>800</v>
      </c>
      <c r="D2006" s="15" t="s">
        <v>4501</v>
      </c>
      <c r="E2006" s="15">
        <v>2443.2384000000002</v>
      </c>
      <c r="F2006" s="42">
        <v>46201</v>
      </c>
    </row>
    <row r="2007" spans="1:6" x14ac:dyDescent="0.3">
      <c r="A2007" s="15" t="s">
        <v>45370</v>
      </c>
      <c r="B2007" s="15" t="s">
        <v>800</v>
      </c>
      <c r="C2007" s="15" t="s">
        <v>4502</v>
      </c>
      <c r="D2007" s="15" t="s">
        <v>4503</v>
      </c>
      <c r="E2007" s="15">
        <v>1028.192</v>
      </c>
      <c r="F2007" s="42">
        <v>45548</v>
      </c>
    </row>
    <row r="2008" spans="1:6" x14ac:dyDescent="0.3">
      <c r="A2008" s="15" t="s">
        <v>45369</v>
      </c>
      <c r="B2008" s="15" t="s">
        <v>800</v>
      </c>
      <c r="C2008" s="15" t="s">
        <v>4504</v>
      </c>
      <c r="D2008" s="15" t="s">
        <v>4505</v>
      </c>
      <c r="E2008" s="15">
        <v>1280.5417</v>
      </c>
      <c r="F2008" s="42">
        <v>45835</v>
      </c>
    </row>
    <row r="2009" spans="1:6" x14ac:dyDescent="0.3">
      <c r="A2009" s="15" t="s">
        <v>45368</v>
      </c>
      <c r="B2009" s="15" t="s">
        <v>800</v>
      </c>
      <c r="C2009" s="15" t="s">
        <v>4506</v>
      </c>
      <c r="D2009" s="15" t="s">
        <v>4507</v>
      </c>
      <c r="E2009" s="15">
        <v>1028.0322000000001</v>
      </c>
      <c r="F2009" s="42">
        <v>45548</v>
      </c>
    </row>
    <row r="2010" spans="1:6" x14ac:dyDescent="0.3">
      <c r="A2010" s="15" t="s">
        <v>45367</v>
      </c>
      <c r="B2010" s="15" t="s">
        <v>800</v>
      </c>
      <c r="C2010" s="15" t="s">
        <v>4508</v>
      </c>
      <c r="D2010" s="15" t="s">
        <v>4509</v>
      </c>
      <c r="E2010" s="15">
        <v>1147.0639000000001</v>
      </c>
      <c r="F2010" s="42">
        <v>45835</v>
      </c>
    </row>
    <row r="2011" spans="1:6" x14ac:dyDescent="0.3">
      <c r="A2011" s="15" t="s">
        <v>45366</v>
      </c>
      <c r="B2011" s="15" t="s">
        <v>800</v>
      </c>
      <c r="C2011" s="15" t="s">
        <v>800</v>
      </c>
      <c r="D2011" s="15" t="s">
        <v>4510</v>
      </c>
      <c r="E2011" s="15">
        <v>1000</v>
      </c>
      <c r="F2011" s="42">
        <v>44582</v>
      </c>
    </row>
    <row r="2012" spans="1:6" x14ac:dyDescent="0.3">
      <c r="A2012" s="15" t="s">
        <v>45365</v>
      </c>
      <c r="B2012" s="15" t="s">
        <v>800</v>
      </c>
      <c r="C2012" s="15" t="s">
        <v>4511</v>
      </c>
      <c r="D2012" s="15" t="s">
        <v>4512</v>
      </c>
      <c r="E2012" s="15">
        <v>1007.8472</v>
      </c>
      <c r="F2012" s="42">
        <v>45548</v>
      </c>
    </row>
    <row r="2013" spans="1:6" x14ac:dyDescent="0.3">
      <c r="A2013" s="15" t="s">
        <v>45364</v>
      </c>
      <c r="B2013" s="15" t="s">
        <v>800</v>
      </c>
      <c r="C2013" s="15" t="s">
        <v>4513</v>
      </c>
      <c r="D2013" s="15" t="s">
        <v>4514</v>
      </c>
      <c r="E2013" s="15">
        <v>1008.3385</v>
      </c>
      <c r="F2013" s="42">
        <v>45548</v>
      </c>
    </row>
    <row r="2014" spans="1:6" x14ac:dyDescent="0.3">
      <c r="A2014" s="15" t="s">
        <v>33499</v>
      </c>
      <c r="B2014" s="15" t="s">
        <v>795</v>
      </c>
      <c r="C2014" s="15" t="s">
        <v>795</v>
      </c>
      <c r="D2014" s="15" t="s">
        <v>795</v>
      </c>
      <c r="F2014" s="42"/>
    </row>
    <row r="2015" spans="1:6" x14ac:dyDescent="0.3">
      <c r="A2015" s="15" t="s">
        <v>33519</v>
      </c>
      <c r="B2015" s="15" t="s">
        <v>795</v>
      </c>
      <c r="C2015" s="15" t="s">
        <v>795</v>
      </c>
      <c r="D2015" s="15" t="s">
        <v>795</v>
      </c>
      <c r="F2015" s="42"/>
    </row>
    <row r="2016" spans="1:6" x14ac:dyDescent="0.3">
      <c r="A2016" s="15" t="s">
        <v>33499</v>
      </c>
      <c r="B2016" s="15" t="s">
        <v>795</v>
      </c>
      <c r="C2016" s="15" t="s">
        <v>795</v>
      </c>
      <c r="D2016" s="15" t="s">
        <v>795</v>
      </c>
      <c r="F2016" s="42"/>
    </row>
    <row r="2017" spans="1:6" x14ac:dyDescent="0.3">
      <c r="A2017" s="15" t="s">
        <v>45363</v>
      </c>
      <c r="B2017" s="15" t="s">
        <v>800</v>
      </c>
      <c r="C2017" s="15" t="s">
        <v>4515</v>
      </c>
      <c r="D2017" s="15" t="s">
        <v>4516</v>
      </c>
      <c r="E2017" s="15">
        <v>1063.7406000000001</v>
      </c>
      <c r="F2017" s="42">
        <v>46201</v>
      </c>
    </row>
    <row r="2018" spans="1:6" x14ac:dyDescent="0.3">
      <c r="A2018" s="15" t="s">
        <v>45362</v>
      </c>
      <c r="B2018" s="15" t="s">
        <v>800</v>
      </c>
      <c r="C2018" s="15" t="s">
        <v>4517</v>
      </c>
      <c r="D2018" s="15" t="s">
        <v>4518</v>
      </c>
      <c r="E2018" s="15">
        <v>1058.7897</v>
      </c>
      <c r="F2018" s="42">
        <v>46201</v>
      </c>
    </row>
    <row r="2019" spans="1:6" x14ac:dyDescent="0.3">
      <c r="A2019" s="15" t="s">
        <v>45361</v>
      </c>
      <c r="B2019" s="15" t="s">
        <v>4519</v>
      </c>
      <c r="C2019" s="15" t="s">
        <v>800</v>
      </c>
      <c r="D2019" s="15" t="s">
        <v>4520</v>
      </c>
      <c r="E2019" s="15">
        <v>4366.9282000000003</v>
      </c>
      <c r="F2019" s="42">
        <v>46201</v>
      </c>
    </row>
    <row r="2020" spans="1:6" x14ac:dyDescent="0.3">
      <c r="A2020" s="15" t="s">
        <v>45360</v>
      </c>
      <c r="B2020" s="15" t="s">
        <v>800</v>
      </c>
      <c r="C2020" s="15" t="s">
        <v>4521</v>
      </c>
      <c r="D2020" s="15" t="s">
        <v>4522</v>
      </c>
      <c r="E2020" s="15">
        <v>1001.5187</v>
      </c>
      <c r="F2020" s="42">
        <v>46201</v>
      </c>
    </row>
    <row r="2021" spans="1:6" x14ac:dyDescent="0.3">
      <c r="A2021" s="15" t="s">
        <v>45359</v>
      </c>
      <c r="B2021" s="15" t="s">
        <v>4523</v>
      </c>
      <c r="C2021" s="15" t="s">
        <v>800</v>
      </c>
      <c r="D2021" s="15" t="s">
        <v>4524</v>
      </c>
      <c r="E2021" s="15">
        <v>4424.5717999999997</v>
      </c>
      <c r="F2021" s="42">
        <v>46201</v>
      </c>
    </row>
    <row r="2022" spans="1:6" x14ac:dyDescent="0.3">
      <c r="A2022" s="15" t="s">
        <v>45358</v>
      </c>
      <c r="B2022" s="15" t="s">
        <v>800</v>
      </c>
      <c r="C2022" s="15" t="s">
        <v>4525</v>
      </c>
      <c r="D2022" s="15" t="s">
        <v>4526</v>
      </c>
      <c r="E2022" s="15">
        <v>1001.5157</v>
      </c>
      <c r="F2022" s="42">
        <v>46201</v>
      </c>
    </row>
    <row r="2023" spans="1:6" x14ac:dyDescent="0.3">
      <c r="A2023" s="15" t="s">
        <v>33499</v>
      </c>
      <c r="B2023" s="15" t="s">
        <v>795</v>
      </c>
      <c r="C2023" s="15" t="s">
        <v>795</v>
      </c>
      <c r="D2023" s="15" t="s">
        <v>795</v>
      </c>
      <c r="F2023" s="42"/>
    </row>
    <row r="2024" spans="1:6" x14ac:dyDescent="0.3">
      <c r="A2024" s="15" t="s">
        <v>38009</v>
      </c>
      <c r="B2024" s="15" t="s">
        <v>795</v>
      </c>
      <c r="C2024" s="15" t="s">
        <v>795</v>
      </c>
      <c r="D2024" s="15" t="s">
        <v>795</v>
      </c>
      <c r="F2024" s="42"/>
    </row>
    <row r="2025" spans="1:6" x14ac:dyDescent="0.3">
      <c r="A2025" s="15" t="s">
        <v>33499</v>
      </c>
      <c r="B2025" s="15" t="s">
        <v>795</v>
      </c>
      <c r="C2025" s="15" t="s">
        <v>795</v>
      </c>
      <c r="D2025" s="15" t="s">
        <v>795</v>
      </c>
      <c r="F2025" s="42"/>
    </row>
    <row r="2026" spans="1:6" x14ac:dyDescent="0.3">
      <c r="A2026" s="15" t="s">
        <v>45357</v>
      </c>
      <c r="B2026" s="15" t="s">
        <v>4527</v>
      </c>
      <c r="C2026" s="15" t="s">
        <v>4528</v>
      </c>
      <c r="D2026" s="15" t="s">
        <v>4529</v>
      </c>
      <c r="E2026" s="15">
        <v>1013.9743</v>
      </c>
      <c r="F2026" s="42">
        <v>44138</v>
      </c>
    </row>
    <row r="2027" spans="1:6" x14ac:dyDescent="0.3">
      <c r="A2027" s="15" t="s">
        <v>45356</v>
      </c>
      <c r="B2027" s="15" t="s">
        <v>4530</v>
      </c>
      <c r="C2027" s="15" t="s">
        <v>800</v>
      </c>
      <c r="D2027" s="15" t="s">
        <v>4531</v>
      </c>
      <c r="E2027" s="15">
        <v>2368.5909000000001</v>
      </c>
      <c r="F2027" s="42">
        <v>44138</v>
      </c>
    </row>
    <row r="2028" spans="1:6" x14ac:dyDescent="0.3">
      <c r="A2028" s="15" t="s">
        <v>33499</v>
      </c>
      <c r="B2028" s="15" t="s">
        <v>795</v>
      </c>
      <c r="C2028" s="15" t="s">
        <v>795</v>
      </c>
      <c r="D2028" s="15" t="s">
        <v>795</v>
      </c>
      <c r="F2028" s="42"/>
    </row>
    <row r="2029" spans="1:6" x14ac:dyDescent="0.3">
      <c r="A2029" s="15" t="s">
        <v>39242</v>
      </c>
      <c r="B2029" s="15" t="s">
        <v>795</v>
      </c>
      <c r="C2029" s="15" t="s">
        <v>795</v>
      </c>
      <c r="D2029" s="15" t="s">
        <v>795</v>
      </c>
      <c r="F2029" s="42"/>
    </row>
    <row r="2030" spans="1:6" x14ac:dyDescent="0.3">
      <c r="A2030" s="15" t="s">
        <v>33499</v>
      </c>
      <c r="B2030" s="15" t="s">
        <v>795</v>
      </c>
      <c r="C2030" s="15" t="s">
        <v>795</v>
      </c>
      <c r="D2030" s="15" t="s">
        <v>795</v>
      </c>
      <c r="F2030" s="42"/>
    </row>
    <row r="2031" spans="1:6" x14ac:dyDescent="0.3">
      <c r="A2031" s="15" t="s">
        <v>45355</v>
      </c>
      <c r="B2031" s="15" t="s">
        <v>800</v>
      </c>
      <c r="C2031" s="15" t="s">
        <v>4532</v>
      </c>
      <c r="D2031" s="15" t="s">
        <v>4533</v>
      </c>
      <c r="E2031" s="15">
        <v>1004.8565</v>
      </c>
      <c r="F2031" s="42">
        <v>46201</v>
      </c>
    </row>
    <row r="2032" spans="1:6" x14ac:dyDescent="0.3">
      <c r="A2032" s="15" t="s">
        <v>45354</v>
      </c>
      <c r="B2032" s="15" t="s">
        <v>4534</v>
      </c>
      <c r="C2032" s="15" t="s">
        <v>800</v>
      </c>
      <c r="D2032" s="15" t="s">
        <v>4535</v>
      </c>
      <c r="E2032" s="15">
        <v>1046.7807</v>
      </c>
      <c r="F2032" s="42">
        <v>46201</v>
      </c>
    </row>
    <row r="2033" spans="1:6" x14ac:dyDescent="0.3">
      <c r="A2033" s="15" t="s">
        <v>45353</v>
      </c>
      <c r="B2033" s="15" t="s">
        <v>4536</v>
      </c>
      <c r="C2033" s="15" t="s">
        <v>4537</v>
      </c>
      <c r="D2033" s="15" t="s">
        <v>4538</v>
      </c>
      <c r="E2033" s="15">
        <v>1002.4955</v>
      </c>
      <c r="F2033" s="42">
        <v>46201</v>
      </c>
    </row>
    <row r="2034" spans="1:6" x14ac:dyDescent="0.3">
      <c r="A2034" s="15" t="s">
        <v>45352</v>
      </c>
      <c r="B2034" s="15" t="s">
        <v>4539</v>
      </c>
      <c r="C2034" s="15" t="s">
        <v>4540</v>
      </c>
      <c r="D2034" s="15" t="s">
        <v>4541</v>
      </c>
      <c r="E2034" s="15">
        <v>1003.1079999999999</v>
      </c>
      <c r="F2034" s="42">
        <v>46201</v>
      </c>
    </row>
    <row r="2035" spans="1:6" x14ac:dyDescent="0.3">
      <c r="A2035" s="15" t="s">
        <v>45351</v>
      </c>
      <c r="B2035" s="15" t="s">
        <v>800</v>
      </c>
      <c r="C2035" s="15" t="s">
        <v>4542</v>
      </c>
      <c r="D2035" s="15" t="s">
        <v>4543</v>
      </c>
      <c r="E2035" s="15">
        <v>1002.0001</v>
      </c>
      <c r="F2035" s="42">
        <v>46201</v>
      </c>
    </row>
    <row r="2036" spans="1:6" x14ac:dyDescent="0.3">
      <c r="A2036" s="15" t="s">
        <v>45350</v>
      </c>
      <c r="B2036" s="15" t="s">
        <v>4544</v>
      </c>
      <c r="C2036" s="15" t="s">
        <v>800</v>
      </c>
      <c r="D2036" s="15" t="s">
        <v>4545</v>
      </c>
      <c r="E2036" s="15">
        <v>1045.6027999999999</v>
      </c>
      <c r="F2036" s="42">
        <v>46201</v>
      </c>
    </row>
    <row r="2037" spans="1:6" x14ac:dyDescent="0.3">
      <c r="A2037" s="15" t="s">
        <v>45349</v>
      </c>
      <c r="B2037" s="15" t="s">
        <v>4546</v>
      </c>
      <c r="C2037" s="15" t="s">
        <v>4547</v>
      </c>
      <c r="D2037" s="15" t="s">
        <v>4548</v>
      </c>
      <c r="E2037" s="15">
        <v>1002.4872</v>
      </c>
      <c r="F2037" s="42">
        <v>46201</v>
      </c>
    </row>
    <row r="2038" spans="1:6" x14ac:dyDescent="0.3">
      <c r="A2038" s="15" t="s">
        <v>45348</v>
      </c>
      <c r="B2038" s="15" t="s">
        <v>4549</v>
      </c>
      <c r="C2038" s="15" t="s">
        <v>4550</v>
      </c>
      <c r="D2038" s="15" t="s">
        <v>4551</v>
      </c>
      <c r="E2038" s="15">
        <v>1003.0715</v>
      </c>
      <c r="F2038" s="42">
        <v>46201</v>
      </c>
    </row>
    <row r="2039" spans="1:6" x14ac:dyDescent="0.3">
      <c r="A2039" s="15" t="s">
        <v>33499</v>
      </c>
      <c r="B2039" s="15" t="s">
        <v>795</v>
      </c>
      <c r="C2039" s="15" t="s">
        <v>795</v>
      </c>
      <c r="D2039" s="15" t="s">
        <v>795</v>
      </c>
      <c r="F2039" s="42"/>
    </row>
    <row r="2040" spans="1:6" x14ac:dyDescent="0.3">
      <c r="A2040" s="15" t="s">
        <v>33508</v>
      </c>
      <c r="B2040" s="15" t="s">
        <v>795</v>
      </c>
      <c r="C2040" s="15" t="s">
        <v>795</v>
      </c>
      <c r="D2040" s="15" t="s">
        <v>795</v>
      </c>
      <c r="F2040" s="42"/>
    </row>
    <row r="2041" spans="1:6" x14ac:dyDescent="0.3">
      <c r="A2041" s="15" t="s">
        <v>33499</v>
      </c>
      <c r="B2041" s="15" t="s">
        <v>795</v>
      </c>
      <c r="C2041" s="15" t="s">
        <v>795</v>
      </c>
      <c r="D2041" s="15" t="s">
        <v>795</v>
      </c>
      <c r="F2041" s="42"/>
    </row>
    <row r="2042" spans="1:6" x14ac:dyDescent="0.3">
      <c r="A2042" s="15" t="s">
        <v>45347</v>
      </c>
      <c r="B2042" s="15" t="s">
        <v>800</v>
      </c>
      <c r="C2042" s="15" t="s">
        <v>4552</v>
      </c>
      <c r="D2042" s="15" t="s">
        <v>4553</v>
      </c>
      <c r="E2042" s="15">
        <v>1284.1542999999999</v>
      </c>
      <c r="F2042" s="42">
        <v>46201</v>
      </c>
    </row>
    <row r="2043" spans="1:6" x14ac:dyDescent="0.3">
      <c r="A2043" s="15" t="s">
        <v>45346</v>
      </c>
      <c r="B2043" s="15" t="s">
        <v>4554</v>
      </c>
      <c r="C2043" s="15" t="s">
        <v>800</v>
      </c>
      <c r="D2043" s="15" t="s">
        <v>4555</v>
      </c>
      <c r="E2043" s="15">
        <v>1356.6282000000001</v>
      </c>
      <c r="F2043" s="42">
        <v>46201</v>
      </c>
    </row>
    <row r="2044" spans="1:6" x14ac:dyDescent="0.3">
      <c r="A2044" s="15" t="s">
        <v>45345</v>
      </c>
      <c r="B2044" s="15" t="s">
        <v>4556</v>
      </c>
      <c r="C2044" s="15" t="s">
        <v>4557</v>
      </c>
      <c r="D2044" s="15" t="s">
        <v>4558</v>
      </c>
      <c r="E2044" s="15">
        <v>1212.2065</v>
      </c>
      <c r="F2044" s="42">
        <v>46201</v>
      </c>
    </row>
    <row r="2045" spans="1:6" x14ac:dyDescent="0.3">
      <c r="A2045" s="15" t="s">
        <v>45344</v>
      </c>
      <c r="B2045" s="15" t="s">
        <v>4559</v>
      </c>
      <c r="C2045" s="15" t="s">
        <v>4560</v>
      </c>
      <c r="D2045" s="15" t="s">
        <v>4561</v>
      </c>
      <c r="E2045" s="15">
        <v>1240.5287000000001</v>
      </c>
      <c r="F2045" s="42">
        <v>46201</v>
      </c>
    </row>
    <row r="2046" spans="1:6" x14ac:dyDescent="0.3">
      <c r="A2046" s="15" t="s">
        <v>45343</v>
      </c>
      <c r="B2046" s="15" t="s">
        <v>800</v>
      </c>
      <c r="C2046" s="15" t="s">
        <v>4562</v>
      </c>
      <c r="D2046" s="15" t="s">
        <v>4563</v>
      </c>
      <c r="E2046" s="15">
        <v>1212.7346</v>
      </c>
      <c r="F2046" s="42">
        <v>46201</v>
      </c>
    </row>
    <row r="2047" spans="1:6" x14ac:dyDescent="0.3">
      <c r="A2047" s="15" t="s">
        <v>45342</v>
      </c>
      <c r="B2047" s="15" t="s">
        <v>4564</v>
      </c>
      <c r="C2047" s="15" t="s">
        <v>800</v>
      </c>
      <c r="D2047" s="15" t="s">
        <v>4565</v>
      </c>
      <c r="E2047" s="15">
        <v>1346.0269000000001</v>
      </c>
      <c r="F2047" s="42">
        <v>46201</v>
      </c>
    </row>
    <row r="2048" spans="1:6" x14ac:dyDescent="0.3">
      <c r="A2048" s="15" t="s">
        <v>45341</v>
      </c>
      <c r="B2048" s="15" t="s">
        <v>4566</v>
      </c>
      <c r="C2048" s="15" t="s">
        <v>4567</v>
      </c>
      <c r="D2048" s="15" t="s">
        <v>4568</v>
      </c>
      <c r="E2048" s="15">
        <v>1202.7382</v>
      </c>
      <c r="F2048" s="42">
        <v>46201</v>
      </c>
    </row>
    <row r="2049" spans="1:6" x14ac:dyDescent="0.3">
      <c r="A2049" s="15" t="s">
        <v>45340</v>
      </c>
      <c r="B2049" s="15" t="s">
        <v>4569</v>
      </c>
      <c r="C2049" s="15" t="s">
        <v>4570</v>
      </c>
      <c r="D2049" s="15" t="s">
        <v>4571</v>
      </c>
      <c r="E2049" s="15">
        <v>1188.0168000000001</v>
      </c>
      <c r="F2049" s="42">
        <v>46201</v>
      </c>
    </row>
    <row r="2050" spans="1:6" x14ac:dyDescent="0.3">
      <c r="A2050" s="15" t="s">
        <v>33499</v>
      </c>
      <c r="B2050" s="15" t="s">
        <v>795</v>
      </c>
      <c r="C2050" s="15" t="s">
        <v>795</v>
      </c>
      <c r="D2050" s="15" t="s">
        <v>795</v>
      </c>
      <c r="F2050" s="42"/>
    </row>
    <row r="2051" spans="1:6" x14ac:dyDescent="0.3">
      <c r="A2051" s="15" t="s">
        <v>40500</v>
      </c>
      <c r="B2051" s="15" t="s">
        <v>795</v>
      </c>
      <c r="C2051" s="15" t="s">
        <v>795</v>
      </c>
      <c r="D2051" s="15" t="s">
        <v>795</v>
      </c>
      <c r="F2051" s="42"/>
    </row>
    <row r="2052" spans="1:6" x14ac:dyDescent="0.3">
      <c r="A2052" s="15" t="s">
        <v>33499</v>
      </c>
      <c r="B2052" s="15" t="s">
        <v>795</v>
      </c>
      <c r="C2052" s="15" t="s">
        <v>795</v>
      </c>
      <c r="D2052" s="15" t="s">
        <v>795</v>
      </c>
      <c r="F2052" s="42"/>
    </row>
    <row r="2053" spans="1:6" x14ac:dyDescent="0.3">
      <c r="A2053" s="15" t="s">
        <v>45339</v>
      </c>
      <c r="B2053" s="15" t="s">
        <v>4572</v>
      </c>
      <c r="C2053" s="15" t="s">
        <v>800</v>
      </c>
      <c r="D2053" s="15" t="s">
        <v>4573</v>
      </c>
      <c r="E2053" s="15">
        <v>1063.5757000000001</v>
      </c>
      <c r="F2053" s="42">
        <v>46201</v>
      </c>
    </row>
    <row r="2054" spans="1:6" x14ac:dyDescent="0.3">
      <c r="A2054" s="15" t="s">
        <v>45338</v>
      </c>
      <c r="B2054" s="15" t="s">
        <v>4574</v>
      </c>
      <c r="C2054" s="15" t="s">
        <v>800</v>
      </c>
      <c r="D2054" s="15" t="s">
        <v>4575</v>
      </c>
      <c r="E2054" s="15">
        <v>1062.9055000000001</v>
      </c>
      <c r="F2054" s="42">
        <v>46201</v>
      </c>
    </row>
    <row r="2055" spans="1:6" x14ac:dyDescent="0.3">
      <c r="A2055" s="15" t="s">
        <v>33499</v>
      </c>
      <c r="B2055" s="15" t="s">
        <v>795</v>
      </c>
      <c r="C2055" s="15" t="s">
        <v>795</v>
      </c>
      <c r="D2055" s="15" t="s">
        <v>795</v>
      </c>
      <c r="F2055" s="42"/>
    </row>
    <row r="2056" spans="1:6" x14ac:dyDescent="0.3">
      <c r="A2056" s="15" t="s">
        <v>33504</v>
      </c>
      <c r="B2056" s="15" t="s">
        <v>795</v>
      </c>
      <c r="C2056" s="15" t="s">
        <v>795</v>
      </c>
      <c r="D2056" s="15" t="s">
        <v>795</v>
      </c>
      <c r="F2056" s="42"/>
    </row>
    <row r="2057" spans="1:6" x14ac:dyDescent="0.3">
      <c r="A2057" s="15" t="s">
        <v>33499</v>
      </c>
      <c r="B2057" s="15" t="s">
        <v>795</v>
      </c>
      <c r="C2057" s="15" t="s">
        <v>795</v>
      </c>
      <c r="D2057" s="15" t="s">
        <v>795</v>
      </c>
      <c r="F2057" s="42"/>
    </row>
    <row r="2058" spans="1:6" x14ac:dyDescent="0.3">
      <c r="A2058" s="15" t="s">
        <v>45337</v>
      </c>
      <c r="B2058" s="15" t="s">
        <v>800</v>
      </c>
      <c r="C2058" s="15" t="s">
        <v>4576</v>
      </c>
      <c r="D2058" s="15" t="s">
        <v>4577</v>
      </c>
      <c r="E2058" s="15">
        <v>1001.4576</v>
      </c>
      <c r="F2058" s="42">
        <v>46201</v>
      </c>
    </row>
    <row r="2059" spans="1:6" x14ac:dyDescent="0.3">
      <c r="A2059" s="15" t="s">
        <v>45336</v>
      </c>
      <c r="B2059" s="15" t="s">
        <v>800</v>
      </c>
      <c r="C2059" s="15" t="s">
        <v>4578</v>
      </c>
      <c r="D2059" s="15" t="s">
        <v>4579</v>
      </c>
      <c r="E2059" s="15">
        <v>1001.552</v>
      </c>
      <c r="F2059" s="42">
        <v>46201</v>
      </c>
    </row>
    <row r="2060" spans="1:6" x14ac:dyDescent="0.3">
      <c r="A2060" s="15" t="s">
        <v>45335</v>
      </c>
      <c r="B2060" s="15" t="s">
        <v>4580</v>
      </c>
      <c r="C2060" s="15" t="s">
        <v>4581</v>
      </c>
      <c r="D2060" s="15" t="s">
        <v>4582</v>
      </c>
      <c r="E2060" s="15">
        <v>1001.6416</v>
      </c>
      <c r="F2060" s="42">
        <v>46201</v>
      </c>
    </row>
    <row r="2061" spans="1:6" x14ac:dyDescent="0.3">
      <c r="A2061" s="15" t="s">
        <v>45334</v>
      </c>
      <c r="B2061" s="15" t="s">
        <v>4583</v>
      </c>
      <c r="C2061" s="15" t="s">
        <v>800</v>
      </c>
      <c r="D2061" s="15" t="s">
        <v>4584</v>
      </c>
      <c r="E2061" s="15">
        <v>2704.1419000000001</v>
      </c>
      <c r="F2061" s="42">
        <v>46201</v>
      </c>
    </row>
    <row r="2062" spans="1:6" x14ac:dyDescent="0.3">
      <c r="A2062" s="15" t="s">
        <v>45333</v>
      </c>
      <c r="B2062" s="15" t="s">
        <v>4585</v>
      </c>
      <c r="C2062" s="15" t="s">
        <v>4586</v>
      </c>
      <c r="D2062" s="15" t="s">
        <v>4587</v>
      </c>
      <c r="E2062" s="15">
        <v>1001.5419000000001</v>
      </c>
      <c r="F2062" s="42">
        <v>46201</v>
      </c>
    </row>
    <row r="2063" spans="1:6" x14ac:dyDescent="0.3">
      <c r="A2063" s="15" t="s">
        <v>45332</v>
      </c>
      <c r="B2063" s="15" t="s">
        <v>800</v>
      </c>
      <c r="C2063" s="15" t="s">
        <v>4588</v>
      </c>
      <c r="D2063" s="15" t="s">
        <v>4589</v>
      </c>
      <c r="E2063" s="15">
        <v>1002.261</v>
      </c>
      <c r="F2063" s="42">
        <v>46201</v>
      </c>
    </row>
    <row r="2064" spans="1:6" x14ac:dyDescent="0.3">
      <c r="A2064" s="15" t="s">
        <v>45331</v>
      </c>
      <c r="B2064" s="15" t="s">
        <v>4590</v>
      </c>
      <c r="C2064" s="15" t="s">
        <v>4591</v>
      </c>
      <c r="D2064" s="15" t="s">
        <v>4592</v>
      </c>
      <c r="E2064" s="15">
        <v>1001.621</v>
      </c>
      <c r="F2064" s="42">
        <v>46201</v>
      </c>
    </row>
    <row r="2065" spans="1:6" x14ac:dyDescent="0.3">
      <c r="A2065" s="15" t="s">
        <v>45330</v>
      </c>
      <c r="B2065" s="15" t="s">
        <v>4593</v>
      </c>
      <c r="C2065" s="15" t="s">
        <v>800</v>
      </c>
      <c r="D2065" s="15" t="s">
        <v>4594</v>
      </c>
      <c r="E2065" s="15">
        <v>2668.7325999999998</v>
      </c>
      <c r="F2065" s="42">
        <v>46201</v>
      </c>
    </row>
    <row r="2066" spans="1:6" x14ac:dyDescent="0.3">
      <c r="A2066" s="15" t="s">
        <v>45329</v>
      </c>
      <c r="B2066" s="15" t="s">
        <v>4595</v>
      </c>
      <c r="C2066" s="15" t="s">
        <v>4596</v>
      </c>
      <c r="D2066" s="15" t="s">
        <v>4597</v>
      </c>
      <c r="E2066" s="15">
        <v>1001.1079</v>
      </c>
      <c r="F2066" s="42">
        <v>46201</v>
      </c>
    </row>
    <row r="2067" spans="1:6" x14ac:dyDescent="0.3">
      <c r="A2067" s="15" t="s">
        <v>45328</v>
      </c>
      <c r="B2067" s="15" t="s">
        <v>800</v>
      </c>
      <c r="C2067" s="15" t="s">
        <v>800</v>
      </c>
      <c r="D2067" s="15" t="s">
        <v>4598</v>
      </c>
      <c r="E2067" s="15">
        <v>1000</v>
      </c>
      <c r="F2067" s="42">
        <v>44530</v>
      </c>
    </row>
    <row r="2068" spans="1:6" x14ac:dyDescent="0.3">
      <c r="A2068" s="15" t="s">
        <v>45327</v>
      </c>
      <c r="B2068" s="15" t="s">
        <v>800</v>
      </c>
      <c r="C2068" s="15" t="s">
        <v>800</v>
      </c>
      <c r="D2068" s="15" t="s">
        <v>4599</v>
      </c>
      <c r="E2068" s="15">
        <v>1167.6169</v>
      </c>
      <c r="F2068" s="42">
        <v>44530</v>
      </c>
    </row>
    <row r="2069" spans="1:6" x14ac:dyDescent="0.3">
      <c r="A2069" s="15" t="s">
        <v>45326</v>
      </c>
      <c r="B2069" s="15" t="s">
        <v>800</v>
      </c>
      <c r="C2069" s="15" t="s">
        <v>800</v>
      </c>
      <c r="D2069" s="15" t="s">
        <v>4600</v>
      </c>
      <c r="E2069" s="15">
        <v>1000</v>
      </c>
      <c r="F2069" s="42">
        <v>44530</v>
      </c>
    </row>
    <row r="2070" spans="1:6" x14ac:dyDescent="0.3">
      <c r="A2070" s="15" t="s">
        <v>45325</v>
      </c>
      <c r="B2070" s="15" t="s">
        <v>800</v>
      </c>
      <c r="C2070" s="15" t="s">
        <v>800</v>
      </c>
      <c r="D2070" s="15" t="s">
        <v>4601</v>
      </c>
      <c r="E2070" s="15">
        <v>1167.329</v>
      </c>
      <c r="F2070" s="42">
        <v>44530</v>
      </c>
    </row>
    <row r="2071" spans="1:6" x14ac:dyDescent="0.3">
      <c r="A2071" s="15" t="s">
        <v>45324</v>
      </c>
      <c r="B2071" s="15" t="s">
        <v>800</v>
      </c>
      <c r="C2071" s="15" t="s">
        <v>4602</v>
      </c>
      <c r="D2071" s="15" t="s">
        <v>4603</v>
      </c>
      <c r="E2071" s="15">
        <v>1002.523</v>
      </c>
      <c r="F2071" s="42">
        <v>46201</v>
      </c>
    </row>
    <row r="2072" spans="1:6" x14ac:dyDescent="0.3">
      <c r="A2072" s="15" t="s">
        <v>33499</v>
      </c>
      <c r="B2072" s="15" t="s">
        <v>795</v>
      </c>
      <c r="C2072" s="15" t="s">
        <v>795</v>
      </c>
      <c r="D2072" s="15" t="s">
        <v>795</v>
      </c>
      <c r="F2072" s="42"/>
    </row>
    <row r="2073" spans="1:6" x14ac:dyDescent="0.3">
      <c r="A2073" s="15" t="s">
        <v>33500</v>
      </c>
      <c r="B2073" s="15" t="s">
        <v>795</v>
      </c>
      <c r="C2073" s="15" t="s">
        <v>795</v>
      </c>
      <c r="D2073" s="15" t="s">
        <v>795</v>
      </c>
      <c r="F2073" s="42"/>
    </row>
    <row r="2074" spans="1:6" x14ac:dyDescent="0.3">
      <c r="A2074" s="15" t="s">
        <v>33499</v>
      </c>
      <c r="B2074" s="15" t="s">
        <v>795</v>
      </c>
      <c r="C2074" s="15" t="s">
        <v>795</v>
      </c>
      <c r="D2074" s="15" t="s">
        <v>795</v>
      </c>
      <c r="F2074" s="42"/>
    </row>
    <row r="2075" spans="1:6" x14ac:dyDescent="0.3">
      <c r="A2075" s="15" t="s">
        <v>45323</v>
      </c>
      <c r="B2075" s="15" t="s">
        <v>47199</v>
      </c>
      <c r="C2075" s="15" t="s">
        <v>47200</v>
      </c>
      <c r="D2075" s="15" t="s">
        <v>4604</v>
      </c>
      <c r="E2075" s="15">
        <v>202.13669999999999</v>
      </c>
      <c r="F2075" s="42">
        <v>46201</v>
      </c>
    </row>
    <row r="2076" spans="1:6" x14ac:dyDescent="0.3">
      <c r="A2076" s="15" t="s">
        <v>45322</v>
      </c>
      <c r="B2076" s="15" t="s">
        <v>800</v>
      </c>
      <c r="C2076" s="15" t="s">
        <v>47201</v>
      </c>
      <c r="D2076" s="15" t="s">
        <v>4605</v>
      </c>
      <c r="E2076" s="15">
        <v>106.5304</v>
      </c>
      <c r="F2076" s="42">
        <v>46201</v>
      </c>
    </row>
    <row r="2077" spans="1:6" x14ac:dyDescent="0.3">
      <c r="A2077" s="15" t="s">
        <v>45321</v>
      </c>
      <c r="B2077" s="15" t="s">
        <v>47202</v>
      </c>
      <c r="C2077" s="15" t="s">
        <v>47203</v>
      </c>
      <c r="D2077" s="15" t="s">
        <v>4606</v>
      </c>
      <c r="E2077" s="15">
        <v>166.4889</v>
      </c>
      <c r="F2077" s="42">
        <v>46201</v>
      </c>
    </row>
    <row r="2078" spans="1:6" x14ac:dyDescent="0.3">
      <c r="A2078" s="15" t="s">
        <v>45320</v>
      </c>
      <c r="B2078" s="15" t="s">
        <v>47204</v>
      </c>
      <c r="C2078" s="15" t="s">
        <v>47205</v>
      </c>
      <c r="D2078" s="15" t="s">
        <v>4607</v>
      </c>
      <c r="E2078" s="15">
        <v>115.54640000000001</v>
      </c>
      <c r="F2078" s="42">
        <v>46201</v>
      </c>
    </row>
    <row r="2079" spans="1:6" x14ac:dyDescent="0.3">
      <c r="A2079" s="15" t="s">
        <v>45319</v>
      </c>
      <c r="B2079" s="15" t="s">
        <v>47206</v>
      </c>
      <c r="C2079" s="15" t="s">
        <v>47207</v>
      </c>
      <c r="D2079" s="15" t="s">
        <v>4608</v>
      </c>
      <c r="E2079" s="15">
        <v>157.89510000000001</v>
      </c>
      <c r="F2079" s="42">
        <v>46201</v>
      </c>
    </row>
    <row r="2080" spans="1:6" x14ac:dyDescent="0.3">
      <c r="A2080" s="15" t="s">
        <v>45318</v>
      </c>
      <c r="B2080" s="15" t="s">
        <v>47208</v>
      </c>
      <c r="C2080" s="15" t="s">
        <v>47209</v>
      </c>
      <c r="D2080" s="15" t="s">
        <v>4609</v>
      </c>
      <c r="E2080" s="15">
        <v>104.9175</v>
      </c>
      <c r="F2080" s="42">
        <v>46201</v>
      </c>
    </row>
    <row r="2081" spans="1:6" x14ac:dyDescent="0.3">
      <c r="A2081" s="15" t="s">
        <v>45317</v>
      </c>
      <c r="B2081" s="15" t="s">
        <v>47210</v>
      </c>
      <c r="C2081" s="15" t="s">
        <v>47211</v>
      </c>
      <c r="D2081" s="15" t="s">
        <v>4610</v>
      </c>
      <c r="E2081" s="15">
        <v>190.90430000000001</v>
      </c>
      <c r="F2081" s="42">
        <v>46201</v>
      </c>
    </row>
    <row r="2082" spans="1:6" x14ac:dyDescent="0.3">
      <c r="A2082" s="15" t="s">
        <v>45316</v>
      </c>
      <c r="B2082" s="15" t="s">
        <v>800</v>
      </c>
      <c r="C2082" s="15" t="s">
        <v>47212</v>
      </c>
      <c r="D2082" s="15" t="s">
        <v>4611</v>
      </c>
      <c r="E2082" s="15">
        <v>107.62009999999999</v>
      </c>
      <c r="F2082" s="42">
        <v>46201</v>
      </c>
    </row>
    <row r="2083" spans="1:6" x14ac:dyDescent="0.3">
      <c r="A2083" s="15" t="s">
        <v>45315</v>
      </c>
      <c r="B2083" s="15" t="s">
        <v>47213</v>
      </c>
      <c r="C2083" s="15" t="s">
        <v>47214</v>
      </c>
      <c r="D2083" s="15" t="s">
        <v>4612</v>
      </c>
      <c r="E2083" s="15">
        <v>200.65649999999999</v>
      </c>
      <c r="F2083" s="42">
        <v>46201</v>
      </c>
    </row>
    <row r="2084" spans="1:6" x14ac:dyDescent="0.3">
      <c r="A2084" s="15" t="s">
        <v>45314</v>
      </c>
      <c r="B2084" s="15" t="s">
        <v>800</v>
      </c>
      <c r="C2084" s="15" t="s">
        <v>47215</v>
      </c>
      <c r="D2084" s="15" t="s">
        <v>4613</v>
      </c>
      <c r="E2084" s="15">
        <v>119.7882</v>
      </c>
      <c r="F2084" s="42">
        <v>46201</v>
      </c>
    </row>
    <row r="2085" spans="1:6" x14ac:dyDescent="0.3">
      <c r="A2085" s="15" t="s">
        <v>45313</v>
      </c>
      <c r="B2085" s="15" t="s">
        <v>47216</v>
      </c>
      <c r="C2085" s="15" t="s">
        <v>47217</v>
      </c>
      <c r="D2085" s="15" t="s">
        <v>4614</v>
      </c>
      <c r="E2085" s="15">
        <v>165.3767</v>
      </c>
      <c r="F2085" s="42">
        <v>46201</v>
      </c>
    </row>
    <row r="2086" spans="1:6" x14ac:dyDescent="0.3">
      <c r="A2086" s="15" t="s">
        <v>45312</v>
      </c>
      <c r="B2086" s="15" t="s">
        <v>47218</v>
      </c>
      <c r="C2086" s="15" t="s">
        <v>47219</v>
      </c>
      <c r="D2086" s="15" t="s">
        <v>4615</v>
      </c>
      <c r="E2086" s="15">
        <v>115.4636</v>
      </c>
      <c r="F2086" s="42">
        <v>46201</v>
      </c>
    </row>
    <row r="2087" spans="1:6" x14ac:dyDescent="0.3">
      <c r="A2087" s="15" t="s">
        <v>45311</v>
      </c>
      <c r="B2087" s="15" t="s">
        <v>47220</v>
      </c>
      <c r="C2087" s="15" t="s">
        <v>47221</v>
      </c>
      <c r="D2087" s="15" t="s">
        <v>4616</v>
      </c>
      <c r="E2087" s="15">
        <v>139.7465</v>
      </c>
      <c r="F2087" s="42">
        <v>46201</v>
      </c>
    </row>
    <row r="2088" spans="1:6" x14ac:dyDescent="0.3">
      <c r="A2088" s="15" t="s">
        <v>45310</v>
      </c>
      <c r="B2088" s="15" t="s">
        <v>47222</v>
      </c>
      <c r="C2088" s="15" t="s">
        <v>47223</v>
      </c>
      <c r="D2088" s="15" t="s">
        <v>4617</v>
      </c>
      <c r="E2088" s="15">
        <v>113.1795</v>
      </c>
      <c r="F2088" s="42">
        <v>46201</v>
      </c>
    </row>
    <row r="2089" spans="1:6" x14ac:dyDescent="0.3">
      <c r="A2089" s="15" t="s">
        <v>45309</v>
      </c>
      <c r="B2089" s="15" t="s">
        <v>47224</v>
      </c>
      <c r="C2089" s="15" t="s">
        <v>47225</v>
      </c>
      <c r="D2089" s="15" t="s">
        <v>4618</v>
      </c>
      <c r="E2089" s="15">
        <v>189.46430000000001</v>
      </c>
      <c r="F2089" s="42">
        <v>46201</v>
      </c>
    </row>
    <row r="2090" spans="1:6" x14ac:dyDescent="0.3">
      <c r="A2090" s="15" t="s">
        <v>45308</v>
      </c>
      <c r="B2090" s="15" t="s">
        <v>800</v>
      </c>
      <c r="C2090" s="15" t="s">
        <v>47226</v>
      </c>
      <c r="D2090" s="15" t="s">
        <v>4619</v>
      </c>
      <c r="E2090" s="15">
        <v>105.37390000000001</v>
      </c>
      <c r="F2090" s="42">
        <v>46201</v>
      </c>
    </row>
    <row r="2091" spans="1:6" x14ac:dyDescent="0.3">
      <c r="A2091" s="15" t="s">
        <v>45307</v>
      </c>
      <c r="B2091" s="15" t="s">
        <v>47227</v>
      </c>
      <c r="C2091" s="15" t="s">
        <v>800</v>
      </c>
      <c r="D2091" s="15" t="s">
        <v>4620</v>
      </c>
      <c r="E2091" s="15">
        <v>459.62389999999999</v>
      </c>
      <c r="F2091" s="42">
        <v>46201</v>
      </c>
    </row>
    <row r="2092" spans="1:6" x14ac:dyDescent="0.3">
      <c r="A2092" s="15" t="s">
        <v>45306</v>
      </c>
      <c r="B2092" s="15" t="s">
        <v>47228</v>
      </c>
      <c r="C2092" s="15" t="s">
        <v>800</v>
      </c>
      <c r="D2092" s="15" t="s">
        <v>4621</v>
      </c>
      <c r="E2092" s="15">
        <v>455.06450000000001</v>
      </c>
      <c r="F2092" s="42">
        <v>46201</v>
      </c>
    </row>
    <row r="2093" spans="1:6" x14ac:dyDescent="0.3">
      <c r="A2093" s="15" t="s">
        <v>45305</v>
      </c>
      <c r="B2093" s="15" t="s">
        <v>47229</v>
      </c>
      <c r="C2093" s="15" t="s">
        <v>47230</v>
      </c>
      <c r="D2093" s="15" t="s">
        <v>4622</v>
      </c>
      <c r="E2093" s="15">
        <v>106.89319999999999</v>
      </c>
      <c r="F2093" s="42">
        <v>46201</v>
      </c>
    </row>
    <row r="2094" spans="1:6" x14ac:dyDescent="0.3">
      <c r="A2094" s="15" t="s">
        <v>45304</v>
      </c>
      <c r="B2094" s="15" t="s">
        <v>47231</v>
      </c>
      <c r="C2094" s="15" t="s">
        <v>800</v>
      </c>
      <c r="D2094" s="15" t="s">
        <v>4623</v>
      </c>
      <c r="E2094" s="15">
        <v>412.94380000000001</v>
      </c>
      <c r="F2094" s="42">
        <v>46201</v>
      </c>
    </row>
    <row r="2095" spans="1:6" x14ac:dyDescent="0.3">
      <c r="A2095" s="15" t="s">
        <v>45303</v>
      </c>
      <c r="B2095" s="15" t="s">
        <v>800</v>
      </c>
      <c r="C2095" s="15" t="s">
        <v>47232</v>
      </c>
      <c r="D2095" s="15" t="s">
        <v>4624</v>
      </c>
      <c r="E2095" s="15">
        <v>113.7846</v>
      </c>
      <c r="F2095" s="42">
        <v>46201</v>
      </c>
    </row>
    <row r="2096" spans="1:6" x14ac:dyDescent="0.3">
      <c r="A2096" s="15" t="s">
        <v>33499</v>
      </c>
      <c r="B2096" s="15" t="s">
        <v>795</v>
      </c>
      <c r="C2096" s="15" t="s">
        <v>795</v>
      </c>
      <c r="D2096" s="15" t="s">
        <v>795</v>
      </c>
      <c r="F2096" s="42"/>
    </row>
    <row r="2097" spans="1:6" x14ac:dyDescent="0.3">
      <c r="A2097" s="15" t="s">
        <v>40172</v>
      </c>
      <c r="B2097" s="15" t="s">
        <v>795</v>
      </c>
      <c r="C2097" s="15" t="s">
        <v>795</v>
      </c>
      <c r="D2097" s="15" t="s">
        <v>795</v>
      </c>
      <c r="F2097" s="42"/>
    </row>
    <row r="2098" spans="1:6" x14ac:dyDescent="0.3">
      <c r="A2098" s="15" t="s">
        <v>33499</v>
      </c>
      <c r="B2098" s="15" t="s">
        <v>795</v>
      </c>
      <c r="C2098" s="15" t="s">
        <v>795</v>
      </c>
      <c r="D2098" s="15" t="s">
        <v>795</v>
      </c>
      <c r="F2098" s="42"/>
    </row>
    <row r="2099" spans="1:6" x14ac:dyDescent="0.3">
      <c r="A2099" s="15" t="s">
        <v>45302</v>
      </c>
      <c r="B2099" s="15" t="s">
        <v>800</v>
      </c>
      <c r="C2099" s="15" t="s">
        <v>4625</v>
      </c>
      <c r="D2099" s="15" t="s">
        <v>4626</v>
      </c>
      <c r="E2099" s="15">
        <v>1001.9025</v>
      </c>
      <c r="F2099" s="42">
        <v>46201</v>
      </c>
    </row>
    <row r="2100" spans="1:6" x14ac:dyDescent="0.3">
      <c r="A2100" s="15" t="s">
        <v>45301</v>
      </c>
      <c r="B2100" s="15" t="s">
        <v>4627</v>
      </c>
      <c r="C2100" s="15" t="s">
        <v>4628</v>
      </c>
      <c r="D2100" s="15" t="s">
        <v>4629</v>
      </c>
      <c r="E2100" s="15">
        <v>1003.5867</v>
      </c>
      <c r="F2100" s="42">
        <v>46201</v>
      </c>
    </row>
    <row r="2101" spans="1:6" x14ac:dyDescent="0.3">
      <c r="A2101" s="15" t="s">
        <v>45300</v>
      </c>
      <c r="B2101" s="15" t="s">
        <v>4630</v>
      </c>
      <c r="C2101" s="15" t="s">
        <v>800</v>
      </c>
      <c r="D2101" s="15" t="s">
        <v>4631</v>
      </c>
      <c r="E2101" s="15">
        <v>1500.2055</v>
      </c>
      <c r="F2101" s="42">
        <v>46201</v>
      </c>
    </row>
    <row r="2102" spans="1:6" x14ac:dyDescent="0.3">
      <c r="A2102" s="15" t="s">
        <v>45299</v>
      </c>
      <c r="B2102" s="15" t="s">
        <v>4632</v>
      </c>
      <c r="C2102" s="15" t="s">
        <v>4633</v>
      </c>
      <c r="D2102" s="15" t="s">
        <v>4634</v>
      </c>
      <c r="E2102" s="15">
        <v>1004.2836</v>
      </c>
      <c r="F2102" s="42">
        <v>46201</v>
      </c>
    </row>
    <row r="2103" spans="1:6" x14ac:dyDescent="0.3">
      <c r="A2103" s="15" t="s">
        <v>45298</v>
      </c>
      <c r="B2103" s="15" t="s">
        <v>4635</v>
      </c>
      <c r="C2103" s="15" t="s">
        <v>4636</v>
      </c>
      <c r="D2103" s="15" t="s">
        <v>4637</v>
      </c>
      <c r="E2103" s="15">
        <v>1002.9183</v>
      </c>
      <c r="F2103" s="42">
        <v>46201</v>
      </c>
    </row>
    <row r="2104" spans="1:6" x14ac:dyDescent="0.3">
      <c r="A2104" s="15" t="s">
        <v>45297</v>
      </c>
      <c r="B2104" s="15" t="s">
        <v>800</v>
      </c>
      <c r="C2104" s="15" t="s">
        <v>4638</v>
      </c>
      <c r="D2104" s="15" t="s">
        <v>4639</v>
      </c>
      <c r="E2104" s="15">
        <v>1001.9023</v>
      </c>
      <c r="F2104" s="42">
        <v>46201</v>
      </c>
    </row>
    <row r="2105" spans="1:6" x14ac:dyDescent="0.3">
      <c r="A2105" s="15" t="s">
        <v>45296</v>
      </c>
      <c r="B2105" s="15" t="s">
        <v>4640</v>
      </c>
      <c r="C2105" s="15" t="s">
        <v>4641</v>
      </c>
      <c r="D2105" s="15" t="s">
        <v>4642</v>
      </c>
      <c r="E2105" s="15">
        <v>1004.6949</v>
      </c>
      <c r="F2105" s="42">
        <v>46201</v>
      </c>
    </row>
    <row r="2106" spans="1:6" x14ac:dyDescent="0.3">
      <c r="A2106" s="15" t="s">
        <v>45295</v>
      </c>
      <c r="B2106" s="15" t="s">
        <v>4643</v>
      </c>
      <c r="C2106" s="15" t="s">
        <v>800</v>
      </c>
      <c r="D2106" s="15" t="s">
        <v>4644</v>
      </c>
      <c r="E2106" s="15">
        <v>1489.7556</v>
      </c>
      <c r="F2106" s="42">
        <v>46201</v>
      </c>
    </row>
    <row r="2107" spans="1:6" x14ac:dyDescent="0.3">
      <c r="A2107" s="15" t="s">
        <v>45294</v>
      </c>
      <c r="B2107" s="15" t="s">
        <v>4645</v>
      </c>
      <c r="C2107" s="15" t="s">
        <v>4646</v>
      </c>
      <c r="D2107" s="15" t="s">
        <v>4647</v>
      </c>
      <c r="E2107" s="15">
        <v>1003.8456</v>
      </c>
      <c r="F2107" s="42">
        <v>46201</v>
      </c>
    </row>
    <row r="2108" spans="1:6" x14ac:dyDescent="0.3">
      <c r="A2108" s="15" t="s">
        <v>45293</v>
      </c>
      <c r="B2108" s="15" t="s">
        <v>4648</v>
      </c>
      <c r="C2108" s="15" t="s">
        <v>4649</v>
      </c>
      <c r="D2108" s="15" t="s">
        <v>4650</v>
      </c>
      <c r="E2108" s="15">
        <v>1002.8288</v>
      </c>
      <c r="F2108" s="42">
        <v>46201</v>
      </c>
    </row>
    <row r="2109" spans="1:6" x14ac:dyDescent="0.3">
      <c r="A2109" s="15" t="s">
        <v>33499</v>
      </c>
      <c r="B2109" s="15" t="s">
        <v>795</v>
      </c>
      <c r="C2109" s="15" t="s">
        <v>795</v>
      </c>
      <c r="D2109" s="15" t="s">
        <v>795</v>
      </c>
      <c r="F2109" s="42"/>
    </row>
    <row r="2110" spans="1:6" x14ac:dyDescent="0.3">
      <c r="A2110" s="15" t="s">
        <v>45292</v>
      </c>
      <c r="B2110" s="15" t="s">
        <v>795</v>
      </c>
      <c r="C2110" s="15" t="s">
        <v>795</v>
      </c>
      <c r="D2110" s="15" t="s">
        <v>795</v>
      </c>
      <c r="F2110" s="42"/>
    </row>
    <row r="2111" spans="1:6" x14ac:dyDescent="0.3">
      <c r="A2111" s="15" t="s">
        <v>33499</v>
      </c>
      <c r="B2111" s="15" t="s">
        <v>795</v>
      </c>
      <c r="C2111" s="15" t="s">
        <v>795</v>
      </c>
      <c r="D2111" s="15" t="s">
        <v>795</v>
      </c>
      <c r="F2111" s="42"/>
    </row>
    <row r="2112" spans="1:6" x14ac:dyDescent="0.3">
      <c r="A2112" s="15" t="s">
        <v>37122</v>
      </c>
      <c r="B2112" s="15" t="s">
        <v>795</v>
      </c>
      <c r="C2112" s="15" t="s">
        <v>795</v>
      </c>
      <c r="D2112" s="15" t="s">
        <v>795</v>
      </c>
      <c r="F2112" s="42"/>
    </row>
    <row r="2113" spans="1:6" x14ac:dyDescent="0.3">
      <c r="A2113" s="15" t="s">
        <v>33499</v>
      </c>
      <c r="B2113" s="15" t="s">
        <v>795</v>
      </c>
      <c r="C2113" s="15" t="s">
        <v>795</v>
      </c>
      <c r="D2113" s="15" t="s">
        <v>795</v>
      </c>
      <c r="F2113" s="42"/>
    </row>
    <row r="2114" spans="1:6" x14ac:dyDescent="0.3">
      <c r="A2114" s="15" t="s">
        <v>45291</v>
      </c>
      <c r="B2114" s="15" t="s">
        <v>4651</v>
      </c>
      <c r="C2114" s="15" t="s">
        <v>800</v>
      </c>
      <c r="D2114" s="15" t="s">
        <v>4652</v>
      </c>
      <c r="E2114" s="15">
        <v>13.429</v>
      </c>
      <c r="F2114" s="42">
        <v>46198</v>
      </c>
    </row>
    <row r="2115" spans="1:6" x14ac:dyDescent="0.3">
      <c r="A2115" s="15" t="s">
        <v>45290</v>
      </c>
      <c r="B2115" s="15" t="s">
        <v>4653</v>
      </c>
      <c r="C2115" s="15" t="s">
        <v>4654</v>
      </c>
      <c r="D2115" s="15" t="s">
        <v>4655</v>
      </c>
      <c r="E2115" s="15">
        <v>10.963900000000001</v>
      </c>
      <c r="F2115" s="42">
        <v>46198</v>
      </c>
    </row>
    <row r="2116" spans="1:6" x14ac:dyDescent="0.3">
      <c r="A2116" s="15" t="s">
        <v>45289</v>
      </c>
      <c r="B2116" s="15" t="s">
        <v>4656</v>
      </c>
      <c r="C2116" s="15" t="s">
        <v>800</v>
      </c>
      <c r="D2116" s="15" t="s">
        <v>4657</v>
      </c>
      <c r="E2116" s="15">
        <v>13.1046</v>
      </c>
      <c r="F2116" s="42">
        <v>46198</v>
      </c>
    </row>
    <row r="2117" spans="1:6" x14ac:dyDescent="0.3">
      <c r="A2117" s="15" t="s">
        <v>45288</v>
      </c>
      <c r="B2117" s="15" t="s">
        <v>4658</v>
      </c>
      <c r="C2117" s="15" t="s">
        <v>4659</v>
      </c>
      <c r="D2117" s="15" t="s">
        <v>4660</v>
      </c>
      <c r="E2117" s="15">
        <v>10.694100000000001</v>
      </c>
      <c r="F2117" s="42">
        <v>46198</v>
      </c>
    </row>
    <row r="2118" spans="1:6" x14ac:dyDescent="0.3">
      <c r="A2118" s="15" t="s">
        <v>33499</v>
      </c>
      <c r="B2118" s="15" t="s">
        <v>795</v>
      </c>
      <c r="C2118" s="15" t="s">
        <v>795</v>
      </c>
      <c r="D2118" s="15" t="s">
        <v>795</v>
      </c>
      <c r="F2118" s="42"/>
    </row>
    <row r="2119" spans="1:6" x14ac:dyDescent="0.3">
      <c r="A2119" s="15" t="s">
        <v>37087</v>
      </c>
      <c r="B2119" s="15" t="s">
        <v>795</v>
      </c>
      <c r="C2119" s="15" t="s">
        <v>795</v>
      </c>
      <c r="D2119" s="15" t="s">
        <v>795</v>
      </c>
      <c r="F2119" s="42"/>
    </row>
    <row r="2120" spans="1:6" x14ac:dyDescent="0.3">
      <c r="A2120" s="15" t="s">
        <v>33499</v>
      </c>
      <c r="B2120" s="15" t="s">
        <v>795</v>
      </c>
      <c r="C2120" s="15" t="s">
        <v>795</v>
      </c>
      <c r="D2120" s="15" t="s">
        <v>795</v>
      </c>
      <c r="F2120" s="42"/>
    </row>
    <row r="2121" spans="1:6" x14ac:dyDescent="0.3">
      <c r="A2121" s="15" t="s">
        <v>45287</v>
      </c>
      <c r="B2121" s="15" t="s">
        <v>4661</v>
      </c>
      <c r="C2121" s="15" t="s">
        <v>4662</v>
      </c>
      <c r="D2121" s="15" t="s">
        <v>4663</v>
      </c>
      <c r="E2121" s="15">
        <v>1261.1059</v>
      </c>
      <c r="F2121" s="42">
        <v>46198</v>
      </c>
    </row>
    <row r="2122" spans="1:6" x14ac:dyDescent="0.3">
      <c r="A2122" s="15" t="s">
        <v>45286</v>
      </c>
      <c r="B2122" s="15" t="s">
        <v>4664</v>
      </c>
      <c r="C2122" s="15" t="s">
        <v>800</v>
      </c>
      <c r="D2122" s="15" t="s">
        <v>4665</v>
      </c>
      <c r="E2122" s="15">
        <v>1272.3527999999999</v>
      </c>
      <c r="F2122" s="42">
        <v>46198</v>
      </c>
    </row>
    <row r="2123" spans="1:6" x14ac:dyDescent="0.3">
      <c r="A2123" s="15" t="s">
        <v>45285</v>
      </c>
      <c r="B2123" s="15" t="s">
        <v>4666</v>
      </c>
      <c r="C2123" s="15" t="s">
        <v>4667</v>
      </c>
      <c r="D2123" s="15" t="s">
        <v>4668</v>
      </c>
      <c r="E2123" s="15">
        <v>1023.9109999999999</v>
      </c>
      <c r="F2123" s="42">
        <v>46198</v>
      </c>
    </row>
    <row r="2124" spans="1:6" x14ac:dyDescent="0.3">
      <c r="A2124" s="15" t="s">
        <v>45284</v>
      </c>
      <c r="B2124" s="15" t="s">
        <v>4669</v>
      </c>
      <c r="C2124" s="15" t="s">
        <v>4670</v>
      </c>
      <c r="D2124" s="15" t="s">
        <v>4671</v>
      </c>
      <c r="E2124" s="15">
        <v>1236.453</v>
      </c>
      <c r="F2124" s="42">
        <v>46198</v>
      </c>
    </row>
    <row r="2125" spans="1:6" x14ac:dyDescent="0.3">
      <c r="A2125" s="15" t="s">
        <v>45283</v>
      </c>
      <c r="B2125" s="15" t="s">
        <v>800</v>
      </c>
      <c r="C2125" s="15" t="s">
        <v>4672</v>
      </c>
      <c r="D2125" s="15" t="s">
        <v>4673</v>
      </c>
      <c r="E2125" s="15">
        <v>1009.5818</v>
      </c>
      <c r="F2125" s="42">
        <v>46198</v>
      </c>
    </row>
    <row r="2126" spans="1:6" x14ac:dyDescent="0.3">
      <c r="A2126" s="15" t="s">
        <v>45282</v>
      </c>
      <c r="B2126" s="15" t="s">
        <v>4674</v>
      </c>
      <c r="C2126" s="15" t="s">
        <v>4675</v>
      </c>
      <c r="D2126" s="15" t="s">
        <v>4676</v>
      </c>
      <c r="E2126" s="15">
        <v>1241.9133999999999</v>
      </c>
      <c r="F2126" s="42">
        <v>46198</v>
      </c>
    </row>
    <row r="2127" spans="1:6" x14ac:dyDescent="0.3">
      <c r="A2127" s="15" t="s">
        <v>45281</v>
      </c>
      <c r="B2127" s="15" t="s">
        <v>800</v>
      </c>
      <c r="C2127" s="15" t="s">
        <v>4677</v>
      </c>
      <c r="D2127" s="15" t="s">
        <v>4678</v>
      </c>
      <c r="E2127" s="15">
        <v>1009.5821999999999</v>
      </c>
      <c r="F2127" s="42">
        <v>46198</v>
      </c>
    </row>
    <row r="2128" spans="1:6" x14ac:dyDescent="0.3">
      <c r="A2128" s="15" t="s">
        <v>45280</v>
      </c>
      <c r="B2128" s="15" t="s">
        <v>4679</v>
      </c>
      <c r="C2128" s="15" t="s">
        <v>800</v>
      </c>
      <c r="D2128" s="15" t="s">
        <v>4680</v>
      </c>
      <c r="E2128" s="15">
        <v>1253.1320000000001</v>
      </c>
      <c r="F2128" s="42">
        <v>46198</v>
      </c>
    </row>
    <row r="2129" spans="1:6" x14ac:dyDescent="0.3">
      <c r="A2129" s="15" t="s">
        <v>45279</v>
      </c>
      <c r="B2129" s="15" t="s">
        <v>4681</v>
      </c>
      <c r="C2129" s="15" t="s">
        <v>4682</v>
      </c>
      <c r="D2129" s="15" t="s">
        <v>4683</v>
      </c>
      <c r="E2129" s="15">
        <v>1024.9391000000001</v>
      </c>
      <c r="F2129" s="42">
        <v>46198</v>
      </c>
    </row>
    <row r="2130" spans="1:6" x14ac:dyDescent="0.3">
      <c r="A2130" s="15" t="s">
        <v>45278</v>
      </c>
      <c r="B2130" s="15" t="s">
        <v>4684</v>
      </c>
      <c r="C2130" s="15" t="s">
        <v>4685</v>
      </c>
      <c r="D2130" s="15" t="s">
        <v>4686</v>
      </c>
      <c r="E2130" s="15">
        <v>1217.2615000000001</v>
      </c>
      <c r="F2130" s="42">
        <v>46198</v>
      </c>
    </row>
    <row r="2131" spans="1:6" x14ac:dyDescent="0.3">
      <c r="A2131" s="15" t="s">
        <v>33499</v>
      </c>
      <c r="B2131" s="15" t="s">
        <v>795</v>
      </c>
      <c r="C2131" s="15" t="s">
        <v>795</v>
      </c>
      <c r="D2131" s="15" t="s">
        <v>795</v>
      </c>
      <c r="F2131" s="42"/>
    </row>
    <row r="2132" spans="1:6" x14ac:dyDescent="0.3">
      <c r="A2132" s="15" t="s">
        <v>37073</v>
      </c>
      <c r="B2132" s="15" t="s">
        <v>795</v>
      </c>
      <c r="C2132" s="15" t="s">
        <v>795</v>
      </c>
      <c r="D2132" s="15" t="s">
        <v>795</v>
      </c>
      <c r="F2132" s="42"/>
    </row>
    <row r="2133" spans="1:6" x14ac:dyDescent="0.3">
      <c r="A2133" s="15" t="s">
        <v>33499</v>
      </c>
      <c r="B2133" s="15" t="s">
        <v>795</v>
      </c>
      <c r="C2133" s="15" t="s">
        <v>795</v>
      </c>
      <c r="D2133" s="15" t="s">
        <v>795</v>
      </c>
      <c r="F2133" s="42"/>
    </row>
    <row r="2134" spans="1:6" x14ac:dyDescent="0.3">
      <c r="A2134" s="15" t="s">
        <v>45277</v>
      </c>
      <c r="B2134" s="15" t="s">
        <v>4687</v>
      </c>
      <c r="C2134" s="15" t="s">
        <v>800</v>
      </c>
      <c r="D2134" s="15" t="s">
        <v>4688</v>
      </c>
      <c r="E2134" s="15">
        <v>11.4854</v>
      </c>
      <c r="F2134" s="42">
        <v>46198</v>
      </c>
    </row>
    <row r="2135" spans="1:6" x14ac:dyDescent="0.3">
      <c r="A2135" s="15" t="s">
        <v>45276</v>
      </c>
      <c r="B2135" s="15" t="s">
        <v>4689</v>
      </c>
      <c r="C2135" s="15" t="s">
        <v>4690</v>
      </c>
      <c r="D2135" s="15" t="s">
        <v>4691</v>
      </c>
      <c r="E2135" s="15">
        <v>10.582599999999999</v>
      </c>
      <c r="F2135" s="42">
        <v>46198</v>
      </c>
    </row>
    <row r="2136" spans="1:6" x14ac:dyDescent="0.3">
      <c r="A2136" s="15" t="s">
        <v>45275</v>
      </c>
      <c r="B2136" s="15" t="s">
        <v>4692</v>
      </c>
      <c r="C2136" s="15" t="s">
        <v>800</v>
      </c>
      <c r="D2136" s="15" t="s">
        <v>4693</v>
      </c>
      <c r="E2136" s="15">
        <v>11.3795</v>
      </c>
      <c r="F2136" s="42">
        <v>46198</v>
      </c>
    </row>
    <row r="2137" spans="1:6" x14ac:dyDescent="0.3">
      <c r="A2137" s="15" t="s">
        <v>45274</v>
      </c>
      <c r="B2137" s="15" t="s">
        <v>4694</v>
      </c>
      <c r="C2137" s="15" t="s">
        <v>4695</v>
      </c>
      <c r="D2137" s="15" t="s">
        <v>4696</v>
      </c>
      <c r="E2137" s="15">
        <v>10.3903</v>
      </c>
      <c r="F2137" s="42">
        <v>46198</v>
      </c>
    </row>
    <row r="2138" spans="1:6" x14ac:dyDescent="0.3">
      <c r="A2138" s="15" t="s">
        <v>33499</v>
      </c>
      <c r="B2138" s="15" t="s">
        <v>795</v>
      </c>
      <c r="C2138" s="15" t="s">
        <v>795</v>
      </c>
      <c r="D2138" s="15" t="s">
        <v>795</v>
      </c>
      <c r="F2138" s="42"/>
    </row>
    <row r="2139" spans="1:6" x14ac:dyDescent="0.3">
      <c r="A2139" s="15" t="s">
        <v>37044</v>
      </c>
      <c r="B2139" s="15" t="s">
        <v>795</v>
      </c>
      <c r="C2139" s="15" t="s">
        <v>795</v>
      </c>
      <c r="D2139" s="15" t="s">
        <v>795</v>
      </c>
      <c r="F2139" s="42"/>
    </row>
    <row r="2140" spans="1:6" x14ac:dyDescent="0.3">
      <c r="A2140" s="15" t="s">
        <v>33499</v>
      </c>
      <c r="B2140" s="15" t="s">
        <v>795</v>
      </c>
      <c r="C2140" s="15" t="s">
        <v>795</v>
      </c>
      <c r="D2140" s="15" t="s">
        <v>795</v>
      </c>
      <c r="F2140" s="42"/>
    </row>
    <row r="2141" spans="1:6" x14ac:dyDescent="0.3">
      <c r="A2141" s="15" t="s">
        <v>45273</v>
      </c>
      <c r="B2141" s="15" t="s">
        <v>4697</v>
      </c>
      <c r="C2141" s="15" t="s">
        <v>800</v>
      </c>
      <c r="D2141" s="15" t="s">
        <v>4698</v>
      </c>
      <c r="E2141" s="15">
        <v>10.851599999999999</v>
      </c>
      <c r="F2141" s="42">
        <v>46198</v>
      </c>
    </row>
    <row r="2142" spans="1:6" x14ac:dyDescent="0.3">
      <c r="A2142" s="15" t="s">
        <v>45272</v>
      </c>
      <c r="B2142" s="15" t="s">
        <v>4699</v>
      </c>
      <c r="C2142" s="15" t="s">
        <v>4700</v>
      </c>
      <c r="D2142" s="15" t="s">
        <v>4701</v>
      </c>
      <c r="E2142" s="15">
        <v>10.4864</v>
      </c>
      <c r="F2142" s="42">
        <v>46198</v>
      </c>
    </row>
    <row r="2143" spans="1:6" x14ac:dyDescent="0.3">
      <c r="A2143" s="15" t="s">
        <v>45271</v>
      </c>
      <c r="B2143" s="15" t="s">
        <v>4702</v>
      </c>
      <c r="C2143" s="15" t="s">
        <v>800</v>
      </c>
      <c r="D2143" s="15" t="s">
        <v>4703</v>
      </c>
      <c r="E2143" s="15">
        <v>10.7704</v>
      </c>
      <c r="F2143" s="42">
        <v>46198</v>
      </c>
    </row>
    <row r="2144" spans="1:6" x14ac:dyDescent="0.3">
      <c r="A2144" s="15" t="s">
        <v>45270</v>
      </c>
      <c r="B2144" s="15" t="s">
        <v>4704</v>
      </c>
      <c r="C2144" s="15" t="s">
        <v>4705</v>
      </c>
      <c r="D2144" s="15" t="s">
        <v>4706</v>
      </c>
      <c r="E2144" s="15">
        <v>10.4686</v>
      </c>
      <c r="F2144" s="42">
        <v>46198</v>
      </c>
    </row>
    <row r="2145" spans="1:6" x14ac:dyDescent="0.3">
      <c r="A2145" s="15" t="s">
        <v>33499</v>
      </c>
      <c r="B2145" s="15" t="s">
        <v>795</v>
      </c>
      <c r="C2145" s="15" t="s">
        <v>795</v>
      </c>
      <c r="D2145" s="15" t="s">
        <v>795</v>
      </c>
      <c r="F2145" s="42"/>
    </row>
    <row r="2146" spans="1:6" x14ac:dyDescent="0.3">
      <c r="A2146" s="15" t="s">
        <v>37043</v>
      </c>
      <c r="B2146" s="15" t="s">
        <v>795</v>
      </c>
      <c r="C2146" s="15" t="s">
        <v>795</v>
      </c>
      <c r="D2146" s="15" t="s">
        <v>795</v>
      </c>
      <c r="F2146" s="42"/>
    </row>
    <row r="2147" spans="1:6" x14ac:dyDescent="0.3">
      <c r="A2147" s="15" t="s">
        <v>33499</v>
      </c>
      <c r="B2147" s="15" t="s">
        <v>795</v>
      </c>
      <c r="C2147" s="15" t="s">
        <v>795</v>
      </c>
      <c r="D2147" s="15" t="s">
        <v>795</v>
      </c>
      <c r="F2147" s="42"/>
    </row>
    <row r="2148" spans="1:6" x14ac:dyDescent="0.3">
      <c r="A2148" s="15" t="s">
        <v>45269</v>
      </c>
      <c r="B2148" s="15" t="s">
        <v>4707</v>
      </c>
      <c r="C2148" s="15" t="s">
        <v>800</v>
      </c>
      <c r="D2148" s="15" t="s">
        <v>4708</v>
      </c>
      <c r="E2148" s="15">
        <v>12.5007</v>
      </c>
      <c r="F2148" s="42">
        <v>46198</v>
      </c>
    </row>
    <row r="2149" spans="1:6" x14ac:dyDescent="0.3">
      <c r="A2149" s="15" t="s">
        <v>45268</v>
      </c>
      <c r="B2149" s="15" t="s">
        <v>4709</v>
      </c>
      <c r="C2149" s="15" t="s">
        <v>800</v>
      </c>
      <c r="D2149" s="15" t="s">
        <v>4710</v>
      </c>
      <c r="E2149" s="15">
        <v>12.650600000000001</v>
      </c>
      <c r="F2149" s="42">
        <v>46198</v>
      </c>
    </row>
    <row r="2150" spans="1:6" x14ac:dyDescent="0.3">
      <c r="A2150" s="15" t="s">
        <v>45267</v>
      </c>
      <c r="B2150" s="15" t="s">
        <v>4711</v>
      </c>
      <c r="C2150" s="15" t="s">
        <v>4712</v>
      </c>
      <c r="D2150" s="15" t="s">
        <v>4713</v>
      </c>
      <c r="E2150" s="15">
        <v>10.831799999999999</v>
      </c>
      <c r="F2150" s="42">
        <v>46198</v>
      </c>
    </row>
    <row r="2151" spans="1:6" x14ac:dyDescent="0.3">
      <c r="A2151" s="15" t="s">
        <v>45266</v>
      </c>
      <c r="B2151" s="15" t="s">
        <v>4714</v>
      </c>
      <c r="C2151" s="15" t="s">
        <v>4715</v>
      </c>
      <c r="D2151" s="15" t="s">
        <v>4716</v>
      </c>
      <c r="E2151" s="15">
        <v>10.6006</v>
      </c>
      <c r="F2151" s="42">
        <v>46198</v>
      </c>
    </row>
    <row r="2152" spans="1:6" x14ac:dyDescent="0.3">
      <c r="A2152" s="15" t="s">
        <v>33499</v>
      </c>
      <c r="B2152" s="15" t="s">
        <v>795</v>
      </c>
      <c r="C2152" s="15" t="s">
        <v>795</v>
      </c>
      <c r="D2152" s="15" t="s">
        <v>795</v>
      </c>
      <c r="F2152" s="42"/>
    </row>
    <row r="2153" spans="1:6" x14ac:dyDescent="0.3">
      <c r="A2153" s="15" t="s">
        <v>36764</v>
      </c>
      <c r="B2153" s="15" t="s">
        <v>795</v>
      </c>
      <c r="C2153" s="15" t="s">
        <v>795</v>
      </c>
      <c r="D2153" s="15" t="s">
        <v>795</v>
      </c>
      <c r="F2153" s="42"/>
    </row>
    <row r="2154" spans="1:6" x14ac:dyDescent="0.3">
      <c r="A2154" s="15" t="s">
        <v>33499</v>
      </c>
      <c r="B2154" s="15" t="s">
        <v>795</v>
      </c>
      <c r="C2154" s="15" t="s">
        <v>795</v>
      </c>
      <c r="D2154" s="15" t="s">
        <v>795</v>
      </c>
      <c r="F2154" s="42"/>
    </row>
    <row r="2155" spans="1:6" x14ac:dyDescent="0.3">
      <c r="A2155" s="15" t="s">
        <v>45265</v>
      </c>
      <c r="B2155" s="15" t="s">
        <v>4717</v>
      </c>
      <c r="C2155" s="15" t="s">
        <v>4718</v>
      </c>
      <c r="D2155" s="15" t="s">
        <v>4719</v>
      </c>
      <c r="E2155" s="15">
        <v>10.472</v>
      </c>
      <c r="F2155" s="42">
        <v>44820</v>
      </c>
    </row>
    <row r="2156" spans="1:6" x14ac:dyDescent="0.3">
      <c r="A2156" s="15" t="s">
        <v>45264</v>
      </c>
      <c r="B2156" s="15" t="s">
        <v>4720</v>
      </c>
      <c r="C2156" s="15" t="s">
        <v>800</v>
      </c>
      <c r="D2156" s="15" t="s">
        <v>4721</v>
      </c>
      <c r="E2156" s="15">
        <v>68.259799999999998</v>
      </c>
      <c r="F2156" s="42">
        <v>43945</v>
      </c>
    </row>
    <row r="2157" spans="1:6" x14ac:dyDescent="0.3">
      <c r="A2157" s="15" t="s">
        <v>45263</v>
      </c>
      <c r="B2157" s="15" t="s">
        <v>4722</v>
      </c>
      <c r="C2157" s="15" t="s">
        <v>800</v>
      </c>
      <c r="D2157" s="15" t="s">
        <v>4723</v>
      </c>
      <c r="E2157" s="15">
        <v>101.4169</v>
      </c>
      <c r="F2157" s="42">
        <v>46198</v>
      </c>
    </row>
    <row r="2158" spans="1:6" x14ac:dyDescent="0.3">
      <c r="A2158" s="15" t="s">
        <v>45262</v>
      </c>
      <c r="B2158" s="15" t="s">
        <v>4724</v>
      </c>
      <c r="C2158" s="15" t="s">
        <v>4725</v>
      </c>
      <c r="D2158" s="15" t="s">
        <v>4726</v>
      </c>
      <c r="E2158" s="15">
        <v>11.9879</v>
      </c>
      <c r="F2158" s="42">
        <v>44820</v>
      </c>
    </row>
    <row r="2159" spans="1:6" x14ac:dyDescent="0.3">
      <c r="A2159" s="15" t="s">
        <v>45261</v>
      </c>
      <c r="B2159" s="15" t="s">
        <v>4727</v>
      </c>
      <c r="C2159" s="15" t="s">
        <v>4728</v>
      </c>
      <c r="D2159" s="15" t="s">
        <v>4729</v>
      </c>
      <c r="E2159" s="15">
        <v>12.786199999999999</v>
      </c>
      <c r="F2159" s="42">
        <v>46198</v>
      </c>
    </row>
    <row r="2160" spans="1:6" x14ac:dyDescent="0.3">
      <c r="A2160" s="15" t="s">
        <v>45260</v>
      </c>
      <c r="B2160" s="15" t="s">
        <v>4730</v>
      </c>
      <c r="C2160" s="15" t="s">
        <v>800</v>
      </c>
      <c r="D2160" s="15" t="s">
        <v>4731</v>
      </c>
      <c r="E2160" s="15">
        <v>92.210599999999999</v>
      </c>
      <c r="F2160" s="42">
        <v>46198</v>
      </c>
    </row>
    <row r="2161" spans="1:6" x14ac:dyDescent="0.3">
      <c r="A2161" s="15" t="s">
        <v>45259</v>
      </c>
      <c r="B2161" s="15" t="s">
        <v>4732</v>
      </c>
      <c r="C2161" s="15" t="s">
        <v>4733</v>
      </c>
      <c r="D2161" s="15" t="s">
        <v>4734</v>
      </c>
      <c r="E2161" s="15">
        <v>11.177099999999999</v>
      </c>
      <c r="F2161" s="42">
        <v>44820</v>
      </c>
    </row>
    <row r="2162" spans="1:6" x14ac:dyDescent="0.3">
      <c r="A2162" s="15" t="s">
        <v>45258</v>
      </c>
      <c r="B2162" s="15" t="s">
        <v>4735</v>
      </c>
      <c r="C2162" s="15" t="s">
        <v>4736</v>
      </c>
      <c r="D2162" s="15" t="s">
        <v>4737</v>
      </c>
      <c r="E2162" s="15">
        <v>12.434100000000001</v>
      </c>
      <c r="F2162" s="42">
        <v>46198</v>
      </c>
    </row>
    <row r="2163" spans="1:6" x14ac:dyDescent="0.3">
      <c r="A2163" s="15" t="s">
        <v>45257</v>
      </c>
      <c r="B2163" s="15" t="s">
        <v>4738</v>
      </c>
      <c r="C2163" s="15" t="s">
        <v>4739</v>
      </c>
      <c r="D2163" s="15" t="s">
        <v>4740</v>
      </c>
      <c r="E2163" s="15">
        <v>11.587300000000001</v>
      </c>
      <c r="F2163" s="42">
        <v>44820</v>
      </c>
    </row>
    <row r="2164" spans="1:6" x14ac:dyDescent="0.3">
      <c r="A2164" s="15" t="s">
        <v>45256</v>
      </c>
      <c r="B2164" s="15" t="s">
        <v>4741</v>
      </c>
      <c r="C2164" s="15" t="s">
        <v>4742</v>
      </c>
      <c r="D2164" s="15" t="s">
        <v>4743</v>
      </c>
      <c r="E2164" s="15">
        <v>11.7562</v>
      </c>
      <c r="F2164" s="42">
        <v>43945</v>
      </c>
    </row>
    <row r="2165" spans="1:6" x14ac:dyDescent="0.3">
      <c r="A2165" s="15" t="s">
        <v>45255</v>
      </c>
      <c r="B2165" s="15" t="s">
        <v>4744</v>
      </c>
      <c r="C2165" s="15" t="s">
        <v>4745</v>
      </c>
      <c r="D2165" s="15" t="s">
        <v>4746</v>
      </c>
      <c r="E2165" s="15">
        <v>10.8508</v>
      </c>
      <c r="F2165" s="42">
        <v>43945</v>
      </c>
    </row>
    <row r="2166" spans="1:6" x14ac:dyDescent="0.3">
      <c r="A2166" s="15" t="s">
        <v>45254</v>
      </c>
      <c r="B2166" s="15" t="s">
        <v>4747</v>
      </c>
      <c r="C2166" s="15" t="s">
        <v>800</v>
      </c>
      <c r="D2166" s="15" t="s">
        <v>4748</v>
      </c>
      <c r="E2166" s="15">
        <v>73.543899999999994</v>
      </c>
      <c r="F2166" s="42">
        <v>43945</v>
      </c>
    </row>
    <row r="2167" spans="1:6" x14ac:dyDescent="0.3">
      <c r="A2167" s="15" t="s">
        <v>33499</v>
      </c>
      <c r="B2167" s="15" t="s">
        <v>795</v>
      </c>
      <c r="C2167" s="15" t="s">
        <v>795</v>
      </c>
      <c r="D2167" s="15" t="s">
        <v>795</v>
      </c>
      <c r="F2167" s="42"/>
    </row>
    <row r="2168" spans="1:6" x14ac:dyDescent="0.3">
      <c r="A2168" s="15" t="s">
        <v>139</v>
      </c>
      <c r="B2168" s="15" t="s">
        <v>795</v>
      </c>
      <c r="C2168" s="15" t="s">
        <v>795</v>
      </c>
      <c r="D2168" s="15" t="s">
        <v>795</v>
      </c>
      <c r="F2168" s="42"/>
    </row>
    <row r="2169" spans="1:6" x14ac:dyDescent="0.3">
      <c r="A2169" s="15" t="s">
        <v>33499</v>
      </c>
      <c r="B2169" s="15" t="s">
        <v>795</v>
      </c>
      <c r="C2169" s="15" t="s">
        <v>795</v>
      </c>
      <c r="D2169" s="15" t="s">
        <v>795</v>
      </c>
      <c r="F2169" s="42"/>
    </row>
    <row r="2170" spans="1:6" x14ac:dyDescent="0.3">
      <c r="A2170" s="15" t="s">
        <v>45253</v>
      </c>
      <c r="B2170" s="15" t="s">
        <v>4749</v>
      </c>
      <c r="C2170" s="15" t="s">
        <v>800</v>
      </c>
      <c r="D2170" s="15" t="s">
        <v>4750</v>
      </c>
      <c r="E2170" s="15">
        <v>11.2555</v>
      </c>
      <c r="F2170" s="42">
        <v>46198</v>
      </c>
    </row>
    <row r="2171" spans="1:6" x14ac:dyDescent="0.3">
      <c r="A2171" s="15" t="s">
        <v>45252</v>
      </c>
      <c r="B2171" s="15" t="s">
        <v>4751</v>
      </c>
      <c r="C2171" s="15" t="s">
        <v>4752</v>
      </c>
      <c r="D2171" s="15" t="s">
        <v>4753</v>
      </c>
      <c r="E2171" s="15">
        <v>11.2559</v>
      </c>
      <c r="F2171" s="42">
        <v>46198</v>
      </c>
    </row>
    <row r="2172" spans="1:6" x14ac:dyDescent="0.3">
      <c r="A2172" s="15" t="s">
        <v>45251</v>
      </c>
      <c r="B2172" s="15" t="s">
        <v>4754</v>
      </c>
      <c r="C2172" s="15" t="s">
        <v>800</v>
      </c>
      <c r="D2172" s="15" t="s">
        <v>4755</v>
      </c>
      <c r="E2172" s="15">
        <v>11.180199999999999</v>
      </c>
      <c r="F2172" s="42">
        <v>46198</v>
      </c>
    </row>
    <row r="2173" spans="1:6" x14ac:dyDescent="0.3">
      <c r="A2173" s="15" t="s">
        <v>45250</v>
      </c>
      <c r="B2173" s="15" t="s">
        <v>4756</v>
      </c>
      <c r="C2173" s="15" t="s">
        <v>4757</v>
      </c>
      <c r="D2173" s="15" t="s">
        <v>4758</v>
      </c>
      <c r="E2173" s="15">
        <v>11.1805</v>
      </c>
      <c r="F2173" s="42">
        <v>46198</v>
      </c>
    </row>
    <row r="2174" spans="1:6" x14ac:dyDescent="0.3">
      <c r="A2174" s="15" t="s">
        <v>33499</v>
      </c>
      <c r="B2174" s="15" t="s">
        <v>795</v>
      </c>
      <c r="C2174" s="15" t="s">
        <v>795</v>
      </c>
      <c r="D2174" s="15" t="s">
        <v>795</v>
      </c>
      <c r="F2174" s="42"/>
    </row>
    <row r="2175" spans="1:6" x14ac:dyDescent="0.3">
      <c r="A2175" s="15" t="s">
        <v>37780</v>
      </c>
      <c r="B2175" s="15" t="s">
        <v>795</v>
      </c>
      <c r="C2175" s="15" t="s">
        <v>795</v>
      </c>
      <c r="D2175" s="15" t="s">
        <v>795</v>
      </c>
      <c r="F2175" s="42"/>
    </row>
    <row r="2176" spans="1:6" x14ac:dyDescent="0.3">
      <c r="A2176" s="15" t="s">
        <v>33499</v>
      </c>
      <c r="B2176" s="15" t="s">
        <v>795</v>
      </c>
      <c r="C2176" s="15" t="s">
        <v>795</v>
      </c>
      <c r="D2176" s="15" t="s">
        <v>795</v>
      </c>
      <c r="F2176" s="42"/>
    </row>
    <row r="2177" spans="1:6" x14ac:dyDescent="0.3">
      <c r="A2177" s="15" t="s">
        <v>45249</v>
      </c>
      <c r="B2177" s="15" t="s">
        <v>4759</v>
      </c>
      <c r="C2177" s="15" t="s">
        <v>800</v>
      </c>
      <c r="D2177" s="15" t="s">
        <v>4760</v>
      </c>
      <c r="E2177" s="15">
        <v>10.607799999999999</v>
      </c>
      <c r="F2177" s="42">
        <v>46198</v>
      </c>
    </row>
    <row r="2178" spans="1:6" x14ac:dyDescent="0.3">
      <c r="A2178" s="15" t="s">
        <v>45248</v>
      </c>
      <c r="B2178" s="15" t="s">
        <v>4761</v>
      </c>
      <c r="C2178" s="15" t="s">
        <v>4762</v>
      </c>
      <c r="D2178" s="15" t="s">
        <v>4763</v>
      </c>
      <c r="E2178" s="15">
        <v>10.6005</v>
      </c>
      <c r="F2178" s="42">
        <v>46198</v>
      </c>
    </row>
    <row r="2179" spans="1:6" x14ac:dyDescent="0.3">
      <c r="A2179" s="15" t="s">
        <v>45247</v>
      </c>
      <c r="B2179" s="15" t="s">
        <v>4764</v>
      </c>
      <c r="C2179" s="15" t="s">
        <v>800</v>
      </c>
      <c r="D2179" s="15" t="s">
        <v>4765</v>
      </c>
      <c r="E2179" s="15">
        <v>10.5238</v>
      </c>
      <c r="F2179" s="42">
        <v>46198</v>
      </c>
    </row>
    <row r="2180" spans="1:6" x14ac:dyDescent="0.3">
      <c r="A2180" s="15" t="s">
        <v>45246</v>
      </c>
      <c r="B2180" s="15" t="s">
        <v>4766</v>
      </c>
      <c r="C2180" s="15" t="s">
        <v>4767</v>
      </c>
      <c r="D2180" s="15" t="s">
        <v>4768</v>
      </c>
      <c r="E2180" s="15">
        <v>10.5237</v>
      </c>
      <c r="F2180" s="42">
        <v>46198</v>
      </c>
    </row>
    <row r="2181" spans="1:6" x14ac:dyDescent="0.3">
      <c r="A2181" s="15" t="s">
        <v>33499</v>
      </c>
      <c r="B2181" s="15" t="s">
        <v>795</v>
      </c>
      <c r="C2181" s="15" t="s">
        <v>795</v>
      </c>
      <c r="D2181" s="15" t="s">
        <v>795</v>
      </c>
      <c r="F2181" s="42"/>
    </row>
    <row r="2182" spans="1:6" x14ac:dyDescent="0.3">
      <c r="A2182" s="15" t="s">
        <v>208</v>
      </c>
      <c r="B2182" s="15" t="s">
        <v>795</v>
      </c>
      <c r="C2182" s="15" t="s">
        <v>795</v>
      </c>
      <c r="D2182" s="15" t="s">
        <v>795</v>
      </c>
      <c r="F2182" s="42"/>
    </row>
    <row r="2183" spans="1:6" x14ac:dyDescent="0.3">
      <c r="A2183" s="15" t="s">
        <v>33499</v>
      </c>
      <c r="B2183" s="15" t="s">
        <v>795</v>
      </c>
      <c r="C2183" s="15" t="s">
        <v>795</v>
      </c>
      <c r="D2183" s="15" t="s">
        <v>795</v>
      </c>
      <c r="F2183" s="42"/>
    </row>
    <row r="2184" spans="1:6" x14ac:dyDescent="0.3">
      <c r="A2184" s="15" t="s">
        <v>45245</v>
      </c>
      <c r="B2184" s="15" t="s">
        <v>4769</v>
      </c>
      <c r="C2184" s="15" t="s">
        <v>4770</v>
      </c>
      <c r="D2184" s="15" t="s">
        <v>4771</v>
      </c>
      <c r="E2184" s="15">
        <v>11.634600000000001</v>
      </c>
      <c r="F2184" s="42">
        <v>46198</v>
      </c>
    </row>
    <row r="2185" spans="1:6" x14ac:dyDescent="0.3">
      <c r="A2185" s="15" t="s">
        <v>45244</v>
      </c>
      <c r="B2185" s="15" t="s">
        <v>4772</v>
      </c>
      <c r="C2185" s="15" t="s">
        <v>4773</v>
      </c>
      <c r="D2185" s="15" t="s">
        <v>4774</v>
      </c>
      <c r="E2185" s="15">
        <v>11.983700000000001</v>
      </c>
      <c r="F2185" s="42">
        <v>46198</v>
      </c>
    </row>
    <row r="2186" spans="1:6" x14ac:dyDescent="0.3">
      <c r="A2186" s="15" t="s">
        <v>45243</v>
      </c>
      <c r="B2186" s="15" t="s">
        <v>4775</v>
      </c>
      <c r="C2186" s="15" t="s">
        <v>4776</v>
      </c>
      <c r="D2186" s="15" t="s">
        <v>4777</v>
      </c>
      <c r="E2186" s="15">
        <v>12.002000000000001</v>
      </c>
      <c r="F2186" s="42">
        <v>46198</v>
      </c>
    </row>
    <row r="2187" spans="1:6" x14ac:dyDescent="0.3">
      <c r="A2187" s="15" t="s">
        <v>45242</v>
      </c>
      <c r="B2187" s="15" t="s">
        <v>4778</v>
      </c>
      <c r="C2187" s="15" t="s">
        <v>4779</v>
      </c>
      <c r="D2187" s="15" t="s">
        <v>4780</v>
      </c>
      <c r="E2187" s="15">
        <v>12.4788</v>
      </c>
      <c r="F2187" s="42">
        <v>46198</v>
      </c>
    </row>
    <row r="2188" spans="1:6" x14ac:dyDescent="0.3">
      <c r="A2188" s="15" t="s">
        <v>45241</v>
      </c>
      <c r="B2188" s="15" t="s">
        <v>4781</v>
      </c>
      <c r="C2188" s="15" t="s">
        <v>4782</v>
      </c>
      <c r="D2188" s="15" t="s">
        <v>4783</v>
      </c>
      <c r="E2188" s="15">
        <v>18.667400000000001</v>
      </c>
      <c r="F2188" s="42">
        <v>46198</v>
      </c>
    </row>
    <row r="2189" spans="1:6" x14ac:dyDescent="0.3">
      <c r="A2189" s="15" t="s">
        <v>45240</v>
      </c>
      <c r="B2189" s="15" t="s">
        <v>4784</v>
      </c>
      <c r="C2189" s="15" t="s">
        <v>4785</v>
      </c>
      <c r="D2189" s="15" t="s">
        <v>4786</v>
      </c>
      <c r="E2189" s="15">
        <v>11.851800000000001</v>
      </c>
      <c r="F2189" s="42">
        <v>46198</v>
      </c>
    </row>
    <row r="2190" spans="1:6" x14ac:dyDescent="0.3">
      <c r="A2190" s="15" t="s">
        <v>45239</v>
      </c>
      <c r="B2190" s="15" t="s">
        <v>4787</v>
      </c>
      <c r="C2190" s="15" t="s">
        <v>4788</v>
      </c>
      <c r="D2190" s="15" t="s">
        <v>4789</v>
      </c>
      <c r="E2190" s="15">
        <v>18.201799999999999</v>
      </c>
      <c r="F2190" s="42">
        <v>46198</v>
      </c>
    </row>
    <row r="2191" spans="1:6" x14ac:dyDescent="0.3">
      <c r="A2191" s="15" t="s">
        <v>45238</v>
      </c>
      <c r="B2191" s="15" t="s">
        <v>4790</v>
      </c>
      <c r="C2191" s="15" t="s">
        <v>4791</v>
      </c>
      <c r="D2191" s="15" t="s">
        <v>4792</v>
      </c>
      <c r="E2191" s="15">
        <v>11.797499999999999</v>
      </c>
      <c r="F2191" s="42">
        <v>46198</v>
      </c>
    </row>
    <row r="2192" spans="1:6" x14ac:dyDescent="0.3">
      <c r="A2192" s="15" t="s">
        <v>45237</v>
      </c>
      <c r="B2192" s="15" t="s">
        <v>4793</v>
      </c>
      <c r="C2192" s="15" t="s">
        <v>4794</v>
      </c>
      <c r="D2192" s="15" t="s">
        <v>4795</v>
      </c>
      <c r="E2192" s="15">
        <v>11.624000000000001</v>
      </c>
      <c r="F2192" s="42">
        <v>46198</v>
      </c>
    </row>
    <row r="2193" spans="1:6" x14ac:dyDescent="0.3">
      <c r="A2193" s="15" t="s">
        <v>45236</v>
      </c>
      <c r="B2193" s="15" t="s">
        <v>4796</v>
      </c>
      <c r="C2193" s="15" t="s">
        <v>4797</v>
      </c>
      <c r="D2193" s="15" t="s">
        <v>4798</v>
      </c>
      <c r="E2193" s="15">
        <v>12.434900000000001</v>
      </c>
      <c r="F2193" s="42">
        <v>46198</v>
      </c>
    </row>
    <row r="2194" spans="1:6" x14ac:dyDescent="0.3">
      <c r="A2194" s="15" t="s">
        <v>45235</v>
      </c>
      <c r="B2194" s="15" t="s">
        <v>4799</v>
      </c>
      <c r="C2194" s="15" t="s">
        <v>800</v>
      </c>
      <c r="D2194" s="15" t="s">
        <v>4800</v>
      </c>
      <c r="E2194" s="15">
        <v>18.667200000000001</v>
      </c>
      <c r="F2194" s="42">
        <v>46198</v>
      </c>
    </row>
    <row r="2195" spans="1:6" x14ac:dyDescent="0.3">
      <c r="A2195" s="15" t="s">
        <v>45234</v>
      </c>
      <c r="B2195" s="15" t="s">
        <v>4801</v>
      </c>
      <c r="C2195" s="15" t="s">
        <v>800</v>
      </c>
      <c r="D2195" s="15" t="s">
        <v>4802</v>
      </c>
      <c r="E2195" s="15">
        <v>18.202999999999999</v>
      </c>
      <c r="F2195" s="42">
        <v>46198</v>
      </c>
    </row>
    <row r="2196" spans="1:6" x14ac:dyDescent="0.3">
      <c r="A2196" s="15" t="s">
        <v>33499</v>
      </c>
      <c r="B2196" s="15" t="s">
        <v>795</v>
      </c>
      <c r="C2196" s="15" t="s">
        <v>795</v>
      </c>
      <c r="D2196" s="15" t="s">
        <v>795</v>
      </c>
      <c r="F2196" s="42"/>
    </row>
    <row r="2197" spans="1:6" x14ac:dyDescent="0.3">
      <c r="A2197" s="15" t="s">
        <v>33636</v>
      </c>
      <c r="B2197" s="15" t="s">
        <v>795</v>
      </c>
      <c r="C2197" s="15" t="s">
        <v>795</v>
      </c>
      <c r="D2197" s="15" t="s">
        <v>795</v>
      </c>
      <c r="F2197" s="42"/>
    </row>
    <row r="2198" spans="1:6" x14ac:dyDescent="0.3">
      <c r="A2198" s="15" t="s">
        <v>33499</v>
      </c>
      <c r="B2198" s="15" t="s">
        <v>795</v>
      </c>
      <c r="C2198" s="15" t="s">
        <v>795</v>
      </c>
      <c r="D2198" s="15" t="s">
        <v>795</v>
      </c>
      <c r="F2198" s="42"/>
    </row>
    <row r="2199" spans="1:6" x14ac:dyDescent="0.3">
      <c r="A2199" s="15" t="s">
        <v>45233</v>
      </c>
      <c r="B2199" s="15" t="s">
        <v>4803</v>
      </c>
      <c r="C2199" s="15" t="s">
        <v>800</v>
      </c>
      <c r="D2199" s="15" t="s">
        <v>4804</v>
      </c>
      <c r="E2199" s="15">
        <v>12.785</v>
      </c>
      <c r="F2199" s="42">
        <v>46198</v>
      </c>
    </row>
    <row r="2200" spans="1:6" x14ac:dyDescent="0.3">
      <c r="A2200" s="15" t="s">
        <v>45232</v>
      </c>
      <c r="B2200" s="15" t="s">
        <v>4805</v>
      </c>
      <c r="C2200" s="15" t="s">
        <v>4806</v>
      </c>
      <c r="D2200" s="15" t="s">
        <v>4807</v>
      </c>
      <c r="E2200" s="15">
        <v>12.785299999999999</v>
      </c>
      <c r="F2200" s="42">
        <v>46198</v>
      </c>
    </row>
    <row r="2201" spans="1:6" x14ac:dyDescent="0.3">
      <c r="A2201" s="15" t="s">
        <v>45231</v>
      </c>
      <c r="B2201" s="15" t="s">
        <v>4808</v>
      </c>
      <c r="C2201" s="15" t="s">
        <v>800</v>
      </c>
      <c r="D2201" s="15" t="s">
        <v>4809</v>
      </c>
      <c r="E2201" s="15">
        <v>12.6014</v>
      </c>
      <c r="F2201" s="42">
        <v>46198</v>
      </c>
    </row>
    <row r="2202" spans="1:6" x14ac:dyDescent="0.3">
      <c r="A2202" s="15" t="s">
        <v>45230</v>
      </c>
      <c r="B2202" s="15" t="s">
        <v>4810</v>
      </c>
      <c r="C2202" s="15" t="s">
        <v>4811</v>
      </c>
      <c r="D2202" s="15" t="s">
        <v>4812</v>
      </c>
      <c r="E2202" s="15">
        <v>12.601599999999999</v>
      </c>
      <c r="F2202" s="42">
        <v>46198</v>
      </c>
    </row>
    <row r="2203" spans="1:6" x14ac:dyDescent="0.3">
      <c r="A2203" s="15" t="s">
        <v>33499</v>
      </c>
      <c r="B2203" s="15" t="s">
        <v>795</v>
      </c>
      <c r="C2203" s="15" t="s">
        <v>795</v>
      </c>
      <c r="D2203" s="15" t="s">
        <v>795</v>
      </c>
      <c r="F2203" s="42"/>
    </row>
    <row r="2204" spans="1:6" x14ac:dyDescent="0.3">
      <c r="A2204" s="15" t="s">
        <v>33500</v>
      </c>
      <c r="B2204" s="15" t="s">
        <v>795</v>
      </c>
      <c r="C2204" s="15" t="s">
        <v>795</v>
      </c>
      <c r="D2204" s="15" t="s">
        <v>795</v>
      </c>
      <c r="F2204" s="42"/>
    </row>
    <row r="2205" spans="1:6" x14ac:dyDescent="0.3">
      <c r="A2205" s="15" t="s">
        <v>33499</v>
      </c>
      <c r="B2205" s="15" t="s">
        <v>795</v>
      </c>
      <c r="C2205" s="15" t="s">
        <v>795</v>
      </c>
      <c r="D2205" s="15" t="s">
        <v>795</v>
      </c>
      <c r="F2205" s="42"/>
    </row>
    <row r="2206" spans="1:6" x14ac:dyDescent="0.3">
      <c r="A2206" s="15" t="s">
        <v>45229</v>
      </c>
      <c r="B2206" s="15" t="s">
        <v>4813</v>
      </c>
      <c r="C2206" s="15" t="s">
        <v>4814</v>
      </c>
      <c r="D2206" s="15" t="s">
        <v>4815</v>
      </c>
      <c r="E2206" s="15">
        <v>11.4071</v>
      </c>
      <c r="F2206" s="42">
        <v>46198</v>
      </c>
    </row>
    <row r="2207" spans="1:6" x14ac:dyDescent="0.3">
      <c r="A2207" s="15" t="s">
        <v>45228</v>
      </c>
      <c r="B2207" s="15" t="s">
        <v>4816</v>
      </c>
      <c r="C2207" s="15" t="s">
        <v>4817</v>
      </c>
      <c r="D2207" s="15" t="s">
        <v>4818</v>
      </c>
      <c r="E2207" s="15">
        <v>12.216100000000001</v>
      </c>
      <c r="F2207" s="42">
        <v>46198</v>
      </c>
    </row>
    <row r="2208" spans="1:6" x14ac:dyDescent="0.3">
      <c r="A2208" s="15" t="s">
        <v>45227</v>
      </c>
      <c r="B2208" s="15" t="s">
        <v>4819</v>
      </c>
      <c r="C2208" s="15" t="s">
        <v>800</v>
      </c>
      <c r="D2208" s="15" t="s">
        <v>4820</v>
      </c>
      <c r="E2208" s="15">
        <v>12.3727</v>
      </c>
      <c r="F2208" s="42">
        <v>46198</v>
      </c>
    </row>
    <row r="2209" spans="1:6" x14ac:dyDescent="0.3">
      <c r="A2209" s="15" t="s">
        <v>45226</v>
      </c>
      <c r="B2209" s="15" t="s">
        <v>4821</v>
      </c>
      <c r="C2209" s="15" t="s">
        <v>4822</v>
      </c>
      <c r="D2209" s="15" t="s">
        <v>4823</v>
      </c>
      <c r="E2209" s="15">
        <v>12.3728</v>
      </c>
      <c r="F2209" s="42">
        <v>46198</v>
      </c>
    </row>
    <row r="2210" spans="1:6" x14ac:dyDescent="0.3">
      <c r="A2210" s="15" t="s">
        <v>45225</v>
      </c>
      <c r="B2210" s="15" t="s">
        <v>4824</v>
      </c>
      <c r="C2210" s="15" t="s">
        <v>4825</v>
      </c>
      <c r="D2210" s="15" t="s">
        <v>4826</v>
      </c>
      <c r="E2210" s="15">
        <v>12.3727</v>
      </c>
      <c r="F2210" s="42">
        <v>46198</v>
      </c>
    </row>
    <row r="2211" spans="1:6" x14ac:dyDescent="0.3">
      <c r="A2211" s="15" t="s">
        <v>45224</v>
      </c>
      <c r="B2211" s="15" t="s">
        <v>4827</v>
      </c>
      <c r="C2211" s="15" t="s">
        <v>4828</v>
      </c>
      <c r="D2211" s="15" t="s">
        <v>4829</v>
      </c>
      <c r="E2211" s="15">
        <v>11.0519</v>
      </c>
      <c r="F2211" s="42">
        <v>46198</v>
      </c>
    </row>
    <row r="2212" spans="1:6" x14ac:dyDescent="0.3">
      <c r="A2212" s="15" t="s">
        <v>45223</v>
      </c>
      <c r="B2212" s="15" t="s">
        <v>4830</v>
      </c>
      <c r="C2212" s="15" t="s">
        <v>4831</v>
      </c>
      <c r="D2212" s="15" t="s">
        <v>4832</v>
      </c>
      <c r="E2212" s="15">
        <v>12.0022</v>
      </c>
      <c r="F2212" s="42">
        <v>46198</v>
      </c>
    </row>
    <row r="2213" spans="1:6" x14ac:dyDescent="0.3">
      <c r="A2213" s="15" t="s">
        <v>45222</v>
      </c>
      <c r="B2213" s="15" t="s">
        <v>4833</v>
      </c>
      <c r="C2213" s="15" t="s">
        <v>800</v>
      </c>
      <c r="D2213" s="15" t="s">
        <v>4834</v>
      </c>
      <c r="E2213" s="15">
        <v>12.0021</v>
      </c>
      <c r="F2213" s="42">
        <v>46198</v>
      </c>
    </row>
    <row r="2214" spans="1:6" x14ac:dyDescent="0.3">
      <c r="A2214" s="15" t="s">
        <v>45221</v>
      </c>
      <c r="B2214" s="15" t="s">
        <v>4835</v>
      </c>
      <c r="C2214" s="15" t="s">
        <v>4836</v>
      </c>
      <c r="D2214" s="15" t="s">
        <v>4837</v>
      </c>
      <c r="E2214" s="15">
        <v>12.0022</v>
      </c>
      <c r="F2214" s="42">
        <v>46198</v>
      </c>
    </row>
    <row r="2215" spans="1:6" x14ac:dyDescent="0.3">
      <c r="A2215" s="15" t="s">
        <v>45220</v>
      </c>
      <c r="B2215" s="15" t="s">
        <v>4838</v>
      </c>
      <c r="C2215" s="15" t="s">
        <v>4839</v>
      </c>
      <c r="D2215" s="15" t="s">
        <v>4840</v>
      </c>
      <c r="E2215" s="15">
        <v>12.0021</v>
      </c>
      <c r="F2215" s="42">
        <v>46198</v>
      </c>
    </row>
    <row r="2216" spans="1:6" x14ac:dyDescent="0.3">
      <c r="A2216" s="15" t="s">
        <v>33499</v>
      </c>
      <c r="B2216" s="15" t="s">
        <v>795</v>
      </c>
      <c r="C2216" s="15" t="s">
        <v>795</v>
      </c>
      <c r="D2216" s="15" t="s">
        <v>795</v>
      </c>
      <c r="F2216" s="42"/>
    </row>
    <row r="2217" spans="1:6" x14ac:dyDescent="0.3">
      <c r="A2217" s="15" t="s">
        <v>45219</v>
      </c>
      <c r="B2217" s="15" t="s">
        <v>795</v>
      </c>
      <c r="C2217" s="15" t="s">
        <v>795</v>
      </c>
      <c r="D2217" s="15" t="s">
        <v>795</v>
      </c>
      <c r="F2217" s="42"/>
    </row>
    <row r="2218" spans="1:6" x14ac:dyDescent="0.3">
      <c r="A2218" s="15" t="s">
        <v>33499</v>
      </c>
      <c r="B2218" s="15" t="s">
        <v>795</v>
      </c>
      <c r="C2218" s="15" t="s">
        <v>795</v>
      </c>
      <c r="D2218" s="15" t="s">
        <v>795</v>
      </c>
      <c r="F2218" s="42"/>
    </row>
    <row r="2219" spans="1:6" x14ac:dyDescent="0.3">
      <c r="A2219" s="15" t="s">
        <v>37122</v>
      </c>
      <c r="B2219" s="15" t="s">
        <v>795</v>
      </c>
      <c r="C2219" s="15" t="s">
        <v>795</v>
      </c>
      <c r="D2219" s="15" t="s">
        <v>795</v>
      </c>
      <c r="F2219" s="42"/>
    </row>
    <row r="2220" spans="1:6" x14ac:dyDescent="0.3">
      <c r="A2220" s="15" t="s">
        <v>33499</v>
      </c>
      <c r="B2220" s="15" t="s">
        <v>795</v>
      </c>
      <c r="C2220" s="15" t="s">
        <v>795</v>
      </c>
      <c r="D2220" s="15" t="s">
        <v>795</v>
      </c>
      <c r="F2220" s="42"/>
    </row>
    <row r="2221" spans="1:6" x14ac:dyDescent="0.3">
      <c r="A2221" s="15" t="s">
        <v>45218</v>
      </c>
      <c r="B2221" s="15" t="s">
        <v>4841</v>
      </c>
      <c r="C2221" s="15" t="s">
        <v>800</v>
      </c>
      <c r="D2221" s="15" t="s">
        <v>4842</v>
      </c>
      <c r="E2221" s="15">
        <v>773.70410000000004</v>
      </c>
      <c r="F2221" s="42">
        <v>46198</v>
      </c>
    </row>
    <row r="2222" spans="1:6" x14ac:dyDescent="0.3">
      <c r="A2222" s="15" t="s">
        <v>45216</v>
      </c>
      <c r="B2222" s="15" t="s">
        <v>4844</v>
      </c>
      <c r="C2222" s="15" t="s">
        <v>800</v>
      </c>
      <c r="D2222" s="15" t="s">
        <v>4845</v>
      </c>
      <c r="E2222" s="15">
        <v>100.0001</v>
      </c>
      <c r="F2222" s="42">
        <v>46198</v>
      </c>
    </row>
    <row r="2223" spans="1:6" x14ac:dyDescent="0.3">
      <c r="A2223" s="15" t="s">
        <v>45215</v>
      </c>
      <c r="B2223" s="15" t="s">
        <v>800</v>
      </c>
      <c r="C2223" s="15" t="s">
        <v>4846</v>
      </c>
      <c r="D2223" s="15" t="s">
        <v>4847</v>
      </c>
      <c r="E2223" s="15">
        <v>100.8994</v>
      </c>
      <c r="F2223" s="42">
        <v>46198</v>
      </c>
    </row>
    <row r="2224" spans="1:6" x14ac:dyDescent="0.3">
      <c r="A2224" s="15" t="s">
        <v>45214</v>
      </c>
      <c r="B2224" s="15" t="s">
        <v>800</v>
      </c>
      <c r="C2224" s="15" t="s">
        <v>4848</v>
      </c>
      <c r="D2224" s="15" t="s">
        <v>4849</v>
      </c>
      <c r="E2224" s="15">
        <v>99.9054</v>
      </c>
      <c r="F2224" s="42">
        <v>43951</v>
      </c>
    </row>
    <row r="2225" spans="1:6" x14ac:dyDescent="0.3">
      <c r="A2225" s="15" t="s">
        <v>45213</v>
      </c>
      <c r="B2225" s="15" t="s">
        <v>800</v>
      </c>
      <c r="C2225" s="15" t="s">
        <v>4850</v>
      </c>
      <c r="D2225" s="15" t="s">
        <v>4851</v>
      </c>
      <c r="E2225" s="15">
        <v>100.0001</v>
      </c>
      <c r="F2225" s="42">
        <v>46198</v>
      </c>
    </row>
    <row r="2226" spans="1:6" x14ac:dyDescent="0.3">
      <c r="A2226" s="15" t="s">
        <v>45212</v>
      </c>
      <c r="B2226" s="15" t="s">
        <v>800</v>
      </c>
      <c r="C2226" s="15" t="s">
        <v>4852</v>
      </c>
      <c r="D2226" s="15" t="s">
        <v>4853</v>
      </c>
      <c r="E2226" s="15">
        <v>100.78400000000001</v>
      </c>
      <c r="F2226" s="42">
        <v>46198</v>
      </c>
    </row>
    <row r="2227" spans="1:6" x14ac:dyDescent="0.3">
      <c r="A2227" s="15" t="s">
        <v>45217</v>
      </c>
      <c r="B2227" s="15" t="s">
        <v>4843</v>
      </c>
      <c r="C2227" s="15" t="s">
        <v>800</v>
      </c>
      <c r="D2227" s="15" t="s">
        <v>47151</v>
      </c>
      <c r="E2227" s="15">
        <v>692.96159999999998</v>
      </c>
      <c r="F2227" s="42">
        <v>46198</v>
      </c>
    </row>
    <row r="2228" spans="1:6" x14ac:dyDescent="0.3">
      <c r="A2228" s="15" t="s">
        <v>33499</v>
      </c>
      <c r="B2228" s="15" t="s">
        <v>795</v>
      </c>
      <c r="C2228" s="15" t="s">
        <v>795</v>
      </c>
      <c r="D2228" s="15" t="s">
        <v>795</v>
      </c>
      <c r="F2228" s="42"/>
    </row>
    <row r="2229" spans="1:6" x14ac:dyDescent="0.3">
      <c r="A2229" s="15" t="s">
        <v>37087</v>
      </c>
      <c r="B2229" s="15" t="s">
        <v>795</v>
      </c>
      <c r="C2229" s="15" t="s">
        <v>795</v>
      </c>
      <c r="D2229" s="15" t="s">
        <v>795</v>
      </c>
      <c r="F2229" s="42"/>
    </row>
    <row r="2230" spans="1:6" x14ac:dyDescent="0.3">
      <c r="A2230" s="15" t="s">
        <v>33499</v>
      </c>
      <c r="B2230" s="15" t="s">
        <v>795</v>
      </c>
      <c r="C2230" s="15" t="s">
        <v>795</v>
      </c>
      <c r="D2230" s="15" t="s">
        <v>795</v>
      </c>
      <c r="F2230" s="42"/>
    </row>
    <row r="2231" spans="1:6" x14ac:dyDescent="0.3">
      <c r="A2231" s="15" t="s">
        <v>45211</v>
      </c>
      <c r="B2231" s="15" t="s">
        <v>4854</v>
      </c>
      <c r="C2231" s="15" t="s">
        <v>800</v>
      </c>
      <c r="D2231" s="15" t="s">
        <v>4855</v>
      </c>
      <c r="E2231" s="15">
        <v>1847.5931</v>
      </c>
      <c r="F2231" s="42">
        <v>42835</v>
      </c>
    </row>
    <row r="2232" spans="1:6" x14ac:dyDescent="0.3">
      <c r="A2232" s="15" t="s">
        <v>45210</v>
      </c>
      <c r="B2232" s="15" t="s">
        <v>800</v>
      </c>
      <c r="C2232" s="15" t="s">
        <v>4856</v>
      </c>
      <c r="D2232" s="15" t="s">
        <v>4857</v>
      </c>
      <c r="E2232" s="15">
        <v>1012.4737</v>
      </c>
      <c r="F2232" s="42">
        <v>46198</v>
      </c>
    </row>
    <row r="2233" spans="1:6" x14ac:dyDescent="0.3">
      <c r="A2233" s="15" t="s">
        <v>45209</v>
      </c>
      <c r="B2233" s="15" t="s">
        <v>4858</v>
      </c>
      <c r="C2233" s="15" t="s">
        <v>800</v>
      </c>
      <c r="D2233" s="15" t="s">
        <v>4859</v>
      </c>
      <c r="E2233" s="15">
        <v>3455.6554000000001</v>
      </c>
      <c r="F2233" s="42">
        <v>46198</v>
      </c>
    </row>
    <row r="2234" spans="1:6" x14ac:dyDescent="0.3">
      <c r="A2234" s="15" t="s">
        <v>45208</v>
      </c>
      <c r="B2234" s="15" t="s">
        <v>4860</v>
      </c>
      <c r="C2234" s="15" t="s">
        <v>4861</v>
      </c>
      <c r="D2234" s="15" t="s">
        <v>4862</v>
      </c>
      <c r="E2234" s="15">
        <v>1009.6083</v>
      </c>
      <c r="F2234" s="42">
        <v>46198</v>
      </c>
    </row>
    <row r="2235" spans="1:6" x14ac:dyDescent="0.3">
      <c r="A2235" s="15" t="s">
        <v>45207</v>
      </c>
      <c r="B2235" s="15" t="s">
        <v>4863</v>
      </c>
      <c r="C2235" s="15" t="s">
        <v>4864</v>
      </c>
      <c r="D2235" s="15" t="s">
        <v>4865</v>
      </c>
      <c r="E2235" s="15">
        <v>1013.3034</v>
      </c>
      <c r="F2235" s="42">
        <v>46198</v>
      </c>
    </row>
    <row r="2236" spans="1:6" x14ac:dyDescent="0.3">
      <c r="A2236" s="15" t="s">
        <v>45206</v>
      </c>
      <c r="B2236" s="15" t="s">
        <v>800</v>
      </c>
      <c r="C2236" s="15" t="s">
        <v>4866</v>
      </c>
      <c r="D2236" s="15" t="s">
        <v>4867</v>
      </c>
      <c r="E2236" s="15">
        <v>1013.2483999999999</v>
      </c>
      <c r="F2236" s="42">
        <v>46198</v>
      </c>
    </row>
    <row r="2237" spans="1:6" x14ac:dyDescent="0.3">
      <c r="A2237" s="15" t="s">
        <v>45205</v>
      </c>
      <c r="B2237" s="15" t="s">
        <v>4868</v>
      </c>
      <c r="C2237" s="15" t="s">
        <v>800</v>
      </c>
      <c r="D2237" s="15" t="s">
        <v>4869</v>
      </c>
      <c r="E2237" s="15">
        <v>3285.2390999999998</v>
      </c>
      <c r="F2237" s="42">
        <v>46198</v>
      </c>
    </row>
    <row r="2238" spans="1:6" x14ac:dyDescent="0.3">
      <c r="A2238" s="15" t="s">
        <v>45204</v>
      </c>
      <c r="B2238" s="15" t="s">
        <v>4870</v>
      </c>
      <c r="C2238" s="15" t="s">
        <v>4871</v>
      </c>
      <c r="D2238" s="15" t="s">
        <v>4872</v>
      </c>
      <c r="E2238" s="15">
        <v>1009.6058</v>
      </c>
      <c r="F2238" s="42">
        <v>46198</v>
      </c>
    </row>
    <row r="2239" spans="1:6" x14ac:dyDescent="0.3">
      <c r="A2239" s="15" t="s">
        <v>45203</v>
      </c>
      <c r="B2239" s="15" t="s">
        <v>4873</v>
      </c>
      <c r="C2239" s="15" t="s">
        <v>4874</v>
      </c>
      <c r="D2239" s="15" t="s">
        <v>4875</v>
      </c>
      <c r="E2239" s="15">
        <v>1013.2738000000001</v>
      </c>
      <c r="F2239" s="42">
        <v>46198</v>
      </c>
    </row>
    <row r="2240" spans="1:6" x14ac:dyDescent="0.3">
      <c r="A2240" s="15" t="s">
        <v>45202</v>
      </c>
      <c r="B2240" s="15" t="s">
        <v>800</v>
      </c>
      <c r="C2240" s="15" t="s">
        <v>4876</v>
      </c>
      <c r="D2240" s="15" t="s">
        <v>4877</v>
      </c>
      <c r="E2240" s="15">
        <v>1012.4736</v>
      </c>
      <c r="F2240" s="42">
        <v>46198</v>
      </c>
    </row>
    <row r="2241" spans="1:6" x14ac:dyDescent="0.3">
      <c r="A2241" s="15" t="s">
        <v>45201</v>
      </c>
      <c r="B2241" s="15" t="s">
        <v>4878</v>
      </c>
      <c r="C2241" s="15" t="s">
        <v>800</v>
      </c>
      <c r="D2241" s="15" t="s">
        <v>4879</v>
      </c>
      <c r="E2241" s="15">
        <v>3080.0956999999999</v>
      </c>
      <c r="F2241" s="42">
        <v>46198</v>
      </c>
    </row>
    <row r="2242" spans="1:6" x14ac:dyDescent="0.3">
      <c r="A2242" s="15" t="s">
        <v>45200</v>
      </c>
      <c r="B2242" s="15" t="s">
        <v>4880</v>
      </c>
      <c r="C2242" s="15" t="s">
        <v>4881</v>
      </c>
      <c r="D2242" s="15" t="s">
        <v>4882</v>
      </c>
      <c r="E2242" s="15">
        <v>1009.6059</v>
      </c>
      <c r="F2242" s="42">
        <v>46198</v>
      </c>
    </row>
    <row r="2243" spans="1:6" x14ac:dyDescent="0.3">
      <c r="A2243" s="15" t="s">
        <v>45199</v>
      </c>
      <c r="B2243" s="15" t="s">
        <v>4883</v>
      </c>
      <c r="C2243" s="15" t="s">
        <v>4884</v>
      </c>
      <c r="D2243" s="15" t="s">
        <v>4885</v>
      </c>
      <c r="E2243" s="15">
        <v>1013.2723999999999</v>
      </c>
      <c r="F2243" s="42">
        <v>46198</v>
      </c>
    </row>
    <row r="2244" spans="1:6" x14ac:dyDescent="0.3">
      <c r="A2244" s="15" t="s">
        <v>33499</v>
      </c>
      <c r="B2244" s="15" t="s">
        <v>795</v>
      </c>
      <c r="C2244" s="15" t="s">
        <v>795</v>
      </c>
      <c r="D2244" s="15" t="s">
        <v>795</v>
      </c>
      <c r="F2244" s="42"/>
    </row>
    <row r="2245" spans="1:6" x14ac:dyDescent="0.3">
      <c r="A2245" s="15" t="s">
        <v>37923</v>
      </c>
      <c r="B2245" s="15" t="s">
        <v>795</v>
      </c>
      <c r="C2245" s="15" t="s">
        <v>795</v>
      </c>
      <c r="D2245" s="15" t="s">
        <v>795</v>
      </c>
      <c r="F2245" s="42"/>
    </row>
    <row r="2246" spans="1:6" x14ac:dyDescent="0.3">
      <c r="A2246" s="15" t="s">
        <v>33499</v>
      </c>
      <c r="B2246" s="15" t="s">
        <v>795</v>
      </c>
      <c r="C2246" s="15" t="s">
        <v>795</v>
      </c>
      <c r="D2246" s="15" t="s">
        <v>795</v>
      </c>
      <c r="F2246" s="42"/>
    </row>
    <row r="2247" spans="1:6" x14ac:dyDescent="0.3">
      <c r="A2247" s="15" t="s">
        <v>45198</v>
      </c>
      <c r="B2247" s="15" t="s">
        <v>4886</v>
      </c>
      <c r="C2247" s="15" t="s">
        <v>800</v>
      </c>
      <c r="D2247" s="15" t="s">
        <v>4887</v>
      </c>
      <c r="E2247" s="15">
        <v>1022.7044</v>
      </c>
      <c r="F2247" s="42">
        <v>46198</v>
      </c>
    </row>
    <row r="2248" spans="1:6" x14ac:dyDescent="0.3">
      <c r="A2248" s="15" t="s">
        <v>45197</v>
      </c>
      <c r="B2248" s="15" t="s">
        <v>4888</v>
      </c>
      <c r="C2248" s="15" t="s">
        <v>4889</v>
      </c>
      <c r="D2248" s="15" t="s">
        <v>4890</v>
      </c>
      <c r="E2248" s="15">
        <v>1022.7044</v>
      </c>
      <c r="F2248" s="42">
        <v>46198</v>
      </c>
    </row>
    <row r="2249" spans="1:6" x14ac:dyDescent="0.3">
      <c r="A2249" s="15" t="s">
        <v>45196</v>
      </c>
      <c r="B2249" s="15" t="s">
        <v>4891</v>
      </c>
      <c r="C2249" s="15" t="s">
        <v>800</v>
      </c>
      <c r="D2249" s="15" t="s">
        <v>4892</v>
      </c>
      <c r="E2249" s="15">
        <v>1019.9571</v>
      </c>
      <c r="F2249" s="42">
        <v>46198</v>
      </c>
    </row>
    <row r="2250" spans="1:6" x14ac:dyDescent="0.3">
      <c r="A2250" s="15" t="s">
        <v>45195</v>
      </c>
      <c r="B2250" s="15" t="s">
        <v>4893</v>
      </c>
      <c r="C2250" s="15" t="s">
        <v>4894</v>
      </c>
      <c r="D2250" s="15" t="s">
        <v>4895</v>
      </c>
      <c r="E2250" s="15">
        <v>1019.9571</v>
      </c>
      <c r="F2250" s="42">
        <v>46198</v>
      </c>
    </row>
    <row r="2251" spans="1:6" x14ac:dyDescent="0.3">
      <c r="A2251" s="15" t="s">
        <v>33499</v>
      </c>
      <c r="B2251" s="15" t="s">
        <v>795</v>
      </c>
      <c r="C2251" s="15" t="s">
        <v>795</v>
      </c>
      <c r="D2251" s="15" t="s">
        <v>795</v>
      </c>
      <c r="F2251" s="42"/>
    </row>
    <row r="2252" spans="1:6" x14ac:dyDescent="0.3">
      <c r="A2252" s="15" t="s">
        <v>37073</v>
      </c>
      <c r="B2252" s="15" t="s">
        <v>795</v>
      </c>
      <c r="C2252" s="15" t="s">
        <v>795</v>
      </c>
      <c r="D2252" s="15" t="s">
        <v>795</v>
      </c>
      <c r="F2252" s="42"/>
    </row>
    <row r="2253" spans="1:6" x14ac:dyDescent="0.3">
      <c r="A2253" s="15" t="s">
        <v>33499</v>
      </c>
      <c r="B2253" s="15" t="s">
        <v>795</v>
      </c>
      <c r="C2253" s="15" t="s">
        <v>795</v>
      </c>
      <c r="D2253" s="15" t="s">
        <v>795</v>
      </c>
      <c r="F2253" s="42"/>
    </row>
    <row r="2254" spans="1:6" x14ac:dyDescent="0.3">
      <c r="A2254" s="15" t="s">
        <v>45194</v>
      </c>
      <c r="B2254" s="15" t="s">
        <v>4896</v>
      </c>
      <c r="C2254" s="15" t="s">
        <v>4897</v>
      </c>
      <c r="D2254" s="15" t="s">
        <v>4898</v>
      </c>
      <c r="E2254" s="15">
        <v>10.1015</v>
      </c>
      <c r="F2254" s="42">
        <v>46198</v>
      </c>
    </row>
    <row r="2255" spans="1:6" x14ac:dyDescent="0.3">
      <c r="A2255" s="15" t="s">
        <v>45193</v>
      </c>
      <c r="B2255" s="15" t="s">
        <v>4899</v>
      </c>
      <c r="C2255" s="15" t="s">
        <v>800</v>
      </c>
      <c r="D2255" s="15" t="s">
        <v>4900</v>
      </c>
      <c r="E2255" s="15">
        <v>40.867199999999997</v>
      </c>
      <c r="F2255" s="42">
        <v>46198</v>
      </c>
    </row>
    <row r="2256" spans="1:6" x14ac:dyDescent="0.3">
      <c r="A2256" s="15" t="s">
        <v>45192</v>
      </c>
      <c r="B2256" s="15" t="s">
        <v>4901</v>
      </c>
      <c r="C2256" s="15" t="s">
        <v>4902</v>
      </c>
      <c r="D2256" s="15" t="s">
        <v>4903</v>
      </c>
      <c r="E2256" s="15">
        <v>10.213200000000001</v>
      </c>
      <c r="F2256" s="42">
        <v>46198</v>
      </c>
    </row>
    <row r="2257" spans="1:6" x14ac:dyDescent="0.3">
      <c r="A2257" s="15" t="s">
        <v>45191</v>
      </c>
      <c r="B2257" s="15" t="s">
        <v>4904</v>
      </c>
      <c r="C2257" s="15" t="s">
        <v>4905</v>
      </c>
      <c r="D2257" s="15" t="s">
        <v>4906</v>
      </c>
      <c r="E2257" s="15">
        <v>13.569800000000001</v>
      </c>
      <c r="F2257" s="42">
        <v>46198</v>
      </c>
    </row>
    <row r="2258" spans="1:6" x14ac:dyDescent="0.3">
      <c r="A2258" s="15" t="s">
        <v>45190</v>
      </c>
      <c r="B2258" s="15" t="s">
        <v>4907</v>
      </c>
      <c r="C2258" s="15" t="s">
        <v>4908</v>
      </c>
      <c r="D2258" s="15" t="s">
        <v>4909</v>
      </c>
      <c r="E2258" s="15">
        <v>11.327999999999999</v>
      </c>
      <c r="F2258" s="42">
        <v>46198</v>
      </c>
    </row>
    <row r="2259" spans="1:6" x14ac:dyDescent="0.3">
      <c r="A2259" s="15" t="s">
        <v>45189</v>
      </c>
      <c r="B2259" s="15" t="s">
        <v>4910</v>
      </c>
      <c r="C2259" s="15" t="s">
        <v>4911</v>
      </c>
      <c r="D2259" s="15" t="s">
        <v>4912</v>
      </c>
      <c r="E2259" s="15">
        <v>10.1279</v>
      </c>
      <c r="F2259" s="42">
        <v>46198</v>
      </c>
    </row>
    <row r="2260" spans="1:6" x14ac:dyDescent="0.3">
      <c r="A2260" s="15" t="s">
        <v>45188</v>
      </c>
      <c r="B2260" s="15" t="s">
        <v>800</v>
      </c>
      <c r="C2260" s="15" t="s">
        <v>4913</v>
      </c>
      <c r="D2260" s="15" t="s">
        <v>4914</v>
      </c>
      <c r="E2260" s="15">
        <v>10.1111</v>
      </c>
      <c r="F2260" s="42">
        <v>46198</v>
      </c>
    </row>
    <row r="2261" spans="1:6" x14ac:dyDescent="0.3">
      <c r="A2261" s="15" t="s">
        <v>45187</v>
      </c>
      <c r="B2261" s="15" t="s">
        <v>4915</v>
      </c>
      <c r="C2261" s="15" t="s">
        <v>800</v>
      </c>
      <c r="D2261" s="15" t="s">
        <v>4916</v>
      </c>
      <c r="E2261" s="15">
        <v>41.990299999999998</v>
      </c>
      <c r="F2261" s="42">
        <v>46198</v>
      </c>
    </row>
    <row r="2262" spans="1:6" x14ac:dyDescent="0.3">
      <c r="A2262" s="15" t="s">
        <v>45186</v>
      </c>
      <c r="B2262" s="15" t="s">
        <v>4917</v>
      </c>
      <c r="C2262" s="15" t="s">
        <v>4918</v>
      </c>
      <c r="D2262" s="15" t="s">
        <v>4919</v>
      </c>
      <c r="E2262" s="15">
        <v>10.229100000000001</v>
      </c>
      <c r="F2262" s="42">
        <v>46198</v>
      </c>
    </row>
    <row r="2263" spans="1:6" x14ac:dyDescent="0.3">
      <c r="A2263" s="15" t="s">
        <v>45185</v>
      </c>
      <c r="B2263" s="15" t="s">
        <v>4920</v>
      </c>
      <c r="C2263" s="15" t="s">
        <v>4921</v>
      </c>
      <c r="D2263" s="15" t="s">
        <v>4922</v>
      </c>
      <c r="E2263" s="15">
        <v>13.7546</v>
      </c>
      <c r="F2263" s="42">
        <v>46198</v>
      </c>
    </row>
    <row r="2264" spans="1:6" x14ac:dyDescent="0.3">
      <c r="A2264" s="15" t="s">
        <v>45184</v>
      </c>
      <c r="B2264" s="15" t="s">
        <v>4923</v>
      </c>
      <c r="C2264" s="15" t="s">
        <v>4924</v>
      </c>
      <c r="D2264" s="15" t="s">
        <v>4925</v>
      </c>
      <c r="E2264" s="15">
        <v>11.2761</v>
      </c>
      <c r="F2264" s="42">
        <v>46198</v>
      </c>
    </row>
    <row r="2265" spans="1:6" x14ac:dyDescent="0.3">
      <c r="A2265" s="15" t="s">
        <v>45183</v>
      </c>
      <c r="B2265" s="15" t="s">
        <v>800</v>
      </c>
      <c r="C2265" s="15" t="s">
        <v>4926</v>
      </c>
      <c r="D2265" s="15" t="s">
        <v>4927</v>
      </c>
      <c r="E2265" s="15">
        <v>10.1166</v>
      </c>
      <c r="F2265" s="42">
        <v>46198</v>
      </c>
    </row>
    <row r="2266" spans="1:6" x14ac:dyDescent="0.3">
      <c r="A2266" s="15" t="s">
        <v>33499</v>
      </c>
      <c r="B2266" s="15" t="s">
        <v>795</v>
      </c>
      <c r="C2266" s="15" t="s">
        <v>795</v>
      </c>
      <c r="D2266" s="15" t="s">
        <v>795</v>
      </c>
      <c r="F2266" s="42"/>
    </row>
    <row r="2267" spans="1:6" x14ac:dyDescent="0.3">
      <c r="A2267" s="15" t="s">
        <v>37566</v>
      </c>
      <c r="B2267" s="15" t="s">
        <v>795</v>
      </c>
      <c r="C2267" s="15" t="s">
        <v>795</v>
      </c>
      <c r="D2267" s="15" t="s">
        <v>795</v>
      </c>
      <c r="F2267" s="42"/>
    </row>
    <row r="2268" spans="1:6" x14ac:dyDescent="0.3">
      <c r="A2268" s="15" t="s">
        <v>33499</v>
      </c>
      <c r="B2268" s="15" t="s">
        <v>795</v>
      </c>
      <c r="C2268" s="15" t="s">
        <v>795</v>
      </c>
      <c r="D2268" s="15" t="s">
        <v>795</v>
      </c>
      <c r="F2268" s="42"/>
    </row>
    <row r="2269" spans="1:6" x14ac:dyDescent="0.3">
      <c r="A2269" s="15" t="s">
        <v>45182</v>
      </c>
      <c r="B2269" s="15" t="s">
        <v>800</v>
      </c>
      <c r="C2269" s="15" t="s">
        <v>4928</v>
      </c>
      <c r="D2269" s="15" t="s">
        <v>4929</v>
      </c>
      <c r="E2269" s="15">
        <v>10.0943</v>
      </c>
      <c r="F2269" s="42">
        <v>46198</v>
      </c>
    </row>
    <row r="2270" spans="1:6" x14ac:dyDescent="0.3">
      <c r="A2270" s="15" t="s">
        <v>45181</v>
      </c>
      <c r="B2270" s="15" t="s">
        <v>4930</v>
      </c>
      <c r="C2270" s="15" t="s">
        <v>800</v>
      </c>
      <c r="D2270" s="15" t="s">
        <v>4931</v>
      </c>
      <c r="E2270" s="15">
        <v>46.725200000000001</v>
      </c>
      <c r="F2270" s="42">
        <v>46198</v>
      </c>
    </row>
    <row r="2271" spans="1:6" x14ac:dyDescent="0.3">
      <c r="A2271" s="15" t="s">
        <v>45180</v>
      </c>
      <c r="B2271" s="15" t="s">
        <v>4932</v>
      </c>
      <c r="C2271" s="15" t="s">
        <v>4933</v>
      </c>
      <c r="D2271" s="15" t="s">
        <v>4934</v>
      </c>
      <c r="E2271" s="15">
        <v>10.437200000000001</v>
      </c>
      <c r="F2271" s="42">
        <v>46198</v>
      </c>
    </row>
    <row r="2272" spans="1:6" x14ac:dyDescent="0.3">
      <c r="A2272" s="15" t="s">
        <v>45179</v>
      </c>
      <c r="B2272" s="15" t="s">
        <v>4935</v>
      </c>
      <c r="C2272" s="15" t="s">
        <v>4936</v>
      </c>
      <c r="D2272" s="15" t="s">
        <v>4937</v>
      </c>
      <c r="E2272" s="15">
        <v>10.0237</v>
      </c>
      <c r="F2272" s="42">
        <v>46198</v>
      </c>
    </row>
    <row r="2273" spans="1:6" x14ac:dyDescent="0.3">
      <c r="A2273" s="15" t="s">
        <v>45178</v>
      </c>
      <c r="B2273" s="15" t="s">
        <v>800</v>
      </c>
      <c r="C2273" s="15" t="s">
        <v>4938</v>
      </c>
      <c r="D2273" s="15" t="s">
        <v>4939</v>
      </c>
      <c r="E2273" s="15">
        <v>10.0604</v>
      </c>
      <c r="F2273" s="42">
        <v>46198</v>
      </c>
    </row>
    <row r="2274" spans="1:6" x14ac:dyDescent="0.3">
      <c r="A2274" s="15" t="s">
        <v>45177</v>
      </c>
      <c r="B2274" s="15" t="s">
        <v>4940</v>
      </c>
      <c r="C2274" s="15" t="s">
        <v>800</v>
      </c>
      <c r="D2274" s="15" t="s">
        <v>4941</v>
      </c>
      <c r="E2274" s="15">
        <v>42.354599999999998</v>
      </c>
      <c r="F2274" s="42">
        <v>46198</v>
      </c>
    </row>
    <row r="2275" spans="1:6" x14ac:dyDescent="0.3">
      <c r="A2275" s="15" t="s">
        <v>45176</v>
      </c>
      <c r="B2275" s="15" t="s">
        <v>4942</v>
      </c>
      <c r="C2275" s="15" t="s">
        <v>4943</v>
      </c>
      <c r="D2275" s="15" t="s">
        <v>4944</v>
      </c>
      <c r="E2275" s="15">
        <v>10.2799</v>
      </c>
      <c r="F2275" s="42">
        <v>46198</v>
      </c>
    </row>
    <row r="2276" spans="1:6" x14ac:dyDescent="0.3">
      <c r="A2276" s="15" t="s">
        <v>45175</v>
      </c>
      <c r="B2276" s="15" t="s">
        <v>4945</v>
      </c>
      <c r="C2276" s="15" t="s">
        <v>4946</v>
      </c>
      <c r="D2276" s="15" t="s">
        <v>4947</v>
      </c>
      <c r="E2276" s="15">
        <v>10.023300000000001</v>
      </c>
      <c r="F2276" s="42">
        <v>46198</v>
      </c>
    </row>
    <row r="2277" spans="1:6" x14ac:dyDescent="0.3">
      <c r="A2277" s="15" t="s">
        <v>45174</v>
      </c>
      <c r="B2277" s="15" t="s">
        <v>800</v>
      </c>
      <c r="C2277" s="15" t="s">
        <v>4948</v>
      </c>
      <c r="D2277" s="15" t="s">
        <v>4949</v>
      </c>
      <c r="E2277" s="15">
        <v>10.049899999999999</v>
      </c>
      <c r="F2277" s="42">
        <v>46198</v>
      </c>
    </row>
    <row r="2278" spans="1:6" x14ac:dyDescent="0.3">
      <c r="A2278" s="15" t="s">
        <v>45173</v>
      </c>
      <c r="B2278" s="15" t="s">
        <v>4950</v>
      </c>
      <c r="C2278" s="15" t="s">
        <v>800</v>
      </c>
      <c r="D2278" s="15" t="s">
        <v>4951</v>
      </c>
      <c r="E2278" s="15">
        <v>42.428100000000001</v>
      </c>
      <c r="F2278" s="42">
        <v>46198</v>
      </c>
    </row>
    <row r="2279" spans="1:6" x14ac:dyDescent="0.3">
      <c r="A2279" s="15" t="s">
        <v>45172</v>
      </c>
      <c r="B2279" s="15" t="s">
        <v>4952</v>
      </c>
      <c r="C2279" s="15" t="s">
        <v>4953</v>
      </c>
      <c r="D2279" s="15" t="s">
        <v>4954</v>
      </c>
      <c r="E2279" s="15">
        <v>10.508100000000001</v>
      </c>
      <c r="F2279" s="42">
        <v>46198</v>
      </c>
    </row>
    <row r="2280" spans="1:6" x14ac:dyDescent="0.3">
      <c r="A2280" s="15" t="s">
        <v>45171</v>
      </c>
      <c r="B2280" s="15" t="s">
        <v>800</v>
      </c>
      <c r="C2280" s="15" t="s">
        <v>4955</v>
      </c>
      <c r="D2280" s="15" t="s">
        <v>4956</v>
      </c>
      <c r="E2280" s="15">
        <v>10.023300000000001</v>
      </c>
      <c r="F2280" s="42">
        <v>46198</v>
      </c>
    </row>
    <row r="2281" spans="1:6" x14ac:dyDescent="0.3">
      <c r="A2281" s="15" t="s">
        <v>33499</v>
      </c>
      <c r="B2281" s="15" t="s">
        <v>795</v>
      </c>
      <c r="C2281" s="15" t="s">
        <v>795</v>
      </c>
      <c r="D2281" s="15" t="s">
        <v>795</v>
      </c>
      <c r="F2281" s="42"/>
    </row>
    <row r="2282" spans="1:6" x14ac:dyDescent="0.3">
      <c r="A2282" s="15" t="s">
        <v>40284</v>
      </c>
      <c r="B2282" s="15" t="s">
        <v>795</v>
      </c>
      <c r="C2282" s="15" t="s">
        <v>795</v>
      </c>
      <c r="D2282" s="15" t="s">
        <v>795</v>
      </c>
      <c r="F2282" s="42"/>
    </row>
    <row r="2283" spans="1:6" x14ac:dyDescent="0.3">
      <c r="A2283" s="15" t="s">
        <v>33499</v>
      </c>
      <c r="B2283" s="15" t="s">
        <v>795</v>
      </c>
      <c r="C2283" s="15" t="s">
        <v>795</v>
      </c>
      <c r="D2283" s="15" t="s">
        <v>795</v>
      </c>
      <c r="F2283" s="42"/>
    </row>
    <row r="2284" spans="1:6" x14ac:dyDescent="0.3">
      <c r="A2284" s="15" t="s">
        <v>45170</v>
      </c>
      <c r="B2284" s="15" t="s">
        <v>800</v>
      </c>
      <c r="C2284" s="15" t="s">
        <v>4957</v>
      </c>
      <c r="D2284" s="15" t="s">
        <v>4958</v>
      </c>
      <c r="E2284" s="15">
        <v>10.26</v>
      </c>
      <c r="F2284" s="42">
        <v>46198</v>
      </c>
    </row>
    <row r="2285" spans="1:6" x14ac:dyDescent="0.3">
      <c r="A2285" s="15" t="s">
        <v>45169</v>
      </c>
      <c r="B2285" s="15" t="s">
        <v>4959</v>
      </c>
      <c r="C2285" s="15" t="s">
        <v>800</v>
      </c>
      <c r="D2285" s="15" t="s">
        <v>4960</v>
      </c>
      <c r="E2285" s="15">
        <v>46.057099999999998</v>
      </c>
      <c r="F2285" s="42">
        <v>46198</v>
      </c>
    </row>
    <row r="2286" spans="1:6" x14ac:dyDescent="0.3">
      <c r="A2286" s="15" t="s">
        <v>45168</v>
      </c>
      <c r="B2286" s="15" t="s">
        <v>4961</v>
      </c>
      <c r="C2286" s="15" t="s">
        <v>4962</v>
      </c>
      <c r="D2286" s="15" t="s">
        <v>4963</v>
      </c>
      <c r="E2286" s="15">
        <v>41.146000000000001</v>
      </c>
      <c r="F2286" s="42">
        <v>46198</v>
      </c>
    </row>
    <row r="2287" spans="1:6" x14ac:dyDescent="0.3">
      <c r="A2287" s="15" t="s">
        <v>45167</v>
      </c>
      <c r="B2287" s="15" t="s">
        <v>4964</v>
      </c>
      <c r="C2287" s="15" t="s">
        <v>4965</v>
      </c>
      <c r="D2287" s="15" t="s">
        <v>4966</v>
      </c>
      <c r="E2287" s="15">
        <v>10.268599999999999</v>
      </c>
      <c r="F2287" s="42">
        <v>46198</v>
      </c>
    </row>
    <row r="2288" spans="1:6" x14ac:dyDescent="0.3">
      <c r="A2288" s="15" t="s">
        <v>45166</v>
      </c>
      <c r="B2288" s="15" t="s">
        <v>4967</v>
      </c>
      <c r="C2288" s="15" t="s">
        <v>4968</v>
      </c>
      <c r="D2288" s="15" t="s">
        <v>4969</v>
      </c>
      <c r="E2288" s="15">
        <v>10.268599999999999</v>
      </c>
      <c r="F2288" s="42">
        <v>46198</v>
      </c>
    </row>
    <row r="2289" spans="1:6" x14ac:dyDescent="0.3">
      <c r="A2289" s="15" t="s">
        <v>45165</v>
      </c>
      <c r="B2289" s="15" t="s">
        <v>800</v>
      </c>
      <c r="C2289" s="15" t="s">
        <v>4970</v>
      </c>
      <c r="D2289" s="15" t="s">
        <v>4971</v>
      </c>
      <c r="E2289" s="15">
        <v>10.26</v>
      </c>
      <c r="F2289" s="42">
        <v>46198</v>
      </c>
    </row>
    <row r="2290" spans="1:6" x14ac:dyDescent="0.3">
      <c r="A2290" s="15" t="s">
        <v>45164</v>
      </c>
      <c r="B2290" s="15" t="s">
        <v>4972</v>
      </c>
      <c r="C2290" s="15" t="s">
        <v>800</v>
      </c>
      <c r="D2290" s="15" t="s">
        <v>4973</v>
      </c>
      <c r="E2290" s="15">
        <v>44.699199999999998</v>
      </c>
      <c r="F2290" s="42">
        <v>46198</v>
      </c>
    </row>
    <row r="2291" spans="1:6" x14ac:dyDescent="0.3">
      <c r="A2291" s="15" t="s">
        <v>45163</v>
      </c>
      <c r="B2291" s="15" t="s">
        <v>4974</v>
      </c>
      <c r="C2291" s="15" t="s">
        <v>4975</v>
      </c>
      <c r="D2291" s="15" t="s">
        <v>4976</v>
      </c>
      <c r="E2291" s="15">
        <v>40.0411</v>
      </c>
      <c r="F2291" s="42">
        <v>46198</v>
      </c>
    </row>
    <row r="2292" spans="1:6" x14ac:dyDescent="0.3">
      <c r="A2292" s="15" t="s">
        <v>45162</v>
      </c>
      <c r="B2292" s="15" t="s">
        <v>4977</v>
      </c>
      <c r="C2292" s="15" t="s">
        <v>4978</v>
      </c>
      <c r="D2292" s="15" t="s">
        <v>4979</v>
      </c>
      <c r="E2292" s="15">
        <v>10.268599999999999</v>
      </c>
      <c r="F2292" s="42">
        <v>46198</v>
      </c>
    </row>
    <row r="2293" spans="1:6" x14ac:dyDescent="0.3">
      <c r="A2293" s="15" t="s">
        <v>45161</v>
      </c>
      <c r="B2293" s="15" t="s">
        <v>4980</v>
      </c>
      <c r="C2293" s="15" t="s">
        <v>4981</v>
      </c>
      <c r="D2293" s="15" t="s">
        <v>4982</v>
      </c>
      <c r="E2293" s="15">
        <v>10.2685</v>
      </c>
      <c r="F2293" s="42">
        <v>46198</v>
      </c>
    </row>
    <row r="2294" spans="1:6" x14ac:dyDescent="0.3">
      <c r="A2294" s="15" t="s">
        <v>33499</v>
      </c>
      <c r="B2294" s="15" t="s">
        <v>795</v>
      </c>
      <c r="C2294" s="15" t="s">
        <v>795</v>
      </c>
      <c r="D2294" s="15" t="s">
        <v>795</v>
      </c>
      <c r="F2294" s="42"/>
    </row>
    <row r="2295" spans="1:6" x14ac:dyDescent="0.3">
      <c r="A2295" s="15" t="s">
        <v>37061</v>
      </c>
      <c r="B2295" s="15" t="s">
        <v>795</v>
      </c>
      <c r="C2295" s="15" t="s">
        <v>795</v>
      </c>
      <c r="D2295" s="15" t="s">
        <v>795</v>
      </c>
      <c r="F2295" s="42"/>
    </row>
    <row r="2296" spans="1:6" x14ac:dyDescent="0.3">
      <c r="A2296" s="15" t="s">
        <v>33499</v>
      </c>
      <c r="B2296" s="15" t="s">
        <v>795</v>
      </c>
      <c r="C2296" s="15" t="s">
        <v>795</v>
      </c>
      <c r="D2296" s="15" t="s">
        <v>795</v>
      </c>
      <c r="F2296" s="42"/>
    </row>
    <row r="2297" spans="1:6" x14ac:dyDescent="0.3">
      <c r="A2297" s="15" t="s">
        <v>45160</v>
      </c>
      <c r="B2297" s="15" t="s">
        <v>4983</v>
      </c>
      <c r="C2297" s="15" t="s">
        <v>800</v>
      </c>
      <c r="D2297" s="15" t="s">
        <v>4984</v>
      </c>
      <c r="E2297" s="15">
        <v>21.7498</v>
      </c>
      <c r="F2297" s="42">
        <v>46198</v>
      </c>
    </row>
    <row r="2298" spans="1:6" x14ac:dyDescent="0.3">
      <c r="A2298" s="15" t="s">
        <v>45159</v>
      </c>
      <c r="B2298" s="15" t="s">
        <v>800</v>
      </c>
      <c r="C2298" s="15" t="s">
        <v>4985</v>
      </c>
      <c r="D2298" s="15" t="s">
        <v>4986</v>
      </c>
      <c r="E2298" s="15">
        <v>10.126799999999999</v>
      </c>
      <c r="F2298" s="42">
        <v>46198</v>
      </c>
    </row>
    <row r="2299" spans="1:6" x14ac:dyDescent="0.3">
      <c r="A2299" s="15" t="s">
        <v>45158</v>
      </c>
      <c r="B2299" s="15" t="s">
        <v>4987</v>
      </c>
      <c r="C2299" s="15" t="s">
        <v>4988</v>
      </c>
      <c r="D2299" s="15" t="s">
        <v>4989</v>
      </c>
      <c r="E2299" s="15">
        <v>11.936299999999999</v>
      </c>
      <c r="F2299" s="42">
        <v>46198</v>
      </c>
    </row>
    <row r="2300" spans="1:6" x14ac:dyDescent="0.3">
      <c r="A2300" s="15" t="s">
        <v>45157</v>
      </c>
      <c r="B2300" s="15" t="s">
        <v>4990</v>
      </c>
      <c r="C2300" s="15" t="s">
        <v>4991</v>
      </c>
      <c r="D2300" s="15" t="s">
        <v>4992</v>
      </c>
      <c r="E2300" s="15">
        <v>11.0555</v>
      </c>
      <c r="F2300" s="42">
        <v>46198</v>
      </c>
    </row>
    <row r="2301" spans="1:6" x14ac:dyDescent="0.3">
      <c r="A2301" s="15" t="s">
        <v>45156</v>
      </c>
      <c r="B2301" s="15" t="s">
        <v>4993</v>
      </c>
      <c r="C2301" s="15" t="s">
        <v>4994</v>
      </c>
      <c r="D2301" s="15" t="s">
        <v>4995</v>
      </c>
      <c r="E2301" s="15">
        <v>10.126899999999999</v>
      </c>
      <c r="F2301" s="42">
        <v>46198</v>
      </c>
    </row>
    <row r="2302" spans="1:6" x14ac:dyDescent="0.3">
      <c r="A2302" s="15" t="s">
        <v>45155</v>
      </c>
      <c r="B2302" s="15" t="s">
        <v>4996</v>
      </c>
      <c r="C2302" s="15" t="s">
        <v>800</v>
      </c>
      <c r="D2302" s="15" t="s">
        <v>4997</v>
      </c>
      <c r="E2302" s="15">
        <v>20.995200000000001</v>
      </c>
      <c r="F2302" s="42">
        <v>46198</v>
      </c>
    </row>
    <row r="2303" spans="1:6" x14ac:dyDescent="0.3">
      <c r="A2303" s="15" t="s">
        <v>45154</v>
      </c>
      <c r="B2303" s="15" t="s">
        <v>800</v>
      </c>
      <c r="C2303" s="15" t="s">
        <v>4998</v>
      </c>
      <c r="D2303" s="15" t="s">
        <v>4999</v>
      </c>
      <c r="E2303" s="15">
        <v>10.1814</v>
      </c>
      <c r="F2303" s="42">
        <v>46198</v>
      </c>
    </row>
    <row r="2304" spans="1:6" x14ac:dyDescent="0.3">
      <c r="A2304" s="15" t="s">
        <v>45153</v>
      </c>
      <c r="B2304" s="15" t="s">
        <v>5000</v>
      </c>
      <c r="C2304" s="15" t="s">
        <v>5001</v>
      </c>
      <c r="D2304" s="15" t="s">
        <v>5002</v>
      </c>
      <c r="E2304" s="15">
        <v>10.7723</v>
      </c>
      <c r="F2304" s="42">
        <v>46198</v>
      </c>
    </row>
    <row r="2305" spans="1:6" x14ac:dyDescent="0.3">
      <c r="A2305" s="15" t="s">
        <v>45152</v>
      </c>
      <c r="B2305" s="15" t="s">
        <v>5003</v>
      </c>
      <c r="C2305" s="15" t="s">
        <v>5004</v>
      </c>
      <c r="D2305" s="15" t="s">
        <v>5005</v>
      </c>
      <c r="E2305" s="15">
        <v>11.0123</v>
      </c>
      <c r="F2305" s="42">
        <v>46198</v>
      </c>
    </row>
    <row r="2306" spans="1:6" x14ac:dyDescent="0.3">
      <c r="A2306" s="15" t="s">
        <v>45151</v>
      </c>
      <c r="B2306" s="15" t="s">
        <v>5006</v>
      </c>
      <c r="C2306" s="15" t="s">
        <v>5007</v>
      </c>
      <c r="D2306" s="15" t="s">
        <v>5008</v>
      </c>
      <c r="E2306" s="15">
        <v>10.126899999999999</v>
      </c>
      <c r="F2306" s="42">
        <v>46198</v>
      </c>
    </row>
    <row r="2307" spans="1:6" x14ac:dyDescent="0.3">
      <c r="A2307" s="15" t="s">
        <v>33499</v>
      </c>
      <c r="B2307" s="15" t="s">
        <v>795</v>
      </c>
      <c r="C2307" s="15" t="s">
        <v>795</v>
      </c>
      <c r="D2307" s="15" t="s">
        <v>795</v>
      </c>
      <c r="F2307" s="42"/>
    </row>
    <row r="2308" spans="1:6" x14ac:dyDescent="0.3">
      <c r="A2308" s="15" t="s">
        <v>37895</v>
      </c>
      <c r="B2308" s="15" t="s">
        <v>795</v>
      </c>
      <c r="C2308" s="15" t="s">
        <v>795</v>
      </c>
      <c r="D2308" s="15" t="s">
        <v>795</v>
      </c>
      <c r="F2308" s="42"/>
    </row>
    <row r="2309" spans="1:6" x14ac:dyDescent="0.3">
      <c r="A2309" s="15" t="s">
        <v>33499</v>
      </c>
      <c r="B2309" s="15" t="s">
        <v>795</v>
      </c>
      <c r="C2309" s="15" t="s">
        <v>795</v>
      </c>
      <c r="D2309" s="15" t="s">
        <v>795</v>
      </c>
      <c r="F2309" s="42"/>
    </row>
    <row r="2310" spans="1:6" x14ac:dyDescent="0.3">
      <c r="A2310" s="15" t="s">
        <v>45150</v>
      </c>
      <c r="B2310" s="15" t="s">
        <v>5009</v>
      </c>
      <c r="C2310" s="15" t="s">
        <v>800</v>
      </c>
      <c r="D2310" s="15" t="s">
        <v>5010</v>
      </c>
      <c r="E2310" s="15">
        <v>1090.5844</v>
      </c>
      <c r="F2310" s="42">
        <v>46198</v>
      </c>
    </row>
    <row r="2311" spans="1:6" x14ac:dyDescent="0.3">
      <c r="A2311" s="15" t="s">
        <v>45149</v>
      </c>
      <c r="B2311" s="15" t="s">
        <v>5011</v>
      </c>
      <c r="C2311" s="15" t="s">
        <v>5012</v>
      </c>
      <c r="D2311" s="15" t="s">
        <v>5013</v>
      </c>
      <c r="E2311" s="15">
        <v>1090.5527999999999</v>
      </c>
      <c r="F2311" s="42">
        <v>46198</v>
      </c>
    </row>
    <row r="2312" spans="1:6" x14ac:dyDescent="0.3">
      <c r="A2312" s="15" t="s">
        <v>45148</v>
      </c>
      <c r="B2312" s="15" t="s">
        <v>5014</v>
      </c>
      <c r="C2312" s="15" t="s">
        <v>800</v>
      </c>
      <c r="D2312" s="15" t="s">
        <v>5015</v>
      </c>
      <c r="E2312" s="15">
        <v>1079.9386999999999</v>
      </c>
      <c r="F2312" s="42">
        <v>46198</v>
      </c>
    </row>
    <row r="2313" spans="1:6" x14ac:dyDescent="0.3">
      <c r="A2313" s="15" t="s">
        <v>45147</v>
      </c>
      <c r="B2313" s="15" t="s">
        <v>5016</v>
      </c>
      <c r="C2313" s="15" t="s">
        <v>5017</v>
      </c>
      <c r="D2313" s="15" t="s">
        <v>5018</v>
      </c>
      <c r="E2313" s="15">
        <v>1079.9383</v>
      </c>
      <c r="F2313" s="42">
        <v>46198</v>
      </c>
    </row>
    <row r="2314" spans="1:6" x14ac:dyDescent="0.3">
      <c r="A2314" s="15" t="s">
        <v>33499</v>
      </c>
      <c r="B2314" s="15" t="s">
        <v>795</v>
      </c>
      <c r="C2314" s="15" t="s">
        <v>795</v>
      </c>
      <c r="D2314" s="15" t="s">
        <v>795</v>
      </c>
      <c r="F2314" s="42"/>
    </row>
    <row r="2315" spans="1:6" x14ac:dyDescent="0.3">
      <c r="A2315" s="15" t="s">
        <v>37044</v>
      </c>
      <c r="B2315" s="15" t="s">
        <v>795</v>
      </c>
      <c r="C2315" s="15" t="s">
        <v>795</v>
      </c>
      <c r="D2315" s="15" t="s">
        <v>795</v>
      </c>
      <c r="F2315" s="42"/>
    </row>
    <row r="2316" spans="1:6" x14ac:dyDescent="0.3">
      <c r="A2316" s="15" t="s">
        <v>33499</v>
      </c>
      <c r="B2316" s="15" t="s">
        <v>795</v>
      </c>
      <c r="C2316" s="15" t="s">
        <v>795</v>
      </c>
      <c r="D2316" s="15" t="s">
        <v>795</v>
      </c>
      <c r="F2316" s="42"/>
    </row>
    <row r="2317" spans="1:6" x14ac:dyDescent="0.3">
      <c r="A2317" s="15" t="s">
        <v>45146</v>
      </c>
      <c r="B2317" s="15" t="s">
        <v>5019</v>
      </c>
      <c r="C2317" s="15" t="s">
        <v>800</v>
      </c>
      <c r="D2317" s="15" t="s">
        <v>5020</v>
      </c>
      <c r="E2317" s="15">
        <v>11.0016</v>
      </c>
      <c r="F2317" s="42">
        <v>46198</v>
      </c>
    </row>
    <row r="2318" spans="1:6" x14ac:dyDescent="0.3">
      <c r="A2318" s="15" t="s">
        <v>45145</v>
      </c>
      <c r="B2318" s="15" t="s">
        <v>5021</v>
      </c>
      <c r="C2318" s="15" t="s">
        <v>5022</v>
      </c>
      <c r="D2318" s="15" t="s">
        <v>5023</v>
      </c>
      <c r="E2318" s="15">
        <v>10.551399999999999</v>
      </c>
      <c r="F2318" s="42">
        <v>46198</v>
      </c>
    </row>
    <row r="2319" spans="1:6" x14ac:dyDescent="0.3">
      <c r="A2319" s="15" t="s">
        <v>45144</v>
      </c>
      <c r="B2319" s="15" t="s">
        <v>5024</v>
      </c>
      <c r="C2319" s="15" t="s">
        <v>800</v>
      </c>
      <c r="D2319" s="15" t="s">
        <v>5025</v>
      </c>
      <c r="E2319" s="15">
        <v>10.9251</v>
      </c>
      <c r="F2319" s="42">
        <v>46198</v>
      </c>
    </row>
    <row r="2320" spans="1:6" x14ac:dyDescent="0.3">
      <c r="A2320" s="15" t="s">
        <v>45143</v>
      </c>
      <c r="B2320" s="15" t="s">
        <v>5026</v>
      </c>
      <c r="C2320" s="15" t="s">
        <v>5027</v>
      </c>
      <c r="D2320" s="15" t="s">
        <v>5028</v>
      </c>
      <c r="E2320" s="15">
        <v>10.4956</v>
      </c>
      <c r="F2320" s="42">
        <v>46198</v>
      </c>
    </row>
    <row r="2321" spans="1:6" x14ac:dyDescent="0.3">
      <c r="A2321" s="15" t="s">
        <v>45142</v>
      </c>
      <c r="B2321" s="15" t="s">
        <v>5029</v>
      </c>
      <c r="C2321" s="15" t="s">
        <v>800</v>
      </c>
      <c r="D2321" s="15" t="s">
        <v>5030</v>
      </c>
      <c r="E2321" s="15">
        <v>28.6858</v>
      </c>
      <c r="F2321" s="42">
        <v>44780</v>
      </c>
    </row>
    <row r="2322" spans="1:6" x14ac:dyDescent="0.3">
      <c r="A2322" s="15" t="s">
        <v>45141</v>
      </c>
      <c r="B2322" s="15" t="s">
        <v>5031</v>
      </c>
      <c r="C2322" s="15" t="s">
        <v>5032</v>
      </c>
      <c r="D2322" s="15" t="s">
        <v>5033</v>
      </c>
      <c r="E2322" s="15">
        <v>13.3317</v>
      </c>
      <c r="F2322" s="42">
        <v>44780</v>
      </c>
    </row>
    <row r="2323" spans="1:6" x14ac:dyDescent="0.3">
      <c r="A2323" s="15" t="s">
        <v>45140</v>
      </c>
      <c r="B2323" s="15" t="s">
        <v>5034</v>
      </c>
      <c r="C2323" s="15" t="s">
        <v>5035</v>
      </c>
      <c r="D2323" s="15" t="s">
        <v>5036</v>
      </c>
      <c r="E2323" s="15">
        <v>13.100899999999999</v>
      </c>
      <c r="F2323" s="42">
        <v>44780</v>
      </c>
    </row>
    <row r="2324" spans="1:6" x14ac:dyDescent="0.3">
      <c r="A2324" s="15" t="s">
        <v>45139</v>
      </c>
      <c r="B2324" s="15" t="s">
        <v>5037</v>
      </c>
      <c r="C2324" s="15" t="s">
        <v>800</v>
      </c>
      <c r="D2324" s="15" t="s">
        <v>5038</v>
      </c>
      <c r="E2324" s="15">
        <v>32.607100000000003</v>
      </c>
      <c r="F2324" s="42">
        <v>44780</v>
      </c>
    </row>
    <row r="2325" spans="1:6" x14ac:dyDescent="0.3">
      <c r="A2325" s="15" t="s">
        <v>45138</v>
      </c>
      <c r="B2325" s="15" t="s">
        <v>5039</v>
      </c>
      <c r="C2325" s="15" t="s">
        <v>5040</v>
      </c>
      <c r="D2325" s="15" t="s">
        <v>5041</v>
      </c>
      <c r="E2325" s="15">
        <v>15.0351</v>
      </c>
      <c r="F2325" s="42">
        <v>44780</v>
      </c>
    </row>
    <row r="2326" spans="1:6" x14ac:dyDescent="0.3">
      <c r="A2326" s="15" t="s">
        <v>45137</v>
      </c>
      <c r="B2326" s="15" t="s">
        <v>5042</v>
      </c>
      <c r="C2326" s="15" t="s">
        <v>5043</v>
      </c>
      <c r="D2326" s="15" t="s">
        <v>5044</v>
      </c>
      <c r="E2326" s="15">
        <v>14.7667</v>
      </c>
      <c r="F2326" s="42">
        <v>44780</v>
      </c>
    </row>
    <row r="2327" spans="1:6" x14ac:dyDescent="0.3">
      <c r="A2327" s="15" t="s">
        <v>45136</v>
      </c>
      <c r="B2327" s="15" t="s">
        <v>5045</v>
      </c>
      <c r="C2327" s="15" t="s">
        <v>800</v>
      </c>
      <c r="D2327" s="15" t="s">
        <v>5046</v>
      </c>
      <c r="E2327" s="15">
        <v>0</v>
      </c>
      <c r="F2327" s="42">
        <v>44032</v>
      </c>
    </row>
    <row r="2328" spans="1:6" x14ac:dyDescent="0.3">
      <c r="A2328" s="15" t="s">
        <v>45135</v>
      </c>
      <c r="B2328" s="15" t="s">
        <v>5047</v>
      </c>
      <c r="C2328" s="15" t="s">
        <v>800</v>
      </c>
      <c r="D2328" s="15" t="s">
        <v>5048</v>
      </c>
      <c r="E2328" s="15">
        <v>0</v>
      </c>
      <c r="F2328" s="42">
        <v>44032</v>
      </c>
    </row>
    <row r="2329" spans="1:6" x14ac:dyDescent="0.3">
      <c r="A2329" s="15" t="s">
        <v>45134</v>
      </c>
      <c r="B2329" s="15" t="s">
        <v>5049</v>
      </c>
      <c r="C2329" s="15" t="s">
        <v>800</v>
      </c>
      <c r="D2329" s="15" t="s">
        <v>5050</v>
      </c>
      <c r="E2329" s="15">
        <v>0</v>
      </c>
      <c r="F2329" s="42">
        <v>44032</v>
      </c>
    </row>
    <row r="2330" spans="1:6" x14ac:dyDescent="0.3">
      <c r="A2330" s="15" t="s">
        <v>45133</v>
      </c>
      <c r="B2330" s="15" t="s">
        <v>5051</v>
      </c>
      <c r="C2330" s="15" t="s">
        <v>800</v>
      </c>
      <c r="D2330" s="15" t="s">
        <v>5052</v>
      </c>
      <c r="E2330" s="15">
        <v>0</v>
      </c>
      <c r="F2330" s="42">
        <v>44032</v>
      </c>
    </row>
    <row r="2331" spans="1:6" x14ac:dyDescent="0.3">
      <c r="A2331" s="15" t="s">
        <v>45132</v>
      </c>
      <c r="B2331" s="15" t="s">
        <v>5053</v>
      </c>
      <c r="C2331" s="15" t="s">
        <v>800</v>
      </c>
      <c r="D2331" s="15" t="s">
        <v>5054</v>
      </c>
      <c r="E2331" s="15">
        <v>0</v>
      </c>
      <c r="F2331" s="42">
        <v>44032</v>
      </c>
    </row>
    <row r="2332" spans="1:6" x14ac:dyDescent="0.3">
      <c r="A2332" s="15" t="s">
        <v>45131</v>
      </c>
      <c r="B2332" s="15" t="s">
        <v>5055</v>
      </c>
      <c r="C2332" s="15" t="s">
        <v>800</v>
      </c>
      <c r="D2332" s="15" t="s">
        <v>5056</v>
      </c>
      <c r="E2332" s="15">
        <v>0</v>
      </c>
      <c r="F2332" s="42">
        <v>44032</v>
      </c>
    </row>
    <row r="2333" spans="1:6" x14ac:dyDescent="0.3">
      <c r="A2333" s="15" t="s">
        <v>45130</v>
      </c>
      <c r="B2333" s="15" t="s">
        <v>5057</v>
      </c>
      <c r="C2333" s="15" t="s">
        <v>800</v>
      </c>
      <c r="D2333" s="15" t="s">
        <v>5058</v>
      </c>
      <c r="E2333" s="15">
        <v>0</v>
      </c>
      <c r="F2333" s="42">
        <v>45180</v>
      </c>
    </row>
    <row r="2334" spans="1:6" x14ac:dyDescent="0.3">
      <c r="A2334" s="15" t="s">
        <v>45129</v>
      </c>
      <c r="B2334" s="15" t="s">
        <v>5059</v>
      </c>
      <c r="C2334" s="15" t="s">
        <v>800</v>
      </c>
      <c r="D2334" s="15" t="s">
        <v>5060</v>
      </c>
      <c r="E2334" s="15">
        <v>0</v>
      </c>
      <c r="F2334" s="42">
        <v>45180</v>
      </c>
    </row>
    <row r="2335" spans="1:6" x14ac:dyDescent="0.3">
      <c r="A2335" s="15" t="s">
        <v>45128</v>
      </c>
      <c r="B2335" s="15" t="s">
        <v>5061</v>
      </c>
      <c r="C2335" s="15" t="s">
        <v>800</v>
      </c>
      <c r="D2335" s="15" t="s">
        <v>5062</v>
      </c>
      <c r="E2335" s="15">
        <v>0</v>
      </c>
      <c r="F2335" s="42">
        <v>45180</v>
      </c>
    </row>
    <row r="2336" spans="1:6" x14ac:dyDescent="0.3">
      <c r="A2336" s="15" t="s">
        <v>45127</v>
      </c>
      <c r="B2336" s="15" t="s">
        <v>5063</v>
      </c>
      <c r="C2336" s="15" t="s">
        <v>800</v>
      </c>
      <c r="D2336" s="15" t="s">
        <v>5064</v>
      </c>
      <c r="E2336" s="15">
        <v>0</v>
      </c>
      <c r="F2336" s="42">
        <v>45180</v>
      </c>
    </row>
    <row r="2337" spans="1:6" x14ac:dyDescent="0.3">
      <c r="A2337" s="15" t="s">
        <v>45126</v>
      </c>
      <c r="B2337" s="15" t="s">
        <v>5065</v>
      </c>
      <c r="C2337" s="15" t="s">
        <v>800</v>
      </c>
      <c r="D2337" s="15" t="s">
        <v>5066</v>
      </c>
      <c r="E2337" s="15">
        <v>0</v>
      </c>
      <c r="F2337" s="42">
        <v>45180</v>
      </c>
    </row>
    <row r="2338" spans="1:6" x14ac:dyDescent="0.3">
      <c r="A2338" s="15" t="s">
        <v>45125</v>
      </c>
      <c r="B2338" s="15" t="s">
        <v>5067</v>
      </c>
      <c r="C2338" s="15" t="s">
        <v>800</v>
      </c>
      <c r="D2338" s="15" t="s">
        <v>5068</v>
      </c>
      <c r="E2338" s="15">
        <v>0</v>
      </c>
      <c r="F2338" s="42">
        <v>45180</v>
      </c>
    </row>
    <row r="2339" spans="1:6" x14ac:dyDescent="0.3">
      <c r="A2339" s="15" t="s">
        <v>33499</v>
      </c>
      <c r="B2339" s="15" t="s">
        <v>795</v>
      </c>
      <c r="C2339" s="15" t="s">
        <v>795</v>
      </c>
      <c r="D2339" s="15" t="s">
        <v>795</v>
      </c>
      <c r="F2339" s="42"/>
    </row>
    <row r="2340" spans="1:6" x14ac:dyDescent="0.3">
      <c r="A2340" s="15" t="s">
        <v>37043</v>
      </c>
      <c r="B2340" s="15" t="s">
        <v>795</v>
      </c>
      <c r="C2340" s="15" t="s">
        <v>795</v>
      </c>
      <c r="D2340" s="15" t="s">
        <v>795</v>
      </c>
      <c r="F2340" s="42"/>
    </row>
    <row r="2341" spans="1:6" x14ac:dyDescent="0.3">
      <c r="A2341" s="15" t="s">
        <v>33499</v>
      </c>
      <c r="B2341" s="15" t="s">
        <v>795</v>
      </c>
      <c r="C2341" s="15" t="s">
        <v>795</v>
      </c>
      <c r="D2341" s="15" t="s">
        <v>795</v>
      </c>
      <c r="F2341" s="42"/>
    </row>
    <row r="2342" spans="1:6" x14ac:dyDescent="0.3">
      <c r="A2342" s="15" t="s">
        <v>45124</v>
      </c>
      <c r="B2342" s="15" t="s">
        <v>800</v>
      </c>
      <c r="C2342" s="15" t="s">
        <v>5069</v>
      </c>
      <c r="D2342" s="15" t="s">
        <v>5070</v>
      </c>
      <c r="E2342" s="15">
        <v>10.142799999999999</v>
      </c>
      <c r="F2342" s="42">
        <v>46198</v>
      </c>
    </row>
    <row r="2343" spans="1:6" x14ac:dyDescent="0.3">
      <c r="A2343" s="15" t="s">
        <v>45123</v>
      </c>
      <c r="B2343" s="15" t="s">
        <v>800</v>
      </c>
      <c r="C2343" s="15" t="s">
        <v>5071</v>
      </c>
      <c r="D2343" s="15" t="s">
        <v>5072</v>
      </c>
      <c r="E2343" s="15">
        <v>10.0655</v>
      </c>
      <c r="F2343" s="42">
        <v>46198</v>
      </c>
    </row>
    <row r="2344" spans="1:6" x14ac:dyDescent="0.3">
      <c r="A2344" s="15" t="s">
        <v>45122</v>
      </c>
      <c r="B2344" s="15" t="s">
        <v>5073</v>
      </c>
      <c r="C2344" s="15" t="s">
        <v>800</v>
      </c>
      <c r="D2344" s="15" t="s">
        <v>5074</v>
      </c>
      <c r="E2344" s="15">
        <v>66.673400000000001</v>
      </c>
      <c r="F2344" s="42">
        <v>46198</v>
      </c>
    </row>
    <row r="2345" spans="1:6" x14ac:dyDescent="0.3">
      <c r="A2345" s="15" t="s">
        <v>45121</v>
      </c>
      <c r="B2345" s="15" t="s">
        <v>5075</v>
      </c>
      <c r="C2345" s="15" t="s">
        <v>5076</v>
      </c>
      <c r="D2345" s="15" t="s">
        <v>5077</v>
      </c>
      <c r="E2345" s="15">
        <v>10.255800000000001</v>
      </c>
      <c r="F2345" s="42">
        <v>46198</v>
      </c>
    </row>
    <row r="2346" spans="1:6" x14ac:dyDescent="0.3">
      <c r="A2346" s="15" t="s">
        <v>45120</v>
      </c>
      <c r="B2346" s="15" t="s">
        <v>5078</v>
      </c>
      <c r="C2346" s="15" t="s">
        <v>5079</v>
      </c>
      <c r="D2346" s="15" t="s">
        <v>5080</v>
      </c>
      <c r="E2346" s="15">
        <v>10.075100000000001</v>
      </c>
      <c r="F2346" s="42">
        <v>46198</v>
      </c>
    </row>
    <row r="2347" spans="1:6" x14ac:dyDescent="0.3">
      <c r="A2347" s="15" t="s">
        <v>45119</v>
      </c>
      <c r="B2347" s="15" t="s">
        <v>5081</v>
      </c>
      <c r="C2347" s="15" t="s">
        <v>800</v>
      </c>
      <c r="D2347" s="15" t="s">
        <v>5082</v>
      </c>
      <c r="E2347" s="15">
        <v>61.118099999999998</v>
      </c>
      <c r="F2347" s="42">
        <v>46198</v>
      </c>
    </row>
    <row r="2348" spans="1:6" x14ac:dyDescent="0.3">
      <c r="A2348" s="15" t="s">
        <v>45118</v>
      </c>
      <c r="B2348" s="15" t="s">
        <v>5083</v>
      </c>
      <c r="C2348" s="15" t="s">
        <v>5084</v>
      </c>
      <c r="D2348" s="15" t="s">
        <v>5085</v>
      </c>
      <c r="E2348" s="15">
        <v>10.2454</v>
      </c>
      <c r="F2348" s="42">
        <v>46198</v>
      </c>
    </row>
    <row r="2349" spans="1:6" x14ac:dyDescent="0.3">
      <c r="A2349" s="15" t="s">
        <v>45117</v>
      </c>
      <c r="B2349" s="15" t="s">
        <v>5086</v>
      </c>
      <c r="C2349" s="15" t="s">
        <v>5087</v>
      </c>
      <c r="D2349" s="15" t="s">
        <v>5088</v>
      </c>
      <c r="E2349" s="15">
        <v>10.0746</v>
      </c>
      <c r="F2349" s="42">
        <v>46198</v>
      </c>
    </row>
    <row r="2350" spans="1:6" x14ac:dyDescent="0.3">
      <c r="A2350" s="15" t="s">
        <v>45116</v>
      </c>
      <c r="B2350" s="15" t="s">
        <v>800</v>
      </c>
      <c r="C2350" s="15" t="s">
        <v>5089</v>
      </c>
      <c r="D2350" s="15" t="s">
        <v>5090</v>
      </c>
      <c r="E2350" s="15">
        <v>10.157400000000001</v>
      </c>
      <c r="F2350" s="42">
        <v>43595</v>
      </c>
    </row>
    <row r="2351" spans="1:6" x14ac:dyDescent="0.3">
      <c r="A2351" s="15" t="s">
        <v>45115</v>
      </c>
      <c r="B2351" s="15" t="s">
        <v>5091</v>
      </c>
      <c r="C2351" s="15" t="s">
        <v>5092</v>
      </c>
      <c r="D2351" s="15" t="s">
        <v>5093</v>
      </c>
      <c r="E2351" s="15">
        <v>10.185600000000001</v>
      </c>
      <c r="F2351" s="42">
        <v>43595</v>
      </c>
    </row>
    <row r="2352" spans="1:6" x14ac:dyDescent="0.3">
      <c r="A2352" s="15" t="s">
        <v>45114</v>
      </c>
      <c r="B2352" s="15" t="s">
        <v>5094</v>
      </c>
      <c r="C2352" s="15" t="s">
        <v>800</v>
      </c>
      <c r="D2352" s="15" t="s">
        <v>5095</v>
      </c>
      <c r="E2352" s="15">
        <v>10.173400000000001</v>
      </c>
      <c r="F2352" s="42">
        <v>43595</v>
      </c>
    </row>
    <row r="2353" spans="1:6" x14ac:dyDescent="0.3">
      <c r="A2353" s="15" t="s">
        <v>45113</v>
      </c>
      <c r="B2353" s="15" t="s">
        <v>5096</v>
      </c>
      <c r="C2353" s="15" t="s">
        <v>800</v>
      </c>
      <c r="D2353" s="15" t="s">
        <v>5097</v>
      </c>
      <c r="E2353" s="15">
        <v>41.8371</v>
      </c>
      <c r="F2353" s="42">
        <v>43595</v>
      </c>
    </row>
    <row r="2354" spans="1:6" x14ac:dyDescent="0.3">
      <c r="A2354" s="15" t="s">
        <v>33499</v>
      </c>
      <c r="B2354" s="15" t="s">
        <v>795</v>
      </c>
      <c r="C2354" s="15" t="s">
        <v>795</v>
      </c>
      <c r="D2354" s="15" t="s">
        <v>795</v>
      </c>
      <c r="F2354" s="42"/>
    </row>
    <row r="2355" spans="1:6" x14ac:dyDescent="0.3">
      <c r="A2355" s="15" t="s">
        <v>36815</v>
      </c>
      <c r="B2355" s="15" t="s">
        <v>795</v>
      </c>
      <c r="C2355" s="15" t="s">
        <v>795</v>
      </c>
      <c r="D2355" s="15" t="s">
        <v>795</v>
      </c>
      <c r="F2355" s="42"/>
    </row>
    <row r="2356" spans="1:6" x14ac:dyDescent="0.3">
      <c r="A2356" s="15" t="s">
        <v>33499</v>
      </c>
      <c r="B2356" s="15" t="s">
        <v>795</v>
      </c>
      <c r="C2356" s="15" t="s">
        <v>795</v>
      </c>
      <c r="D2356" s="15" t="s">
        <v>795</v>
      </c>
      <c r="F2356" s="42"/>
    </row>
    <row r="2357" spans="1:6" x14ac:dyDescent="0.3">
      <c r="A2357" s="15" t="s">
        <v>45112</v>
      </c>
      <c r="B2357" s="15" t="s">
        <v>5098</v>
      </c>
      <c r="C2357" s="15" t="s">
        <v>5099</v>
      </c>
      <c r="D2357" s="15" t="s">
        <v>5100</v>
      </c>
      <c r="E2357" s="15">
        <v>10.491899999999999</v>
      </c>
      <c r="F2357" s="42">
        <v>46198</v>
      </c>
    </row>
    <row r="2358" spans="1:6" x14ac:dyDescent="0.3">
      <c r="A2358" s="15" t="s">
        <v>45111</v>
      </c>
      <c r="B2358" s="15" t="s">
        <v>5101</v>
      </c>
      <c r="C2358" s="15" t="s">
        <v>800</v>
      </c>
      <c r="D2358" s="15" t="s">
        <v>5102</v>
      </c>
      <c r="E2358" s="15">
        <v>32.241599999999998</v>
      </c>
      <c r="F2358" s="42">
        <v>46198</v>
      </c>
    </row>
    <row r="2359" spans="1:6" x14ac:dyDescent="0.3">
      <c r="A2359" s="15" t="s">
        <v>45110</v>
      </c>
      <c r="B2359" s="15" t="s">
        <v>5103</v>
      </c>
      <c r="C2359" s="15" t="s">
        <v>5104</v>
      </c>
      <c r="D2359" s="15" t="s">
        <v>5105</v>
      </c>
      <c r="E2359" s="15">
        <v>11.1768</v>
      </c>
      <c r="F2359" s="42">
        <v>46198</v>
      </c>
    </row>
    <row r="2360" spans="1:6" x14ac:dyDescent="0.3">
      <c r="A2360" s="15" t="s">
        <v>45109</v>
      </c>
      <c r="B2360" s="15" t="s">
        <v>5106</v>
      </c>
      <c r="C2360" s="15" t="s">
        <v>5107</v>
      </c>
      <c r="D2360" s="15" t="s">
        <v>5108</v>
      </c>
      <c r="E2360" s="15">
        <v>10.3089</v>
      </c>
      <c r="F2360" s="42">
        <v>46198</v>
      </c>
    </row>
    <row r="2361" spans="1:6" x14ac:dyDescent="0.3">
      <c r="A2361" s="15" t="s">
        <v>45108</v>
      </c>
      <c r="B2361" s="15" t="s">
        <v>5109</v>
      </c>
      <c r="C2361" s="15" t="s">
        <v>800</v>
      </c>
      <c r="D2361" s="15" t="s">
        <v>5110</v>
      </c>
      <c r="E2361" s="15">
        <v>30.4253</v>
      </c>
      <c r="F2361" s="42">
        <v>46198</v>
      </c>
    </row>
    <row r="2362" spans="1:6" x14ac:dyDescent="0.3">
      <c r="A2362" s="15" t="s">
        <v>45107</v>
      </c>
      <c r="B2362" s="15" t="s">
        <v>5111</v>
      </c>
      <c r="C2362" s="15" t="s">
        <v>5112</v>
      </c>
      <c r="D2362" s="15" t="s">
        <v>5113</v>
      </c>
      <c r="E2362" s="15">
        <v>10.4542</v>
      </c>
      <c r="F2362" s="42">
        <v>46198</v>
      </c>
    </row>
    <row r="2363" spans="1:6" x14ac:dyDescent="0.3">
      <c r="A2363" s="15" t="s">
        <v>33499</v>
      </c>
      <c r="B2363" s="15" t="s">
        <v>795</v>
      </c>
      <c r="C2363" s="15" t="s">
        <v>795</v>
      </c>
      <c r="D2363" s="15" t="s">
        <v>795</v>
      </c>
      <c r="F2363" s="42"/>
    </row>
    <row r="2364" spans="1:6" x14ac:dyDescent="0.3">
      <c r="A2364" s="15" t="s">
        <v>36764</v>
      </c>
      <c r="B2364" s="15" t="s">
        <v>795</v>
      </c>
      <c r="C2364" s="15" t="s">
        <v>795</v>
      </c>
      <c r="D2364" s="15" t="s">
        <v>795</v>
      </c>
      <c r="F2364" s="42"/>
    </row>
    <row r="2365" spans="1:6" x14ac:dyDescent="0.3">
      <c r="A2365" s="15" t="s">
        <v>33499</v>
      </c>
      <c r="B2365" s="15" t="s">
        <v>795</v>
      </c>
      <c r="C2365" s="15" t="s">
        <v>795</v>
      </c>
      <c r="D2365" s="15" t="s">
        <v>795</v>
      </c>
      <c r="F2365" s="42"/>
    </row>
    <row r="2366" spans="1:6" x14ac:dyDescent="0.3">
      <c r="A2366" s="15" t="s">
        <v>45106</v>
      </c>
      <c r="B2366" s="15" t="s">
        <v>5114</v>
      </c>
      <c r="C2366" s="15" t="s">
        <v>800</v>
      </c>
      <c r="D2366" s="15" t="s">
        <v>5115</v>
      </c>
      <c r="E2366" s="15">
        <v>154.94460000000001</v>
      </c>
      <c r="F2366" s="42">
        <v>43945</v>
      </c>
    </row>
    <row r="2367" spans="1:6" x14ac:dyDescent="0.3">
      <c r="A2367" s="15" t="s">
        <v>45105</v>
      </c>
      <c r="B2367" s="15" t="s">
        <v>5116</v>
      </c>
      <c r="C2367" s="15" t="s">
        <v>800</v>
      </c>
      <c r="D2367" s="15" t="s">
        <v>5117</v>
      </c>
      <c r="E2367" s="15">
        <v>105.7358</v>
      </c>
      <c r="F2367" s="42">
        <v>46198</v>
      </c>
    </row>
    <row r="2368" spans="1:6" x14ac:dyDescent="0.3">
      <c r="A2368" s="15" t="s">
        <v>45104</v>
      </c>
      <c r="B2368" s="15" t="s">
        <v>800</v>
      </c>
      <c r="C2368" s="15" t="s">
        <v>5118</v>
      </c>
      <c r="D2368" s="15" t="s">
        <v>5119</v>
      </c>
      <c r="E2368" s="15">
        <v>105.7358</v>
      </c>
      <c r="F2368" s="42">
        <v>46198</v>
      </c>
    </row>
    <row r="2369" spans="1:6" x14ac:dyDescent="0.3">
      <c r="A2369" s="15" t="s">
        <v>45103</v>
      </c>
      <c r="B2369" s="15" t="s">
        <v>5120</v>
      </c>
      <c r="C2369" s="15" t="s">
        <v>5121</v>
      </c>
      <c r="D2369" s="15" t="s">
        <v>5122</v>
      </c>
      <c r="E2369" s="15">
        <v>101.96250000000001</v>
      </c>
      <c r="F2369" s="42">
        <v>46198</v>
      </c>
    </row>
    <row r="2370" spans="1:6" x14ac:dyDescent="0.3">
      <c r="A2370" s="15" t="s">
        <v>45102</v>
      </c>
      <c r="B2370" s="15" t="s">
        <v>5123</v>
      </c>
      <c r="C2370" s="15" t="s">
        <v>800</v>
      </c>
      <c r="D2370" s="15" t="s">
        <v>5124</v>
      </c>
      <c r="E2370" s="15">
        <v>587.45889999999997</v>
      </c>
      <c r="F2370" s="42">
        <v>46198</v>
      </c>
    </row>
    <row r="2371" spans="1:6" x14ac:dyDescent="0.3">
      <c r="A2371" s="15" t="s">
        <v>45101</v>
      </c>
      <c r="B2371" s="15" t="s">
        <v>5125</v>
      </c>
      <c r="C2371" s="15" t="s">
        <v>5126</v>
      </c>
      <c r="D2371" s="15" t="s">
        <v>5127</v>
      </c>
      <c r="E2371" s="15">
        <v>197.11320000000001</v>
      </c>
      <c r="F2371" s="42">
        <v>46198</v>
      </c>
    </row>
    <row r="2372" spans="1:6" x14ac:dyDescent="0.3">
      <c r="A2372" s="15" t="s">
        <v>45100</v>
      </c>
      <c r="B2372" s="15" t="s">
        <v>5128</v>
      </c>
      <c r="C2372" s="15" t="s">
        <v>5129</v>
      </c>
      <c r="D2372" s="15" t="s">
        <v>5130</v>
      </c>
      <c r="E2372" s="15">
        <v>102.685</v>
      </c>
      <c r="F2372" s="42">
        <v>46198</v>
      </c>
    </row>
    <row r="2373" spans="1:6" x14ac:dyDescent="0.3">
      <c r="A2373" s="15" t="s">
        <v>45099</v>
      </c>
      <c r="B2373" s="15" t="s">
        <v>5131</v>
      </c>
      <c r="C2373" s="15" t="s">
        <v>5132</v>
      </c>
      <c r="D2373" s="15" t="s">
        <v>5133</v>
      </c>
      <c r="E2373" s="15">
        <v>110.2</v>
      </c>
      <c r="F2373" s="42">
        <v>46198</v>
      </c>
    </row>
    <row r="2374" spans="1:6" x14ac:dyDescent="0.3">
      <c r="A2374" s="15" t="s">
        <v>45098</v>
      </c>
      <c r="B2374" s="15" t="s">
        <v>5134</v>
      </c>
      <c r="C2374" s="15" t="s">
        <v>5135</v>
      </c>
      <c r="D2374" s="15" t="s">
        <v>5136</v>
      </c>
      <c r="E2374" s="15">
        <v>105.6647</v>
      </c>
      <c r="F2374" s="42">
        <v>46198</v>
      </c>
    </row>
    <row r="2375" spans="1:6" x14ac:dyDescent="0.3">
      <c r="A2375" s="15" t="s">
        <v>45097</v>
      </c>
      <c r="B2375" s="15" t="s">
        <v>5137</v>
      </c>
      <c r="C2375" s="15" t="s">
        <v>800</v>
      </c>
      <c r="D2375" s="15" t="s">
        <v>5138</v>
      </c>
      <c r="E2375" s="15">
        <v>123.89230000000001</v>
      </c>
      <c r="F2375" s="42">
        <v>42809</v>
      </c>
    </row>
    <row r="2376" spans="1:6" x14ac:dyDescent="0.3">
      <c r="A2376" s="15" t="s">
        <v>45096</v>
      </c>
      <c r="B2376" s="15" t="s">
        <v>5139</v>
      </c>
      <c r="C2376" s="15" t="s">
        <v>5140</v>
      </c>
      <c r="D2376" s="15" t="s">
        <v>5141</v>
      </c>
      <c r="E2376" s="15">
        <v>101.9584</v>
      </c>
      <c r="F2376" s="42">
        <v>46198</v>
      </c>
    </row>
    <row r="2377" spans="1:6" x14ac:dyDescent="0.3">
      <c r="A2377" s="15" t="s">
        <v>45095</v>
      </c>
      <c r="B2377" s="15" t="s">
        <v>5142</v>
      </c>
      <c r="C2377" s="15" t="s">
        <v>800</v>
      </c>
      <c r="D2377" s="15" t="s">
        <v>5143</v>
      </c>
      <c r="E2377" s="15">
        <v>578.7826</v>
      </c>
      <c r="F2377" s="42">
        <v>46198</v>
      </c>
    </row>
    <row r="2378" spans="1:6" x14ac:dyDescent="0.3">
      <c r="A2378" s="15" t="s">
        <v>45094</v>
      </c>
      <c r="B2378" s="15" t="s">
        <v>5144</v>
      </c>
      <c r="C2378" s="15" t="s">
        <v>5145</v>
      </c>
      <c r="D2378" s="15" t="s">
        <v>5146</v>
      </c>
      <c r="E2378" s="15">
        <v>193.99870000000001</v>
      </c>
      <c r="F2378" s="42">
        <v>46198</v>
      </c>
    </row>
    <row r="2379" spans="1:6" x14ac:dyDescent="0.3">
      <c r="A2379" s="15" t="s">
        <v>45093</v>
      </c>
      <c r="B2379" s="15" t="s">
        <v>5147</v>
      </c>
      <c r="C2379" s="15" t="s">
        <v>5148</v>
      </c>
      <c r="D2379" s="15" t="s">
        <v>5149</v>
      </c>
      <c r="E2379" s="15">
        <v>102.6743</v>
      </c>
      <c r="F2379" s="42">
        <v>46198</v>
      </c>
    </row>
    <row r="2380" spans="1:6" x14ac:dyDescent="0.3">
      <c r="A2380" s="15" t="s">
        <v>45092</v>
      </c>
      <c r="B2380" s="15" t="s">
        <v>5150</v>
      </c>
      <c r="C2380" s="15" t="s">
        <v>5151</v>
      </c>
      <c r="D2380" s="15" t="s">
        <v>5152</v>
      </c>
      <c r="E2380" s="15">
        <v>109.92310000000001</v>
      </c>
      <c r="F2380" s="42">
        <v>46198</v>
      </c>
    </row>
    <row r="2381" spans="1:6" x14ac:dyDescent="0.3">
      <c r="A2381" s="15" t="s">
        <v>45091</v>
      </c>
      <c r="B2381" s="15" t="s">
        <v>5153</v>
      </c>
      <c r="C2381" s="15" t="s">
        <v>5154</v>
      </c>
      <c r="D2381" s="15" t="s">
        <v>5155</v>
      </c>
      <c r="E2381" s="15">
        <v>105.617</v>
      </c>
      <c r="F2381" s="42">
        <v>46198</v>
      </c>
    </row>
    <row r="2382" spans="1:6" x14ac:dyDescent="0.3">
      <c r="A2382" s="15" t="s">
        <v>45090</v>
      </c>
      <c r="B2382" s="15" t="s">
        <v>5156</v>
      </c>
      <c r="C2382" s="15" t="s">
        <v>5157</v>
      </c>
      <c r="D2382" s="15" t="s">
        <v>5158</v>
      </c>
      <c r="E2382" s="15">
        <v>100.1193</v>
      </c>
      <c r="F2382" s="42">
        <v>43945</v>
      </c>
    </row>
    <row r="2383" spans="1:6" x14ac:dyDescent="0.3">
      <c r="A2383" s="15" t="s">
        <v>45089</v>
      </c>
      <c r="B2383" s="15" t="s">
        <v>5159</v>
      </c>
      <c r="C2383" s="15" t="s">
        <v>800</v>
      </c>
      <c r="D2383" s="15" t="s">
        <v>5160</v>
      </c>
      <c r="E2383" s="15">
        <v>220.00810000000001</v>
      </c>
      <c r="F2383" s="42">
        <v>43945</v>
      </c>
    </row>
    <row r="2384" spans="1:6" x14ac:dyDescent="0.3">
      <c r="A2384" s="15" t="s">
        <v>45088</v>
      </c>
      <c r="B2384" s="15" t="s">
        <v>5161</v>
      </c>
      <c r="C2384" s="15" t="s">
        <v>5162</v>
      </c>
      <c r="D2384" s="15" t="s">
        <v>5163</v>
      </c>
      <c r="E2384" s="15">
        <v>100.956</v>
      </c>
      <c r="F2384" s="42">
        <v>43945</v>
      </c>
    </row>
    <row r="2385" spans="1:6" x14ac:dyDescent="0.3">
      <c r="A2385" s="15" t="s">
        <v>33499</v>
      </c>
      <c r="B2385" s="15" t="s">
        <v>795</v>
      </c>
      <c r="C2385" s="15" t="s">
        <v>795</v>
      </c>
      <c r="D2385" s="15" t="s">
        <v>795</v>
      </c>
      <c r="F2385" s="42"/>
    </row>
    <row r="2386" spans="1:6" x14ac:dyDescent="0.3">
      <c r="A2386" s="15" t="s">
        <v>37807</v>
      </c>
      <c r="B2386" s="15" t="s">
        <v>795</v>
      </c>
      <c r="C2386" s="15" t="s">
        <v>795</v>
      </c>
      <c r="D2386" s="15" t="s">
        <v>795</v>
      </c>
      <c r="F2386" s="42"/>
    </row>
    <row r="2387" spans="1:6" x14ac:dyDescent="0.3">
      <c r="A2387" s="15" t="s">
        <v>33499</v>
      </c>
      <c r="B2387" s="15" t="s">
        <v>795</v>
      </c>
      <c r="C2387" s="15" t="s">
        <v>795</v>
      </c>
      <c r="D2387" s="15" t="s">
        <v>795</v>
      </c>
      <c r="F2387" s="42"/>
    </row>
    <row r="2388" spans="1:6" x14ac:dyDescent="0.3">
      <c r="A2388" s="15" t="s">
        <v>45087</v>
      </c>
      <c r="B2388" s="15" t="s">
        <v>800</v>
      </c>
      <c r="C2388" s="15" t="s">
        <v>5164</v>
      </c>
      <c r="D2388" s="15" t="s">
        <v>5165</v>
      </c>
      <c r="E2388" s="15">
        <v>1017.9524</v>
      </c>
      <c r="F2388" s="42">
        <v>46198</v>
      </c>
    </row>
    <row r="2389" spans="1:6" x14ac:dyDescent="0.3">
      <c r="A2389" s="15" t="s">
        <v>45086</v>
      </c>
      <c r="B2389" s="15" t="s">
        <v>5166</v>
      </c>
      <c r="C2389" s="15" t="s">
        <v>5167</v>
      </c>
      <c r="D2389" s="15" t="s">
        <v>5168</v>
      </c>
      <c r="E2389" s="15">
        <v>4188.9648999999999</v>
      </c>
      <c r="F2389" s="42">
        <v>46198</v>
      </c>
    </row>
    <row r="2390" spans="1:6" x14ac:dyDescent="0.3">
      <c r="A2390" s="15" t="s">
        <v>45085</v>
      </c>
      <c r="B2390" s="15" t="s">
        <v>5169</v>
      </c>
      <c r="C2390" s="15" t="s">
        <v>800</v>
      </c>
      <c r="D2390" s="15" t="s">
        <v>5170</v>
      </c>
      <c r="E2390" s="15">
        <v>4187.0802000000003</v>
      </c>
      <c r="F2390" s="42">
        <v>46198</v>
      </c>
    </row>
    <row r="2391" spans="1:6" x14ac:dyDescent="0.3">
      <c r="A2391" s="15" t="s">
        <v>45084</v>
      </c>
      <c r="B2391" s="15" t="s">
        <v>5171</v>
      </c>
      <c r="C2391" s="15" t="s">
        <v>5172</v>
      </c>
      <c r="D2391" s="15" t="s">
        <v>5173</v>
      </c>
      <c r="E2391" s="15">
        <v>1096.2026000000001</v>
      </c>
      <c r="F2391" s="42">
        <v>46198</v>
      </c>
    </row>
    <row r="2392" spans="1:6" x14ac:dyDescent="0.3">
      <c r="A2392" s="15" t="s">
        <v>45083</v>
      </c>
      <c r="B2392" s="15" t="s">
        <v>5174</v>
      </c>
      <c r="C2392" s="15" t="s">
        <v>5175</v>
      </c>
      <c r="D2392" s="15" t="s">
        <v>5176</v>
      </c>
      <c r="E2392" s="15">
        <v>1207.7616</v>
      </c>
      <c r="F2392" s="42">
        <v>46198</v>
      </c>
    </row>
    <row r="2393" spans="1:6" x14ac:dyDescent="0.3">
      <c r="A2393" s="15" t="s">
        <v>45082</v>
      </c>
      <c r="B2393" s="15" t="s">
        <v>800</v>
      </c>
      <c r="C2393" s="15" t="s">
        <v>5177</v>
      </c>
      <c r="D2393" s="15" t="s">
        <v>5178</v>
      </c>
      <c r="E2393" s="15">
        <v>1018.9655</v>
      </c>
      <c r="F2393" s="42">
        <v>46198</v>
      </c>
    </row>
    <row r="2394" spans="1:6" x14ac:dyDescent="0.3">
      <c r="A2394" s="15" t="s">
        <v>45081</v>
      </c>
      <c r="B2394" s="15" t="s">
        <v>5179</v>
      </c>
      <c r="C2394" s="15" t="s">
        <v>5180</v>
      </c>
      <c r="D2394" s="15" t="s">
        <v>5181</v>
      </c>
      <c r="E2394" s="15">
        <v>4102.6881000000003</v>
      </c>
      <c r="F2394" s="42">
        <v>46198</v>
      </c>
    </row>
    <row r="2395" spans="1:6" x14ac:dyDescent="0.3">
      <c r="A2395" s="15" t="s">
        <v>45080</v>
      </c>
      <c r="B2395" s="15" t="s">
        <v>5182</v>
      </c>
      <c r="C2395" s="15" t="s">
        <v>800</v>
      </c>
      <c r="D2395" s="15" t="s">
        <v>5183</v>
      </c>
      <c r="E2395" s="15">
        <v>4008.6477</v>
      </c>
      <c r="F2395" s="42">
        <v>46198</v>
      </c>
    </row>
    <row r="2396" spans="1:6" x14ac:dyDescent="0.3">
      <c r="A2396" s="15" t="s">
        <v>45079</v>
      </c>
      <c r="B2396" s="15" t="s">
        <v>5184</v>
      </c>
      <c r="C2396" s="15" t="s">
        <v>5185</v>
      </c>
      <c r="D2396" s="15" t="s">
        <v>5186</v>
      </c>
      <c r="E2396" s="15">
        <v>1460.9335000000001</v>
      </c>
      <c r="F2396" s="42">
        <v>46198</v>
      </c>
    </row>
    <row r="2397" spans="1:6" x14ac:dyDescent="0.3">
      <c r="A2397" s="15" t="s">
        <v>45078</v>
      </c>
      <c r="B2397" s="15" t="s">
        <v>5187</v>
      </c>
      <c r="C2397" s="15" t="s">
        <v>800</v>
      </c>
      <c r="D2397" s="15" t="s">
        <v>5188</v>
      </c>
      <c r="E2397" s="15">
        <v>3548.4663999999998</v>
      </c>
      <c r="F2397" s="42">
        <v>46198</v>
      </c>
    </row>
    <row r="2398" spans="1:6" x14ac:dyDescent="0.3">
      <c r="A2398" s="15" t="s">
        <v>45077</v>
      </c>
      <c r="B2398" s="15" t="s">
        <v>800</v>
      </c>
      <c r="C2398" s="15" t="s">
        <v>5189</v>
      </c>
      <c r="D2398" s="15" t="s">
        <v>5190</v>
      </c>
      <c r="E2398" s="15">
        <v>1431.876</v>
      </c>
      <c r="F2398" s="42">
        <v>46198</v>
      </c>
    </row>
    <row r="2399" spans="1:6" x14ac:dyDescent="0.3">
      <c r="A2399" s="15" t="s">
        <v>45076</v>
      </c>
      <c r="B2399" s="15" t="s">
        <v>800</v>
      </c>
      <c r="C2399" s="15" t="s">
        <v>5191</v>
      </c>
      <c r="D2399" s="15" t="s">
        <v>5192</v>
      </c>
      <c r="E2399" s="15">
        <v>1447.0640000000001</v>
      </c>
      <c r="F2399" s="42">
        <v>46198</v>
      </c>
    </row>
    <row r="2400" spans="1:6" x14ac:dyDescent="0.3">
      <c r="A2400" s="15" t="s">
        <v>45075</v>
      </c>
      <c r="B2400" s="15" t="s">
        <v>800</v>
      </c>
      <c r="C2400" s="15" t="s">
        <v>5193</v>
      </c>
      <c r="D2400" s="15" t="s">
        <v>5194</v>
      </c>
      <c r="E2400" s="15">
        <v>1764.9043999999999</v>
      </c>
      <c r="F2400" s="42">
        <v>46198</v>
      </c>
    </row>
    <row r="2401" spans="1:6" x14ac:dyDescent="0.3">
      <c r="A2401" s="15" t="s">
        <v>45074</v>
      </c>
      <c r="B2401" s="15" t="s">
        <v>5195</v>
      </c>
      <c r="C2401" s="15" t="s">
        <v>5196</v>
      </c>
      <c r="D2401" s="15" t="s">
        <v>5197</v>
      </c>
      <c r="E2401" s="15">
        <v>1340.0515</v>
      </c>
      <c r="F2401" s="42">
        <v>46198</v>
      </c>
    </row>
    <row r="2402" spans="1:6" x14ac:dyDescent="0.3">
      <c r="A2402" s="15" t="s">
        <v>33499</v>
      </c>
      <c r="B2402" s="15" t="s">
        <v>795</v>
      </c>
      <c r="C2402" s="15" t="s">
        <v>795</v>
      </c>
      <c r="D2402" s="15" t="s">
        <v>795</v>
      </c>
      <c r="F2402" s="42"/>
    </row>
    <row r="2403" spans="1:6" x14ac:dyDescent="0.3">
      <c r="A2403" s="15" t="s">
        <v>38568</v>
      </c>
      <c r="B2403" s="15" t="s">
        <v>795</v>
      </c>
      <c r="C2403" s="15" t="s">
        <v>795</v>
      </c>
      <c r="D2403" s="15" t="s">
        <v>795</v>
      </c>
      <c r="F2403" s="42"/>
    </row>
    <row r="2404" spans="1:6" x14ac:dyDescent="0.3">
      <c r="A2404" s="15" t="s">
        <v>33499</v>
      </c>
      <c r="B2404" s="15" t="s">
        <v>795</v>
      </c>
      <c r="C2404" s="15" t="s">
        <v>795</v>
      </c>
      <c r="D2404" s="15" t="s">
        <v>795</v>
      </c>
      <c r="F2404" s="42"/>
    </row>
    <row r="2405" spans="1:6" x14ac:dyDescent="0.3">
      <c r="A2405" s="15" t="s">
        <v>45073</v>
      </c>
      <c r="B2405" s="15" t="s">
        <v>5198</v>
      </c>
      <c r="C2405" s="15" t="s">
        <v>800</v>
      </c>
      <c r="D2405" s="15" t="s">
        <v>5199</v>
      </c>
      <c r="E2405" s="15">
        <v>1028.3418999999999</v>
      </c>
      <c r="F2405" s="42">
        <v>46198</v>
      </c>
    </row>
    <row r="2406" spans="1:6" x14ac:dyDescent="0.3">
      <c r="A2406" s="15" t="s">
        <v>33499</v>
      </c>
      <c r="B2406" s="15" t="s">
        <v>795</v>
      </c>
      <c r="C2406" s="15" t="s">
        <v>795</v>
      </c>
      <c r="D2406" s="15" t="s">
        <v>795</v>
      </c>
      <c r="F2406" s="42"/>
    </row>
    <row r="2407" spans="1:6" x14ac:dyDescent="0.3">
      <c r="A2407" s="15" t="s">
        <v>40894</v>
      </c>
      <c r="B2407" s="15" t="s">
        <v>795</v>
      </c>
      <c r="C2407" s="15" t="s">
        <v>795</v>
      </c>
      <c r="D2407" s="15" t="s">
        <v>795</v>
      </c>
      <c r="F2407" s="42"/>
    </row>
    <row r="2408" spans="1:6" x14ac:dyDescent="0.3">
      <c r="A2408" s="15" t="s">
        <v>33499</v>
      </c>
      <c r="B2408" s="15" t="s">
        <v>795</v>
      </c>
      <c r="C2408" s="15" t="s">
        <v>795</v>
      </c>
      <c r="D2408" s="15" t="s">
        <v>795</v>
      </c>
      <c r="F2408" s="42"/>
    </row>
    <row r="2409" spans="1:6" x14ac:dyDescent="0.3">
      <c r="A2409" s="15" t="s">
        <v>45072</v>
      </c>
      <c r="B2409" s="15" t="s">
        <v>5200</v>
      </c>
      <c r="C2409" s="15" t="s">
        <v>800</v>
      </c>
      <c r="D2409" s="15" t="s">
        <v>5201</v>
      </c>
      <c r="E2409" s="15">
        <v>24.3779</v>
      </c>
      <c r="F2409" s="42">
        <v>46198</v>
      </c>
    </row>
    <row r="2410" spans="1:6" x14ac:dyDescent="0.3">
      <c r="A2410" s="15" t="s">
        <v>45071</v>
      </c>
      <c r="B2410" s="15" t="s">
        <v>800</v>
      </c>
      <c r="C2410" s="15" t="s">
        <v>5202</v>
      </c>
      <c r="D2410" s="15" t="s">
        <v>5203</v>
      </c>
      <c r="E2410" s="15">
        <v>10.85</v>
      </c>
      <c r="F2410" s="42">
        <v>46198</v>
      </c>
    </row>
    <row r="2411" spans="1:6" x14ac:dyDescent="0.3">
      <c r="A2411" s="15" t="s">
        <v>45070</v>
      </c>
      <c r="B2411" s="15" t="s">
        <v>800</v>
      </c>
      <c r="C2411" s="15" t="s">
        <v>5204</v>
      </c>
      <c r="D2411" s="15" t="s">
        <v>5205</v>
      </c>
      <c r="E2411" s="15">
        <v>11.1473</v>
      </c>
      <c r="F2411" s="42">
        <v>46198</v>
      </c>
    </row>
    <row r="2412" spans="1:6" x14ac:dyDescent="0.3">
      <c r="A2412" s="15" t="s">
        <v>45069</v>
      </c>
      <c r="B2412" s="15" t="s">
        <v>5206</v>
      </c>
      <c r="C2412" s="15" t="s">
        <v>800</v>
      </c>
      <c r="D2412" s="15" t="s">
        <v>5207</v>
      </c>
      <c r="E2412" s="15">
        <v>40.488399999999999</v>
      </c>
      <c r="F2412" s="42">
        <v>46198</v>
      </c>
    </row>
    <row r="2413" spans="1:6" x14ac:dyDescent="0.3">
      <c r="A2413" s="15" t="s">
        <v>45068</v>
      </c>
      <c r="B2413" s="15" t="s">
        <v>800</v>
      </c>
      <c r="C2413" s="15" t="s">
        <v>5208</v>
      </c>
      <c r="D2413" s="15" t="s">
        <v>5209</v>
      </c>
      <c r="E2413" s="15">
        <v>11.465400000000001</v>
      </c>
      <c r="F2413" s="42">
        <v>46198</v>
      </c>
    </row>
    <row r="2414" spans="1:6" x14ac:dyDescent="0.3">
      <c r="A2414" s="15" t="s">
        <v>45067</v>
      </c>
      <c r="B2414" s="15" t="s">
        <v>800</v>
      </c>
      <c r="C2414" s="15" t="s">
        <v>5210</v>
      </c>
      <c r="D2414" s="15" t="s">
        <v>5211</v>
      </c>
      <c r="E2414" s="15">
        <v>10.82</v>
      </c>
      <c r="F2414" s="42">
        <v>46198</v>
      </c>
    </row>
    <row r="2415" spans="1:6" x14ac:dyDescent="0.3">
      <c r="A2415" s="15" t="s">
        <v>45066</v>
      </c>
      <c r="B2415" s="15" t="s">
        <v>800</v>
      </c>
      <c r="C2415" s="15" t="s">
        <v>5212</v>
      </c>
      <c r="D2415" s="15" t="s">
        <v>5213</v>
      </c>
      <c r="E2415" s="15">
        <v>11.106</v>
      </c>
      <c r="F2415" s="42">
        <v>46198</v>
      </c>
    </row>
    <row r="2416" spans="1:6" x14ac:dyDescent="0.3">
      <c r="A2416" s="15" t="s">
        <v>45065</v>
      </c>
      <c r="B2416" s="15" t="s">
        <v>5214</v>
      </c>
      <c r="C2416" s="15" t="s">
        <v>800</v>
      </c>
      <c r="D2416" s="15" t="s">
        <v>5215</v>
      </c>
      <c r="E2416" s="15">
        <v>39.224699999999999</v>
      </c>
      <c r="F2416" s="42">
        <v>46198</v>
      </c>
    </row>
    <row r="2417" spans="1:6" x14ac:dyDescent="0.3">
      <c r="A2417" s="15" t="s">
        <v>45064</v>
      </c>
      <c r="B2417" s="15" t="s">
        <v>800</v>
      </c>
      <c r="C2417" s="15" t="s">
        <v>5216</v>
      </c>
      <c r="D2417" s="15" t="s">
        <v>5217</v>
      </c>
      <c r="E2417" s="15">
        <v>11.4251</v>
      </c>
      <c r="F2417" s="42">
        <v>46198</v>
      </c>
    </row>
    <row r="2418" spans="1:6" x14ac:dyDescent="0.3">
      <c r="A2418" s="15" t="s">
        <v>45063</v>
      </c>
      <c r="B2418" s="15" t="s">
        <v>5218</v>
      </c>
      <c r="C2418" s="15" t="s">
        <v>800</v>
      </c>
      <c r="D2418" s="15" t="s">
        <v>5219</v>
      </c>
      <c r="E2418" s="15">
        <v>23.631900000000002</v>
      </c>
      <c r="F2418" s="42">
        <v>46198</v>
      </c>
    </row>
    <row r="2419" spans="1:6" x14ac:dyDescent="0.3">
      <c r="A2419" s="15" t="s">
        <v>33499</v>
      </c>
      <c r="B2419" s="15" t="s">
        <v>795</v>
      </c>
      <c r="C2419" s="15" t="s">
        <v>795</v>
      </c>
      <c r="D2419" s="15" t="s">
        <v>795</v>
      </c>
      <c r="F2419" s="42"/>
    </row>
    <row r="2420" spans="1:6" x14ac:dyDescent="0.3">
      <c r="A2420" s="15" t="s">
        <v>139</v>
      </c>
      <c r="B2420" s="15" t="s">
        <v>795</v>
      </c>
      <c r="C2420" s="15" t="s">
        <v>795</v>
      </c>
      <c r="D2420" s="15" t="s">
        <v>795</v>
      </c>
      <c r="F2420" s="42"/>
    </row>
    <row r="2421" spans="1:6" x14ac:dyDescent="0.3">
      <c r="A2421" s="15" t="s">
        <v>33499</v>
      </c>
      <c r="B2421" s="15" t="s">
        <v>795</v>
      </c>
      <c r="C2421" s="15" t="s">
        <v>795</v>
      </c>
      <c r="D2421" s="15" t="s">
        <v>795</v>
      </c>
      <c r="F2421" s="42"/>
    </row>
    <row r="2422" spans="1:6" x14ac:dyDescent="0.3">
      <c r="A2422" s="15" t="s">
        <v>47011</v>
      </c>
      <c r="B2422" s="15" t="s">
        <v>47012</v>
      </c>
      <c r="C2422" s="15" t="s">
        <v>47013</v>
      </c>
      <c r="D2422" s="15" t="s">
        <v>47014</v>
      </c>
      <c r="E2422" s="15">
        <v>1009.4672</v>
      </c>
      <c r="F2422" s="42">
        <v>46198</v>
      </c>
    </row>
    <row r="2423" spans="1:6" x14ac:dyDescent="0.3">
      <c r="A2423" s="15" t="s">
        <v>47015</v>
      </c>
      <c r="B2423" s="15" t="s">
        <v>47016</v>
      </c>
      <c r="C2423" s="15" t="s">
        <v>47017</v>
      </c>
      <c r="D2423" s="15" t="s">
        <v>47018</v>
      </c>
      <c r="E2423" s="15">
        <v>1007.9653</v>
      </c>
      <c r="F2423" s="42">
        <v>46198</v>
      </c>
    </row>
    <row r="2424" spans="1:6" x14ac:dyDescent="0.3">
      <c r="A2424" s="15" t="s">
        <v>45062</v>
      </c>
      <c r="B2424" s="15" t="s">
        <v>5220</v>
      </c>
      <c r="C2424" s="15" t="s">
        <v>5221</v>
      </c>
      <c r="D2424" s="15" t="s">
        <v>5222</v>
      </c>
      <c r="E2424" s="15">
        <v>1546.3933999999999</v>
      </c>
      <c r="F2424" s="42">
        <v>46198</v>
      </c>
    </row>
    <row r="2425" spans="1:6" x14ac:dyDescent="0.3">
      <c r="A2425" s="15" t="s">
        <v>47152</v>
      </c>
      <c r="B2425" s="15" t="s">
        <v>47153</v>
      </c>
      <c r="C2425" s="15" t="s">
        <v>47154</v>
      </c>
      <c r="D2425" s="15" t="s">
        <v>47155</v>
      </c>
      <c r="E2425" s="15">
        <v>1002.2355</v>
      </c>
      <c r="F2425" s="42">
        <v>46198</v>
      </c>
    </row>
    <row r="2426" spans="1:6" x14ac:dyDescent="0.3">
      <c r="A2426" s="15" t="s">
        <v>45061</v>
      </c>
      <c r="B2426" s="15" t="s">
        <v>5223</v>
      </c>
      <c r="C2426" s="15" t="s">
        <v>800</v>
      </c>
      <c r="D2426" s="15" t="s">
        <v>5224</v>
      </c>
      <c r="E2426" s="15">
        <v>3881.3507</v>
      </c>
      <c r="F2426" s="42">
        <v>46198</v>
      </c>
    </row>
    <row r="2427" spans="1:6" x14ac:dyDescent="0.3">
      <c r="A2427" s="15" t="s">
        <v>45060</v>
      </c>
      <c r="B2427" s="15" t="s">
        <v>5225</v>
      </c>
      <c r="C2427" s="15" t="s">
        <v>800</v>
      </c>
      <c r="D2427" s="15" t="s">
        <v>5226</v>
      </c>
      <c r="E2427" s="15">
        <v>3532.1833000000001</v>
      </c>
      <c r="F2427" s="42">
        <v>46198</v>
      </c>
    </row>
    <row r="2428" spans="1:6" x14ac:dyDescent="0.3">
      <c r="A2428" s="15" t="s">
        <v>45059</v>
      </c>
      <c r="B2428" s="15" t="s">
        <v>5227</v>
      </c>
      <c r="C2428" s="15" t="s">
        <v>5228</v>
      </c>
      <c r="D2428" s="15" t="s">
        <v>5229</v>
      </c>
      <c r="E2428" s="15">
        <v>1262.3668</v>
      </c>
      <c r="F2428" s="42">
        <v>46198</v>
      </c>
    </row>
    <row r="2429" spans="1:6" x14ac:dyDescent="0.3">
      <c r="A2429" s="15" t="s">
        <v>33499</v>
      </c>
      <c r="B2429" s="15" t="s">
        <v>795</v>
      </c>
      <c r="C2429" s="15" t="s">
        <v>795</v>
      </c>
      <c r="D2429" s="15" t="s">
        <v>795</v>
      </c>
      <c r="F2429" s="42"/>
    </row>
    <row r="2430" spans="1:6" x14ac:dyDescent="0.3">
      <c r="A2430" s="15" t="s">
        <v>37618</v>
      </c>
      <c r="B2430" s="15" t="s">
        <v>795</v>
      </c>
      <c r="C2430" s="15" t="s">
        <v>795</v>
      </c>
      <c r="D2430" s="15" t="s">
        <v>795</v>
      </c>
      <c r="F2430" s="42"/>
    </row>
    <row r="2431" spans="1:6" x14ac:dyDescent="0.3">
      <c r="A2431" s="15" t="s">
        <v>33499</v>
      </c>
      <c r="B2431" s="15" t="s">
        <v>795</v>
      </c>
      <c r="C2431" s="15" t="s">
        <v>795</v>
      </c>
      <c r="D2431" s="15" t="s">
        <v>795</v>
      </c>
      <c r="F2431" s="42"/>
    </row>
    <row r="2432" spans="1:6" x14ac:dyDescent="0.3">
      <c r="A2432" s="15" t="s">
        <v>45058</v>
      </c>
      <c r="B2432" s="15" t="s">
        <v>5230</v>
      </c>
      <c r="C2432" s="15" t="s">
        <v>5231</v>
      </c>
      <c r="D2432" s="15" t="s">
        <v>5232</v>
      </c>
      <c r="E2432" s="15">
        <v>10.050000000000001</v>
      </c>
      <c r="F2432" s="42">
        <v>46198</v>
      </c>
    </row>
    <row r="2433" spans="1:6" x14ac:dyDescent="0.3">
      <c r="A2433" s="15" t="s">
        <v>45057</v>
      </c>
      <c r="B2433" s="15" t="s">
        <v>5233</v>
      </c>
      <c r="C2433" s="15" t="s">
        <v>800</v>
      </c>
      <c r="D2433" s="15" t="s">
        <v>5234</v>
      </c>
      <c r="E2433" s="15">
        <v>45.651499999999999</v>
      </c>
      <c r="F2433" s="42">
        <v>46198</v>
      </c>
    </row>
    <row r="2434" spans="1:6" x14ac:dyDescent="0.3">
      <c r="A2434" s="15" t="s">
        <v>45056</v>
      </c>
      <c r="B2434" s="15" t="s">
        <v>5235</v>
      </c>
      <c r="C2434" s="15" t="s">
        <v>5236</v>
      </c>
      <c r="D2434" s="15" t="s">
        <v>5237</v>
      </c>
      <c r="E2434" s="15">
        <v>23.840299999999999</v>
      </c>
      <c r="F2434" s="42">
        <v>46198</v>
      </c>
    </row>
    <row r="2435" spans="1:6" x14ac:dyDescent="0.3">
      <c r="A2435" s="15" t="s">
        <v>45055</v>
      </c>
      <c r="B2435" s="15" t="s">
        <v>5238</v>
      </c>
      <c r="C2435" s="15" t="s">
        <v>5239</v>
      </c>
      <c r="D2435" s="15" t="s">
        <v>5240</v>
      </c>
      <c r="E2435" s="15">
        <v>15.9009</v>
      </c>
      <c r="F2435" s="42">
        <v>46198</v>
      </c>
    </row>
    <row r="2436" spans="1:6" x14ac:dyDescent="0.3">
      <c r="A2436" s="15" t="s">
        <v>45054</v>
      </c>
      <c r="B2436" s="15" t="s">
        <v>5241</v>
      </c>
      <c r="C2436" s="15" t="s">
        <v>5242</v>
      </c>
      <c r="D2436" s="15" t="s">
        <v>5243</v>
      </c>
      <c r="E2436" s="15">
        <v>11.047800000000001</v>
      </c>
      <c r="F2436" s="42">
        <v>46198</v>
      </c>
    </row>
    <row r="2437" spans="1:6" x14ac:dyDescent="0.3">
      <c r="A2437" s="15" t="s">
        <v>45053</v>
      </c>
      <c r="B2437" s="15" t="s">
        <v>5244</v>
      </c>
      <c r="C2437" s="15" t="s">
        <v>800</v>
      </c>
      <c r="D2437" s="15" t="s">
        <v>5245</v>
      </c>
      <c r="E2437" s="15">
        <v>41.852899999999998</v>
      </c>
      <c r="F2437" s="42">
        <v>46198</v>
      </c>
    </row>
    <row r="2438" spans="1:6" x14ac:dyDescent="0.3">
      <c r="A2438" s="15" t="s">
        <v>45052</v>
      </c>
      <c r="B2438" s="15" t="s">
        <v>5246</v>
      </c>
      <c r="C2438" s="15" t="s">
        <v>5247</v>
      </c>
      <c r="D2438" s="15" t="s">
        <v>5248</v>
      </c>
      <c r="E2438" s="15">
        <v>14.431900000000001</v>
      </c>
      <c r="F2438" s="42">
        <v>46198</v>
      </c>
    </row>
    <row r="2439" spans="1:6" x14ac:dyDescent="0.3">
      <c r="A2439" s="15" t="s">
        <v>45051</v>
      </c>
      <c r="B2439" s="15" t="s">
        <v>5249</v>
      </c>
      <c r="C2439" s="15" t="s">
        <v>5250</v>
      </c>
      <c r="D2439" s="15" t="s">
        <v>5251</v>
      </c>
      <c r="E2439" s="15">
        <v>14.352499999999999</v>
      </c>
      <c r="F2439" s="42">
        <v>46198</v>
      </c>
    </row>
    <row r="2440" spans="1:6" x14ac:dyDescent="0.3">
      <c r="A2440" s="15" t="s">
        <v>33499</v>
      </c>
      <c r="B2440" s="15" t="s">
        <v>795</v>
      </c>
      <c r="C2440" s="15" t="s">
        <v>795</v>
      </c>
      <c r="D2440" s="15" t="s">
        <v>795</v>
      </c>
      <c r="F2440" s="42"/>
    </row>
    <row r="2441" spans="1:6" x14ac:dyDescent="0.3">
      <c r="A2441" s="15" t="s">
        <v>39301</v>
      </c>
      <c r="B2441" s="15" t="s">
        <v>795</v>
      </c>
      <c r="C2441" s="15" t="s">
        <v>795</v>
      </c>
      <c r="D2441" s="15" t="s">
        <v>795</v>
      </c>
      <c r="F2441" s="42"/>
    </row>
    <row r="2442" spans="1:6" x14ac:dyDescent="0.3">
      <c r="A2442" s="15" t="s">
        <v>33499</v>
      </c>
      <c r="B2442" s="15" t="s">
        <v>795</v>
      </c>
      <c r="C2442" s="15" t="s">
        <v>795</v>
      </c>
      <c r="D2442" s="15" t="s">
        <v>795</v>
      </c>
      <c r="F2442" s="42"/>
    </row>
    <row r="2443" spans="1:6" x14ac:dyDescent="0.3">
      <c r="A2443" s="15" t="s">
        <v>45050</v>
      </c>
      <c r="B2443" s="15" t="s">
        <v>800</v>
      </c>
      <c r="C2443" s="15" t="s">
        <v>5252</v>
      </c>
      <c r="D2443" s="15" t="s">
        <v>5253</v>
      </c>
      <c r="E2443" s="15">
        <v>1257.9302</v>
      </c>
      <c r="F2443" s="42">
        <v>46198</v>
      </c>
    </row>
    <row r="2444" spans="1:6" x14ac:dyDescent="0.3">
      <c r="A2444" s="15" t="s">
        <v>45049</v>
      </c>
      <c r="B2444" s="15" t="s">
        <v>5254</v>
      </c>
      <c r="C2444" s="15" t="s">
        <v>5255</v>
      </c>
      <c r="D2444" s="15" t="s">
        <v>5256</v>
      </c>
      <c r="E2444" s="15">
        <v>1145.0833</v>
      </c>
      <c r="F2444" s="42">
        <v>46198</v>
      </c>
    </row>
    <row r="2445" spans="1:6" x14ac:dyDescent="0.3">
      <c r="A2445" s="15" t="s">
        <v>45048</v>
      </c>
      <c r="B2445" s="15" t="s">
        <v>800</v>
      </c>
      <c r="C2445" s="15" t="s">
        <v>5257</v>
      </c>
      <c r="D2445" s="15" t="s">
        <v>5258</v>
      </c>
      <c r="E2445" s="15">
        <v>1032.0304000000001</v>
      </c>
      <c r="F2445" s="42">
        <v>46198</v>
      </c>
    </row>
    <row r="2446" spans="1:6" x14ac:dyDescent="0.3">
      <c r="A2446" s="15" t="s">
        <v>45047</v>
      </c>
      <c r="B2446" s="15" t="s">
        <v>5259</v>
      </c>
      <c r="C2446" s="15" t="s">
        <v>800</v>
      </c>
      <c r="D2446" s="15" t="s">
        <v>5260</v>
      </c>
      <c r="E2446" s="15">
        <v>1868.9860000000001</v>
      </c>
      <c r="F2446" s="42">
        <v>46198</v>
      </c>
    </row>
    <row r="2447" spans="1:6" x14ac:dyDescent="0.3">
      <c r="A2447" s="15" t="s">
        <v>45046</v>
      </c>
      <c r="B2447" s="15" t="s">
        <v>800</v>
      </c>
      <c r="C2447" s="15" t="s">
        <v>5261</v>
      </c>
      <c r="D2447" s="15" t="s">
        <v>5262</v>
      </c>
      <c r="E2447" s="15">
        <v>1000.0001</v>
      </c>
      <c r="F2447" s="42">
        <v>46198</v>
      </c>
    </row>
    <row r="2448" spans="1:6" x14ac:dyDescent="0.3">
      <c r="A2448" s="15" t="s">
        <v>45045</v>
      </c>
      <c r="B2448" s="15" t="s">
        <v>5263</v>
      </c>
      <c r="C2448" s="15" t="s">
        <v>800</v>
      </c>
      <c r="D2448" s="15" t="s">
        <v>5264</v>
      </c>
      <c r="E2448" s="15">
        <v>1729.2043000000001</v>
      </c>
      <c r="F2448" s="42">
        <v>46198</v>
      </c>
    </row>
    <row r="2449" spans="1:6" x14ac:dyDescent="0.3">
      <c r="A2449" s="15" t="s">
        <v>45044</v>
      </c>
      <c r="B2449" s="15" t="s">
        <v>5265</v>
      </c>
      <c r="C2449" s="15" t="s">
        <v>5266</v>
      </c>
      <c r="D2449" s="15" t="s">
        <v>5267</v>
      </c>
      <c r="E2449" s="15">
        <v>1124.6482000000001</v>
      </c>
      <c r="F2449" s="42">
        <v>46198</v>
      </c>
    </row>
    <row r="2450" spans="1:6" x14ac:dyDescent="0.3">
      <c r="A2450" s="15" t="s">
        <v>45043</v>
      </c>
      <c r="B2450" s="15" t="s">
        <v>800</v>
      </c>
      <c r="C2450" s="15" t="s">
        <v>5268</v>
      </c>
      <c r="D2450" s="15" t="s">
        <v>5269</v>
      </c>
      <c r="E2450" s="15">
        <v>1054.3647000000001</v>
      </c>
      <c r="F2450" s="42">
        <v>46198</v>
      </c>
    </row>
    <row r="2451" spans="1:6" x14ac:dyDescent="0.3">
      <c r="A2451" s="15" t="s">
        <v>33499</v>
      </c>
      <c r="B2451" s="15" t="s">
        <v>795</v>
      </c>
      <c r="C2451" s="15" t="s">
        <v>795</v>
      </c>
      <c r="D2451" s="15" t="s">
        <v>795</v>
      </c>
      <c r="F2451" s="42"/>
    </row>
    <row r="2452" spans="1:6" x14ac:dyDescent="0.3">
      <c r="A2452" s="15" t="s">
        <v>37780</v>
      </c>
      <c r="B2452" s="15" t="s">
        <v>795</v>
      </c>
      <c r="C2452" s="15" t="s">
        <v>795</v>
      </c>
      <c r="D2452" s="15" t="s">
        <v>795</v>
      </c>
      <c r="F2452" s="42"/>
    </row>
    <row r="2453" spans="1:6" x14ac:dyDescent="0.3">
      <c r="A2453" s="15" t="s">
        <v>33499</v>
      </c>
      <c r="B2453" s="15" t="s">
        <v>795</v>
      </c>
      <c r="C2453" s="15" t="s">
        <v>795</v>
      </c>
      <c r="D2453" s="15" t="s">
        <v>795</v>
      </c>
      <c r="F2453" s="42"/>
    </row>
    <row r="2454" spans="1:6" x14ac:dyDescent="0.3">
      <c r="A2454" s="15" t="s">
        <v>45042</v>
      </c>
      <c r="B2454" s="15" t="s">
        <v>800</v>
      </c>
      <c r="C2454" s="15" t="s">
        <v>5270</v>
      </c>
      <c r="D2454" s="15" t="s">
        <v>5271</v>
      </c>
      <c r="E2454" s="15">
        <v>1208.9337</v>
      </c>
      <c r="F2454" s="42">
        <v>46198</v>
      </c>
    </row>
    <row r="2455" spans="1:6" x14ac:dyDescent="0.3">
      <c r="A2455" s="15" t="s">
        <v>45041</v>
      </c>
      <c r="B2455" s="15" t="s">
        <v>5272</v>
      </c>
      <c r="C2455" s="15" t="s">
        <v>800</v>
      </c>
      <c r="D2455" s="15" t="s">
        <v>5273</v>
      </c>
      <c r="E2455" s="15">
        <v>2619.5700999999999</v>
      </c>
      <c r="F2455" s="42">
        <v>46198</v>
      </c>
    </row>
    <row r="2456" spans="1:6" x14ac:dyDescent="0.3">
      <c r="A2456" s="15" t="s">
        <v>45040</v>
      </c>
      <c r="B2456" s="15" t="s">
        <v>5274</v>
      </c>
      <c r="C2456" s="15" t="s">
        <v>5275</v>
      </c>
      <c r="D2456" s="15" t="s">
        <v>5276</v>
      </c>
      <c r="E2456" s="15">
        <v>1160.6158</v>
      </c>
      <c r="F2456" s="42">
        <v>46198</v>
      </c>
    </row>
    <row r="2457" spans="1:6" x14ac:dyDescent="0.3">
      <c r="A2457" s="15" t="s">
        <v>45039</v>
      </c>
      <c r="B2457" s="15" t="s">
        <v>5277</v>
      </c>
      <c r="C2457" s="15" t="s">
        <v>5278</v>
      </c>
      <c r="D2457" s="15" t="s">
        <v>5279</v>
      </c>
      <c r="E2457" s="15">
        <v>1029.7322999999999</v>
      </c>
      <c r="F2457" s="42">
        <v>46198</v>
      </c>
    </row>
    <row r="2458" spans="1:6" x14ac:dyDescent="0.3">
      <c r="A2458" s="15" t="s">
        <v>45038</v>
      </c>
      <c r="B2458" s="15" t="s">
        <v>800</v>
      </c>
      <c r="C2458" s="15" t="s">
        <v>5280</v>
      </c>
      <c r="D2458" s="15" t="s">
        <v>5281</v>
      </c>
      <c r="E2458" s="15">
        <v>1455.6872000000001</v>
      </c>
      <c r="F2458" s="42">
        <v>46198</v>
      </c>
    </row>
    <row r="2459" spans="1:6" x14ac:dyDescent="0.3">
      <c r="A2459" s="15" t="s">
        <v>45037</v>
      </c>
      <c r="B2459" s="15" t="s">
        <v>800</v>
      </c>
      <c r="C2459" s="15" t="s">
        <v>5282</v>
      </c>
      <c r="D2459" s="15" t="s">
        <v>5283</v>
      </c>
      <c r="E2459" s="15">
        <v>1005.1646</v>
      </c>
      <c r="F2459" s="42">
        <v>46198</v>
      </c>
    </row>
    <row r="2460" spans="1:6" x14ac:dyDescent="0.3">
      <c r="A2460" s="15" t="s">
        <v>45036</v>
      </c>
      <c r="B2460" s="15" t="s">
        <v>5284</v>
      </c>
      <c r="C2460" s="15" t="s">
        <v>800</v>
      </c>
      <c r="D2460" s="15" t="s">
        <v>5285</v>
      </c>
      <c r="E2460" s="15">
        <v>2390.6178</v>
      </c>
      <c r="F2460" s="42">
        <v>46198</v>
      </c>
    </row>
    <row r="2461" spans="1:6" x14ac:dyDescent="0.3">
      <c r="A2461" s="15" t="s">
        <v>45035</v>
      </c>
      <c r="B2461" s="15" t="s">
        <v>5286</v>
      </c>
      <c r="C2461" s="15" t="s">
        <v>5287</v>
      </c>
      <c r="D2461" s="15" t="s">
        <v>5288</v>
      </c>
      <c r="E2461" s="15">
        <v>1088.0951</v>
      </c>
      <c r="F2461" s="42">
        <v>46198</v>
      </c>
    </row>
    <row r="2462" spans="1:6" x14ac:dyDescent="0.3">
      <c r="A2462" s="15" t="s">
        <v>45034</v>
      </c>
      <c r="B2462" s="15" t="s">
        <v>5289</v>
      </c>
      <c r="C2462" s="15" t="s">
        <v>5290</v>
      </c>
      <c r="D2462" s="15" t="s">
        <v>5291</v>
      </c>
      <c r="E2462" s="15">
        <v>1026.0844999999999</v>
      </c>
      <c r="F2462" s="42">
        <v>46198</v>
      </c>
    </row>
    <row r="2463" spans="1:6" x14ac:dyDescent="0.3">
      <c r="A2463" s="15" t="s">
        <v>45033</v>
      </c>
      <c r="B2463" s="15" t="s">
        <v>800</v>
      </c>
      <c r="C2463" s="15" t="s">
        <v>5292</v>
      </c>
      <c r="D2463" s="15" t="s">
        <v>5293</v>
      </c>
      <c r="E2463" s="15">
        <v>1107.6004</v>
      </c>
      <c r="F2463" s="42">
        <v>46198</v>
      </c>
    </row>
    <row r="2464" spans="1:6" x14ac:dyDescent="0.3">
      <c r="A2464" s="15" t="s">
        <v>33499</v>
      </c>
      <c r="B2464" s="15" t="s">
        <v>795</v>
      </c>
      <c r="C2464" s="15" t="s">
        <v>795</v>
      </c>
      <c r="D2464" s="15" t="s">
        <v>795</v>
      </c>
      <c r="F2464" s="42"/>
    </row>
    <row r="2465" spans="1:6" x14ac:dyDescent="0.3">
      <c r="A2465" s="15" t="s">
        <v>208</v>
      </c>
      <c r="B2465" s="15" t="s">
        <v>795</v>
      </c>
      <c r="C2465" s="15" t="s">
        <v>795</v>
      </c>
      <c r="D2465" s="15" t="s">
        <v>795</v>
      </c>
      <c r="F2465" s="42"/>
    </row>
    <row r="2466" spans="1:6" x14ac:dyDescent="0.3">
      <c r="A2466" s="15" t="s">
        <v>33499</v>
      </c>
      <c r="B2466" s="15" t="s">
        <v>795</v>
      </c>
      <c r="C2466" s="15" t="s">
        <v>795</v>
      </c>
      <c r="D2466" s="15" t="s">
        <v>795</v>
      </c>
      <c r="F2466" s="42"/>
    </row>
    <row r="2467" spans="1:6" x14ac:dyDescent="0.3">
      <c r="A2467" s="15" t="s">
        <v>45032</v>
      </c>
      <c r="B2467" s="15" t="s">
        <v>800</v>
      </c>
      <c r="C2467" s="15" t="s">
        <v>5294</v>
      </c>
      <c r="D2467" s="15" t="s">
        <v>5295</v>
      </c>
      <c r="E2467" s="15">
        <v>1012.1998</v>
      </c>
      <c r="F2467" s="42">
        <v>46198</v>
      </c>
    </row>
    <row r="2468" spans="1:6" x14ac:dyDescent="0.3">
      <c r="A2468" s="15" t="s">
        <v>45031</v>
      </c>
      <c r="B2468" s="15" t="s">
        <v>800</v>
      </c>
      <c r="C2468" s="15" t="s">
        <v>5296</v>
      </c>
      <c r="D2468" s="15" t="s">
        <v>5297</v>
      </c>
      <c r="E2468" s="15">
        <v>1012.2892000000001</v>
      </c>
      <c r="F2468" s="42">
        <v>46198</v>
      </c>
    </row>
    <row r="2469" spans="1:6" x14ac:dyDescent="0.3">
      <c r="A2469" s="15" t="s">
        <v>45030</v>
      </c>
      <c r="B2469" s="15" t="s">
        <v>5298</v>
      </c>
      <c r="C2469" s="15" t="s">
        <v>5299</v>
      </c>
      <c r="D2469" s="15" t="s">
        <v>5300</v>
      </c>
      <c r="E2469" s="15">
        <v>2237.0329999999999</v>
      </c>
      <c r="F2469" s="42">
        <v>46198</v>
      </c>
    </row>
    <row r="2470" spans="1:6" x14ac:dyDescent="0.3">
      <c r="A2470" s="15" t="s">
        <v>45029</v>
      </c>
      <c r="B2470" s="15" t="s">
        <v>5301</v>
      </c>
      <c r="C2470" s="15" t="s">
        <v>5302</v>
      </c>
      <c r="D2470" s="15" t="s">
        <v>5303</v>
      </c>
      <c r="E2470" s="15">
        <v>1039.8086000000001</v>
      </c>
      <c r="F2470" s="42">
        <v>46198</v>
      </c>
    </row>
    <row r="2471" spans="1:6" x14ac:dyDescent="0.3">
      <c r="A2471" s="15" t="s">
        <v>45028</v>
      </c>
      <c r="B2471" s="15" t="s">
        <v>5304</v>
      </c>
      <c r="C2471" s="15" t="s">
        <v>5305</v>
      </c>
      <c r="D2471" s="15" t="s">
        <v>5306</v>
      </c>
      <c r="E2471" s="15">
        <v>1018.2828</v>
      </c>
      <c r="F2471" s="42">
        <v>46198</v>
      </c>
    </row>
    <row r="2472" spans="1:6" x14ac:dyDescent="0.3">
      <c r="A2472" s="15" t="s">
        <v>45027</v>
      </c>
      <c r="B2472" s="15" t="s">
        <v>5307</v>
      </c>
      <c r="C2472" s="15" t="s">
        <v>800</v>
      </c>
      <c r="D2472" s="15" t="s">
        <v>5308</v>
      </c>
      <c r="E2472" s="15">
        <v>1013.6119</v>
      </c>
      <c r="F2472" s="42">
        <v>46198</v>
      </c>
    </row>
    <row r="2473" spans="1:6" x14ac:dyDescent="0.3">
      <c r="A2473" s="15" t="s">
        <v>45026</v>
      </c>
      <c r="B2473" s="15" t="s">
        <v>5309</v>
      </c>
      <c r="C2473" s="15" t="s">
        <v>800</v>
      </c>
      <c r="D2473" s="15" t="s">
        <v>5310</v>
      </c>
      <c r="E2473" s="15">
        <v>2457.0401999999999</v>
      </c>
      <c r="F2473" s="42">
        <v>46198</v>
      </c>
    </row>
    <row r="2474" spans="1:6" x14ac:dyDescent="0.3">
      <c r="A2474" s="15" t="s">
        <v>45025</v>
      </c>
      <c r="B2474" s="15" t="s">
        <v>5311</v>
      </c>
      <c r="C2474" s="15" t="s">
        <v>800</v>
      </c>
      <c r="D2474" s="15" t="s">
        <v>5312</v>
      </c>
      <c r="E2474" s="15">
        <v>4229.7474000000002</v>
      </c>
      <c r="F2474" s="42">
        <v>46198</v>
      </c>
    </row>
    <row r="2475" spans="1:6" x14ac:dyDescent="0.3">
      <c r="A2475" s="15" t="s">
        <v>45024</v>
      </c>
      <c r="B2475" s="15" t="s">
        <v>5313</v>
      </c>
      <c r="C2475" s="15" t="s">
        <v>5314</v>
      </c>
      <c r="D2475" s="15" t="s">
        <v>5315</v>
      </c>
      <c r="E2475" s="15">
        <v>2108.0338000000002</v>
      </c>
      <c r="F2475" s="42">
        <v>46198</v>
      </c>
    </row>
    <row r="2476" spans="1:6" x14ac:dyDescent="0.3">
      <c r="A2476" s="15" t="s">
        <v>45023</v>
      </c>
      <c r="B2476" s="15" t="s">
        <v>5316</v>
      </c>
      <c r="C2476" s="15" t="s">
        <v>5317</v>
      </c>
      <c r="D2476" s="15" t="s">
        <v>5318</v>
      </c>
      <c r="E2476" s="15">
        <v>1031.7171000000001</v>
      </c>
      <c r="F2476" s="42">
        <v>46198</v>
      </c>
    </row>
    <row r="2477" spans="1:6" x14ac:dyDescent="0.3">
      <c r="A2477" s="15" t="s">
        <v>45022</v>
      </c>
      <c r="B2477" s="15" t="s">
        <v>5319</v>
      </c>
      <c r="C2477" s="15" t="s">
        <v>5320</v>
      </c>
      <c r="D2477" s="15" t="s">
        <v>5321</v>
      </c>
      <c r="E2477" s="15">
        <v>1018.1449</v>
      </c>
      <c r="F2477" s="42">
        <v>46198</v>
      </c>
    </row>
    <row r="2478" spans="1:6" x14ac:dyDescent="0.3">
      <c r="A2478" s="15" t="s">
        <v>45021</v>
      </c>
      <c r="B2478" s="15" t="s">
        <v>800</v>
      </c>
      <c r="C2478" s="15" t="s">
        <v>5322</v>
      </c>
      <c r="D2478" s="15" t="s">
        <v>5323</v>
      </c>
      <c r="E2478" s="15">
        <v>1012.1988</v>
      </c>
      <c r="F2478" s="42">
        <v>46198</v>
      </c>
    </row>
    <row r="2479" spans="1:6" x14ac:dyDescent="0.3">
      <c r="A2479" s="15" t="s">
        <v>45020</v>
      </c>
      <c r="B2479" s="15" t="s">
        <v>5324</v>
      </c>
      <c r="C2479" s="15" t="s">
        <v>800</v>
      </c>
      <c r="D2479" s="15" t="s">
        <v>5325</v>
      </c>
      <c r="E2479" s="15">
        <v>3777.7574</v>
      </c>
      <c r="F2479" s="42">
        <v>46198</v>
      </c>
    </row>
    <row r="2480" spans="1:6" x14ac:dyDescent="0.3">
      <c r="A2480" s="15" t="s">
        <v>45019</v>
      </c>
      <c r="B2480" s="15" t="s">
        <v>5326</v>
      </c>
      <c r="C2480" s="15" t="s">
        <v>800</v>
      </c>
      <c r="D2480" s="15" t="s">
        <v>5327</v>
      </c>
      <c r="E2480" s="15">
        <v>2814.3679000000002</v>
      </c>
      <c r="F2480" s="42">
        <v>46198</v>
      </c>
    </row>
    <row r="2481" spans="1:6" x14ac:dyDescent="0.3">
      <c r="A2481" s="15" t="s">
        <v>45018</v>
      </c>
      <c r="B2481" s="15" t="s">
        <v>5328</v>
      </c>
      <c r="C2481" s="15" t="s">
        <v>5329</v>
      </c>
      <c r="D2481" s="15" t="s">
        <v>5330</v>
      </c>
      <c r="E2481" s="15">
        <v>1033.5241000000001</v>
      </c>
      <c r="F2481" s="42">
        <v>46198</v>
      </c>
    </row>
    <row r="2482" spans="1:6" x14ac:dyDescent="0.3">
      <c r="A2482" s="15" t="s">
        <v>45017</v>
      </c>
      <c r="B2482" s="15" t="s">
        <v>5331</v>
      </c>
      <c r="C2482" s="15" t="s">
        <v>5332</v>
      </c>
      <c r="D2482" s="15" t="s">
        <v>5333</v>
      </c>
      <c r="E2482" s="15">
        <v>1017.8242</v>
      </c>
      <c r="F2482" s="42">
        <v>46198</v>
      </c>
    </row>
    <row r="2483" spans="1:6" x14ac:dyDescent="0.3">
      <c r="A2483" s="15" t="s">
        <v>45016</v>
      </c>
      <c r="B2483" s="15" t="s">
        <v>5334</v>
      </c>
      <c r="C2483" s="15" t="s">
        <v>5335</v>
      </c>
      <c r="D2483" s="15" t="s">
        <v>5336</v>
      </c>
      <c r="E2483" s="15">
        <v>1013.6305</v>
      </c>
      <c r="F2483" s="42">
        <v>46198</v>
      </c>
    </row>
    <row r="2484" spans="1:6" x14ac:dyDescent="0.3">
      <c r="A2484" s="15" t="s">
        <v>45015</v>
      </c>
      <c r="B2484" s="15" t="s">
        <v>5337</v>
      </c>
      <c r="C2484" s="15" t="s">
        <v>5338</v>
      </c>
      <c r="D2484" s="15" t="s">
        <v>5339</v>
      </c>
      <c r="E2484" s="15">
        <v>1013.4396</v>
      </c>
      <c r="F2484" s="42">
        <v>46198</v>
      </c>
    </row>
    <row r="2485" spans="1:6" x14ac:dyDescent="0.3">
      <c r="A2485" s="15" t="s">
        <v>45014</v>
      </c>
      <c r="B2485" s="15" t="s">
        <v>5340</v>
      </c>
      <c r="C2485" s="15" t="s">
        <v>800</v>
      </c>
      <c r="D2485" s="15" t="s">
        <v>5341</v>
      </c>
      <c r="E2485" s="15">
        <v>2302.5558999999998</v>
      </c>
      <c r="F2485" s="42">
        <v>46198</v>
      </c>
    </row>
    <row r="2486" spans="1:6" x14ac:dyDescent="0.3">
      <c r="A2486" s="15" t="s">
        <v>45013</v>
      </c>
      <c r="B2486" s="15" t="s">
        <v>5342</v>
      </c>
      <c r="C2486" s="15" t="s">
        <v>800</v>
      </c>
      <c r="D2486" s="15" t="s">
        <v>5343</v>
      </c>
      <c r="E2486" s="15">
        <v>3965.7240999999999</v>
      </c>
      <c r="F2486" s="42">
        <v>46198</v>
      </c>
    </row>
    <row r="2487" spans="1:6" x14ac:dyDescent="0.3">
      <c r="A2487" s="15" t="s">
        <v>33499</v>
      </c>
      <c r="B2487" s="15" t="s">
        <v>795</v>
      </c>
      <c r="C2487" s="15" t="s">
        <v>795</v>
      </c>
      <c r="D2487" s="15" t="s">
        <v>795</v>
      </c>
      <c r="F2487" s="42"/>
    </row>
    <row r="2488" spans="1:6" x14ac:dyDescent="0.3">
      <c r="A2488" s="15" t="s">
        <v>33636</v>
      </c>
      <c r="B2488" s="15" t="s">
        <v>795</v>
      </c>
      <c r="C2488" s="15" t="s">
        <v>795</v>
      </c>
      <c r="D2488" s="15" t="s">
        <v>795</v>
      </c>
      <c r="F2488" s="42"/>
    </row>
    <row r="2489" spans="1:6" x14ac:dyDescent="0.3">
      <c r="A2489" s="15" t="s">
        <v>33499</v>
      </c>
      <c r="B2489" s="15" t="s">
        <v>795</v>
      </c>
      <c r="C2489" s="15" t="s">
        <v>795</v>
      </c>
      <c r="D2489" s="15" t="s">
        <v>795</v>
      </c>
      <c r="F2489" s="42"/>
    </row>
    <row r="2490" spans="1:6" x14ac:dyDescent="0.3">
      <c r="A2490" s="15" t="s">
        <v>45012</v>
      </c>
      <c r="B2490" s="15" t="s">
        <v>800</v>
      </c>
      <c r="C2490" s="15" t="s">
        <v>5344</v>
      </c>
      <c r="D2490" s="15" t="s">
        <v>5345</v>
      </c>
      <c r="E2490" s="15">
        <v>1486.5201999999999</v>
      </c>
      <c r="F2490" s="42">
        <v>46198</v>
      </c>
    </row>
    <row r="2491" spans="1:6" x14ac:dyDescent="0.3">
      <c r="A2491" s="15" t="s">
        <v>45011</v>
      </c>
      <c r="B2491" s="15" t="s">
        <v>5346</v>
      </c>
      <c r="C2491" s="15" t="s">
        <v>5347</v>
      </c>
      <c r="D2491" s="15" t="s">
        <v>5348</v>
      </c>
      <c r="E2491" s="15">
        <v>1512.5074999999999</v>
      </c>
      <c r="F2491" s="42">
        <v>46198</v>
      </c>
    </row>
    <row r="2492" spans="1:6" x14ac:dyDescent="0.3">
      <c r="A2492" s="15" t="s">
        <v>45010</v>
      </c>
      <c r="B2492" s="15" t="s">
        <v>5349</v>
      </c>
      <c r="C2492" s="15" t="s">
        <v>800</v>
      </c>
      <c r="D2492" s="15" t="s">
        <v>5350</v>
      </c>
      <c r="E2492" s="15">
        <v>3856.201</v>
      </c>
      <c r="F2492" s="42">
        <v>46198</v>
      </c>
    </row>
    <row r="2493" spans="1:6" x14ac:dyDescent="0.3">
      <c r="A2493" s="15" t="s">
        <v>45009</v>
      </c>
      <c r="B2493" s="15" t="s">
        <v>5351</v>
      </c>
      <c r="C2493" s="15" t="s">
        <v>5352</v>
      </c>
      <c r="D2493" s="15" t="s">
        <v>5353</v>
      </c>
      <c r="E2493" s="15">
        <v>1713.6112000000001</v>
      </c>
      <c r="F2493" s="42">
        <v>46198</v>
      </c>
    </row>
    <row r="2494" spans="1:6" x14ac:dyDescent="0.3">
      <c r="A2494" s="15" t="s">
        <v>45008</v>
      </c>
      <c r="B2494" s="15" t="s">
        <v>5354</v>
      </c>
      <c r="C2494" s="15" t="s">
        <v>5355</v>
      </c>
      <c r="D2494" s="15" t="s">
        <v>5356</v>
      </c>
      <c r="E2494" s="15">
        <v>1488.6964</v>
      </c>
      <c r="F2494" s="42">
        <v>46198</v>
      </c>
    </row>
    <row r="2495" spans="1:6" x14ac:dyDescent="0.3">
      <c r="A2495" s="15" t="s">
        <v>45007</v>
      </c>
      <c r="B2495" s="15" t="s">
        <v>800</v>
      </c>
      <c r="C2495" s="15" t="s">
        <v>5357</v>
      </c>
      <c r="D2495" s="15" t="s">
        <v>5358</v>
      </c>
      <c r="E2495" s="15">
        <v>1436.9259999999999</v>
      </c>
      <c r="F2495" s="42">
        <v>46198</v>
      </c>
    </row>
    <row r="2496" spans="1:6" x14ac:dyDescent="0.3">
      <c r="A2496" s="15" t="s">
        <v>45006</v>
      </c>
      <c r="B2496" s="15" t="s">
        <v>5359</v>
      </c>
      <c r="C2496" s="15" t="s">
        <v>5360</v>
      </c>
      <c r="D2496" s="15" t="s">
        <v>5361</v>
      </c>
      <c r="E2496" s="15">
        <v>1462.0762999999999</v>
      </c>
      <c r="F2496" s="42">
        <v>46198</v>
      </c>
    </row>
    <row r="2497" spans="1:6" x14ac:dyDescent="0.3">
      <c r="A2497" s="15" t="s">
        <v>45005</v>
      </c>
      <c r="B2497" s="15" t="s">
        <v>5362</v>
      </c>
      <c r="C2497" s="15" t="s">
        <v>800</v>
      </c>
      <c r="D2497" s="15" t="s">
        <v>5363</v>
      </c>
      <c r="E2497" s="15">
        <v>3689.0210999999999</v>
      </c>
      <c r="F2497" s="42">
        <v>46198</v>
      </c>
    </row>
    <row r="2498" spans="1:6" x14ac:dyDescent="0.3">
      <c r="A2498" s="15" t="s">
        <v>45004</v>
      </c>
      <c r="B2498" s="15" t="s">
        <v>5364</v>
      </c>
      <c r="C2498" s="15" t="s">
        <v>5365</v>
      </c>
      <c r="D2498" s="15" t="s">
        <v>5366</v>
      </c>
      <c r="E2498" s="15">
        <v>1617.9559999999999</v>
      </c>
      <c r="F2498" s="42">
        <v>46198</v>
      </c>
    </row>
    <row r="2499" spans="1:6" x14ac:dyDescent="0.3">
      <c r="A2499" s="15" t="s">
        <v>45003</v>
      </c>
      <c r="B2499" s="15" t="s">
        <v>5367</v>
      </c>
      <c r="C2499" s="15" t="s">
        <v>5368</v>
      </c>
      <c r="D2499" s="15" t="s">
        <v>5369</v>
      </c>
      <c r="E2499" s="15">
        <v>1436.9128000000001</v>
      </c>
      <c r="F2499" s="42">
        <v>46198</v>
      </c>
    </row>
    <row r="2500" spans="1:6" x14ac:dyDescent="0.3">
      <c r="A2500" s="15" t="s">
        <v>45002</v>
      </c>
      <c r="B2500" s="15" t="s">
        <v>800</v>
      </c>
      <c r="C2500" s="15" t="s">
        <v>5370</v>
      </c>
      <c r="D2500" s="15" t="s">
        <v>5371</v>
      </c>
      <c r="E2500" s="15">
        <v>1437.2643</v>
      </c>
      <c r="F2500" s="42">
        <v>46198</v>
      </c>
    </row>
    <row r="2501" spans="1:6" x14ac:dyDescent="0.3">
      <c r="A2501" s="15" t="s">
        <v>45001</v>
      </c>
      <c r="B2501" s="15" t="s">
        <v>5372</v>
      </c>
      <c r="C2501" s="15" t="s">
        <v>800</v>
      </c>
      <c r="D2501" s="15" t="s">
        <v>5373</v>
      </c>
      <c r="E2501" s="15">
        <v>3754.0796</v>
      </c>
      <c r="F2501" s="42">
        <v>46198</v>
      </c>
    </row>
    <row r="2502" spans="1:6" x14ac:dyDescent="0.3">
      <c r="A2502" s="15" t="s">
        <v>45000</v>
      </c>
      <c r="B2502" s="15" t="s">
        <v>5374</v>
      </c>
      <c r="C2502" s="15" t="s">
        <v>5375</v>
      </c>
      <c r="D2502" s="15" t="s">
        <v>5376</v>
      </c>
      <c r="E2502" s="15">
        <v>1433.6965</v>
      </c>
      <c r="F2502" s="42">
        <v>46198</v>
      </c>
    </row>
    <row r="2503" spans="1:6" x14ac:dyDescent="0.3">
      <c r="A2503" s="15" t="s">
        <v>33499</v>
      </c>
      <c r="B2503" s="15" t="s">
        <v>795</v>
      </c>
      <c r="C2503" s="15" t="s">
        <v>795</v>
      </c>
      <c r="D2503" s="15" t="s">
        <v>795</v>
      </c>
      <c r="F2503" s="42"/>
    </row>
    <row r="2504" spans="1:6" x14ac:dyDescent="0.3">
      <c r="A2504" s="15" t="s">
        <v>37414</v>
      </c>
      <c r="B2504" s="15" t="s">
        <v>795</v>
      </c>
      <c r="C2504" s="15" t="s">
        <v>795</v>
      </c>
      <c r="D2504" s="15" t="s">
        <v>795</v>
      </c>
      <c r="F2504" s="42"/>
    </row>
    <row r="2505" spans="1:6" x14ac:dyDescent="0.3">
      <c r="A2505" s="15" t="s">
        <v>33499</v>
      </c>
      <c r="B2505" s="15" t="s">
        <v>795</v>
      </c>
      <c r="C2505" s="15" t="s">
        <v>795</v>
      </c>
      <c r="D2505" s="15" t="s">
        <v>795</v>
      </c>
      <c r="F2505" s="42"/>
    </row>
    <row r="2506" spans="1:6" x14ac:dyDescent="0.3">
      <c r="A2506" s="15" t="s">
        <v>44999</v>
      </c>
      <c r="B2506" s="15" t="s">
        <v>800</v>
      </c>
      <c r="C2506" s="15" t="s">
        <v>5377</v>
      </c>
      <c r="D2506" s="15" t="s">
        <v>5378</v>
      </c>
      <c r="E2506" s="15">
        <v>1341.6648</v>
      </c>
      <c r="F2506" s="42">
        <v>45835</v>
      </c>
    </row>
    <row r="2507" spans="1:6" x14ac:dyDescent="0.3">
      <c r="A2507" s="15" t="s">
        <v>44998</v>
      </c>
      <c r="B2507" s="15" t="s">
        <v>800</v>
      </c>
      <c r="C2507" s="15" t="s">
        <v>5379</v>
      </c>
      <c r="D2507" s="15" t="s">
        <v>5380</v>
      </c>
      <c r="E2507" s="15">
        <v>1009.6449</v>
      </c>
      <c r="F2507" s="42">
        <v>45471</v>
      </c>
    </row>
    <row r="2508" spans="1:6" x14ac:dyDescent="0.3">
      <c r="A2508" s="15" t="s">
        <v>44997</v>
      </c>
      <c r="B2508" s="15" t="s">
        <v>5381</v>
      </c>
      <c r="C2508" s="15" t="s">
        <v>800</v>
      </c>
      <c r="D2508" s="15" t="s">
        <v>5382</v>
      </c>
      <c r="E2508" s="15">
        <v>3938.4886000000001</v>
      </c>
      <c r="F2508" s="42">
        <v>46198</v>
      </c>
    </row>
    <row r="2509" spans="1:6" x14ac:dyDescent="0.3">
      <c r="A2509" s="15" t="s">
        <v>44996</v>
      </c>
      <c r="B2509" s="15" t="s">
        <v>5383</v>
      </c>
      <c r="C2509" s="15" t="s">
        <v>5384</v>
      </c>
      <c r="D2509" s="15" t="s">
        <v>5385</v>
      </c>
      <c r="E2509" s="15">
        <v>1120.7420999999999</v>
      </c>
      <c r="F2509" s="42">
        <v>46198</v>
      </c>
    </row>
    <row r="2510" spans="1:6" x14ac:dyDescent="0.3">
      <c r="A2510" s="15" t="s">
        <v>44995</v>
      </c>
      <c r="B2510" s="15" t="s">
        <v>5386</v>
      </c>
      <c r="C2510" s="15" t="s">
        <v>5387</v>
      </c>
      <c r="D2510" s="15" t="s">
        <v>5388</v>
      </c>
      <c r="E2510" s="15">
        <v>1006.3073000000001</v>
      </c>
      <c r="F2510" s="42">
        <v>45471</v>
      </c>
    </row>
    <row r="2511" spans="1:6" x14ac:dyDescent="0.3">
      <c r="A2511" s="15" t="s">
        <v>44994</v>
      </c>
      <c r="B2511" s="15" t="s">
        <v>5389</v>
      </c>
      <c r="C2511" s="15" t="s">
        <v>5390</v>
      </c>
      <c r="D2511" s="15" t="s">
        <v>5391</v>
      </c>
      <c r="E2511" s="15">
        <v>1010.4171</v>
      </c>
      <c r="F2511" s="42">
        <v>45471</v>
      </c>
    </row>
    <row r="2512" spans="1:6" x14ac:dyDescent="0.3">
      <c r="A2512" s="15" t="s">
        <v>44993</v>
      </c>
      <c r="B2512" s="15" t="s">
        <v>800</v>
      </c>
      <c r="C2512" s="15" t="s">
        <v>5392</v>
      </c>
      <c r="D2512" s="15" t="s">
        <v>5393</v>
      </c>
      <c r="E2512" s="15">
        <v>1015.7943</v>
      </c>
      <c r="F2512" s="42">
        <v>45471</v>
      </c>
    </row>
    <row r="2513" spans="1:6" x14ac:dyDescent="0.3">
      <c r="A2513" s="15" t="s">
        <v>44992</v>
      </c>
      <c r="B2513" s="15" t="s">
        <v>5394</v>
      </c>
      <c r="C2513" s="15" t="s">
        <v>5395</v>
      </c>
      <c r="D2513" s="15" t="s">
        <v>5396</v>
      </c>
      <c r="E2513" s="15">
        <v>1098.0392999999999</v>
      </c>
      <c r="F2513" s="42">
        <v>45471</v>
      </c>
    </row>
    <row r="2514" spans="1:6" x14ac:dyDescent="0.3">
      <c r="A2514" s="15" t="s">
        <v>44991</v>
      </c>
      <c r="B2514" s="15" t="s">
        <v>5397</v>
      </c>
      <c r="C2514" s="15" t="s">
        <v>5398</v>
      </c>
      <c r="D2514" s="15" t="s">
        <v>5399</v>
      </c>
      <c r="E2514" s="15">
        <v>1088.0155999999999</v>
      </c>
      <c r="F2514" s="42">
        <v>45471</v>
      </c>
    </row>
    <row r="2515" spans="1:6" x14ac:dyDescent="0.3">
      <c r="A2515" s="15" t="s">
        <v>44990</v>
      </c>
      <c r="B2515" s="15" t="s">
        <v>5400</v>
      </c>
      <c r="C2515" s="15" t="s">
        <v>5401</v>
      </c>
      <c r="D2515" s="15" t="s">
        <v>5402</v>
      </c>
      <c r="E2515" s="15">
        <v>1210.1093000000001</v>
      </c>
      <c r="F2515" s="42">
        <v>45835</v>
      </c>
    </row>
    <row r="2516" spans="1:6" x14ac:dyDescent="0.3">
      <c r="A2516" s="15" t="s">
        <v>44989</v>
      </c>
      <c r="B2516" s="15" t="s">
        <v>5403</v>
      </c>
      <c r="C2516" s="15" t="s">
        <v>800</v>
      </c>
      <c r="D2516" s="15" t="s">
        <v>5404</v>
      </c>
      <c r="E2516" s="15">
        <v>3645.6396</v>
      </c>
      <c r="F2516" s="42">
        <v>46198</v>
      </c>
    </row>
    <row r="2517" spans="1:6" x14ac:dyDescent="0.3">
      <c r="A2517" s="15" t="s">
        <v>44988</v>
      </c>
      <c r="B2517" s="15" t="s">
        <v>5405</v>
      </c>
      <c r="C2517" s="15" t="s">
        <v>5406</v>
      </c>
      <c r="D2517" s="15" t="s">
        <v>5407</v>
      </c>
      <c r="E2517" s="15">
        <v>1099.2023999999999</v>
      </c>
      <c r="F2517" s="42">
        <v>46198</v>
      </c>
    </row>
    <row r="2518" spans="1:6" x14ac:dyDescent="0.3">
      <c r="A2518" s="15" t="s">
        <v>44987</v>
      </c>
      <c r="B2518" s="15" t="s">
        <v>5408</v>
      </c>
      <c r="C2518" s="15" t="s">
        <v>5409</v>
      </c>
      <c r="D2518" s="15" t="s">
        <v>5410</v>
      </c>
      <c r="E2518" s="15">
        <v>1255.0849000000001</v>
      </c>
      <c r="F2518" s="42">
        <v>45835</v>
      </c>
    </row>
    <row r="2519" spans="1:6" x14ac:dyDescent="0.3">
      <c r="A2519" s="15" t="s">
        <v>33499</v>
      </c>
      <c r="B2519" s="15" t="s">
        <v>795</v>
      </c>
      <c r="C2519" s="15" t="s">
        <v>795</v>
      </c>
      <c r="D2519" s="15" t="s">
        <v>795</v>
      </c>
      <c r="F2519" s="42"/>
    </row>
    <row r="2520" spans="1:6" x14ac:dyDescent="0.3">
      <c r="A2520" s="15" t="s">
        <v>33519</v>
      </c>
      <c r="B2520" s="15" t="s">
        <v>795</v>
      </c>
      <c r="C2520" s="15" t="s">
        <v>795</v>
      </c>
      <c r="D2520" s="15" t="s">
        <v>795</v>
      </c>
      <c r="F2520" s="42"/>
    </row>
    <row r="2521" spans="1:6" x14ac:dyDescent="0.3">
      <c r="A2521" s="15" t="s">
        <v>33499</v>
      </c>
      <c r="B2521" s="15" t="s">
        <v>795</v>
      </c>
      <c r="C2521" s="15" t="s">
        <v>795</v>
      </c>
      <c r="D2521" s="15" t="s">
        <v>795</v>
      </c>
      <c r="F2521" s="42"/>
    </row>
    <row r="2522" spans="1:6" x14ac:dyDescent="0.3">
      <c r="A2522" s="15" t="s">
        <v>44986</v>
      </c>
      <c r="B2522" s="15" t="s">
        <v>5411</v>
      </c>
      <c r="C2522" s="15" t="s">
        <v>800</v>
      </c>
      <c r="D2522" s="15" t="s">
        <v>5412</v>
      </c>
      <c r="E2522" s="15">
        <v>4301.8441000000003</v>
      </c>
      <c r="F2522" s="42">
        <v>46198</v>
      </c>
    </row>
    <row r="2523" spans="1:6" x14ac:dyDescent="0.3">
      <c r="A2523" s="15" t="s">
        <v>44985</v>
      </c>
      <c r="B2523" s="15" t="s">
        <v>5413</v>
      </c>
      <c r="C2523" s="15" t="s">
        <v>800</v>
      </c>
      <c r="D2523" s="15" t="s">
        <v>5414</v>
      </c>
      <c r="E2523" s="15">
        <v>4169.2206999999999</v>
      </c>
      <c r="F2523" s="42">
        <v>46198</v>
      </c>
    </row>
    <row r="2524" spans="1:6" x14ac:dyDescent="0.3">
      <c r="A2524" s="15" t="s">
        <v>44984</v>
      </c>
      <c r="B2524" s="15" t="s">
        <v>800</v>
      </c>
      <c r="C2524" s="15" t="s">
        <v>5415</v>
      </c>
      <c r="D2524" s="15" t="s">
        <v>5416</v>
      </c>
      <c r="E2524" s="15">
        <v>1003.5316</v>
      </c>
      <c r="F2524" s="42">
        <v>46198</v>
      </c>
    </row>
    <row r="2525" spans="1:6" x14ac:dyDescent="0.3">
      <c r="A2525" s="15" t="s">
        <v>44983</v>
      </c>
      <c r="B2525" s="15" t="s">
        <v>5417</v>
      </c>
      <c r="C2525" s="15" t="s">
        <v>5418</v>
      </c>
      <c r="D2525" s="15" t="s">
        <v>5419</v>
      </c>
      <c r="E2525" s="15">
        <v>2728.5282000000002</v>
      </c>
      <c r="F2525" s="42">
        <v>46198</v>
      </c>
    </row>
    <row r="2526" spans="1:6" x14ac:dyDescent="0.3">
      <c r="A2526" s="15" t="s">
        <v>44982</v>
      </c>
      <c r="B2526" s="15" t="s">
        <v>5420</v>
      </c>
      <c r="C2526" s="15" t="s">
        <v>5421</v>
      </c>
      <c r="D2526" s="15" t="s">
        <v>5422</v>
      </c>
      <c r="E2526" s="15">
        <v>1009.3521</v>
      </c>
      <c r="F2526" s="42">
        <v>46198</v>
      </c>
    </row>
    <row r="2527" spans="1:6" x14ac:dyDescent="0.3">
      <c r="A2527" s="15" t="s">
        <v>44981</v>
      </c>
      <c r="B2527" s="15" t="s">
        <v>800</v>
      </c>
      <c r="C2527" s="15" t="s">
        <v>5423</v>
      </c>
      <c r="D2527" s="15" t="s">
        <v>5424</v>
      </c>
      <c r="E2527" s="15">
        <v>1003.5288</v>
      </c>
      <c r="F2527" s="42">
        <v>46198</v>
      </c>
    </row>
    <row r="2528" spans="1:6" x14ac:dyDescent="0.3">
      <c r="A2528" s="15" t="s">
        <v>44980</v>
      </c>
      <c r="B2528" s="15" t="s">
        <v>5425</v>
      </c>
      <c r="C2528" s="15" t="s">
        <v>5426</v>
      </c>
      <c r="D2528" s="15" t="s">
        <v>5427</v>
      </c>
      <c r="E2528" s="15">
        <v>2642.5558999999998</v>
      </c>
      <c r="F2528" s="42">
        <v>46198</v>
      </c>
    </row>
    <row r="2529" spans="1:6" x14ac:dyDescent="0.3">
      <c r="A2529" s="15" t="s">
        <v>44979</v>
      </c>
      <c r="B2529" s="15" t="s">
        <v>5428</v>
      </c>
      <c r="C2529" s="15" t="s">
        <v>5429</v>
      </c>
      <c r="D2529" s="15" t="s">
        <v>5430</v>
      </c>
      <c r="E2529" s="15">
        <v>1009.3329</v>
      </c>
      <c r="F2529" s="42">
        <v>46198</v>
      </c>
    </row>
    <row r="2530" spans="1:6" x14ac:dyDescent="0.3">
      <c r="A2530" s="15" t="s">
        <v>33499</v>
      </c>
      <c r="B2530" s="15" t="s">
        <v>795</v>
      </c>
      <c r="C2530" s="15" t="s">
        <v>795</v>
      </c>
      <c r="D2530" s="15" t="s">
        <v>795</v>
      </c>
      <c r="F2530" s="42"/>
    </row>
    <row r="2531" spans="1:6" x14ac:dyDescent="0.3">
      <c r="A2531" s="15" t="s">
        <v>33504</v>
      </c>
      <c r="B2531" s="15" t="s">
        <v>795</v>
      </c>
      <c r="C2531" s="15" t="s">
        <v>795</v>
      </c>
      <c r="D2531" s="15" t="s">
        <v>795</v>
      </c>
      <c r="F2531" s="42"/>
    </row>
    <row r="2532" spans="1:6" x14ac:dyDescent="0.3">
      <c r="A2532" s="15" t="s">
        <v>33499</v>
      </c>
      <c r="B2532" s="15" t="s">
        <v>795</v>
      </c>
      <c r="C2532" s="15" t="s">
        <v>795</v>
      </c>
      <c r="D2532" s="15" t="s">
        <v>795</v>
      </c>
      <c r="F2532" s="42"/>
    </row>
    <row r="2533" spans="1:6" x14ac:dyDescent="0.3">
      <c r="A2533" s="15" t="s">
        <v>44978</v>
      </c>
      <c r="B2533" s="15" t="s">
        <v>5431</v>
      </c>
      <c r="C2533" s="15" t="s">
        <v>800</v>
      </c>
      <c r="D2533" s="15" t="s">
        <v>5432</v>
      </c>
      <c r="E2533" s="15">
        <v>10.5549</v>
      </c>
      <c r="F2533" s="42">
        <v>46198</v>
      </c>
    </row>
    <row r="2534" spans="1:6" x14ac:dyDescent="0.3">
      <c r="A2534" s="15" t="s">
        <v>44977</v>
      </c>
      <c r="B2534" s="15" t="s">
        <v>5433</v>
      </c>
      <c r="C2534" s="15" t="s">
        <v>5434</v>
      </c>
      <c r="D2534" s="15" t="s">
        <v>5435</v>
      </c>
      <c r="E2534" s="15">
        <v>10.5549</v>
      </c>
      <c r="F2534" s="42">
        <v>46198</v>
      </c>
    </row>
    <row r="2535" spans="1:6" x14ac:dyDescent="0.3">
      <c r="A2535" s="15" t="s">
        <v>44976</v>
      </c>
      <c r="B2535" s="15" t="s">
        <v>5436</v>
      </c>
      <c r="C2535" s="15" t="s">
        <v>800</v>
      </c>
      <c r="D2535" s="15" t="s">
        <v>5437</v>
      </c>
      <c r="E2535" s="15">
        <v>10.481199999999999</v>
      </c>
      <c r="F2535" s="42">
        <v>46198</v>
      </c>
    </row>
    <row r="2536" spans="1:6" x14ac:dyDescent="0.3">
      <c r="A2536" s="15" t="s">
        <v>44975</v>
      </c>
      <c r="B2536" s="15" t="s">
        <v>5438</v>
      </c>
      <c r="C2536" s="15" t="s">
        <v>5439</v>
      </c>
      <c r="D2536" s="15" t="s">
        <v>5440</v>
      </c>
      <c r="E2536" s="15">
        <v>10.481199999999999</v>
      </c>
      <c r="F2536" s="42">
        <v>46198</v>
      </c>
    </row>
    <row r="2537" spans="1:6" x14ac:dyDescent="0.3">
      <c r="A2537" s="15" t="s">
        <v>33499</v>
      </c>
      <c r="B2537" s="15" t="s">
        <v>795</v>
      </c>
      <c r="C2537" s="15" t="s">
        <v>795</v>
      </c>
      <c r="D2537" s="15" t="s">
        <v>795</v>
      </c>
      <c r="F2537" s="42"/>
    </row>
    <row r="2538" spans="1:6" x14ac:dyDescent="0.3">
      <c r="A2538" s="15" t="s">
        <v>33500</v>
      </c>
      <c r="B2538" s="15" t="s">
        <v>795</v>
      </c>
      <c r="C2538" s="15" t="s">
        <v>795</v>
      </c>
      <c r="D2538" s="15" t="s">
        <v>795</v>
      </c>
      <c r="F2538" s="42"/>
    </row>
    <row r="2539" spans="1:6" x14ac:dyDescent="0.3">
      <c r="A2539" s="15" t="s">
        <v>33499</v>
      </c>
      <c r="B2539" s="15" t="s">
        <v>795</v>
      </c>
      <c r="C2539" s="15" t="s">
        <v>795</v>
      </c>
      <c r="D2539" s="15" t="s">
        <v>795</v>
      </c>
      <c r="F2539" s="42"/>
    </row>
    <row r="2540" spans="1:6" x14ac:dyDescent="0.3">
      <c r="A2540" s="15" t="s">
        <v>44974</v>
      </c>
      <c r="B2540" s="15" t="s">
        <v>5441</v>
      </c>
      <c r="C2540" s="15" t="s">
        <v>5442</v>
      </c>
      <c r="D2540" s="15" t="s">
        <v>5443</v>
      </c>
      <c r="E2540" s="15">
        <v>1418.952</v>
      </c>
      <c r="F2540" s="42">
        <v>46198</v>
      </c>
    </row>
    <row r="2541" spans="1:6" x14ac:dyDescent="0.3">
      <c r="A2541" s="15" t="s">
        <v>44973</v>
      </c>
      <c r="B2541" s="15" t="s">
        <v>5444</v>
      </c>
      <c r="C2541" s="15" t="s">
        <v>800</v>
      </c>
      <c r="D2541" s="15" t="s">
        <v>5445</v>
      </c>
      <c r="E2541" s="15">
        <v>2199.7192</v>
      </c>
      <c r="F2541" s="42">
        <v>44256</v>
      </c>
    </row>
    <row r="2542" spans="1:6" x14ac:dyDescent="0.3">
      <c r="A2542" s="15" t="s">
        <v>44972</v>
      </c>
      <c r="B2542" s="15" t="s">
        <v>800</v>
      </c>
      <c r="C2542" s="15" t="s">
        <v>5446</v>
      </c>
      <c r="D2542" s="15" t="s">
        <v>5447</v>
      </c>
      <c r="E2542" s="15">
        <v>1463.5291</v>
      </c>
      <c r="F2542" s="42">
        <v>46198</v>
      </c>
    </row>
    <row r="2543" spans="1:6" x14ac:dyDescent="0.3">
      <c r="A2543" s="15" t="s">
        <v>44971</v>
      </c>
      <c r="B2543" s="15" t="s">
        <v>5448</v>
      </c>
      <c r="C2543" s="15" t="s">
        <v>5449</v>
      </c>
      <c r="D2543" s="15" t="s">
        <v>5450</v>
      </c>
      <c r="E2543" s="15">
        <v>1627.3405</v>
      </c>
      <c r="F2543" s="42">
        <v>46198</v>
      </c>
    </row>
    <row r="2544" spans="1:6" x14ac:dyDescent="0.3">
      <c r="A2544" s="15" t="s">
        <v>44970</v>
      </c>
      <c r="B2544" s="15" t="s">
        <v>5451</v>
      </c>
      <c r="C2544" s="15" t="s">
        <v>5452</v>
      </c>
      <c r="D2544" s="15" t="s">
        <v>5453</v>
      </c>
      <c r="E2544" s="15">
        <v>1343.5528999999999</v>
      </c>
      <c r="F2544" s="42">
        <v>46198</v>
      </c>
    </row>
    <row r="2545" spans="1:6" x14ac:dyDescent="0.3">
      <c r="A2545" s="15" t="s">
        <v>44969</v>
      </c>
      <c r="B2545" s="15" t="s">
        <v>5454</v>
      </c>
      <c r="C2545" s="15" t="s">
        <v>800</v>
      </c>
      <c r="D2545" s="15" t="s">
        <v>5455</v>
      </c>
      <c r="E2545" s="15">
        <v>3833.2786999999998</v>
      </c>
      <c r="F2545" s="42">
        <v>46198</v>
      </c>
    </row>
    <row r="2546" spans="1:6" x14ac:dyDescent="0.3">
      <c r="A2546" s="15" t="s">
        <v>44968</v>
      </c>
      <c r="B2546" s="15" t="s">
        <v>5456</v>
      </c>
      <c r="C2546" s="15" t="s">
        <v>5457</v>
      </c>
      <c r="D2546" s="15" t="s">
        <v>5458</v>
      </c>
      <c r="E2546" s="15">
        <v>1483.1704999999999</v>
      </c>
      <c r="F2546" s="42">
        <v>46198</v>
      </c>
    </row>
    <row r="2547" spans="1:6" x14ac:dyDescent="0.3">
      <c r="A2547" s="15" t="s">
        <v>44967</v>
      </c>
      <c r="B2547" s="15" t="s">
        <v>5459</v>
      </c>
      <c r="C2547" s="15" t="s">
        <v>5460</v>
      </c>
      <c r="D2547" s="15" t="s">
        <v>5461</v>
      </c>
      <c r="E2547" s="15">
        <v>1496.6222</v>
      </c>
      <c r="F2547" s="42">
        <v>46198</v>
      </c>
    </row>
    <row r="2548" spans="1:6" x14ac:dyDescent="0.3">
      <c r="A2548" s="15" t="s">
        <v>44966</v>
      </c>
      <c r="B2548" s="15" t="s">
        <v>5462</v>
      </c>
      <c r="C2548" s="15" t="s">
        <v>5463</v>
      </c>
      <c r="D2548" s="15" t="s">
        <v>5464</v>
      </c>
      <c r="E2548" s="15">
        <v>2055.29</v>
      </c>
      <c r="F2548" s="42">
        <v>46198</v>
      </c>
    </row>
    <row r="2549" spans="1:6" x14ac:dyDescent="0.3">
      <c r="A2549" s="15" t="s">
        <v>44965</v>
      </c>
      <c r="B2549" s="15" t="s">
        <v>5465</v>
      </c>
      <c r="C2549" s="15" t="s">
        <v>5466</v>
      </c>
      <c r="D2549" s="15" t="s">
        <v>5467</v>
      </c>
      <c r="E2549" s="15">
        <v>1022.793</v>
      </c>
      <c r="F2549" s="42">
        <v>46198</v>
      </c>
    </row>
    <row r="2550" spans="1:6" x14ac:dyDescent="0.3">
      <c r="A2550" s="15" t="s">
        <v>44964</v>
      </c>
      <c r="B2550" s="15" t="s">
        <v>5468</v>
      </c>
      <c r="C2550" s="15" t="s">
        <v>5469</v>
      </c>
      <c r="D2550" s="15" t="s">
        <v>5470</v>
      </c>
      <c r="E2550" s="15">
        <v>3582.6046999999999</v>
      </c>
      <c r="F2550" s="42">
        <v>46198</v>
      </c>
    </row>
    <row r="2551" spans="1:6" x14ac:dyDescent="0.3">
      <c r="A2551" s="15" t="s">
        <v>44963</v>
      </c>
      <c r="B2551" s="15" t="s">
        <v>800</v>
      </c>
      <c r="C2551" s="15" t="s">
        <v>5471</v>
      </c>
      <c r="D2551" s="15" t="s">
        <v>5472</v>
      </c>
      <c r="E2551" s="15">
        <v>1075.2254</v>
      </c>
      <c r="F2551" s="42">
        <v>46198</v>
      </c>
    </row>
    <row r="2552" spans="1:6" x14ac:dyDescent="0.3">
      <c r="A2552" s="15" t="s">
        <v>44962</v>
      </c>
      <c r="B2552" s="15" t="s">
        <v>5473</v>
      </c>
      <c r="C2552" s="15" t="s">
        <v>5474</v>
      </c>
      <c r="D2552" s="15" t="s">
        <v>5475</v>
      </c>
      <c r="E2552" s="15">
        <v>2357.5581999999999</v>
      </c>
      <c r="F2552" s="42">
        <v>46198</v>
      </c>
    </row>
    <row r="2553" spans="1:6" x14ac:dyDescent="0.3">
      <c r="A2553" s="15" t="s">
        <v>44961</v>
      </c>
      <c r="B2553" s="15" t="s">
        <v>5476</v>
      </c>
      <c r="C2553" s="15" t="s">
        <v>800</v>
      </c>
      <c r="D2553" s="15" t="s">
        <v>5477</v>
      </c>
      <c r="E2553" s="15">
        <v>4444.5263000000004</v>
      </c>
      <c r="F2553" s="42">
        <v>46198</v>
      </c>
    </row>
    <row r="2554" spans="1:6" x14ac:dyDescent="0.3">
      <c r="A2554" s="15" t="s">
        <v>44960</v>
      </c>
      <c r="B2554" s="15" t="s">
        <v>5478</v>
      </c>
      <c r="C2554" s="15" t="s">
        <v>800</v>
      </c>
      <c r="D2554" s="15" t="s">
        <v>5479</v>
      </c>
      <c r="E2554" s="15">
        <v>1094.2565999999999</v>
      </c>
      <c r="F2554" s="42">
        <v>46198</v>
      </c>
    </row>
    <row r="2555" spans="1:6" x14ac:dyDescent="0.3">
      <c r="A2555" s="15" t="s">
        <v>44959</v>
      </c>
      <c r="B2555" s="15" t="s">
        <v>5480</v>
      </c>
      <c r="C2555" s="15" t="s">
        <v>800</v>
      </c>
      <c r="D2555" s="15" t="s">
        <v>5481</v>
      </c>
      <c r="E2555" s="15">
        <v>6667.5452999999998</v>
      </c>
      <c r="F2555" s="42">
        <v>46198</v>
      </c>
    </row>
    <row r="2556" spans="1:6" x14ac:dyDescent="0.3">
      <c r="A2556" s="15" t="s">
        <v>44958</v>
      </c>
      <c r="B2556" s="15" t="s">
        <v>5482</v>
      </c>
      <c r="C2556" s="15" t="s">
        <v>5483</v>
      </c>
      <c r="D2556" s="15" t="s">
        <v>5484</v>
      </c>
      <c r="E2556" s="15">
        <v>1016.7762</v>
      </c>
      <c r="F2556" s="42">
        <v>46198</v>
      </c>
    </row>
    <row r="2557" spans="1:6" x14ac:dyDescent="0.3">
      <c r="A2557" s="15" t="s">
        <v>44957</v>
      </c>
      <c r="B2557" s="15" t="s">
        <v>5485</v>
      </c>
      <c r="C2557" s="15" t="s">
        <v>800</v>
      </c>
      <c r="D2557" s="15" t="s">
        <v>5486</v>
      </c>
      <c r="E2557" s="15">
        <v>3150.7892000000002</v>
      </c>
      <c r="F2557" s="42">
        <v>46198</v>
      </c>
    </row>
    <row r="2558" spans="1:6" x14ac:dyDescent="0.3">
      <c r="A2558" s="15" t="s">
        <v>44956</v>
      </c>
      <c r="B2558" s="15" t="s">
        <v>800</v>
      </c>
      <c r="C2558" s="15" t="s">
        <v>5487</v>
      </c>
      <c r="D2558" s="15" t="s">
        <v>5488</v>
      </c>
      <c r="E2558" s="15">
        <v>1452.9802999999999</v>
      </c>
      <c r="F2558" s="42">
        <v>46198</v>
      </c>
    </row>
    <row r="2559" spans="1:6" x14ac:dyDescent="0.3">
      <c r="A2559" s="15" t="s">
        <v>44955</v>
      </c>
      <c r="B2559" s="15" t="s">
        <v>5489</v>
      </c>
      <c r="C2559" s="15" t="s">
        <v>5490</v>
      </c>
      <c r="D2559" s="15" t="s">
        <v>5491</v>
      </c>
      <c r="E2559" s="15">
        <v>1433.8362</v>
      </c>
      <c r="F2559" s="42">
        <v>46198</v>
      </c>
    </row>
    <row r="2560" spans="1:6" x14ac:dyDescent="0.3">
      <c r="A2560" s="15" t="s">
        <v>44954</v>
      </c>
      <c r="B2560" s="15" t="s">
        <v>5492</v>
      </c>
      <c r="C2560" s="15" t="s">
        <v>5493</v>
      </c>
      <c r="D2560" s="15" t="s">
        <v>5494</v>
      </c>
      <c r="E2560" s="15">
        <v>1334.8026</v>
      </c>
      <c r="F2560" s="42">
        <v>46198</v>
      </c>
    </row>
    <row r="2561" spans="1:6" x14ac:dyDescent="0.3">
      <c r="A2561" s="15" t="s">
        <v>44953</v>
      </c>
      <c r="B2561" s="15" t="s">
        <v>5495</v>
      </c>
      <c r="C2561" s="15" t="s">
        <v>800</v>
      </c>
      <c r="D2561" s="15" t="s">
        <v>5496</v>
      </c>
      <c r="E2561" s="15">
        <v>3769.8461000000002</v>
      </c>
      <c r="F2561" s="42">
        <v>46198</v>
      </c>
    </row>
    <row r="2562" spans="1:6" x14ac:dyDescent="0.3">
      <c r="A2562" s="15" t="s">
        <v>44952</v>
      </c>
      <c r="B2562" s="15" t="s">
        <v>5497</v>
      </c>
      <c r="C2562" s="15" t="s">
        <v>5498</v>
      </c>
      <c r="D2562" s="15" t="s">
        <v>5499</v>
      </c>
      <c r="E2562" s="15">
        <v>1488.1391000000001</v>
      </c>
      <c r="F2562" s="42">
        <v>46198</v>
      </c>
    </row>
    <row r="2563" spans="1:6" x14ac:dyDescent="0.3">
      <c r="A2563" s="15" t="s">
        <v>44951</v>
      </c>
      <c r="B2563" s="15" t="s">
        <v>5500</v>
      </c>
      <c r="C2563" s="15" t="s">
        <v>5501</v>
      </c>
      <c r="D2563" s="15" t="s">
        <v>5502</v>
      </c>
      <c r="E2563" s="15">
        <v>1482.0702000000001</v>
      </c>
      <c r="F2563" s="42">
        <v>46198</v>
      </c>
    </row>
    <row r="2564" spans="1:6" x14ac:dyDescent="0.3">
      <c r="A2564" s="15" t="s">
        <v>44950</v>
      </c>
      <c r="B2564" s="15" t="s">
        <v>5503</v>
      </c>
      <c r="C2564" s="15" t="s">
        <v>5504</v>
      </c>
      <c r="D2564" s="15" t="s">
        <v>5505</v>
      </c>
      <c r="E2564" s="15">
        <v>1436.4693</v>
      </c>
      <c r="F2564" s="42">
        <v>46198</v>
      </c>
    </row>
    <row r="2565" spans="1:6" x14ac:dyDescent="0.3">
      <c r="A2565" s="15" t="s">
        <v>44949</v>
      </c>
      <c r="B2565" s="15" t="s">
        <v>5506</v>
      </c>
      <c r="C2565" s="15" t="s">
        <v>5507</v>
      </c>
      <c r="D2565" s="15" t="s">
        <v>5508</v>
      </c>
      <c r="E2565" s="15">
        <v>1456.6560999999999</v>
      </c>
      <c r="F2565" s="42">
        <v>46198</v>
      </c>
    </row>
    <row r="2566" spans="1:6" x14ac:dyDescent="0.3">
      <c r="A2566" s="15" t="s">
        <v>33499</v>
      </c>
      <c r="B2566" s="15" t="s">
        <v>795</v>
      </c>
      <c r="C2566" s="15" t="s">
        <v>795</v>
      </c>
      <c r="D2566" s="15" t="s">
        <v>795</v>
      </c>
      <c r="F2566" s="42"/>
    </row>
    <row r="2567" spans="1:6" x14ac:dyDescent="0.3">
      <c r="A2567" s="15" t="s">
        <v>44948</v>
      </c>
      <c r="B2567" s="15" t="s">
        <v>795</v>
      </c>
      <c r="C2567" s="15" t="s">
        <v>795</v>
      </c>
      <c r="D2567" s="15" t="s">
        <v>795</v>
      </c>
      <c r="F2567" s="42"/>
    </row>
    <row r="2568" spans="1:6" x14ac:dyDescent="0.3">
      <c r="A2568" s="15" t="s">
        <v>33499</v>
      </c>
      <c r="B2568" s="15" t="s">
        <v>795</v>
      </c>
      <c r="C2568" s="15" t="s">
        <v>795</v>
      </c>
      <c r="D2568" s="15" t="s">
        <v>795</v>
      </c>
      <c r="F2568" s="42"/>
    </row>
    <row r="2569" spans="1:6" x14ac:dyDescent="0.3">
      <c r="A2569" s="15" t="s">
        <v>37122</v>
      </c>
      <c r="B2569" s="15" t="s">
        <v>795</v>
      </c>
      <c r="C2569" s="15" t="s">
        <v>795</v>
      </c>
      <c r="D2569" s="15" t="s">
        <v>795</v>
      </c>
      <c r="F2569" s="42"/>
    </row>
    <row r="2570" spans="1:6" x14ac:dyDescent="0.3">
      <c r="A2570" s="15" t="s">
        <v>33499</v>
      </c>
      <c r="B2570" s="15" t="s">
        <v>795</v>
      </c>
      <c r="C2570" s="15" t="s">
        <v>795</v>
      </c>
      <c r="D2570" s="15" t="s">
        <v>795</v>
      </c>
      <c r="F2570" s="42"/>
    </row>
    <row r="2571" spans="1:6" x14ac:dyDescent="0.3">
      <c r="A2571" s="15" t="s">
        <v>44947</v>
      </c>
      <c r="B2571" s="15" t="s">
        <v>5509</v>
      </c>
      <c r="C2571" s="15" t="s">
        <v>800</v>
      </c>
      <c r="D2571" s="15" t="s">
        <v>5510</v>
      </c>
      <c r="E2571" s="15">
        <v>14.9595</v>
      </c>
      <c r="F2571" s="42">
        <v>46198</v>
      </c>
    </row>
    <row r="2572" spans="1:6" x14ac:dyDescent="0.3">
      <c r="A2572" s="15" t="s">
        <v>44946</v>
      </c>
      <c r="B2572" s="15" t="s">
        <v>5511</v>
      </c>
      <c r="C2572" s="15" t="s">
        <v>800</v>
      </c>
      <c r="D2572" s="15" t="s">
        <v>5512</v>
      </c>
      <c r="E2572" s="15">
        <v>18.085599999999999</v>
      </c>
      <c r="F2572" s="42">
        <v>46198</v>
      </c>
    </row>
    <row r="2573" spans="1:6" x14ac:dyDescent="0.3">
      <c r="A2573" s="15" t="s">
        <v>44945</v>
      </c>
      <c r="B2573" s="15" t="s">
        <v>5513</v>
      </c>
      <c r="C2573" s="15" t="s">
        <v>800</v>
      </c>
      <c r="D2573" s="15" t="s">
        <v>5514</v>
      </c>
      <c r="E2573" s="15">
        <v>14.361700000000001</v>
      </c>
      <c r="F2573" s="42">
        <v>46198</v>
      </c>
    </row>
    <row r="2574" spans="1:6" x14ac:dyDescent="0.3">
      <c r="A2574" s="15" t="s">
        <v>44944</v>
      </c>
      <c r="B2574" s="15" t="s">
        <v>5515</v>
      </c>
      <c r="C2574" s="15" t="s">
        <v>800</v>
      </c>
      <c r="D2574" s="15" t="s">
        <v>5516</v>
      </c>
      <c r="E2574" s="15">
        <v>47.474299999999999</v>
      </c>
      <c r="F2574" s="42">
        <v>46198</v>
      </c>
    </row>
    <row r="2575" spans="1:6" x14ac:dyDescent="0.3">
      <c r="A2575" s="15" t="s">
        <v>44943</v>
      </c>
      <c r="B2575" s="15" t="s">
        <v>5517</v>
      </c>
      <c r="C2575" s="15" t="s">
        <v>800</v>
      </c>
      <c r="D2575" s="15" t="s">
        <v>5518</v>
      </c>
      <c r="E2575" s="15">
        <v>43.340499999999999</v>
      </c>
      <c r="F2575" s="42">
        <v>46198</v>
      </c>
    </row>
    <row r="2576" spans="1:6" x14ac:dyDescent="0.3">
      <c r="A2576" s="15" t="s">
        <v>44942</v>
      </c>
      <c r="B2576" s="15" t="s">
        <v>5519</v>
      </c>
      <c r="C2576" s="15" t="s">
        <v>800</v>
      </c>
      <c r="D2576" s="15" t="s">
        <v>5520</v>
      </c>
      <c r="E2576" s="15">
        <v>22.144200000000001</v>
      </c>
      <c r="F2576" s="42">
        <v>43559</v>
      </c>
    </row>
    <row r="2577" spans="1:6" x14ac:dyDescent="0.3">
      <c r="A2577" s="15" t="s">
        <v>44941</v>
      </c>
      <c r="B2577" s="15" t="s">
        <v>5521</v>
      </c>
      <c r="C2577" s="15" t="s">
        <v>5522</v>
      </c>
      <c r="D2577" s="15" t="s">
        <v>5523</v>
      </c>
      <c r="E2577" s="15">
        <v>13.9937</v>
      </c>
      <c r="F2577" s="42">
        <v>46198</v>
      </c>
    </row>
    <row r="2578" spans="1:6" x14ac:dyDescent="0.3">
      <c r="A2578" s="15" t="s">
        <v>44940</v>
      </c>
      <c r="B2578" s="15" t="s">
        <v>5524</v>
      </c>
      <c r="C2578" s="15" t="s">
        <v>5525</v>
      </c>
      <c r="D2578" s="15" t="s">
        <v>5526</v>
      </c>
      <c r="E2578" s="15">
        <v>16.4542</v>
      </c>
      <c r="F2578" s="42">
        <v>46198</v>
      </c>
    </row>
    <row r="2579" spans="1:6" x14ac:dyDescent="0.3">
      <c r="A2579" s="15" t="s">
        <v>44939</v>
      </c>
      <c r="B2579" s="15" t="s">
        <v>5527</v>
      </c>
      <c r="C2579" s="15" t="s">
        <v>5528</v>
      </c>
      <c r="D2579" s="15" t="s">
        <v>5529</v>
      </c>
      <c r="E2579" s="15">
        <v>13.616</v>
      </c>
      <c r="F2579" s="42">
        <v>46198</v>
      </c>
    </row>
    <row r="2580" spans="1:6" x14ac:dyDescent="0.3">
      <c r="A2580" s="15" t="s">
        <v>33499</v>
      </c>
      <c r="B2580" s="15" t="s">
        <v>795</v>
      </c>
      <c r="C2580" s="15" t="s">
        <v>795</v>
      </c>
      <c r="D2580" s="15" t="s">
        <v>795</v>
      </c>
      <c r="F2580" s="42"/>
    </row>
    <row r="2581" spans="1:6" x14ac:dyDescent="0.3">
      <c r="A2581" s="15" t="s">
        <v>37087</v>
      </c>
      <c r="B2581" s="15" t="s">
        <v>795</v>
      </c>
      <c r="C2581" s="15" t="s">
        <v>795</v>
      </c>
      <c r="D2581" s="15" t="s">
        <v>795</v>
      </c>
      <c r="F2581" s="42"/>
    </row>
    <row r="2582" spans="1:6" x14ac:dyDescent="0.3">
      <c r="A2582" s="15" t="s">
        <v>33499</v>
      </c>
      <c r="B2582" s="15" t="s">
        <v>795</v>
      </c>
      <c r="C2582" s="15" t="s">
        <v>795</v>
      </c>
      <c r="D2582" s="15" t="s">
        <v>795</v>
      </c>
      <c r="F2582" s="42"/>
    </row>
    <row r="2583" spans="1:6" x14ac:dyDescent="0.3">
      <c r="A2583" s="15" t="s">
        <v>44938</v>
      </c>
      <c r="B2583" s="15" t="s">
        <v>5530</v>
      </c>
      <c r="C2583" s="15" t="s">
        <v>800</v>
      </c>
      <c r="D2583" s="15" t="s">
        <v>5531</v>
      </c>
      <c r="E2583" s="15">
        <v>33.018099999999997</v>
      </c>
      <c r="F2583" s="42">
        <v>46198</v>
      </c>
    </row>
    <row r="2584" spans="1:6" x14ac:dyDescent="0.3">
      <c r="A2584" s="15" t="s">
        <v>44937</v>
      </c>
      <c r="B2584" s="15" t="s">
        <v>5532</v>
      </c>
      <c r="C2584" s="15" t="s">
        <v>5533</v>
      </c>
      <c r="D2584" s="15" t="s">
        <v>5534</v>
      </c>
      <c r="E2584" s="15">
        <v>11.9962</v>
      </c>
      <c r="F2584" s="42">
        <v>46198</v>
      </c>
    </row>
    <row r="2585" spans="1:6" x14ac:dyDescent="0.3">
      <c r="A2585" s="15" t="s">
        <v>44936</v>
      </c>
      <c r="B2585" s="15" t="s">
        <v>5535</v>
      </c>
      <c r="C2585" s="15" t="s">
        <v>5536</v>
      </c>
      <c r="D2585" s="15" t="s">
        <v>5537</v>
      </c>
      <c r="E2585" s="15">
        <v>10.576700000000001</v>
      </c>
      <c r="F2585" s="42">
        <v>46198</v>
      </c>
    </row>
    <row r="2586" spans="1:6" x14ac:dyDescent="0.3">
      <c r="A2586" s="15" t="s">
        <v>44935</v>
      </c>
      <c r="B2586" s="15" t="s">
        <v>5538</v>
      </c>
      <c r="C2586" s="15" t="s">
        <v>800</v>
      </c>
      <c r="D2586" s="15" t="s">
        <v>5539</v>
      </c>
      <c r="E2586" s="15">
        <v>13.256</v>
      </c>
      <c r="F2586" s="42">
        <v>42034</v>
      </c>
    </row>
    <row r="2587" spans="1:6" x14ac:dyDescent="0.3">
      <c r="A2587" s="15" t="s">
        <v>44934</v>
      </c>
      <c r="B2587" s="15" t="s">
        <v>5540</v>
      </c>
      <c r="C2587" s="15" t="s">
        <v>800</v>
      </c>
      <c r="D2587" s="15" t="s">
        <v>5541</v>
      </c>
      <c r="E2587" s="15">
        <v>29.8673</v>
      </c>
      <c r="F2587" s="42">
        <v>46198</v>
      </c>
    </row>
    <row r="2588" spans="1:6" x14ac:dyDescent="0.3">
      <c r="A2588" s="15" t="s">
        <v>44933</v>
      </c>
      <c r="B2588" s="15" t="s">
        <v>5542</v>
      </c>
      <c r="C2588" s="15" t="s">
        <v>5543</v>
      </c>
      <c r="D2588" s="15" t="s">
        <v>5544</v>
      </c>
      <c r="E2588" s="15">
        <v>10.510999999999999</v>
      </c>
      <c r="F2588" s="42">
        <v>46198</v>
      </c>
    </row>
    <row r="2589" spans="1:6" x14ac:dyDescent="0.3">
      <c r="A2589" s="15" t="s">
        <v>44932</v>
      </c>
      <c r="B2589" s="15" t="s">
        <v>5545</v>
      </c>
      <c r="C2589" s="15" t="s">
        <v>5546</v>
      </c>
      <c r="D2589" s="15" t="s">
        <v>5547</v>
      </c>
      <c r="E2589" s="15">
        <v>10.2705</v>
      </c>
      <c r="F2589" s="42">
        <v>46198</v>
      </c>
    </row>
    <row r="2590" spans="1:6" x14ac:dyDescent="0.3">
      <c r="A2590" s="15" t="s">
        <v>33499</v>
      </c>
      <c r="B2590" s="15" t="s">
        <v>795</v>
      </c>
      <c r="C2590" s="15" t="s">
        <v>795</v>
      </c>
      <c r="D2590" s="15" t="s">
        <v>795</v>
      </c>
      <c r="F2590" s="42"/>
    </row>
    <row r="2591" spans="1:6" x14ac:dyDescent="0.3">
      <c r="A2591" s="15" t="s">
        <v>37073</v>
      </c>
      <c r="B2591" s="15" t="s">
        <v>795</v>
      </c>
      <c r="C2591" s="15" t="s">
        <v>795</v>
      </c>
      <c r="D2591" s="15" t="s">
        <v>795</v>
      </c>
      <c r="F2591" s="42"/>
    </row>
    <row r="2592" spans="1:6" x14ac:dyDescent="0.3">
      <c r="A2592" s="15" t="s">
        <v>33499</v>
      </c>
      <c r="B2592" s="15" t="s">
        <v>795</v>
      </c>
      <c r="C2592" s="15" t="s">
        <v>795</v>
      </c>
      <c r="D2592" s="15" t="s">
        <v>795</v>
      </c>
      <c r="F2592" s="42"/>
    </row>
    <row r="2593" spans="1:6" x14ac:dyDescent="0.3">
      <c r="A2593" s="15" t="s">
        <v>44931</v>
      </c>
      <c r="B2593" s="15" t="s">
        <v>5548</v>
      </c>
      <c r="C2593" s="15" t="s">
        <v>5549</v>
      </c>
      <c r="D2593" s="15" t="s">
        <v>5550</v>
      </c>
      <c r="E2593" s="15">
        <v>10.7743</v>
      </c>
      <c r="F2593" s="42">
        <v>46198</v>
      </c>
    </row>
    <row r="2594" spans="1:6" x14ac:dyDescent="0.3">
      <c r="A2594" s="15" t="s">
        <v>44930</v>
      </c>
      <c r="B2594" s="15" t="s">
        <v>800</v>
      </c>
      <c r="C2594" s="15" t="s">
        <v>5551</v>
      </c>
      <c r="D2594" s="15" t="s">
        <v>5552</v>
      </c>
      <c r="E2594" s="15">
        <v>10.4246</v>
      </c>
      <c r="F2594" s="42">
        <v>46198</v>
      </c>
    </row>
    <row r="2595" spans="1:6" x14ac:dyDescent="0.3">
      <c r="A2595" s="15" t="s">
        <v>44929</v>
      </c>
      <c r="B2595" s="15" t="s">
        <v>5553</v>
      </c>
      <c r="C2595" s="15" t="s">
        <v>5554</v>
      </c>
      <c r="D2595" s="15" t="s">
        <v>5555</v>
      </c>
      <c r="E2595" s="15">
        <v>10.2659</v>
      </c>
      <c r="F2595" s="42">
        <v>45985</v>
      </c>
    </row>
    <row r="2596" spans="1:6" x14ac:dyDescent="0.3">
      <c r="A2596" s="15" t="s">
        <v>44928</v>
      </c>
      <c r="B2596" s="15" t="s">
        <v>5556</v>
      </c>
      <c r="C2596" s="15" t="s">
        <v>800</v>
      </c>
      <c r="D2596" s="15" t="s">
        <v>5557</v>
      </c>
      <c r="E2596" s="15">
        <v>52.874099999999999</v>
      </c>
      <c r="F2596" s="42">
        <v>46198</v>
      </c>
    </row>
    <row r="2597" spans="1:6" x14ac:dyDescent="0.3">
      <c r="A2597" s="15" t="s">
        <v>44927</v>
      </c>
      <c r="B2597" s="15" t="s">
        <v>5558</v>
      </c>
      <c r="C2597" s="15" t="s">
        <v>5559</v>
      </c>
      <c r="D2597" s="15" t="s">
        <v>5560</v>
      </c>
      <c r="E2597" s="15">
        <v>10.6717</v>
      </c>
      <c r="F2597" s="42">
        <v>46198</v>
      </c>
    </row>
    <row r="2598" spans="1:6" x14ac:dyDescent="0.3">
      <c r="A2598" s="15" t="s">
        <v>44926</v>
      </c>
      <c r="B2598" s="15" t="s">
        <v>5561</v>
      </c>
      <c r="C2598" s="15" t="s">
        <v>5562</v>
      </c>
      <c r="D2598" s="15" t="s">
        <v>5563</v>
      </c>
      <c r="E2598" s="15">
        <v>13.802899999999999</v>
      </c>
      <c r="F2598" s="42">
        <v>46198</v>
      </c>
    </row>
    <row r="2599" spans="1:6" x14ac:dyDescent="0.3">
      <c r="A2599" s="15" t="s">
        <v>44925</v>
      </c>
      <c r="B2599" s="15" t="s">
        <v>5564</v>
      </c>
      <c r="C2599" s="15" t="s">
        <v>5565</v>
      </c>
      <c r="D2599" s="15" t="s">
        <v>5566</v>
      </c>
      <c r="E2599" s="15">
        <v>11.6008</v>
      </c>
      <c r="F2599" s="42">
        <v>46198</v>
      </c>
    </row>
    <row r="2600" spans="1:6" x14ac:dyDescent="0.3">
      <c r="A2600" s="15" t="s">
        <v>44924</v>
      </c>
      <c r="B2600" s="15" t="s">
        <v>5567</v>
      </c>
      <c r="C2600" s="15" t="s">
        <v>5568</v>
      </c>
      <c r="D2600" s="15" t="s">
        <v>5569</v>
      </c>
      <c r="E2600" s="15">
        <v>10.4498</v>
      </c>
      <c r="F2600" s="42">
        <v>46198</v>
      </c>
    </row>
    <row r="2601" spans="1:6" x14ac:dyDescent="0.3">
      <c r="A2601" s="15" t="s">
        <v>44923</v>
      </c>
      <c r="B2601" s="15" t="s">
        <v>5570</v>
      </c>
      <c r="C2601" s="15" t="s">
        <v>5571</v>
      </c>
      <c r="D2601" s="15" t="s">
        <v>5572</v>
      </c>
      <c r="E2601" s="15">
        <v>10.2872</v>
      </c>
      <c r="F2601" s="42">
        <v>46198</v>
      </c>
    </row>
    <row r="2602" spans="1:6" x14ac:dyDescent="0.3">
      <c r="A2602" s="15" t="s">
        <v>44922</v>
      </c>
      <c r="B2602" s="15" t="s">
        <v>5573</v>
      </c>
      <c r="C2602" s="15" t="s">
        <v>5574</v>
      </c>
      <c r="D2602" s="15" t="s">
        <v>5575</v>
      </c>
      <c r="E2602" s="15">
        <v>10.3302</v>
      </c>
      <c r="F2602" s="42">
        <v>46198</v>
      </c>
    </row>
    <row r="2603" spans="1:6" x14ac:dyDescent="0.3">
      <c r="A2603" s="15" t="s">
        <v>44921</v>
      </c>
      <c r="B2603" s="15" t="s">
        <v>5576</v>
      </c>
      <c r="C2603" s="15" t="s">
        <v>800</v>
      </c>
      <c r="D2603" s="15" t="s">
        <v>5577</v>
      </c>
      <c r="E2603" s="15">
        <v>48.178800000000003</v>
      </c>
      <c r="F2603" s="42">
        <v>46198</v>
      </c>
    </row>
    <row r="2604" spans="1:6" x14ac:dyDescent="0.3">
      <c r="A2604" s="15" t="s">
        <v>44920</v>
      </c>
      <c r="B2604" s="15" t="s">
        <v>5578</v>
      </c>
      <c r="C2604" s="15" t="s">
        <v>5579</v>
      </c>
      <c r="D2604" s="15" t="s">
        <v>5580</v>
      </c>
      <c r="E2604" s="15">
        <v>10.4298</v>
      </c>
      <c r="F2604" s="42">
        <v>46198</v>
      </c>
    </row>
    <row r="2605" spans="1:6" x14ac:dyDescent="0.3">
      <c r="A2605" s="15" t="s">
        <v>44919</v>
      </c>
      <c r="B2605" s="15" t="s">
        <v>5581</v>
      </c>
      <c r="C2605" s="15" t="s">
        <v>5582</v>
      </c>
      <c r="D2605" s="15" t="s">
        <v>5583</v>
      </c>
      <c r="E2605" s="15">
        <v>15.177</v>
      </c>
      <c r="F2605" s="42">
        <v>46198</v>
      </c>
    </row>
    <row r="2606" spans="1:6" x14ac:dyDescent="0.3">
      <c r="A2606" s="15" t="s">
        <v>44918</v>
      </c>
      <c r="B2606" s="15" t="s">
        <v>5584</v>
      </c>
      <c r="C2606" s="15" t="s">
        <v>5585</v>
      </c>
      <c r="D2606" s="15" t="s">
        <v>5586</v>
      </c>
      <c r="E2606" s="15">
        <v>11.380699999999999</v>
      </c>
      <c r="F2606" s="42">
        <v>46198</v>
      </c>
    </row>
    <row r="2607" spans="1:6" x14ac:dyDescent="0.3">
      <c r="A2607" s="15" t="s">
        <v>33499</v>
      </c>
      <c r="B2607" s="15" t="s">
        <v>795</v>
      </c>
      <c r="C2607" s="15" t="s">
        <v>795</v>
      </c>
      <c r="D2607" s="15" t="s">
        <v>795</v>
      </c>
      <c r="F2607" s="42"/>
    </row>
    <row r="2608" spans="1:6" x14ac:dyDescent="0.3">
      <c r="A2608" s="15" t="s">
        <v>37061</v>
      </c>
      <c r="B2608" s="15" t="s">
        <v>795</v>
      </c>
      <c r="C2608" s="15" t="s">
        <v>795</v>
      </c>
      <c r="D2608" s="15" t="s">
        <v>795</v>
      </c>
      <c r="F2608" s="42"/>
    </row>
    <row r="2609" spans="1:6" x14ac:dyDescent="0.3">
      <c r="A2609" s="15" t="s">
        <v>33499</v>
      </c>
      <c r="B2609" s="15" t="s">
        <v>795</v>
      </c>
      <c r="C2609" s="15" t="s">
        <v>795</v>
      </c>
      <c r="D2609" s="15" t="s">
        <v>795</v>
      </c>
      <c r="F2609" s="42"/>
    </row>
    <row r="2610" spans="1:6" x14ac:dyDescent="0.3">
      <c r="A2610" s="15" t="s">
        <v>44917</v>
      </c>
      <c r="B2610" s="15" t="s">
        <v>5587</v>
      </c>
      <c r="C2610" s="15" t="s">
        <v>800</v>
      </c>
      <c r="D2610" s="15" t="s">
        <v>5588</v>
      </c>
      <c r="E2610" s="15">
        <v>91.661600000000007</v>
      </c>
      <c r="F2610" s="42">
        <v>46198</v>
      </c>
    </row>
    <row r="2611" spans="1:6" x14ac:dyDescent="0.3">
      <c r="A2611" s="15" t="s">
        <v>44916</v>
      </c>
      <c r="B2611" s="15" t="s">
        <v>5589</v>
      </c>
      <c r="C2611" s="15" t="s">
        <v>5590</v>
      </c>
      <c r="D2611" s="15" t="s">
        <v>5591</v>
      </c>
      <c r="E2611" s="15">
        <v>11.7172</v>
      </c>
      <c r="F2611" s="42">
        <v>46198</v>
      </c>
    </row>
    <row r="2612" spans="1:6" x14ac:dyDescent="0.3">
      <c r="A2612" s="15" t="s">
        <v>44915</v>
      </c>
      <c r="B2612" s="15" t="s">
        <v>5592</v>
      </c>
      <c r="C2612" s="15" t="s">
        <v>5593</v>
      </c>
      <c r="D2612" s="15" t="s">
        <v>5594</v>
      </c>
      <c r="E2612" s="15">
        <v>11.456799999999999</v>
      </c>
      <c r="F2612" s="42">
        <v>46198</v>
      </c>
    </row>
    <row r="2613" spans="1:6" x14ac:dyDescent="0.3">
      <c r="A2613" s="15" t="s">
        <v>44914</v>
      </c>
      <c r="B2613" s="15" t="s">
        <v>5595</v>
      </c>
      <c r="C2613" s="15" t="s">
        <v>800</v>
      </c>
      <c r="D2613" s="15" t="s">
        <v>5596</v>
      </c>
      <c r="E2613" s="15">
        <v>86.0154</v>
      </c>
      <c r="F2613" s="42">
        <v>46198</v>
      </c>
    </row>
    <row r="2614" spans="1:6" x14ac:dyDescent="0.3">
      <c r="A2614" s="15" t="s">
        <v>44913</v>
      </c>
      <c r="B2614" s="15" t="s">
        <v>5597</v>
      </c>
      <c r="C2614" s="15" t="s">
        <v>5598</v>
      </c>
      <c r="D2614" s="15" t="s">
        <v>5599</v>
      </c>
      <c r="E2614" s="15">
        <v>11.596299999999999</v>
      </c>
      <c r="F2614" s="42">
        <v>46198</v>
      </c>
    </row>
    <row r="2615" spans="1:6" x14ac:dyDescent="0.3">
      <c r="A2615" s="15" t="s">
        <v>44912</v>
      </c>
      <c r="B2615" s="15" t="s">
        <v>5600</v>
      </c>
      <c r="C2615" s="15" t="s">
        <v>5601</v>
      </c>
      <c r="D2615" s="15" t="s">
        <v>5602</v>
      </c>
      <c r="E2615" s="15">
        <v>11.3451</v>
      </c>
      <c r="F2615" s="42">
        <v>46198</v>
      </c>
    </row>
    <row r="2616" spans="1:6" x14ac:dyDescent="0.3">
      <c r="A2616" s="15" t="s">
        <v>33499</v>
      </c>
      <c r="B2616" s="15" t="s">
        <v>795</v>
      </c>
      <c r="C2616" s="15" t="s">
        <v>795</v>
      </c>
      <c r="D2616" s="15" t="s">
        <v>795</v>
      </c>
      <c r="F2616" s="42"/>
    </row>
    <row r="2617" spans="1:6" x14ac:dyDescent="0.3">
      <c r="A2617" s="15" t="s">
        <v>37044</v>
      </c>
      <c r="B2617" s="15" t="s">
        <v>795</v>
      </c>
      <c r="C2617" s="15" t="s">
        <v>795</v>
      </c>
      <c r="D2617" s="15" t="s">
        <v>795</v>
      </c>
      <c r="F2617" s="42"/>
    </row>
    <row r="2618" spans="1:6" x14ac:dyDescent="0.3">
      <c r="A2618" s="15" t="s">
        <v>33499</v>
      </c>
      <c r="B2618" s="15" t="s">
        <v>795</v>
      </c>
      <c r="C2618" s="15" t="s">
        <v>795</v>
      </c>
      <c r="D2618" s="15" t="s">
        <v>795</v>
      </c>
      <c r="F2618" s="42"/>
    </row>
    <row r="2619" spans="1:6" x14ac:dyDescent="0.3">
      <c r="A2619" s="15" t="s">
        <v>44911</v>
      </c>
      <c r="B2619" s="15" t="s">
        <v>5603</v>
      </c>
      <c r="C2619" s="15" t="s">
        <v>800</v>
      </c>
      <c r="D2619" s="15" t="s">
        <v>5604</v>
      </c>
      <c r="E2619" s="15">
        <v>26.575900000000001</v>
      </c>
      <c r="F2619" s="42">
        <v>44542</v>
      </c>
    </row>
    <row r="2620" spans="1:6" x14ac:dyDescent="0.3">
      <c r="A2620" s="15" t="s">
        <v>44910</v>
      </c>
      <c r="B2620" s="15" t="s">
        <v>5605</v>
      </c>
      <c r="C2620" s="15" t="s">
        <v>5606</v>
      </c>
      <c r="D2620" s="15" t="s">
        <v>5607</v>
      </c>
      <c r="E2620" s="15">
        <v>12.480700000000001</v>
      </c>
      <c r="F2620" s="42">
        <v>44542</v>
      </c>
    </row>
    <row r="2621" spans="1:6" x14ac:dyDescent="0.3">
      <c r="A2621" s="15" t="s">
        <v>44909</v>
      </c>
      <c r="B2621" s="15" t="s">
        <v>5608</v>
      </c>
      <c r="C2621" s="15" t="s">
        <v>800</v>
      </c>
      <c r="D2621" s="15" t="s">
        <v>5609</v>
      </c>
      <c r="E2621" s="15">
        <v>24.933800000000002</v>
      </c>
      <c r="F2621" s="42">
        <v>44542</v>
      </c>
    </row>
    <row r="2622" spans="1:6" x14ac:dyDescent="0.3">
      <c r="A2622" s="15" t="s">
        <v>44908</v>
      </c>
      <c r="B2622" s="15" t="s">
        <v>5610</v>
      </c>
      <c r="C2622" s="15" t="s">
        <v>5611</v>
      </c>
      <c r="D2622" s="15" t="s">
        <v>5612</v>
      </c>
      <c r="E2622" s="15">
        <v>11.5593</v>
      </c>
      <c r="F2622" s="42">
        <v>44542</v>
      </c>
    </row>
    <row r="2623" spans="1:6" x14ac:dyDescent="0.3">
      <c r="A2623" s="15" t="s">
        <v>44907</v>
      </c>
      <c r="B2623" s="15" t="s">
        <v>5613</v>
      </c>
      <c r="C2623" s="15" t="s">
        <v>800</v>
      </c>
      <c r="D2623" s="15" t="s">
        <v>5614</v>
      </c>
      <c r="E2623" s="15">
        <v>0</v>
      </c>
      <c r="F2623" s="42">
        <v>44032</v>
      </c>
    </row>
    <row r="2624" spans="1:6" x14ac:dyDescent="0.3">
      <c r="A2624" s="15" t="s">
        <v>44906</v>
      </c>
      <c r="B2624" s="15" t="s">
        <v>5615</v>
      </c>
      <c r="C2624" s="15" t="s">
        <v>800</v>
      </c>
      <c r="D2624" s="15" t="s">
        <v>5616</v>
      </c>
      <c r="E2624" s="15">
        <v>0</v>
      </c>
      <c r="F2624" s="42">
        <v>44032</v>
      </c>
    </row>
    <row r="2625" spans="1:6" x14ac:dyDescent="0.3">
      <c r="A2625" s="15" t="s">
        <v>44905</v>
      </c>
      <c r="B2625" s="15" t="s">
        <v>5617</v>
      </c>
      <c r="C2625" s="15" t="s">
        <v>800</v>
      </c>
      <c r="D2625" s="15" t="s">
        <v>5618</v>
      </c>
      <c r="E2625" s="15">
        <v>0</v>
      </c>
      <c r="F2625" s="42">
        <v>44032</v>
      </c>
    </row>
    <row r="2626" spans="1:6" x14ac:dyDescent="0.3">
      <c r="A2626" s="15" t="s">
        <v>44904</v>
      </c>
      <c r="B2626" s="15" t="s">
        <v>5619</v>
      </c>
      <c r="C2626" s="15" t="s">
        <v>800</v>
      </c>
      <c r="D2626" s="15" t="s">
        <v>5620</v>
      </c>
      <c r="E2626" s="15">
        <v>0</v>
      </c>
      <c r="F2626" s="42">
        <v>44032</v>
      </c>
    </row>
    <row r="2627" spans="1:6" x14ac:dyDescent="0.3">
      <c r="A2627" s="15" t="s">
        <v>44903</v>
      </c>
      <c r="B2627" s="15" t="s">
        <v>5621</v>
      </c>
      <c r="C2627" s="15" t="s">
        <v>800</v>
      </c>
      <c r="D2627" s="15" t="s">
        <v>5622</v>
      </c>
      <c r="E2627" s="15">
        <v>0</v>
      </c>
      <c r="F2627" s="42">
        <v>45180</v>
      </c>
    </row>
    <row r="2628" spans="1:6" x14ac:dyDescent="0.3">
      <c r="A2628" s="15" t="s">
        <v>44902</v>
      </c>
      <c r="B2628" s="15" t="s">
        <v>5623</v>
      </c>
      <c r="C2628" s="15" t="s">
        <v>800</v>
      </c>
      <c r="D2628" s="15" t="s">
        <v>5624</v>
      </c>
      <c r="E2628" s="15">
        <v>0</v>
      </c>
      <c r="F2628" s="42">
        <v>45180</v>
      </c>
    </row>
    <row r="2629" spans="1:6" x14ac:dyDescent="0.3">
      <c r="A2629" s="15" t="s">
        <v>44901</v>
      </c>
      <c r="B2629" s="15" t="s">
        <v>5625</v>
      </c>
      <c r="C2629" s="15" t="s">
        <v>800</v>
      </c>
      <c r="D2629" s="15" t="s">
        <v>5626</v>
      </c>
      <c r="E2629" s="15">
        <v>0</v>
      </c>
      <c r="F2629" s="42">
        <v>45180</v>
      </c>
    </row>
    <row r="2630" spans="1:6" x14ac:dyDescent="0.3">
      <c r="A2630" s="15" t="s">
        <v>44900</v>
      </c>
      <c r="B2630" s="15" t="s">
        <v>5627</v>
      </c>
      <c r="C2630" s="15" t="s">
        <v>800</v>
      </c>
      <c r="D2630" s="15" t="s">
        <v>5628</v>
      </c>
      <c r="E2630" s="15">
        <v>0</v>
      </c>
      <c r="F2630" s="42">
        <v>45180</v>
      </c>
    </row>
    <row r="2631" spans="1:6" x14ac:dyDescent="0.3">
      <c r="A2631" s="15" t="s">
        <v>33499</v>
      </c>
      <c r="B2631" s="15" t="s">
        <v>795</v>
      </c>
      <c r="C2631" s="15" t="s">
        <v>795</v>
      </c>
      <c r="D2631" s="15" t="s">
        <v>795</v>
      </c>
      <c r="F2631" s="42"/>
    </row>
    <row r="2632" spans="1:6" x14ac:dyDescent="0.3">
      <c r="A2632" s="15" t="s">
        <v>37043</v>
      </c>
      <c r="B2632" s="15" t="s">
        <v>795</v>
      </c>
      <c r="C2632" s="15" t="s">
        <v>795</v>
      </c>
      <c r="D2632" s="15" t="s">
        <v>795</v>
      </c>
      <c r="F2632" s="42"/>
    </row>
    <row r="2633" spans="1:6" x14ac:dyDescent="0.3">
      <c r="A2633" s="15" t="s">
        <v>33499</v>
      </c>
      <c r="B2633" s="15" t="s">
        <v>795</v>
      </c>
      <c r="C2633" s="15" t="s">
        <v>795</v>
      </c>
      <c r="D2633" s="15" t="s">
        <v>795</v>
      </c>
      <c r="F2633" s="42"/>
    </row>
    <row r="2634" spans="1:6" x14ac:dyDescent="0.3">
      <c r="A2634" s="15" t="s">
        <v>44899</v>
      </c>
      <c r="B2634" s="15" t="s">
        <v>5629</v>
      </c>
      <c r="C2634" s="15" t="s">
        <v>5630</v>
      </c>
      <c r="D2634" s="15" t="s">
        <v>5631</v>
      </c>
      <c r="E2634" s="15">
        <v>10.172499999999999</v>
      </c>
      <c r="F2634" s="42">
        <v>46198</v>
      </c>
    </row>
    <row r="2635" spans="1:6" x14ac:dyDescent="0.3">
      <c r="A2635" s="15" t="s">
        <v>44898</v>
      </c>
      <c r="B2635" s="15" t="s">
        <v>5632</v>
      </c>
      <c r="C2635" s="15" t="s">
        <v>5633</v>
      </c>
      <c r="D2635" s="15" t="s">
        <v>5634</v>
      </c>
      <c r="E2635" s="15">
        <v>10.1752</v>
      </c>
      <c r="F2635" s="42">
        <v>46198</v>
      </c>
    </row>
    <row r="2636" spans="1:6" x14ac:dyDescent="0.3">
      <c r="A2636" s="15" t="s">
        <v>44897</v>
      </c>
      <c r="B2636" s="15" t="s">
        <v>5635</v>
      </c>
      <c r="C2636" s="15" t="s">
        <v>800</v>
      </c>
      <c r="D2636" s="15" t="s">
        <v>5636</v>
      </c>
      <c r="E2636" s="15">
        <v>59.7254</v>
      </c>
      <c r="F2636" s="42">
        <v>46198</v>
      </c>
    </row>
    <row r="2637" spans="1:6" x14ac:dyDescent="0.3">
      <c r="A2637" s="15" t="s">
        <v>44896</v>
      </c>
      <c r="B2637" s="15" t="s">
        <v>5637</v>
      </c>
      <c r="C2637" s="15" t="s">
        <v>800</v>
      </c>
      <c r="D2637" s="15" t="s">
        <v>5638</v>
      </c>
      <c r="E2637" s="15">
        <v>65.230199999999996</v>
      </c>
      <c r="F2637" s="42">
        <v>46198</v>
      </c>
    </row>
    <row r="2638" spans="1:6" x14ac:dyDescent="0.3">
      <c r="A2638" s="15" t="s">
        <v>44895</v>
      </c>
      <c r="B2638" s="15" t="s">
        <v>5639</v>
      </c>
      <c r="C2638" s="15" t="s">
        <v>5640</v>
      </c>
      <c r="D2638" s="15" t="s">
        <v>5641</v>
      </c>
      <c r="E2638" s="15">
        <v>20.154800000000002</v>
      </c>
      <c r="F2638" s="42">
        <v>46198</v>
      </c>
    </row>
    <row r="2639" spans="1:6" x14ac:dyDescent="0.3">
      <c r="A2639" s="15" t="s">
        <v>44894</v>
      </c>
      <c r="B2639" s="15" t="s">
        <v>5642</v>
      </c>
      <c r="C2639" s="15" t="s">
        <v>5643</v>
      </c>
      <c r="D2639" s="15" t="s">
        <v>5644</v>
      </c>
      <c r="E2639" s="15">
        <v>21.795999999999999</v>
      </c>
      <c r="F2639" s="42">
        <v>46198</v>
      </c>
    </row>
    <row r="2640" spans="1:6" x14ac:dyDescent="0.3">
      <c r="A2640" s="15" t="s">
        <v>33499</v>
      </c>
      <c r="B2640" s="15" t="s">
        <v>795</v>
      </c>
      <c r="C2640" s="15" t="s">
        <v>795</v>
      </c>
      <c r="D2640" s="15" t="s">
        <v>795</v>
      </c>
      <c r="F2640" s="42"/>
    </row>
    <row r="2641" spans="1:6" x14ac:dyDescent="0.3">
      <c r="A2641" s="15" t="s">
        <v>36815</v>
      </c>
      <c r="B2641" s="15" t="s">
        <v>795</v>
      </c>
      <c r="C2641" s="15" t="s">
        <v>795</v>
      </c>
      <c r="D2641" s="15" t="s">
        <v>795</v>
      </c>
      <c r="F2641" s="42"/>
    </row>
    <row r="2642" spans="1:6" x14ac:dyDescent="0.3">
      <c r="A2642" s="15" t="s">
        <v>33499</v>
      </c>
      <c r="B2642" s="15" t="s">
        <v>795</v>
      </c>
      <c r="C2642" s="15" t="s">
        <v>795</v>
      </c>
      <c r="D2642" s="15" t="s">
        <v>795</v>
      </c>
      <c r="F2642" s="42"/>
    </row>
    <row r="2643" spans="1:6" x14ac:dyDescent="0.3">
      <c r="A2643" s="15" t="s">
        <v>44893</v>
      </c>
      <c r="B2643" s="15" t="s">
        <v>5645</v>
      </c>
      <c r="C2643" s="15" t="s">
        <v>5646</v>
      </c>
      <c r="D2643" s="15" t="s">
        <v>5647</v>
      </c>
      <c r="E2643" s="15">
        <v>11.633900000000001</v>
      </c>
      <c r="F2643" s="42">
        <v>46198</v>
      </c>
    </row>
    <row r="2644" spans="1:6" x14ac:dyDescent="0.3">
      <c r="A2644" s="15" t="s">
        <v>44892</v>
      </c>
      <c r="B2644" s="15" t="s">
        <v>5648</v>
      </c>
      <c r="C2644" s="15" t="s">
        <v>800</v>
      </c>
      <c r="D2644" s="15" t="s">
        <v>5649</v>
      </c>
      <c r="E2644" s="15">
        <v>23.741</v>
      </c>
      <c r="F2644" s="42">
        <v>46198</v>
      </c>
    </row>
    <row r="2645" spans="1:6" x14ac:dyDescent="0.3">
      <c r="A2645" s="15" t="s">
        <v>44891</v>
      </c>
      <c r="B2645" s="15" t="s">
        <v>5650</v>
      </c>
      <c r="C2645" s="15" t="s">
        <v>5651</v>
      </c>
      <c r="D2645" s="15" t="s">
        <v>5652</v>
      </c>
      <c r="E2645" s="15">
        <v>11.6257</v>
      </c>
      <c r="F2645" s="42">
        <v>46198</v>
      </c>
    </row>
    <row r="2646" spans="1:6" x14ac:dyDescent="0.3">
      <c r="A2646" s="15" t="s">
        <v>44890</v>
      </c>
      <c r="B2646" s="15" t="s">
        <v>5653</v>
      </c>
      <c r="C2646" s="15" t="s">
        <v>5654</v>
      </c>
      <c r="D2646" s="15" t="s">
        <v>5655</v>
      </c>
      <c r="E2646" s="15">
        <v>10.546200000000001</v>
      </c>
      <c r="F2646" s="42">
        <v>46198</v>
      </c>
    </row>
    <row r="2647" spans="1:6" x14ac:dyDescent="0.3">
      <c r="A2647" s="15" t="s">
        <v>44889</v>
      </c>
      <c r="B2647" s="15" t="s">
        <v>5656</v>
      </c>
      <c r="C2647" s="15" t="s">
        <v>800</v>
      </c>
      <c r="D2647" s="15" t="s">
        <v>5657</v>
      </c>
      <c r="E2647" s="15">
        <v>21.613700000000001</v>
      </c>
      <c r="F2647" s="42">
        <v>46198</v>
      </c>
    </row>
    <row r="2648" spans="1:6" x14ac:dyDescent="0.3">
      <c r="A2648" s="15" t="s">
        <v>44888</v>
      </c>
      <c r="B2648" s="15" t="s">
        <v>5658</v>
      </c>
      <c r="C2648" s="15" t="s">
        <v>5659</v>
      </c>
      <c r="D2648" s="15" t="s">
        <v>5660</v>
      </c>
      <c r="E2648" s="15">
        <v>10.6852</v>
      </c>
      <c r="F2648" s="42">
        <v>46198</v>
      </c>
    </row>
    <row r="2649" spans="1:6" x14ac:dyDescent="0.3">
      <c r="A2649" s="15" t="s">
        <v>33499</v>
      </c>
      <c r="B2649" s="15" t="s">
        <v>795</v>
      </c>
      <c r="C2649" s="15" t="s">
        <v>795</v>
      </c>
      <c r="D2649" s="15" t="s">
        <v>795</v>
      </c>
      <c r="F2649" s="42"/>
    </row>
    <row r="2650" spans="1:6" x14ac:dyDescent="0.3">
      <c r="A2650" s="15" t="s">
        <v>36764</v>
      </c>
      <c r="B2650" s="15" t="s">
        <v>795</v>
      </c>
      <c r="C2650" s="15" t="s">
        <v>795</v>
      </c>
      <c r="D2650" s="15" t="s">
        <v>795</v>
      </c>
      <c r="F2650" s="42"/>
    </row>
    <row r="2651" spans="1:6" x14ac:dyDescent="0.3">
      <c r="A2651" s="15" t="s">
        <v>33499</v>
      </c>
      <c r="B2651" s="15" t="s">
        <v>795</v>
      </c>
      <c r="C2651" s="15" t="s">
        <v>795</v>
      </c>
      <c r="D2651" s="15" t="s">
        <v>795</v>
      </c>
      <c r="F2651" s="42"/>
    </row>
    <row r="2652" spans="1:6" x14ac:dyDescent="0.3">
      <c r="A2652" s="15" t="s">
        <v>44887</v>
      </c>
      <c r="B2652" s="15" t="s">
        <v>5661</v>
      </c>
      <c r="C2652" s="15" t="s">
        <v>5662</v>
      </c>
      <c r="D2652" s="15" t="s">
        <v>5663</v>
      </c>
      <c r="E2652" s="15">
        <v>12.935700000000001</v>
      </c>
      <c r="F2652" s="42">
        <v>44820</v>
      </c>
    </row>
    <row r="2653" spans="1:6" x14ac:dyDescent="0.3">
      <c r="A2653" s="15" t="s">
        <v>44886</v>
      </c>
      <c r="B2653" s="15" t="s">
        <v>5664</v>
      </c>
      <c r="C2653" s="15" t="s">
        <v>800</v>
      </c>
      <c r="D2653" s="15" t="s">
        <v>5665</v>
      </c>
      <c r="E2653" s="15">
        <v>15.001300000000001</v>
      </c>
      <c r="F2653" s="42">
        <v>43945</v>
      </c>
    </row>
    <row r="2654" spans="1:6" x14ac:dyDescent="0.3">
      <c r="A2654" s="15" t="s">
        <v>44885</v>
      </c>
      <c r="B2654" s="15" t="s">
        <v>5666</v>
      </c>
      <c r="C2654" s="15" t="s">
        <v>800</v>
      </c>
      <c r="D2654" s="15" t="s">
        <v>5667</v>
      </c>
      <c r="E2654" s="15">
        <v>53.070700000000002</v>
      </c>
      <c r="F2654" s="42">
        <v>46198</v>
      </c>
    </row>
    <row r="2655" spans="1:6" x14ac:dyDescent="0.3">
      <c r="A2655" s="15" t="s">
        <v>44884</v>
      </c>
      <c r="B2655" s="15" t="s">
        <v>5668</v>
      </c>
      <c r="C2655" s="15" t="s">
        <v>5669</v>
      </c>
      <c r="D2655" s="15" t="s">
        <v>5670</v>
      </c>
      <c r="E2655" s="15">
        <v>11.1332</v>
      </c>
      <c r="F2655" s="42">
        <v>44820</v>
      </c>
    </row>
    <row r="2656" spans="1:6" x14ac:dyDescent="0.3">
      <c r="A2656" s="15" t="s">
        <v>44883</v>
      </c>
      <c r="B2656" s="15" t="s">
        <v>5671</v>
      </c>
      <c r="C2656" s="15" t="s">
        <v>5672</v>
      </c>
      <c r="D2656" s="15" t="s">
        <v>5673</v>
      </c>
      <c r="E2656" s="15">
        <v>11.604699999999999</v>
      </c>
      <c r="F2656" s="42">
        <v>46198</v>
      </c>
    </row>
    <row r="2657" spans="1:6" x14ac:dyDescent="0.3">
      <c r="A2657" s="15" t="s">
        <v>44882</v>
      </c>
      <c r="B2657" s="15" t="s">
        <v>5674</v>
      </c>
      <c r="C2657" s="15" t="s">
        <v>800</v>
      </c>
      <c r="D2657" s="15" t="s">
        <v>5675</v>
      </c>
      <c r="E2657" s="15">
        <v>16.170100000000001</v>
      </c>
      <c r="F2657" s="42">
        <v>43945</v>
      </c>
    </row>
    <row r="2658" spans="1:6" x14ac:dyDescent="0.3">
      <c r="A2658" s="15" t="s">
        <v>44881</v>
      </c>
      <c r="B2658" s="15" t="s">
        <v>5676</v>
      </c>
      <c r="C2658" s="15" t="s">
        <v>800</v>
      </c>
      <c r="D2658" s="15" t="s">
        <v>5677</v>
      </c>
      <c r="E2658" s="15">
        <v>48.032400000000003</v>
      </c>
      <c r="F2658" s="42">
        <v>46198</v>
      </c>
    </row>
    <row r="2659" spans="1:6" x14ac:dyDescent="0.3">
      <c r="A2659" s="15" t="s">
        <v>44880</v>
      </c>
      <c r="B2659" s="15" t="s">
        <v>5678</v>
      </c>
      <c r="C2659" s="15" t="s">
        <v>5679</v>
      </c>
      <c r="D2659" s="15" t="s">
        <v>5680</v>
      </c>
      <c r="E2659" s="15">
        <v>10.633100000000001</v>
      </c>
      <c r="F2659" s="42">
        <v>44820</v>
      </c>
    </row>
    <row r="2660" spans="1:6" x14ac:dyDescent="0.3">
      <c r="A2660" s="15" t="s">
        <v>44879</v>
      </c>
      <c r="B2660" s="15" t="s">
        <v>5681</v>
      </c>
      <c r="C2660" s="15" t="s">
        <v>5682</v>
      </c>
      <c r="D2660" s="15" t="s">
        <v>5683</v>
      </c>
      <c r="E2660" s="15">
        <v>11.0009</v>
      </c>
      <c r="F2660" s="42">
        <v>46198</v>
      </c>
    </row>
    <row r="2661" spans="1:6" x14ac:dyDescent="0.3">
      <c r="A2661" s="15" t="s">
        <v>44878</v>
      </c>
      <c r="B2661" s="15" t="s">
        <v>5684</v>
      </c>
      <c r="C2661" s="15" t="s">
        <v>5685</v>
      </c>
      <c r="D2661" s="15" t="s">
        <v>5686</v>
      </c>
      <c r="E2661" s="15">
        <v>14.348800000000001</v>
      </c>
      <c r="F2661" s="42">
        <v>44820</v>
      </c>
    </row>
    <row r="2662" spans="1:6" x14ac:dyDescent="0.3">
      <c r="A2662" s="15" t="s">
        <v>44877</v>
      </c>
      <c r="B2662" s="15" t="s">
        <v>5687</v>
      </c>
      <c r="C2662" s="15" t="s">
        <v>5688</v>
      </c>
      <c r="D2662" s="15" t="s">
        <v>5689</v>
      </c>
      <c r="E2662" s="15">
        <v>10.0458</v>
      </c>
      <c r="F2662" s="42">
        <v>40956</v>
      </c>
    </row>
    <row r="2663" spans="1:6" x14ac:dyDescent="0.3">
      <c r="A2663" s="15" t="s">
        <v>44876</v>
      </c>
      <c r="B2663" s="15" t="s">
        <v>5690</v>
      </c>
      <c r="C2663" s="15" t="s">
        <v>800</v>
      </c>
      <c r="D2663" s="15" t="s">
        <v>5691</v>
      </c>
      <c r="E2663" s="15">
        <v>10.8612</v>
      </c>
      <c r="F2663" s="42">
        <v>43836</v>
      </c>
    </row>
    <row r="2664" spans="1:6" x14ac:dyDescent="0.3">
      <c r="A2664" s="15" t="s">
        <v>44875</v>
      </c>
      <c r="B2664" s="15" t="s">
        <v>5692</v>
      </c>
      <c r="C2664" s="15" t="s">
        <v>5693</v>
      </c>
      <c r="D2664" s="15" t="s">
        <v>5694</v>
      </c>
      <c r="E2664" s="15">
        <v>10.600199999999999</v>
      </c>
      <c r="F2664" s="42">
        <v>43945</v>
      </c>
    </row>
    <row r="2665" spans="1:6" x14ac:dyDescent="0.3">
      <c r="A2665" s="15" t="s">
        <v>44874</v>
      </c>
      <c r="B2665" s="15" t="s">
        <v>5695</v>
      </c>
      <c r="C2665" s="15" t="s">
        <v>5696</v>
      </c>
      <c r="D2665" s="15" t="s">
        <v>5697</v>
      </c>
      <c r="E2665" s="15">
        <v>10.4491</v>
      </c>
      <c r="F2665" s="42">
        <v>42397</v>
      </c>
    </row>
    <row r="2666" spans="1:6" x14ac:dyDescent="0.3">
      <c r="A2666" s="15" t="s">
        <v>44873</v>
      </c>
      <c r="B2666" s="15" t="s">
        <v>5698</v>
      </c>
      <c r="C2666" s="15" t="s">
        <v>800</v>
      </c>
      <c r="D2666" s="15" t="s">
        <v>5699</v>
      </c>
      <c r="E2666" s="15">
        <v>32.058399999999999</v>
      </c>
      <c r="F2666" s="42">
        <v>43945</v>
      </c>
    </row>
    <row r="2667" spans="1:6" x14ac:dyDescent="0.3">
      <c r="A2667" s="15" t="s">
        <v>33499</v>
      </c>
      <c r="B2667" s="15" t="s">
        <v>795</v>
      </c>
      <c r="C2667" s="15" t="s">
        <v>795</v>
      </c>
      <c r="D2667" s="15" t="s">
        <v>795</v>
      </c>
      <c r="F2667" s="42"/>
    </row>
    <row r="2668" spans="1:6" x14ac:dyDescent="0.3">
      <c r="A2668" s="15" t="s">
        <v>37807</v>
      </c>
      <c r="B2668" s="15" t="s">
        <v>795</v>
      </c>
      <c r="C2668" s="15" t="s">
        <v>795</v>
      </c>
      <c r="D2668" s="15" t="s">
        <v>795</v>
      </c>
      <c r="F2668" s="42"/>
    </row>
    <row r="2669" spans="1:6" x14ac:dyDescent="0.3">
      <c r="A2669" s="15" t="s">
        <v>33499</v>
      </c>
      <c r="B2669" s="15" t="s">
        <v>795</v>
      </c>
      <c r="C2669" s="15" t="s">
        <v>795</v>
      </c>
      <c r="D2669" s="15" t="s">
        <v>795</v>
      </c>
      <c r="F2669" s="42"/>
    </row>
    <row r="2670" spans="1:6" x14ac:dyDescent="0.3">
      <c r="A2670" s="15" t="s">
        <v>44872</v>
      </c>
      <c r="B2670" s="15" t="s">
        <v>5700</v>
      </c>
      <c r="C2670" s="15" t="s">
        <v>5701</v>
      </c>
      <c r="D2670" s="15" t="s">
        <v>5702</v>
      </c>
      <c r="E2670" s="15">
        <v>1348.4464</v>
      </c>
      <c r="F2670" s="42">
        <v>46198</v>
      </c>
    </row>
    <row r="2671" spans="1:6" x14ac:dyDescent="0.3">
      <c r="A2671" s="15" t="s">
        <v>44871</v>
      </c>
      <c r="B2671" s="15" t="s">
        <v>5703</v>
      </c>
      <c r="C2671" s="15" t="s">
        <v>800</v>
      </c>
      <c r="D2671" s="15" t="s">
        <v>5704</v>
      </c>
      <c r="E2671" s="15">
        <v>1348.5392999999999</v>
      </c>
      <c r="F2671" s="42">
        <v>46198</v>
      </c>
    </row>
    <row r="2672" spans="1:6" x14ac:dyDescent="0.3">
      <c r="A2672" s="15" t="s">
        <v>44870</v>
      </c>
      <c r="B2672" s="15" t="s">
        <v>5705</v>
      </c>
      <c r="C2672" s="15" t="s">
        <v>5706</v>
      </c>
      <c r="D2672" s="15" t="s">
        <v>5707</v>
      </c>
      <c r="E2672" s="15">
        <v>1038.0451</v>
      </c>
      <c r="F2672" s="42">
        <v>46198</v>
      </c>
    </row>
    <row r="2673" spans="1:6" x14ac:dyDescent="0.3">
      <c r="A2673" s="15" t="s">
        <v>44869</v>
      </c>
      <c r="B2673" s="15" t="s">
        <v>5708</v>
      </c>
      <c r="C2673" s="15" t="s">
        <v>5709</v>
      </c>
      <c r="D2673" s="15" t="s">
        <v>5710</v>
      </c>
      <c r="E2673" s="15">
        <v>1293.8302000000001</v>
      </c>
      <c r="F2673" s="42">
        <v>46198</v>
      </c>
    </row>
    <row r="2674" spans="1:6" x14ac:dyDescent="0.3">
      <c r="A2674" s="15" t="s">
        <v>44868</v>
      </c>
      <c r="B2674" s="15" t="s">
        <v>5711</v>
      </c>
      <c r="C2674" s="15" t="s">
        <v>800</v>
      </c>
      <c r="D2674" s="15" t="s">
        <v>5712</v>
      </c>
      <c r="E2674" s="15">
        <v>1293.8235</v>
      </c>
      <c r="F2674" s="42">
        <v>46198</v>
      </c>
    </row>
    <row r="2675" spans="1:6" x14ac:dyDescent="0.3">
      <c r="A2675" s="15" t="s">
        <v>44867</v>
      </c>
      <c r="B2675" s="15" t="s">
        <v>5713</v>
      </c>
      <c r="C2675" s="15" t="s">
        <v>5714</v>
      </c>
      <c r="D2675" s="15" t="s">
        <v>5715</v>
      </c>
      <c r="E2675" s="15">
        <v>1037.3330000000001</v>
      </c>
      <c r="F2675" s="42">
        <v>46198</v>
      </c>
    </row>
    <row r="2676" spans="1:6" x14ac:dyDescent="0.3">
      <c r="A2676" s="15" t="s">
        <v>33499</v>
      </c>
      <c r="B2676" s="15" t="s">
        <v>795</v>
      </c>
      <c r="C2676" s="15" t="s">
        <v>795</v>
      </c>
      <c r="D2676" s="15" t="s">
        <v>795</v>
      </c>
      <c r="F2676" s="42"/>
    </row>
    <row r="2677" spans="1:6" x14ac:dyDescent="0.3">
      <c r="A2677" s="15" t="s">
        <v>139</v>
      </c>
      <c r="B2677" s="15" t="s">
        <v>795</v>
      </c>
      <c r="C2677" s="15" t="s">
        <v>795</v>
      </c>
      <c r="D2677" s="15" t="s">
        <v>795</v>
      </c>
      <c r="F2677" s="42"/>
    </row>
    <row r="2678" spans="1:6" x14ac:dyDescent="0.3">
      <c r="A2678" s="15" t="s">
        <v>33499</v>
      </c>
      <c r="B2678" s="15" t="s">
        <v>795</v>
      </c>
      <c r="C2678" s="15" t="s">
        <v>795</v>
      </c>
      <c r="D2678" s="15" t="s">
        <v>795</v>
      </c>
      <c r="F2678" s="42"/>
    </row>
    <row r="2679" spans="1:6" x14ac:dyDescent="0.3">
      <c r="A2679" s="15" t="s">
        <v>44866</v>
      </c>
      <c r="B2679" s="15" t="s">
        <v>5716</v>
      </c>
      <c r="C2679" s="15" t="s">
        <v>5717</v>
      </c>
      <c r="D2679" s="15" t="s">
        <v>5718</v>
      </c>
      <c r="E2679" s="15">
        <v>27.191400000000002</v>
      </c>
      <c r="F2679" s="42">
        <v>46198</v>
      </c>
    </row>
    <row r="2680" spans="1:6" x14ac:dyDescent="0.3">
      <c r="A2680" s="15" t="s">
        <v>44865</v>
      </c>
      <c r="B2680" s="15" t="s">
        <v>5719</v>
      </c>
      <c r="C2680" s="15" t="s">
        <v>800</v>
      </c>
      <c r="D2680" s="15" t="s">
        <v>5720</v>
      </c>
      <c r="E2680" s="15">
        <v>27.1889</v>
      </c>
      <c r="F2680" s="42">
        <v>46198</v>
      </c>
    </row>
    <row r="2681" spans="1:6" x14ac:dyDescent="0.3">
      <c r="A2681" s="15" t="s">
        <v>44864</v>
      </c>
      <c r="B2681" s="15" t="s">
        <v>5721</v>
      </c>
      <c r="C2681" s="15" t="s">
        <v>800</v>
      </c>
      <c r="D2681" s="15" t="s">
        <v>5722</v>
      </c>
      <c r="E2681" s="15">
        <v>24.230399999999999</v>
      </c>
      <c r="F2681" s="42">
        <v>46198</v>
      </c>
    </row>
    <row r="2682" spans="1:6" x14ac:dyDescent="0.3">
      <c r="A2682" s="15" t="s">
        <v>44863</v>
      </c>
      <c r="B2682" s="15" t="s">
        <v>5723</v>
      </c>
      <c r="C2682" s="15" t="s">
        <v>5724</v>
      </c>
      <c r="D2682" s="15" t="s">
        <v>5725</v>
      </c>
      <c r="E2682" s="15">
        <v>14.872299999999999</v>
      </c>
      <c r="F2682" s="42">
        <v>46198</v>
      </c>
    </row>
    <row r="2683" spans="1:6" x14ac:dyDescent="0.3">
      <c r="A2683" s="15" t="s">
        <v>33499</v>
      </c>
      <c r="B2683" s="15" t="s">
        <v>795</v>
      </c>
      <c r="C2683" s="15" t="s">
        <v>795</v>
      </c>
      <c r="D2683" s="15" t="s">
        <v>795</v>
      </c>
      <c r="F2683" s="42"/>
    </row>
    <row r="2684" spans="1:6" x14ac:dyDescent="0.3">
      <c r="A2684" s="15" t="s">
        <v>208</v>
      </c>
      <c r="B2684" s="15" t="s">
        <v>795</v>
      </c>
      <c r="C2684" s="15" t="s">
        <v>795</v>
      </c>
      <c r="D2684" s="15" t="s">
        <v>795</v>
      </c>
      <c r="F2684" s="42"/>
    </row>
    <row r="2685" spans="1:6" x14ac:dyDescent="0.3">
      <c r="A2685" s="15" t="s">
        <v>33499</v>
      </c>
      <c r="B2685" s="15" t="s">
        <v>795</v>
      </c>
      <c r="C2685" s="15" t="s">
        <v>795</v>
      </c>
      <c r="D2685" s="15" t="s">
        <v>795</v>
      </c>
      <c r="F2685" s="42"/>
    </row>
    <row r="2686" spans="1:6" x14ac:dyDescent="0.3">
      <c r="A2686" s="15" t="s">
        <v>44862</v>
      </c>
      <c r="B2686" s="15" t="s">
        <v>5726</v>
      </c>
      <c r="C2686" s="15" t="s">
        <v>800</v>
      </c>
      <c r="D2686" s="15" t="s">
        <v>5727</v>
      </c>
      <c r="E2686" s="15">
        <v>10.521699999999999</v>
      </c>
      <c r="F2686" s="42">
        <v>44146</v>
      </c>
    </row>
    <row r="2687" spans="1:6" x14ac:dyDescent="0.3">
      <c r="A2687" s="15" t="s">
        <v>44861</v>
      </c>
      <c r="B2687" s="15" t="s">
        <v>5728</v>
      </c>
      <c r="C2687" s="15" t="s">
        <v>5729</v>
      </c>
      <c r="D2687" s="15" t="s">
        <v>5730</v>
      </c>
      <c r="E2687" s="15">
        <v>0.1343</v>
      </c>
      <c r="F2687" s="42">
        <v>44588</v>
      </c>
    </row>
    <row r="2688" spans="1:6" x14ac:dyDescent="0.3">
      <c r="A2688" s="15" t="s">
        <v>44860</v>
      </c>
      <c r="B2688" s="15" t="s">
        <v>5731</v>
      </c>
      <c r="C2688" s="15" t="s">
        <v>5732</v>
      </c>
      <c r="D2688" s="15" t="s">
        <v>5733</v>
      </c>
      <c r="E2688" s="15">
        <v>0.1323</v>
      </c>
      <c r="F2688" s="42">
        <v>44588</v>
      </c>
    </row>
    <row r="2689" spans="1:6" x14ac:dyDescent="0.3">
      <c r="A2689" s="15" t="s">
        <v>44859</v>
      </c>
      <c r="B2689" s="15" t="s">
        <v>5734</v>
      </c>
      <c r="C2689" s="15" t="s">
        <v>800</v>
      </c>
      <c r="D2689" s="15" t="s">
        <v>5735</v>
      </c>
      <c r="E2689" s="15">
        <v>0</v>
      </c>
      <c r="F2689" s="42">
        <v>46198</v>
      </c>
    </row>
    <row r="2690" spans="1:6" x14ac:dyDescent="0.3">
      <c r="A2690" s="15" t="s">
        <v>44858</v>
      </c>
      <c r="B2690" s="15" t="s">
        <v>5736</v>
      </c>
      <c r="C2690" s="15" t="s">
        <v>5737</v>
      </c>
      <c r="D2690" s="15" t="s">
        <v>5738</v>
      </c>
      <c r="E2690" s="15">
        <v>0</v>
      </c>
      <c r="F2690" s="42">
        <v>46198</v>
      </c>
    </row>
    <row r="2691" spans="1:6" x14ac:dyDescent="0.3">
      <c r="A2691" s="15" t="s">
        <v>44857</v>
      </c>
      <c r="B2691" s="15" t="s">
        <v>5739</v>
      </c>
      <c r="C2691" s="15" t="s">
        <v>5740</v>
      </c>
      <c r="D2691" s="15" t="s">
        <v>5741</v>
      </c>
      <c r="E2691" s="15">
        <v>0</v>
      </c>
      <c r="F2691" s="42">
        <v>46198</v>
      </c>
    </row>
    <row r="2692" spans="1:6" x14ac:dyDescent="0.3">
      <c r="A2692" s="15" t="s">
        <v>44856</v>
      </c>
      <c r="B2692" s="15" t="s">
        <v>5742</v>
      </c>
      <c r="C2692" s="15" t="s">
        <v>5743</v>
      </c>
      <c r="D2692" s="15" t="s">
        <v>5744</v>
      </c>
      <c r="E2692" s="15">
        <v>0</v>
      </c>
      <c r="F2692" s="42">
        <v>46198</v>
      </c>
    </row>
    <row r="2693" spans="1:6" x14ac:dyDescent="0.3">
      <c r="A2693" s="15" t="s">
        <v>44855</v>
      </c>
      <c r="B2693" s="15" t="s">
        <v>5745</v>
      </c>
      <c r="C2693" s="15" t="s">
        <v>5746</v>
      </c>
      <c r="D2693" s="15" t="s">
        <v>5747</v>
      </c>
      <c r="E2693" s="15">
        <v>0</v>
      </c>
      <c r="F2693" s="42">
        <v>46198</v>
      </c>
    </row>
    <row r="2694" spans="1:6" x14ac:dyDescent="0.3">
      <c r="A2694" s="15" t="s">
        <v>44854</v>
      </c>
      <c r="B2694" s="15" t="s">
        <v>5748</v>
      </c>
      <c r="C2694" s="15" t="s">
        <v>800</v>
      </c>
      <c r="D2694" s="15" t="s">
        <v>5749</v>
      </c>
      <c r="E2694" s="15">
        <v>18.223199999999999</v>
      </c>
      <c r="F2694" s="42">
        <v>46198</v>
      </c>
    </row>
    <row r="2695" spans="1:6" x14ac:dyDescent="0.3">
      <c r="A2695" s="15" t="s">
        <v>44853</v>
      </c>
      <c r="B2695" s="15" t="s">
        <v>5750</v>
      </c>
      <c r="C2695" s="15" t="s">
        <v>800</v>
      </c>
      <c r="D2695" s="15" t="s">
        <v>5751</v>
      </c>
      <c r="E2695" s="15">
        <v>18.219799999999999</v>
      </c>
      <c r="F2695" s="42">
        <v>46198</v>
      </c>
    </row>
    <row r="2696" spans="1:6" x14ac:dyDescent="0.3">
      <c r="A2696" s="15" t="s">
        <v>44852</v>
      </c>
      <c r="B2696" s="15" t="s">
        <v>5752</v>
      </c>
      <c r="C2696" s="15" t="s">
        <v>5753</v>
      </c>
      <c r="D2696" s="15" t="s">
        <v>5754</v>
      </c>
      <c r="E2696" s="15">
        <v>15.3675</v>
      </c>
      <c r="F2696" s="42">
        <v>46198</v>
      </c>
    </row>
    <row r="2697" spans="1:6" x14ac:dyDescent="0.3">
      <c r="A2697" s="15" t="s">
        <v>44851</v>
      </c>
      <c r="B2697" s="15" t="s">
        <v>5755</v>
      </c>
      <c r="C2697" s="15" t="s">
        <v>5756</v>
      </c>
      <c r="D2697" s="15" t="s">
        <v>5757</v>
      </c>
      <c r="E2697" s="15">
        <v>11.0174</v>
      </c>
      <c r="F2697" s="42">
        <v>46198</v>
      </c>
    </row>
    <row r="2698" spans="1:6" x14ac:dyDescent="0.3">
      <c r="A2698" s="15" t="s">
        <v>44850</v>
      </c>
      <c r="B2698" s="15" t="s">
        <v>5758</v>
      </c>
      <c r="C2698" s="15" t="s">
        <v>800</v>
      </c>
      <c r="D2698" s="15" t="s">
        <v>5759</v>
      </c>
      <c r="E2698" s="15">
        <v>16.7363</v>
      </c>
      <c r="F2698" s="42">
        <v>46198</v>
      </c>
    </row>
    <row r="2699" spans="1:6" x14ac:dyDescent="0.3">
      <c r="A2699" s="15" t="s">
        <v>44849</v>
      </c>
      <c r="B2699" s="15" t="s">
        <v>5760</v>
      </c>
      <c r="C2699" s="15" t="s">
        <v>5761</v>
      </c>
      <c r="D2699" s="15" t="s">
        <v>5762</v>
      </c>
      <c r="E2699" s="15">
        <v>14.3217</v>
      </c>
      <c r="F2699" s="42">
        <v>46198</v>
      </c>
    </row>
    <row r="2700" spans="1:6" x14ac:dyDescent="0.3">
      <c r="A2700" s="15" t="s">
        <v>44848</v>
      </c>
      <c r="B2700" s="15" t="s">
        <v>5763</v>
      </c>
      <c r="C2700" s="15" t="s">
        <v>5764</v>
      </c>
      <c r="D2700" s="15" t="s">
        <v>5765</v>
      </c>
      <c r="E2700" s="15">
        <v>10.9252</v>
      </c>
      <c r="F2700" s="42">
        <v>46198</v>
      </c>
    </row>
    <row r="2701" spans="1:6" x14ac:dyDescent="0.3">
      <c r="A2701" s="15" t="s">
        <v>44847</v>
      </c>
      <c r="B2701" s="15" t="s">
        <v>5766</v>
      </c>
      <c r="C2701" s="15" t="s">
        <v>800</v>
      </c>
      <c r="D2701" s="15" t="s">
        <v>5767</v>
      </c>
      <c r="E2701" s="15">
        <v>0.1794</v>
      </c>
      <c r="F2701" s="42">
        <v>44588</v>
      </c>
    </row>
    <row r="2702" spans="1:6" x14ac:dyDescent="0.3">
      <c r="A2702" s="15" t="s">
        <v>44846</v>
      </c>
      <c r="B2702" s="15" t="s">
        <v>5768</v>
      </c>
      <c r="C2702" s="15" t="s">
        <v>800</v>
      </c>
      <c r="D2702" s="15" t="s">
        <v>5769</v>
      </c>
      <c r="E2702" s="15">
        <v>0.1888</v>
      </c>
      <c r="F2702" s="42">
        <v>44588</v>
      </c>
    </row>
    <row r="2703" spans="1:6" x14ac:dyDescent="0.3">
      <c r="A2703" s="15" t="s">
        <v>44845</v>
      </c>
      <c r="B2703" s="15" t="s">
        <v>5770</v>
      </c>
      <c r="C2703" s="15" t="s">
        <v>800</v>
      </c>
      <c r="D2703" s="15" t="s">
        <v>5771</v>
      </c>
      <c r="E2703" s="15">
        <v>0.18859999999999999</v>
      </c>
      <c r="F2703" s="42">
        <v>44588</v>
      </c>
    </row>
    <row r="2704" spans="1:6" x14ac:dyDescent="0.3">
      <c r="A2704" s="15" t="s">
        <v>44844</v>
      </c>
      <c r="B2704" s="15" t="s">
        <v>5772</v>
      </c>
      <c r="C2704" s="15" t="s">
        <v>5773</v>
      </c>
      <c r="D2704" s="15" t="s">
        <v>5774</v>
      </c>
      <c r="E2704" s="15">
        <v>0.15909999999999999</v>
      </c>
      <c r="F2704" s="42">
        <v>44588</v>
      </c>
    </row>
    <row r="2705" spans="1:6" x14ac:dyDescent="0.3">
      <c r="A2705" s="15" t="s">
        <v>44843</v>
      </c>
      <c r="B2705" s="15" t="s">
        <v>5775</v>
      </c>
      <c r="C2705" s="15" t="s">
        <v>800</v>
      </c>
      <c r="D2705" s="15" t="s">
        <v>5776</v>
      </c>
      <c r="E2705" s="15">
        <v>0.1794</v>
      </c>
      <c r="F2705" s="42">
        <v>44588</v>
      </c>
    </row>
    <row r="2706" spans="1:6" x14ac:dyDescent="0.3">
      <c r="A2706" s="15" t="s">
        <v>44842</v>
      </c>
      <c r="B2706" s="15" t="s">
        <v>5777</v>
      </c>
      <c r="C2706" s="15" t="s">
        <v>5778</v>
      </c>
      <c r="D2706" s="15" t="s">
        <v>5779</v>
      </c>
      <c r="E2706" s="15">
        <v>0.1535</v>
      </c>
      <c r="F2706" s="42">
        <v>44588</v>
      </c>
    </row>
    <row r="2707" spans="1:6" x14ac:dyDescent="0.3">
      <c r="A2707" s="15" t="s">
        <v>44841</v>
      </c>
      <c r="B2707" s="15" t="s">
        <v>5780</v>
      </c>
      <c r="C2707" s="15" t="s">
        <v>800</v>
      </c>
      <c r="D2707" s="15" t="s">
        <v>5781</v>
      </c>
      <c r="E2707" s="15">
        <v>0</v>
      </c>
      <c r="F2707" s="42">
        <v>46198</v>
      </c>
    </row>
    <row r="2708" spans="1:6" x14ac:dyDescent="0.3">
      <c r="A2708" s="15" t="s">
        <v>44840</v>
      </c>
      <c r="B2708" s="15" t="s">
        <v>5782</v>
      </c>
      <c r="C2708" s="15" t="s">
        <v>800</v>
      </c>
      <c r="D2708" s="15" t="s">
        <v>5783</v>
      </c>
      <c r="E2708" s="15">
        <v>0</v>
      </c>
      <c r="F2708" s="42">
        <v>46198</v>
      </c>
    </row>
    <row r="2709" spans="1:6" x14ac:dyDescent="0.3">
      <c r="A2709" s="15" t="s">
        <v>44839</v>
      </c>
      <c r="B2709" s="15" t="s">
        <v>5784</v>
      </c>
      <c r="C2709" s="15" t="s">
        <v>800</v>
      </c>
      <c r="D2709" s="15" t="s">
        <v>5785</v>
      </c>
      <c r="E2709" s="15">
        <v>0</v>
      </c>
      <c r="F2709" s="42">
        <v>46198</v>
      </c>
    </row>
    <row r="2710" spans="1:6" x14ac:dyDescent="0.3">
      <c r="A2710" s="15" t="s">
        <v>33499</v>
      </c>
      <c r="B2710" s="15" t="s">
        <v>795</v>
      </c>
      <c r="C2710" s="15" t="s">
        <v>795</v>
      </c>
      <c r="D2710" s="15" t="s">
        <v>795</v>
      </c>
      <c r="F2710" s="42"/>
    </row>
    <row r="2711" spans="1:6" x14ac:dyDescent="0.3">
      <c r="A2711" s="15" t="s">
        <v>33636</v>
      </c>
      <c r="B2711" s="15" t="s">
        <v>795</v>
      </c>
      <c r="C2711" s="15" t="s">
        <v>795</v>
      </c>
      <c r="D2711" s="15" t="s">
        <v>795</v>
      </c>
      <c r="F2711" s="42"/>
    </row>
    <row r="2712" spans="1:6" x14ac:dyDescent="0.3">
      <c r="A2712" s="15" t="s">
        <v>33499</v>
      </c>
      <c r="B2712" s="15" t="s">
        <v>795</v>
      </c>
      <c r="C2712" s="15" t="s">
        <v>795</v>
      </c>
      <c r="D2712" s="15" t="s">
        <v>795</v>
      </c>
      <c r="F2712" s="42"/>
    </row>
    <row r="2713" spans="1:6" x14ac:dyDescent="0.3">
      <c r="A2713" s="15" t="s">
        <v>44838</v>
      </c>
      <c r="B2713" s="15" t="s">
        <v>5786</v>
      </c>
      <c r="C2713" s="15" t="s">
        <v>800</v>
      </c>
      <c r="D2713" s="15" t="s">
        <v>5787</v>
      </c>
      <c r="E2713" s="15">
        <v>58.891199999999998</v>
      </c>
      <c r="F2713" s="42">
        <v>46198</v>
      </c>
    </row>
    <row r="2714" spans="1:6" x14ac:dyDescent="0.3">
      <c r="A2714" s="15" t="s">
        <v>44837</v>
      </c>
      <c r="B2714" s="15" t="s">
        <v>5788</v>
      </c>
      <c r="C2714" s="15" t="s">
        <v>5789</v>
      </c>
      <c r="D2714" s="15" t="s">
        <v>5790</v>
      </c>
      <c r="E2714" s="15">
        <v>22.891999999999999</v>
      </c>
      <c r="F2714" s="42">
        <v>46198</v>
      </c>
    </row>
    <row r="2715" spans="1:6" x14ac:dyDescent="0.3">
      <c r="A2715" s="15" t="s">
        <v>44836</v>
      </c>
      <c r="B2715" s="15" t="s">
        <v>5791</v>
      </c>
      <c r="C2715" s="15" t="s">
        <v>800</v>
      </c>
      <c r="D2715" s="15" t="s">
        <v>5792</v>
      </c>
      <c r="E2715" s="15">
        <v>54.222700000000003</v>
      </c>
      <c r="F2715" s="42">
        <v>46198</v>
      </c>
    </row>
    <row r="2716" spans="1:6" x14ac:dyDescent="0.3">
      <c r="A2716" s="15" t="s">
        <v>44835</v>
      </c>
      <c r="B2716" s="15" t="s">
        <v>5793</v>
      </c>
      <c r="C2716" s="15" t="s">
        <v>5794</v>
      </c>
      <c r="D2716" s="15" t="s">
        <v>5795</v>
      </c>
      <c r="E2716" s="15">
        <v>21.0183</v>
      </c>
      <c r="F2716" s="42">
        <v>46198</v>
      </c>
    </row>
    <row r="2717" spans="1:6" x14ac:dyDescent="0.3">
      <c r="A2717" s="15" t="s">
        <v>33499</v>
      </c>
      <c r="B2717" s="15" t="s">
        <v>795</v>
      </c>
      <c r="C2717" s="15" t="s">
        <v>795</v>
      </c>
      <c r="D2717" s="15" t="s">
        <v>795</v>
      </c>
      <c r="F2717" s="42"/>
    </row>
    <row r="2718" spans="1:6" x14ac:dyDescent="0.3">
      <c r="A2718" s="15" t="s">
        <v>37414</v>
      </c>
      <c r="B2718" s="15" t="s">
        <v>795</v>
      </c>
      <c r="C2718" s="15" t="s">
        <v>795</v>
      </c>
      <c r="D2718" s="15" t="s">
        <v>795</v>
      </c>
      <c r="F2718" s="42"/>
    </row>
    <row r="2719" spans="1:6" x14ac:dyDescent="0.3">
      <c r="A2719" s="15" t="s">
        <v>33499</v>
      </c>
      <c r="B2719" s="15" t="s">
        <v>795</v>
      </c>
      <c r="C2719" s="15" t="s">
        <v>795</v>
      </c>
      <c r="D2719" s="15" t="s">
        <v>795</v>
      </c>
      <c r="F2719" s="42"/>
    </row>
    <row r="2720" spans="1:6" x14ac:dyDescent="0.3">
      <c r="A2720" s="15" t="s">
        <v>44834</v>
      </c>
      <c r="B2720" s="15" t="s">
        <v>5796</v>
      </c>
      <c r="C2720" s="15" t="s">
        <v>800</v>
      </c>
      <c r="D2720" s="15" t="s">
        <v>5797</v>
      </c>
      <c r="E2720" s="15">
        <v>80.360799999999998</v>
      </c>
      <c r="F2720" s="42">
        <v>46198</v>
      </c>
    </row>
    <row r="2721" spans="1:6" x14ac:dyDescent="0.3">
      <c r="A2721" s="15" t="s">
        <v>44833</v>
      </c>
      <c r="B2721" s="15" t="s">
        <v>5798</v>
      </c>
      <c r="C2721" s="15" t="s">
        <v>5799</v>
      </c>
      <c r="D2721" s="15" t="s">
        <v>5800</v>
      </c>
      <c r="E2721" s="15">
        <v>15.6036</v>
      </c>
      <c r="F2721" s="42">
        <v>45835</v>
      </c>
    </row>
    <row r="2722" spans="1:6" x14ac:dyDescent="0.3">
      <c r="A2722" s="15" t="s">
        <v>44832</v>
      </c>
      <c r="B2722" s="15" t="s">
        <v>5801</v>
      </c>
      <c r="C2722" s="15" t="s">
        <v>5802</v>
      </c>
      <c r="D2722" s="15" t="s">
        <v>5803</v>
      </c>
      <c r="E2722" s="15">
        <v>27.229299999999999</v>
      </c>
      <c r="F2722" s="42">
        <v>46198</v>
      </c>
    </row>
    <row r="2723" spans="1:6" x14ac:dyDescent="0.3">
      <c r="A2723" s="15" t="s">
        <v>44831</v>
      </c>
      <c r="B2723" s="15" t="s">
        <v>5804</v>
      </c>
      <c r="C2723" s="15" t="s">
        <v>800</v>
      </c>
      <c r="D2723" s="15" t="s">
        <v>5805</v>
      </c>
      <c r="E2723" s="15">
        <v>75.247600000000006</v>
      </c>
      <c r="F2723" s="42">
        <v>45664</v>
      </c>
    </row>
    <row r="2724" spans="1:6" x14ac:dyDescent="0.3">
      <c r="A2724" s="15" t="s">
        <v>44830</v>
      </c>
      <c r="B2724" s="15" t="s">
        <v>5806</v>
      </c>
      <c r="C2724" s="15" t="s">
        <v>800</v>
      </c>
      <c r="D2724" s="15" t="s">
        <v>5807</v>
      </c>
      <c r="E2724" s="15">
        <v>71.393699999999995</v>
      </c>
      <c r="F2724" s="42">
        <v>46198</v>
      </c>
    </row>
    <row r="2725" spans="1:6" x14ac:dyDescent="0.3">
      <c r="A2725" s="15" t="s">
        <v>44829</v>
      </c>
      <c r="B2725" s="15" t="s">
        <v>5808</v>
      </c>
      <c r="C2725" s="15" t="s">
        <v>800</v>
      </c>
      <c r="D2725" s="15" t="s">
        <v>5809</v>
      </c>
      <c r="E2725" s="15">
        <v>23.624199999999998</v>
      </c>
      <c r="F2725" s="42">
        <v>45835</v>
      </c>
    </row>
    <row r="2726" spans="1:6" x14ac:dyDescent="0.3">
      <c r="A2726" s="15" t="s">
        <v>44828</v>
      </c>
      <c r="B2726" s="15" t="s">
        <v>5810</v>
      </c>
      <c r="C2726" s="15" t="s">
        <v>5811</v>
      </c>
      <c r="D2726" s="15" t="s">
        <v>5812</v>
      </c>
      <c r="E2726" s="15">
        <v>13.742599999999999</v>
      </c>
      <c r="F2726" s="42">
        <v>45835</v>
      </c>
    </row>
    <row r="2727" spans="1:6" x14ac:dyDescent="0.3">
      <c r="A2727" s="15" t="s">
        <v>44827</v>
      </c>
      <c r="B2727" s="15" t="s">
        <v>5813</v>
      </c>
      <c r="C2727" s="15" t="s">
        <v>5814</v>
      </c>
      <c r="D2727" s="15" t="s">
        <v>5815</v>
      </c>
      <c r="E2727" s="15">
        <v>13.592700000000001</v>
      </c>
      <c r="F2727" s="42">
        <v>45835</v>
      </c>
    </row>
    <row r="2728" spans="1:6" x14ac:dyDescent="0.3">
      <c r="A2728" s="15" t="s">
        <v>44826</v>
      </c>
      <c r="B2728" s="15" t="s">
        <v>5816</v>
      </c>
      <c r="C2728" s="15" t="s">
        <v>5817</v>
      </c>
      <c r="D2728" s="15" t="s">
        <v>5818</v>
      </c>
      <c r="E2728" s="15">
        <v>13.2774</v>
      </c>
      <c r="F2728" s="42">
        <v>46198</v>
      </c>
    </row>
    <row r="2729" spans="1:6" x14ac:dyDescent="0.3">
      <c r="A2729" s="15" t="s">
        <v>33499</v>
      </c>
      <c r="B2729" s="15" t="s">
        <v>795</v>
      </c>
      <c r="C2729" s="15" t="s">
        <v>795</v>
      </c>
      <c r="D2729" s="15" t="s">
        <v>795</v>
      </c>
      <c r="F2729" s="42"/>
    </row>
    <row r="2730" spans="1:6" x14ac:dyDescent="0.3">
      <c r="A2730" s="15" t="s">
        <v>33519</v>
      </c>
      <c r="B2730" s="15" t="s">
        <v>795</v>
      </c>
      <c r="C2730" s="15" t="s">
        <v>795</v>
      </c>
      <c r="D2730" s="15" t="s">
        <v>795</v>
      </c>
      <c r="F2730" s="42"/>
    </row>
    <row r="2731" spans="1:6" x14ac:dyDescent="0.3">
      <c r="A2731" s="15" t="s">
        <v>33499</v>
      </c>
      <c r="B2731" s="15" t="s">
        <v>795</v>
      </c>
      <c r="C2731" s="15" t="s">
        <v>795</v>
      </c>
      <c r="D2731" s="15" t="s">
        <v>795</v>
      </c>
      <c r="F2731" s="42"/>
    </row>
    <row r="2732" spans="1:6" x14ac:dyDescent="0.3">
      <c r="A2732" s="15" t="s">
        <v>44825</v>
      </c>
      <c r="B2732" s="15" t="s">
        <v>5819</v>
      </c>
      <c r="C2732" s="15" t="s">
        <v>800</v>
      </c>
      <c r="D2732" s="15" t="s">
        <v>5820</v>
      </c>
      <c r="E2732" s="15">
        <v>29.787199999999999</v>
      </c>
      <c r="F2732" s="42">
        <v>44827</v>
      </c>
    </row>
    <row r="2733" spans="1:6" x14ac:dyDescent="0.3">
      <c r="A2733" s="15" t="s">
        <v>44824</v>
      </c>
      <c r="B2733" s="15" t="s">
        <v>5821</v>
      </c>
      <c r="C2733" s="15" t="s">
        <v>5822</v>
      </c>
      <c r="D2733" s="15" t="s">
        <v>5823</v>
      </c>
      <c r="E2733" s="15">
        <v>15.2302</v>
      </c>
      <c r="F2733" s="42">
        <v>44827</v>
      </c>
    </row>
    <row r="2734" spans="1:6" x14ac:dyDescent="0.3">
      <c r="A2734" s="15" t="s">
        <v>44823</v>
      </c>
      <c r="B2734" s="15" t="s">
        <v>5824</v>
      </c>
      <c r="C2734" s="15" t="s">
        <v>800</v>
      </c>
      <c r="D2734" s="15" t="s">
        <v>5825</v>
      </c>
      <c r="E2734" s="15">
        <v>32.764499999999998</v>
      </c>
      <c r="F2734" s="42">
        <v>44827</v>
      </c>
    </row>
    <row r="2735" spans="1:6" x14ac:dyDescent="0.3">
      <c r="A2735" s="15" t="s">
        <v>44822</v>
      </c>
      <c r="B2735" s="15" t="s">
        <v>5826</v>
      </c>
      <c r="C2735" s="15" t="s">
        <v>5827</v>
      </c>
      <c r="D2735" s="15" t="s">
        <v>5828</v>
      </c>
      <c r="E2735" s="15">
        <v>13.5481</v>
      </c>
      <c r="F2735" s="42">
        <v>44827</v>
      </c>
    </row>
    <row r="2736" spans="1:6" x14ac:dyDescent="0.3">
      <c r="A2736" s="15" t="s">
        <v>33499</v>
      </c>
      <c r="B2736" s="15" t="s">
        <v>795</v>
      </c>
      <c r="C2736" s="15" t="s">
        <v>795</v>
      </c>
      <c r="D2736" s="15" t="s">
        <v>795</v>
      </c>
      <c r="F2736" s="42"/>
    </row>
    <row r="2737" spans="1:6" x14ac:dyDescent="0.3">
      <c r="A2737" s="15" t="s">
        <v>33500</v>
      </c>
      <c r="B2737" s="15" t="s">
        <v>795</v>
      </c>
      <c r="C2737" s="15" t="s">
        <v>795</v>
      </c>
      <c r="D2737" s="15" t="s">
        <v>795</v>
      </c>
      <c r="F2737" s="42"/>
    </row>
    <row r="2738" spans="1:6" x14ac:dyDescent="0.3">
      <c r="A2738" s="15" t="s">
        <v>33499</v>
      </c>
      <c r="B2738" s="15" t="s">
        <v>795</v>
      </c>
      <c r="C2738" s="15" t="s">
        <v>795</v>
      </c>
      <c r="D2738" s="15" t="s">
        <v>795</v>
      </c>
      <c r="F2738" s="42"/>
    </row>
    <row r="2739" spans="1:6" x14ac:dyDescent="0.3">
      <c r="A2739" s="15" t="s">
        <v>44821</v>
      </c>
      <c r="B2739" s="15" t="s">
        <v>5829</v>
      </c>
      <c r="C2739" s="15" t="s">
        <v>5830</v>
      </c>
      <c r="D2739" s="15" t="s">
        <v>5831</v>
      </c>
      <c r="E2739" s="15">
        <v>0</v>
      </c>
      <c r="F2739" s="42">
        <v>46198</v>
      </c>
    </row>
    <row r="2740" spans="1:6" x14ac:dyDescent="0.3">
      <c r="A2740" s="15" t="s">
        <v>44820</v>
      </c>
      <c r="B2740" s="15" t="s">
        <v>5832</v>
      </c>
      <c r="C2740" s="15" t="s">
        <v>5833</v>
      </c>
      <c r="D2740" s="15" t="s">
        <v>5834</v>
      </c>
      <c r="E2740" s="15">
        <v>0</v>
      </c>
      <c r="F2740" s="42">
        <v>46198</v>
      </c>
    </row>
    <row r="2741" spans="1:6" x14ac:dyDescent="0.3">
      <c r="A2741" s="15" t="s">
        <v>44819</v>
      </c>
      <c r="B2741" s="15" t="s">
        <v>5835</v>
      </c>
      <c r="C2741" s="15" t="s">
        <v>800</v>
      </c>
      <c r="D2741" s="15" t="s">
        <v>5836</v>
      </c>
      <c r="E2741" s="15">
        <v>0</v>
      </c>
      <c r="F2741" s="42">
        <v>46198</v>
      </c>
    </row>
    <row r="2742" spans="1:6" x14ac:dyDescent="0.3">
      <c r="A2742" s="15" t="s">
        <v>44818</v>
      </c>
      <c r="B2742" s="15" t="s">
        <v>5837</v>
      </c>
      <c r="C2742" s="15" t="s">
        <v>5838</v>
      </c>
      <c r="D2742" s="15" t="s">
        <v>5839</v>
      </c>
      <c r="E2742" s="15">
        <v>0</v>
      </c>
      <c r="F2742" s="42">
        <v>46198</v>
      </c>
    </row>
    <row r="2743" spans="1:6" x14ac:dyDescent="0.3">
      <c r="A2743" s="15" t="s">
        <v>44817</v>
      </c>
      <c r="B2743" s="15" t="s">
        <v>5840</v>
      </c>
      <c r="C2743" s="15" t="s">
        <v>5841</v>
      </c>
      <c r="D2743" s="15" t="s">
        <v>5842</v>
      </c>
      <c r="E2743" s="15">
        <v>0</v>
      </c>
      <c r="F2743" s="42">
        <v>46198</v>
      </c>
    </row>
    <row r="2744" spans="1:6" x14ac:dyDescent="0.3">
      <c r="A2744" s="15" t="s">
        <v>44816</v>
      </c>
      <c r="B2744" s="15" t="s">
        <v>5843</v>
      </c>
      <c r="C2744" s="15" t="s">
        <v>5844</v>
      </c>
      <c r="D2744" s="15" t="s">
        <v>5845</v>
      </c>
      <c r="E2744" s="15">
        <v>0</v>
      </c>
      <c r="F2744" s="42">
        <v>46198</v>
      </c>
    </row>
    <row r="2745" spans="1:6" x14ac:dyDescent="0.3">
      <c r="A2745" s="15" t="s">
        <v>44815</v>
      </c>
      <c r="B2745" s="15" t="s">
        <v>5846</v>
      </c>
      <c r="C2745" s="15" t="s">
        <v>5847</v>
      </c>
      <c r="D2745" s="15" t="s">
        <v>5848</v>
      </c>
      <c r="E2745" s="15">
        <v>0</v>
      </c>
      <c r="F2745" s="42">
        <v>46198</v>
      </c>
    </row>
    <row r="2746" spans="1:6" x14ac:dyDescent="0.3">
      <c r="A2746" s="15" t="s">
        <v>44814</v>
      </c>
      <c r="B2746" s="15" t="s">
        <v>5849</v>
      </c>
      <c r="C2746" s="15" t="s">
        <v>5850</v>
      </c>
      <c r="D2746" s="15" t="s">
        <v>5851</v>
      </c>
      <c r="E2746" s="15">
        <v>0</v>
      </c>
      <c r="F2746" s="42">
        <v>46198</v>
      </c>
    </row>
    <row r="2747" spans="1:6" x14ac:dyDescent="0.3">
      <c r="A2747" s="15" t="s">
        <v>44813</v>
      </c>
      <c r="B2747" s="15" t="s">
        <v>5852</v>
      </c>
      <c r="C2747" s="15" t="s">
        <v>800</v>
      </c>
      <c r="D2747" s="15" t="s">
        <v>5853</v>
      </c>
      <c r="E2747" s="15">
        <v>0</v>
      </c>
      <c r="F2747" s="42">
        <v>46198</v>
      </c>
    </row>
    <row r="2748" spans="1:6" x14ac:dyDescent="0.3">
      <c r="A2748" s="15" t="s">
        <v>44812</v>
      </c>
      <c r="B2748" s="15" t="s">
        <v>5854</v>
      </c>
      <c r="C2748" s="15" t="s">
        <v>5855</v>
      </c>
      <c r="D2748" s="15" t="s">
        <v>5856</v>
      </c>
      <c r="E2748" s="15">
        <v>0</v>
      </c>
      <c r="F2748" s="42">
        <v>46198</v>
      </c>
    </row>
    <row r="2749" spans="1:6" x14ac:dyDescent="0.3">
      <c r="A2749" s="15" t="s">
        <v>44811</v>
      </c>
      <c r="B2749" s="15" t="s">
        <v>5857</v>
      </c>
      <c r="C2749" s="15" t="s">
        <v>5858</v>
      </c>
      <c r="D2749" s="15" t="s">
        <v>5859</v>
      </c>
      <c r="E2749" s="15">
        <v>0</v>
      </c>
      <c r="F2749" s="42">
        <v>46198</v>
      </c>
    </row>
    <row r="2750" spans="1:6" x14ac:dyDescent="0.3">
      <c r="A2750" s="15" t="s">
        <v>44810</v>
      </c>
      <c r="B2750" s="15" t="s">
        <v>5860</v>
      </c>
      <c r="C2750" s="15" t="s">
        <v>5861</v>
      </c>
      <c r="D2750" s="15" t="s">
        <v>5862</v>
      </c>
      <c r="E2750" s="15">
        <v>0</v>
      </c>
      <c r="F2750" s="42">
        <v>46198</v>
      </c>
    </row>
    <row r="2751" spans="1:6" x14ac:dyDescent="0.3">
      <c r="A2751" s="15" t="s">
        <v>44809</v>
      </c>
      <c r="B2751" s="15" t="s">
        <v>800</v>
      </c>
      <c r="C2751" s="15" t="s">
        <v>800</v>
      </c>
      <c r="D2751" s="15" t="s">
        <v>5863</v>
      </c>
      <c r="E2751" s="15">
        <v>0</v>
      </c>
      <c r="F2751" s="42">
        <v>44026</v>
      </c>
    </row>
    <row r="2752" spans="1:6" x14ac:dyDescent="0.3">
      <c r="A2752" s="15" t="s">
        <v>44808</v>
      </c>
      <c r="B2752" s="15" t="s">
        <v>800</v>
      </c>
      <c r="C2752" s="15" t="s">
        <v>800</v>
      </c>
      <c r="D2752" s="15" t="s">
        <v>5864</v>
      </c>
      <c r="E2752" s="15">
        <v>0</v>
      </c>
      <c r="F2752" s="42">
        <v>44026</v>
      </c>
    </row>
    <row r="2753" spans="1:6" x14ac:dyDescent="0.3">
      <c r="A2753" s="15" t="s">
        <v>44807</v>
      </c>
      <c r="B2753" s="15" t="s">
        <v>800</v>
      </c>
      <c r="C2753" s="15" t="s">
        <v>800</v>
      </c>
      <c r="D2753" s="15" t="s">
        <v>5865</v>
      </c>
      <c r="E2753" s="15">
        <v>0</v>
      </c>
      <c r="F2753" s="42">
        <v>44026</v>
      </c>
    </row>
    <row r="2754" spans="1:6" x14ac:dyDescent="0.3">
      <c r="A2754" s="15" t="s">
        <v>44806</v>
      </c>
      <c r="B2754" s="15" t="s">
        <v>800</v>
      </c>
      <c r="C2754" s="15" t="s">
        <v>800</v>
      </c>
      <c r="D2754" s="15" t="s">
        <v>5866</v>
      </c>
      <c r="E2754" s="15">
        <v>0</v>
      </c>
      <c r="F2754" s="42">
        <v>44026</v>
      </c>
    </row>
    <row r="2755" spans="1:6" x14ac:dyDescent="0.3">
      <c r="A2755" s="15" t="s">
        <v>44805</v>
      </c>
      <c r="B2755" s="15" t="s">
        <v>800</v>
      </c>
      <c r="C2755" s="15" t="s">
        <v>800</v>
      </c>
      <c r="D2755" s="15" t="s">
        <v>5867</v>
      </c>
      <c r="E2755" s="15">
        <v>0</v>
      </c>
      <c r="F2755" s="42">
        <v>44026</v>
      </c>
    </row>
    <row r="2756" spans="1:6" x14ac:dyDescent="0.3">
      <c r="A2756" s="15" t="s">
        <v>44804</v>
      </c>
      <c r="B2756" s="15" t="s">
        <v>800</v>
      </c>
      <c r="C2756" s="15" t="s">
        <v>800</v>
      </c>
      <c r="D2756" s="15" t="s">
        <v>5868</v>
      </c>
      <c r="E2756" s="15">
        <v>0</v>
      </c>
      <c r="F2756" s="42">
        <v>44026</v>
      </c>
    </row>
    <row r="2757" spans="1:6" x14ac:dyDescent="0.3">
      <c r="A2757" s="15" t="s">
        <v>44803</v>
      </c>
      <c r="B2757" s="15" t="s">
        <v>800</v>
      </c>
      <c r="C2757" s="15" t="s">
        <v>800</v>
      </c>
      <c r="D2757" s="15" t="s">
        <v>5869</v>
      </c>
      <c r="E2757" s="15">
        <v>0</v>
      </c>
      <c r="F2757" s="42">
        <v>44026</v>
      </c>
    </row>
    <row r="2758" spans="1:6" x14ac:dyDescent="0.3">
      <c r="A2758" s="15" t="s">
        <v>44802</v>
      </c>
      <c r="B2758" s="15" t="s">
        <v>800</v>
      </c>
      <c r="C2758" s="15" t="s">
        <v>800</v>
      </c>
      <c r="D2758" s="15" t="s">
        <v>5870</v>
      </c>
      <c r="E2758" s="15">
        <v>0</v>
      </c>
      <c r="F2758" s="42">
        <v>44026</v>
      </c>
    </row>
    <row r="2759" spans="1:6" x14ac:dyDescent="0.3">
      <c r="A2759" s="15" t="s">
        <v>44801</v>
      </c>
      <c r="B2759" s="15" t="s">
        <v>800</v>
      </c>
      <c r="C2759" s="15" t="s">
        <v>800</v>
      </c>
      <c r="D2759" s="15" t="s">
        <v>5871</v>
      </c>
      <c r="E2759" s="15">
        <v>0</v>
      </c>
      <c r="F2759" s="42">
        <v>44026</v>
      </c>
    </row>
    <row r="2760" spans="1:6" x14ac:dyDescent="0.3">
      <c r="A2760" s="15" t="s">
        <v>44800</v>
      </c>
      <c r="B2760" s="15" t="s">
        <v>800</v>
      </c>
      <c r="C2760" s="15" t="s">
        <v>800</v>
      </c>
      <c r="D2760" s="15" t="s">
        <v>5872</v>
      </c>
      <c r="E2760" s="15">
        <v>0</v>
      </c>
      <c r="F2760" s="42">
        <v>44026</v>
      </c>
    </row>
    <row r="2761" spans="1:6" x14ac:dyDescent="0.3">
      <c r="A2761" s="15" t="s">
        <v>44799</v>
      </c>
      <c r="B2761" s="15" t="s">
        <v>800</v>
      </c>
      <c r="C2761" s="15" t="s">
        <v>800</v>
      </c>
      <c r="D2761" s="15" t="s">
        <v>5873</v>
      </c>
      <c r="E2761" s="15">
        <v>0</v>
      </c>
      <c r="F2761" s="42">
        <v>44026</v>
      </c>
    </row>
    <row r="2762" spans="1:6" x14ac:dyDescent="0.3">
      <c r="A2762" s="15" t="s">
        <v>44798</v>
      </c>
      <c r="B2762" s="15" t="s">
        <v>800</v>
      </c>
      <c r="C2762" s="15" t="s">
        <v>800</v>
      </c>
      <c r="D2762" s="15" t="s">
        <v>5874</v>
      </c>
      <c r="E2762" s="15">
        <v>0</v>
      </c>
      <c r="F2762" s="42">
        <v>44026</v>
      </c>
    </row>
    <row r="2763" spans="1:6" x14ac:dyDescent="0.3">
      <c r="A2763" s="15" t="s">
        <v>44797</v>
      </c>
      <c r="B2763" s="15" t="s">
        <v>5875</v>
      </c>
      <c r="C2763" s="15" t="s">
        <v>800</v>
      </c>
      <c r="D2763" s="15" t="s">
        <v>5876</v>
      </c>
      <c r="E2763" s="15">
        <v>0.36630000000000001</v>
      </c>
      <c r="F2763" s="42">
        <v>44588</v>
      </c>
    </row>
    <row r="2764" spans="1:6" x14ac:dyDescent="0.3">
      <c r="A2764" s="15" t="s">
        <v>44796</v>
      </c>
      <c r="B2764" s="15" t="s">
        <v>5877</v>
      </c>
      <c r="C2764" s="15" t="s">
        <v>800</v>
      </c>
      <c r="D2764" s="15" t="s">
        <v>5878</v>
      </c>
      <c r="E2764" s="15">
        <v>0.3488</v>
      </c>
      <c r="F2764" s="42">
        <v>44588</v>
      </c>
    </row>
    <row r="2765" spans="1:6" x14ac:dyDescent="0.3">
      <c r="A2765" s="15" t="s">
        <v>44795</v>
      </c>
      <c r="B2765" s="15" t="s">
        <v>5879</v>
      </c>
      <c r="C2765" s="15" t="s">
        <v>5880</v>
      </c>
      <c r="D2765" s="15" t="s">
        <v>5881</v>
      </c>
      <c r="E2765" s="15">
        <v>0.29730000000000001</v>
      </c>
      <c r="F2765" s="42">
        <v>44588</v>
      </c>
    </row>
    <row r="2766" spans="1:6" x14ac:dyDescent="0.3">
      <c r="A2766" s="15" t="s">
        <v>44794</v>
      </c>
      <c r="B2766" s="15" t="s">
        <v>5882</v>
      </c>
      <c r="C2766" s="15" t="s">
        <v>5883</v>
      </c>
      <c r="D2766" s="15" t="s">
        <v>5884</v>
      </c>
      <c r="E2766" s="15">
        <v>0.28639999999999999</v>
      </c>
      <c r="F2766" s="42">
        <v>44588</v>
      </c>
    </row>
    <row r="2767" spans="1:6" x14ac:dyDescent="0.3">
      <c r="A2767" s="15" t="s">
        <v>44793</v>
      </c>
      <c r="B2767" s="15" t="s">
        <v>5885</v>
      </c>
      <c r="C2767" s="15" t="s">
        <v>5886</v>
      </c>
      <c r="D2767" s="15" t="s">
        <v>5887</v>
      </c>
      <c r="E2767" s="15">
        <v>0.28949999999999998</v>
      </c>
      <c r="F2767" s="42">
        <v>44588</v>
      </c>
    </row>
    <row r="2768" spans="1:6" x14ac:dyDescent="0.3">
      <c r="A2768" s="15" t="s">
        <v>44792</v>
      </c>
      <c r="B2768" s="15" t="s">
        <v>5888</v>
      </c>
      <c r="C2768" s="15" t="s">
        <v>5889</v>
      </c>
      <c r="D2768" s="15" t="s">
        <v>5890</v>
      </c>
      <c r="E2768" s="15">
        <v>0.25950000000000001</v>
      </c>
      <c r="F2768" s="42">
        <v>44588</v>
      </c>
    </row>
    <row r="2769" spans="1:6" x14ac:dyDescent="0.3">
      <c r="A2769" s="15" t="s">
        <v>44791</v>
      </c>
      <c r="B2769" s="15" t="s">
        <v>5891</v>
      </c>
      <c r="C2769" s="15" t="s">
        <v>5892</v>
      </c>
      <c r="D2769" s="15" t="s">
        <v>5893</v>
      </c>
      <c r="E2769" s="15">
        <v>0.28670000000000001</v>
      </c>
      <c r="F2769" s="42">
        <v>44588</v>
      </c>
    </row>
    <row r="2770" spans="1:6" x14ac:dyDescent="0.3">
      <c r="A2770" s="15" t="s">
        <v>44790</v>
      </c>
      <c r="B2770" s="15" t="s">
        <v>5894</v>
      </c>
      <c r="C2770" s="15" t="s">
        <v>5895</v>
      </c>
      <c r="D2770" s="15" t="s">
        <v>5896</v>
      </c>
      <c r="E2770" s="15">
        <v>0.28179999999999999</v>
      </c>
      <c r="F2770" s="42">
        <v>44588</v>
      </c>
    </row>
    <row r="2771" spans="1:6" x14ac:dyDescent="0.3">
      <c r="A2771" s="15" t="s">
        <v>44789</v>
      </c>
      <c r="B2771" s="15" t="s">
        <v>5897</v>
      </c>
      <c r="C2771" s="15" t="s">
        <v>5898</v>
      </c>
      <c r="D2771" s="15" t="s">
        <v>5899</v>
      </c>
      <c r="E2771" s="15">
        <v>0.24879999999999999</v>
      </c>
      <c r="F2771" s="42">
        <v>44588</v>
      </c>
    </row>
    <row r="2772" spans="1:6" x14ac:dyDescent="0.3">
      <c r="A2772" s="15" t="s">
        <v>44788</v>
      </c>
      <c r="B2772" s="15" t="s">
        <v>5900</v>
      </c>
      <c r="C2772" s="15" t="s">
        <v>5901</v>
      </c>
      <c r="D2772" s="15" t="s">
        <v>5902</v>
      </c>
      <c r="E2772" s="15">
        <v>0.27639999999999998</v>
      </c>
      <c r="F2772" s="42">
        <v>44588</v>
      </c>
    </row>
    <row r="2773" spans="1:6" x14ac:dyDescent="0.3">
      <c r="A2773" s="15" t="s">
        <v>44787</v>
      </c>
      <c r="B2773" s="15" t="s">
        <v>5903</v>
      </c>
      <c r="C2773" s="15" t="s">
        <v>5904</v>
      </c>
      <c r="D2773" s="15" t="s">
        <v>5905</v>
      </c>
      <c r="E2773" s="15">
        <v>0.2515</v>
      </c>
      <c r="F2773" s="42">
        <v>44588</v>
      </c>
    </row>
    <row r="2774" spans="1:6" x14ac:dyDescent="0.3">
      <c r="A2774" s="15" t="s">
        <v>44786</v>
      </c>
      <c r="B2774" s="15" t="s">
        <v>5906</v>
      </c>
      <c r="C2774" s="15" t="s">
        <v>5907</v>
      </c>
      <c r="D2774" s="15" t="s">
        <v>5908</v>
      </c>
      <c r="E2774" s="15">
        <v>0.27210000000000001</v>
      </c>
      <c r="F2774" s="42">
        <v>44588</v>
      </c>
    </row>
    <row r="2775" spans="1:6" x14ac:dyDescent="0.3">
      <c r="A2775" s="15" t="s">
        <v>44785</v>
      </c>
      <c r="B2775" s="15" t="s">
        <v>5909</v>
      </c>
      <c r="C2775" s="15" t="s">
        <v>5910</v>
      </c>
      <c r="D2775" s="15" t="s">
        <v>5911</v>
      </c>
      <c r="E2775" s="15">
        <v>15.2713</v>
      </c>
      <c r="F2775" s="42">
        <v>46198</v>
      </c>
    </row>
    <row r="2776" spans="1:6" x14ac:dyDescent="0.3">
      <c r="A2776" s="15" t="s">
        <v>44784</v>
      </c>
      <c r="B2776" s="15" t="s">
        <v>5912</v>
      </c>
      <c r="C2776" s="15" t="s">
        <v>5913</v>
      </c>
      <c r="D2776" s="15" t="s">
        <v>5914</v>
      </c>
      <c r="E2776" s="15">
        <v>16.028500000000001</v>
      </c>
      <c r="F2776" s="42">
        <v>46198</v>
      </c>
    </row>
    <row r="2777" spans="1:6" x14ac:dyDescent="0.3">
      <c r="A2777" s="15" t="s">
        <v>44783</v>
      </c>
      <c r="B2777" s="15" t="s">
        <v>5915</v>
      </c>
      <c r="C2777" s="15" t="s">
        <v>800</v>
      </c>
      <c r="D2777" s="15" t="s">
        <v>5916</v>
      </c>
      <c r="E2777" s="15">
        <v>20.617899999999999</v>
      </c>
      <c r="F2777" s="42">
        <v>46198</v>
      </c>
    </row>
    <row r="2778" spans="1:6" x14ac:dyDescent="0.3">
      <c r="A2778" s="15" t="s">
        <v>44782</v>
      </c>
      <c r="B2778" s="15" t="s">
        <v>5917</v>
      </c>
      <c r="C2778" s="15" t="s">
        <v>5918</v>
      </c>
      <c r="D2778" s="15" t="s">
        <v>5919</v>
      </c>
      <c r="E2778" s="15">
        <v>15.443199999999999</v>
      </c>
      <c r="F2778" s="42">
        <v>46198</v>
      </c>
    </row>
    <row r="2779" spans="1:6" x14ac:dyDescent="0.3">
      <c r="A2779" s="15" t="s">
        <v>44781</v>
      </c>
      <c r="B2779" s="15" t="s">
        <v>5920</v>
      </c>
      <c r="C2779" s="15" t="s">
        <v>5921</v>
      </c>
      <c r="D2779" s="15" t="s">
        <v>5922</v>
      </c>
      <c r="E2779" s="15">
        <v>10.507199999999999</v>
      </c>
      <c r="F2779" s="42">
        <v>46198</v>
      </c>
    </row>
    <row r="2780" spans="1:6" x14ac:dyDescent="0.3">
      <c r="A2780" s="15" t="s">
        <v>44780</v>
      </c>
      <c r="B2780" s="15" t="s">
        <v>5923</v>
      </c>
      <c r="C2780" s="15" t="s">
        <v>5924</v>
      </c>
      <c r="D2780" s="15" t="s">
        <v>5925</v>
      </c>
      <c r="E2780" s="15">
        <v>15.4267</v>
      </c>
      <c r="F2780" s="42">
        <v>46198</v>
      </c>
    </row>
    <row r="2781" spans="1:6" x14ac:dyDescent="0.3">
      <c r="A2781" s="15" t="s">
        <v>44779</v>
      </c>
      <c r="B2781" s="15" t="s">
        <v>5926</v>
      </c>
      <c r="C2781" s="15" t="s">
        <v>5927</v>
      </c>
      <c r="D2781" s="15" t="s">
        <v>5928</v>
      </c>
      <c r="E2781" s="15">
        <v>14.0107</v>
      </c>
      <c r="F2781" s="42">
        <v>46198</v>
      </c>
    </row>
    <row r="2782" spans="1:6" x14ac:dyDescent="0.3">
      <c r="A2782" s="15" t="s">
        <v>44778</v>
      </c>
      <c r="B2782" s="15" t="s">
        <v>5929</v>
      </c>
      <c r="C2782" s="15" t="s">
        <v>5930</v>
      </c>
      <c r="D2782" s="15" t="s">
        <v>5931</v>
      </c>
      <c r="E2782" s="15">
        <v>14.1121</v>
      </c>
      <c r="F2782" s="42">
        <v>46198</v>
      </c>
    </row>
    <row r="2783" spans="1:6" x14ac:dyDescent="0.3">
      <c r="A2783" s="15" t="s">
        <v>44777</v>
      </c>
      <c r="B2783" s="15" t="s">
        <v>5932</v>
      </c>
      <c r="C2783" s="15" t="s">
        <v>800</v>
      </c>
      <c r="D2783" s="15" t="s">
        <v>5933</v>
      </c>
      <c r="E2783" s="15">
        <v>19.1022</v>
      </c>
      <c r="F2783" s="42">
        <v>46198</v>
      </c>
    </row>
    <row r="2784" spans="1:6" x14ac:dyDescent="0.3">
      <c r="A2784" s="15" t="s">
        <v>44776</v>
      </c>
      <c r="B2784" s="15" t="s">
        <v>5934</v>
      </c>
      <c r="C2784" s="15" t="s">
        <v>5935</v>
      </c>
      <c r="D2784" s="15" t="s">
        <v>5936</v>
      </c>
      <c r="E2784" s="15">
        <v>10.159599999999999</v>
      </c>
      <c r="F2784" s="42">
        <v>46198</v>
      </c>
    </row>
    <row r="2785" spans="1:6" x14ac:dyDescent="0.3">
      <c r="A2785" s="15" t="s">
        <v>44775</v>
      </c>
      <c r="B2785" s="15" t="s">
        <v>5937</v>
      </c>
      <c r="C2785" s="15" t="s">
        <v>5938</v>
      </c>
      <c r="D2785" s="15" t="s">
        <v>5939</v>
      </c>
      <c r="E2785" s="15">
        <v>13.7761</v>
      </c>
      <c r="F2785" s="42">
        <v>46198</v>
      </c>
    </row>
    <row r="2786" spans="1:6" x14ac:dyDescent="0.3">
      <c r="A2786" s="15" t="s">
        <v>44774</v>
      </c>
      <c r="B2786" s="15" t="s">
        <v>5940</v>
      </c>
      <c r="C2786" s="15" t="s">
        <v>5941</v>
      </c>
      <c r="D2786" s="15" t="s">
        <v>5942</v>
      </c>
      <c r="E2786" s="15">
        <v>14.1332</v>
      </c>
      <c r="F2786" s="42">
        <v>45849</v>
      </c>
    </row>
    <row r="2787" spans="1:6" x14ac:dyDescent="0.3">
      <c r="A2787" s="15" t="s">
        <v>33499</v>
      </c>
      <c r="B2787" s="15" t="s">
        <v>795</v>
      </c>
      <c r="C2787" s="15" t="s">
        <v>795</v>
      </c>
      <c r="D2787" s="15" t="s">
        <v>795</v>
      </c>
      <c r="F2787" s="42"/>
    </row>
    <row r="2788" spans="1:6" x14ac:dyDescent="0.3">
      <c r="A2788" s="15" t="s">
        <v>44773</v>
      </c>
      <c r="B2788" s="15" t="s">
        <v>795</v>
      </c>
      <c r="C2788" s="15" t="s">
        <v>795</v>
      </c>
      <c r="D2788" s="15" t="s">
        <v>795</v>
      </c>
      <c r="F2788" s="42"/>
    </row>
    <row r="2789" spans="1:6" x14ac:dyDescent="0.3">
      <c r="A2789" s="15" t="s">
        <v>33499</v>
      </c>
      <c r="B2789" s="15" t="s">
        <v>795</v>
      </c>
      <c r="C2789" s="15" t="s">
        <v>795</v>
      </c>
      <c r="D2789" s="15" t="s">
        <v>795</v>
      </c>
      <c r="F2789" s="42"/>
    </row>
    <row r="2790" spans="1:6" x14ac:dyDescent="0.3">
      <c r="A2790" s="15" t="s">
        <v>37122</v>
      </c>
      <c r="B2790" s="15" t="s">
        <v>795</v>
      </c>
      <c r="C2790" s="15" t="s">
        <v>795</v>
      </c>
      <c r="D2790" s="15" t="s">
        <v>795</v>
      </c>
      <c r="F2790" s="42"/>
    </row>
    <row r="2791" spans="1:6" x14ac:dyDescent="0.3">
      <c r="A2791" s="15" t="s">
        <v>33499</v>
      </c>
      <c r="B2791" s="15" t="s">
        <v>795</v>
      </c>
      <c r="C2791" s="15" t="s">
        <v>795</v>
      </c>
      <c r="D2791" s="15" t="s">
        <v>795</v>
      </c>
      <c r="F2791" s="42"/>
    </row>
    <row r="2792" spans="1:6" x14ac:dyDescent="0.3">
      <c r="A2792" s="15" t="s">
        <v>44772</v>
      </c>
      <c r="B2792" s="15" t="s">
        <v>5943</v>
      </c>
      <c r="C2792" s="15" t="s">
        <v>800</v>
      </c>
      <c r="D2792" s="15" t="s">
        <v>5944</v>
      </c>
      <c r="E2792" s="15">
        <v>30.0154</v>
      </c>
      <c r="F2792" s="42">
        <v>45555</v>
      </c>
    </row>
    <row r="2793" spans="1:6" x14ac:dyDescent="0.3">
      <c r="A2793" s="15" t="s">
        <v>44771</v>
      </c>
      <c r="B2793" s="15" t="s">
        <v>5945</v>
      </c>
      <c r="C2793" s="15" t="s">
        <v>5946</v>
      </c>
      <c r="D2793" s="15" t="s">
        <v>5947</v>
      </c>
      <c r="E2793" s="15">
        <v>13.1076</v>
      </c>
      <c r="F2793" s="42">
        <v>46198</v>
      </c>
    </row>
    <row r="2794" spans="1:6" x14ac:dyDescent="0.3">
      <c r="A2794" s="15" t="s">
        <v>44770</v>
      </c>
      <c r="B2794" s="15" t="s">
        <v>5948</v>
      </c>
      <c r="C2794" s="15" t="s">
        <v>5949</v>
      </c>
      <c r="D2794" s="15" t="s">
        <v>5950</v>
      </c>
      <c r="E2794" s="15">
        <v>14.0726</v>
      </c>
      <c r="F2794" s="42">
        <v>46198</v>
      </c>
    </row>
    <row r="2795" spans="1:6" x14ac:dyDescent="0.3">
      <c r="A2795" s="15" t="s">
        <v>44769</v>
      </c>
      <c r="B2795" s="15" t="s">
        <v>5951</v>
      </c>
      <c r="C2795" s="15" t="s">
        <v>800</v>
      </c>
      <c r="D2795" s="15" t="s">
        <v>5952</v>
      </c>
      <c r="E2795" s="15">
        <v>140.36519999999999</v>
      </c>
      <c r="F2795" s="42">
        <v>46198</v>
      </c>
    </row>
    <row r="2796" spans="1:6" x14ac:dyDescent="0.3">
      <c r="A2796" s="15" t="s">
        <v>44768</v>
      </c>
      <c r="B2796" s="15" t="s">
        <v>5953</v>
      </c>
      <c r="C2796" s="15" t="s">
        <v>800</v>
      </c>
      <c r="D2796" s="15" t="s">
        <v>5954</v>
      </c>
      <c r="E2796" s="15">
        <v>129.60679999999999</v>
      </c>
      <c r="F2796" s="42">
        <v>46198</v>
      </c>
    </row>
    <row r="2797" spans="1:6" x14ac:dyDescent="0.3">
      <c r="A2797" s="15" t="s">
        <v>44767</v>
      </c>
      <c r="B2797" s="15" t="s">
        <v>5955</v>
      </c>
      <c r="C2797" s="15" t="s">
        <v>5956</v>
      </c>
      <c r="D2797" s="15" t="s">
        <v>5957</v>
      </c>
      <c r="E2797" s="15">
        <v>12.246</v>
      </c>
      <c r="F2797" s="42">
        <v>46198</v>
      </c>
    </row>
    <row r="2798" spans="1:6" x14ac:dyDescent="0.3">
      <c r="A2798" s="15" t="s">
        <v>44766</v>
      </c>
      <c r="B2798" s="15" t="s">
        <v>5958</v>
      </c>
      <c r="C2798" s="15" t="s">
        <v>5959</v>
      </c>
      <c r="D2798" s="15" t="s">
        <v>5960</v>
      </c>
      <c r="E2798" s="15">
        <v>13.049899999999999</v>
      </c>
      <c r="F2798" s="42">
        <v>46198</v>
      </c>
    </row>
    <row r="2799" spans="1:6" x14ac:dyDescent="0.3">
      <c r="A2799" s="15" t="s">
        <v>33499</v>
      </c>
      <c r="B2799" s="15" t="s">
        <v>795</v>
      </c>
      <c r="C2799" s="15" t="s">
        <v>795</v>
      </c>
      <c r="D2799" s="15" t="s">
        <v>795</v>
      </c>
      <c r="F2799" s="42"/>
    </row>
    <row r="2800" spans="1:6" x14ac:dyDescent="0.3">
      <c r="A2800" s="15" t="s">
        <v>37073</v>
      </c>
      <c r="B2800" s="15" t="s">
        <v>795</v>
      </c>
      <c r="C2800" s="15" t="s">
        <v>795</v>
      </c>
      <c r="D2800" s="15" t="s">
        <v>795</v>
      </c>
      <c r="F2800" s="42"/>
    </row>
    <row r="2801" spans="1:6" x14ac:dyDescent="0.3">
      <c r="A2801" s="15" t="s">
        <v>33499</v>
      </c>
      <c r="B2801" s="15" t="s">
        <v>795</v>
      </c>
      <c r="C2801" s="15" t="s">
        <v>795</v>
      </c>
      <c r="D2801" s="15" t="s">
        <v>795</v>
      </c>
      <c r="F2801" s="42"/>
    </row>
    <row r="2802" spans="1:6" x14ac:dyDescent="0.3">
      <c r="A2802" s="15" t="s">
        <v>44765</v>
      </c>
      <c r="B2802" s="15" t="s">
        <v>5961</v>
      </c>
      <c r="C2802" s="15" t="s">
        <v>5962</v>
      </c>
      <c r="D2802" s="15" t="s">
        <v>5963</v>
      </c>
      <c r="E2802" s="15">
        <v>16.374700000000001</v>
      </c>
      <c r="F2802" s="42">
        <v>46198</v>
      </c>
    </row>
    <row r="2803" spans="1:6" x14ac:dyDescent="0.3">
      <c r="A2803" s="15" t="s">
        <v>44764</v>
      </c>
      <c r="B2803" s="15" t="s">
        <v>5964</v>
      </c>
      <c r="C2803" s="15" t="s">
        <v>800</v>
      </c>
      <c r="D2803" s="15" t="s">
        <v>5965</v>
      </c>
      <c r="E2803" s="15">
        <v>74.770799999999994</v>
      </c>
      <c r="F2803" s="42">
        <v>46198</v>
      </c>
    </row>
    <row r="2804" spans="1:6" x14ac:dyDescent="0.3">
      <c r="A2804" s="15" t="s">
        <v>44763</v>
      </c>
      <c r="B2804" s="15" t="s">
        <v>5966</v>
      </c>
      <c r="C2804" s="15" t="s">
        <v>5967</v>
      </c>
      <c r="D2804" s="15" t="s">
        <v>5968</v>
      </c>
      <c r="E2804" s="15">
        <v>13.1371</v>
      </c>
      <c r="F2804" s="42">
        <v>46198</v>
      </c>
    </row>
    <row r="2805" spans="1:6" x14ac:dyDescent="0.3">
      <c r="A2805" s="15" t="s">
        <v>44762</v>
      </c>
      <c r="B2805" s="15" t="s">
        <v>5969</v>
      </c>
      <c r="C2805" s="15" t="s">
        <v>5970</v>
      </c>
      <c r="D2805" s="15" t="s">
        <v>5971</v>
      </c>
      <c r="E2805" s="15">
        <v>18.174299999999999</v>
      </c>
      <c r="F2805" s="42">
        <v>46198</v>
      </c>
    </row>
    <row r="2806" spans="1:6" x14ac:dyDescent="0.3">
      <c r="A2806" s="15" t="s">
        <v>44761</v>
      </c>
      <c r="B2806" s="15" t="s">
        <v>5972</v>
      </c>
      <c r="C2806" s="15" t="s">
        <v>5973</v>
      </c>
      <c r="D2806" s="15" t="s">
        <v>5974</v>
      </c>
      <c r="E2806" s="15">
        <v>13.071</v>
      </c>
      <c r="F2806" s="42">
        <v>46198</v>
      </c>
    </row>
    <row r="2807" spans="1:6" x14ac:dyDescent="0.3">
      <c r="A2807" s="15" t="s">
        <v>44760</v>
      </c>
      <c r="B2807" s="15" t="s">
        <v>5975</v>
      </c>
      <c r="C2807" s="15" t="s">
        <v>5976</v>
      </c>
      <c r="D2807" s="15" t="s">
        <v>5977</v>
      </c>
      <c r="E2807" s="15">
        <v>11.951700000000001</v>
      </c>
      <c r="F2807" s="42">
        <v>46198</v>
      </c>
    </row>
    <row r="2808" spans="1:6" x14ac:dyDescent="0.3">
      <c r="A2808" s="15" t="s">
        <v>44759</v>
      </c>
      <c r="B2808" s="15" t="s">
        <v>5978</v>
      </c>
      <c r="C2808" s="15" t="s">
        <v>800</v>
      </c>
      <c r="D2808" s="15" t="s">
        <v>5979</v>
      </c>
      <c r="E2808" s="15">
        <v>67.890900000000002</v>
      </c>
      <c r="F2808" s="42">
        <v>46198</v>
      </c>
    </row>
    <row r="2809" spans="1:6" x14ac:dyDescent="0.3">
      <c r="A2809" s="15" t="s">
        <v>44758</v>
      </c>
      <c r="B2809" s="15" t="s">
        <v>5980</v>
      </c>
      <c r="C2809" s="15" t="s">
        <v>5981</v>
      </c>
      <c r="D2809" s="15" t="s">
        <v>5982</v>
      </c>
      <c r="E2809" s="15">
        <v>12.1991</v>
      </c>
      <c r="F2809" s="42">
        <v>46198</v>
      </c>
    </row>
    <row r="2810" spans="1:6" x14ac:dyDescent="0.3">
      <c r="A2810" s="15" t="s">
        <v>44757</v>
      </c>
      <c r="B2810" s="15" t="s">
        <v>5983</v>
      </c>
      <c r="C2810" s="15" t="s">
        <v>5984</v>
      </c>
      <c r="D2810" s="15" t="s">
        <v>5985</v>
      </c>
      <c r="E2810" s="15">
        <v>14.5709</v>
      </c>
      <c r="F2810" s="42">
        <v>46198</v>
      </c>
    </row>
    <row r="2811" spans="1:6" x14ac:dyDescent="0.3">
      <c r="A2811" s="15" t="s">
        <v>44756</v>
      </c>
      <c r="B2811" s="15" t="s">
        <v>5986</v>
      </c>
      <c r="C2811" s="15" t="s">
        <v>5987</v>
      </c>
      <c r="D2811" s="15" t="s">
        <v>5988</v>
      </c>
      <c r="E2811" s="15">
        <v>12.4528</v>
      </c>
      <c r="F2811" s="42">
        <v>46198</v>
      </c>
    </row>
    <row r="2812" spans="1:6" x14ac:dyDescent="0.3">
      <c r="A2812" s="15" t="s">
        <v>44755</v>
      </c>
      <c r="B2812" s="15" t="s">
        <v>5989</v>
      </c>
      <c r="C2812" s="15" t="s">
        <v>800</v>
      </c>
      <c r="D2812" s="15" t="s">
        <v>5990</v>
      </c>
      <c r="E2812" s="15">
        <v>60.5852</v>
      </c>
      <c r="F2812" s="42">
        <v>46198</v>
      </c>
    </row>
    <row r="2813" spans="1:6" x14ac:dyDescent="0.3">
      <c r="A2813" s="15" t="s">
        <v>44754</v>
      </c>
      <c r="B2813" s="15" t="s">
        <v>5991</v>
      </c>
      <c r="C2813" s="15" t="s">
        <v>5992</v>
      </c>
      <c r="D2813" s="15" t="s">
        <v>5993</v>
      </c>
      <c r="E2813" s="15">
        <v>10.5381</v>
      </c>
      <c r="F2813" s="42">
        <v>46198</v>
      </c>
    </row>
    <row r="2814" spans="1:6" x14ac:dyDescent="0.3">
      <c r="A2814" s="15" t="s">
        <v>33499</v>
      </c>
      <c r="B2814" s="15" t="s">
        <v>795</v>
      </c>
      <c r="C2814" s="15" t="s">
        <v>795</v>
      </c>
      <c r="D2814" s="15" t="s">
        <v>795</v>
      </c>
      <c r="F2814" s="42"/>
    </row>
    <row r="2815" spans="1:6" x14ac:dyDescent="0.3">
      <c r="A2815" s="15" t="s">
        <v>37447</v>
      </c>
      <c r="B2815" s="15" t="s">
        <v>795</v>
      </c>
      <c r="C2815" s="15" t="s">
        <v>795</v>
      </c>
      <c r="D2815" s="15" t="s">
        <v>795</v>
      </c>
      <c r="F2815" s="42"/>
    </row>
    <row r="2816" spans="1:6" x14ac:dyDescent="0.3">
      <c r="A2816" s="15" t="s">
        <v>33499</v>
      </c>
      <c r="B2816" s="15" t="s">
        <v>795</v>
      </c>
      <c r="C2816" s="15" t="s">
        <v>795</v>
      </c>
      <c r="D2816" s="15" t="s">
        <v>795</v>
      </c>
      <c r="F2816" s="42"/>
    </row>
    <row r="2817" spans="1:6" x14ac:dyDescent="0.3">
      <c r="A2817" s="15" t="s">
        <v>44753</v>
      </c>
      <c r="B2817" s="15" t="s">
        <v>5994</v>
      </c>
      <c r="C2817" s="15" t="s">
        <v>5995</v>
      </c>
      <c r="D2817" s="15" t="s">
        <v>5996</v>
      </c>
      <c r="E2817" s="15">
        <v>18.592099999999999</v>
      </c>
      <c r="F2817" s="42">
        <v>46198</v>
      </c>
    </row>
    <row r="2818" spans="1:6" x14ac:dyDescent="0.3">
      <c r="A2818" s="15" t="s">
        <v>44752</v>
      </c>
      <c r="B2818" s="15" t="s">
        <v>5997</v>
      </c>
      <c r="C2818" s="15" t="s">
        <v>5998</v>
      </c>
      <c r="D2818" s="15" t="s">
        <v>5999</v>
      </c>
      <c r="E2818" s="15">
        <v>10.3674</v>
      </c>
      <c r="F2818" s="42">
        <v>44197</v>
      </c>
    </row>
    <row r="2819" spans="1:6" x14ac:dyDescent="0.3">
      <c r="A2819" s="15" t="s">
        <v>44751</v>
      </c>
      <c r="B2819" s="15" t="s">
        <v>6000</v>
      </c>
      <c r="C2819" s="15" t="s">
        <v>800</v>
      </c>
      <c r="D2819" s="15" t="s">
        <v>6001</v>
      </c>
      <c r="E2819" s="15">
        <v>37.841299999999997</v>
      </c>
      <c r="F2819" s="42">
        <v>46198</v>
      </c>
    </row>
    <row r="2820" spans="1:6" x14ac:dyDescent="0.3">
      <c r="A2820" s="15" t="s">
        <v>44750</v>
      </c>
      <c r="B2820" s="15" t="s">
        <v>6002</v>
      </c>
      <c r="C2820" s="15" t="s">
        <v>6003</v>
      </c>
      <c r="D2820" s="15" t="s">
        <v>6004</v>
      </c>
      <c r="E2820" s="15">
        <v>17.242899999999999</v>
      </c>
      <c r="F2820" s="42">
        <v>46198</v>
      </c>
    </row>
    <row r="2821" spans="1:6" x14ac:dyDescent="0.3">
      <c r="A2821" s="15" t="s">
        <v>44749</v>
      </c>
      <c r="B2821" s="15" t="s">
        <v>6005</v>
      </c>
      <c r="C2821" s="15" t="s">
        <v>6006</v>
      </c>
      <c r="D2821" s="15" t="s">
        <v>6007</v>
      </c>
      <c r="E2821" s="15">
        <v>16.856100000000001</v>
      </c>
      <c r="F2821" s="42">
        <v>46198</v>
      </c>
    </row>
    <row r="2822" spans="1:6" x14ac:dyDescent="0.3">
      <c r="A2822" s="15" t="s">
        <v>44748</v>
      </c>
      <c r="B2822" s="15" t="s">
        <v>6008</v>
      </c>
      <c r="C2822" s="15" t="s">
        <v>800</v>
      </c>
      <c r="D2822" s="15" t="s">
        <v>6009</v>
      </c>
      <c r="E2822" s="15">
        <v>36.4146</v>
      </c>
      <c r="F2822" s="42">
        <v>46198</v>
      </c>
    </row>
    <row r="2823" spans="1:6" x14ac:dyDescent="0.3">
      <c r="A2823" s="15" t="s">
        <v>44747</v>
      </c>
      <c r="B2823" s="15" t="s">
        <v>6010</v>
      </c>
      <c r="C2823" s="15" t="s">
        <v>6011</v>
      </c>
      <c r="D2823" s="15" t="s">
        <v>6012</v>
      </c>
      <c r="E2823" s="15">
        <v>27.583500000000001</v>
      </c>
      <c r="F2823" s="42">
        <v>46198</v>
      </c>
    </row>
    <row r="2824" spans="1:6" x14ac:dyDescent="0.3">
      <c r="A2824" s="15" t="s">
        <v>44746</v>
      </c>
      <c r="B2824" s="15" t="s">
        <v>6013</v>
      </c>
      <c r="C2824" s="15" t="s">
        <v>6014</v>
      </c>
      <c r="D2824" s="15" t="s">
        <v>6015</v>
      </c>
      <c r="E2824" s="15">
        <v>17.021599999999999</v>
      </c>
      <c r="F2824" s="42">
        <v>46198</v>
      </c>
    </row>
    <row r="2825" spans="1:6" x14ac:dyDescent="0.3">
      <c r="A2825" s="15" t="s">
        <v>44745</v>
      </c>
      <c r="B2825" s="15" t="s">
        <v>6016</v>
      </c>
      <c r="C2825" s="15" t="s">
        <v>800</v>
      </c>
      <c r="D2825" s="15" t="s">
        <v>6017</v>
      </c>
      <c r="E2825" s="15">
        <v>35.064500000000002</v>
      </c>
      <c r="F2825" s="42">
        <v>46198</v>
      </c>
    </row>
    <row r="2826" spans="1:6" x14ac:dyDescent="0.3">
      <c r="A2826" s="15" t="s">
        <v>44744</v>
      </c>
      <c r="B2826" s="15" t="s">
        <v>6018</v>
      </c>
      <c r="C2826" s="15" t="s">
        <v>6019</v>
      </c>
      <c r="D2826" s="15" t="s">
        <v>6020</v>
      </c>
      <c r="E2826" s="15">
        <v>18.052600000000002</v>
      </c>
      <c r="F2826" s="42">
        <v>46198</v>
      </c>
    </row>
    <row r="2827" spans="1:6" x14ac:dyDescent="0.3">
      <c r="A2827" s="15" t="s">
        <v>44743</v>
      </c>
      <c r="B2827" s="15" t="s">
        <v>6021</v>
      </c>
      <c r="C2827" s="15" t="s">
        <v>6022</v>
      </c>
      <c r="D2827" s="15" t="s">
        <v>6023</v>
      </c>
      <c r="E2827" s="15">
        <v>18.710899999999999</v>
      </c>
      <c r="F2827" s="42">
        <v>46198</v>
      </c>
    </row>
    <row r="2828" spans="1:6" x14ac:dyDescent="0.3">
      <c r="A2828" s="15" t="s">
        <v>33499</v>
      </c>
      <c r="B2828" s="15" t="s">
        <v>795</v>
      </c>
      <c r="C2828" s="15" t="s">
        <v>795</v>
      </c>
      <c r="D2828" s="15" t="s">
        <v>795</v>
      </c>
      <c r="F2828" s="42"/>
    </row>
    <row r="2829" spans="1:6" x14ac:dyDescent="0.3">
      <c r="A2829" s="15" t="s">
        <v>40284</v>
      </c>
      <c r="B2829" s="15" t="s">
        <v>795</v>
      </c>
      <c r="C2829" s="15" t="s">
        <v>795</v>
      </c>
      <c r="D2829" s="15" t="s">
        <v>795</v>
      </c>
      <c r="F2829" s="42"/>
    </row>
    <row r="2830" spans="1:6" x14ac:dyDescent="0.3">
      <c r="A2830" s="15" t="s">
        <v>33499</v>
      </c>
      <c r="B2830" s="15" t="s">
        <v>795</v>
      </c>
      <c r="C2830" s="15" t="s">
        <v>795</v>
      </c>
      <c r="D2830" s="15" t="s">
        <v>795</v>
      </c>
      <c r="F2830" s="42"/>
    </row>
    <row r="2831" spans="1:6" x14ac:dyDescent="0.3">
      <c r="A2831" s="15" t="s">
        <v>44742</v>
      </c>
      <c r="B2831" s="15" t="s">
        <v>6024</v>
      </c>
      <c r="C2831" s="15" t="s">
        <v>800</v>
      </c>
      <c r="D2831" s="15" t="s">
        <v>6025</v>
      </c>
      <c r="E2831" s="15">
        <v>64.456800000000001</v>
      </c>
      <c r="F2831" s="42">
        <v>46198</v>
      </c>
    </row>
    <row r="2832" spans="1:6" x14ac:dyDescent="0.3">
      <c r="A2832" s="15" t="s">
        <v>44741</v>
      </c>
      <c r="B2832" s="15" t="s">
        <v>6026</v>
      </c>
      <c r="C2832" s="15" t="s">
        <v>6027</v>
      </c>
      <c r="D2832" s="15" t="s">
        <v>6028</v>
      </c>
      <c r="E2832" s="15">
        <v>17.058199999999999</v>
      </c>
      <c r="F2832" s="42">
        <v>46198</v>
      </c>
    </row>
    <row r="2833" spans="1:6" x14ac:dyDescent="0.3">
      <c r="A2833" s="15" t="s">
        <v>44740</v>
      </c>
      <c r="B2833" s="15" t="s">
        <v>6029</v>
      </c>
      <c r="C2833" s="15" t="s">
        <v>800</v>
      </c>
      <c r="D2833" s="15" t="s">
        <v>6030</v>
      </c>
      <c r="E2833" s="15">
        <v>56.847999999999999</v>
      </c>
      <c r="F2833" s="42">
        <v>46198</v>
      </c>
    </row>
    <row r="2834" spans="1:6" x14ac:dyDescent="0.3">
      <c r="A2834" s="15" t="s">
        <v>44739</v>
      </c>
      <c r="B2834" s="15" t="s">
        <v>6031</v>
      </c>
      <c r="C2834" s="15" t="s">
        <v>6032</v>
      </c>
      <c r="D2834" s="15" t="s">
        <v>6033</v>
      </c>
      <c r="E2834" s="15">
        <v>14.802899999999999</v>
      </c>
      <c r="F2834" s="42">
        <v>46198</v>
      </c>
    </row>
    <row r="2835" spans="1:6" x14ac:dyDescent="0.3">
      <c r="A2835" s="15" t="s">
        <v>33499</v>
      </c>
      <c r="B2835" s="15" t="s">
        <v>795</v>
      </c>
      <c r="C2835" s="15" t="s">
        <v>795</v>
      </c>
      <c r="D2835" s="15" t="s">
        <v>795</v>
      </c>
      <c r="F2835" s="42"/>
    </row>
    <row r="2836" spans="1:6" x14ac:dyDescent="0.3">
      <c r="A2836" s="15" t="s">
        <v>37044</v>
      </c>
      <c r="B2836" s="15" t="s">
        <v>795</v>
      </c>
      <c r="C2836" s="15" t="s">
        <v>795</v>
      </c>
      <c r="D2836" s="15" t="s">
        <v>795</v>
      </c>
      <c r="F2836" s="42"/>
    </row>
    <row r="2837" spans="1:6" x14ac:dyDescent="0.3">
      <c r="A2837" s="15" t="s">
        <v>33499</v>
      </c>
      <c r="B2837" s="15" t="s">
        <v>795</v>
      </c>
      <c r="C2837" s="15" t="s">
        <v>795</v>
      </c>
      <c r="D2837" s="15" t="s">
        <v>795</v>
      </c>
      <c r="F2837" s="42"/>
    </row>
    <row r="2838" spans="1:6" x14ac:dyDescent="0.3">
      <c r="A2838" s="15" t="s">
        <v>44738</v>
      </c>
      <c r="B2838" s="15" t="s">
        <v>6034</v>
      </c>
      <c r="C2838" s="15" t="s">
        <v>6035</v>
      </c>
      <c r="D2838" s="15" t="s">
        <v>6036</v>
      </c>
      <c r="E2838" s="15">
        <v>10.618600000000001</v>
      </c>
      <c r="F2838" s="42">
        <v>46198</v>
      </c>
    </row>
    <row r="2839" spans="1:6" x14ac:dyDescent="0.3">
      <c r="A2839" s="15" t="s">
        <v>44737</v>
      </c>
      <c r="B2839" s="15" t="s">
        <v>6037</v>
      </c>
      <c r="C2839" s="15" t="s">
        <v>800</v>
      </c>
      <c r="D2839" s="15" t="s">
        <v>6038</v>
      </c>
      <c r="E2839" s="15">
        <v>11.227</v>
      </c>
      <c r="F2839" s="42">
        <v>46198</v>
      </c>
    </row>
    <row r="2840" spans="1:6" x14ac:dyDescent="0.3">
      <c r="A2840" s="15" t="s">
        <v>44736</v>
      </c>
      <c r="B2840" s="15" t="s">
        <v>6039</v>
      </c>
      <c r="C2840" s="15" t="s">
        <v>800</v>
      </c>
      <c r="D2840" s="15" t="s">
        <v>6040</v>
      </c>
      <c r="E2840" s="15">
        <v>11.1267</v>
      </c>
      <c r="F2840" s="42">
        <v>46198</v>
      </c>
    </row>
    <row r="2841" spans="1:6" x14ac:dyDescent="0.3">
      <c r="A2841" s="15" t="s">
        <v>44735</v>
      </c>
      <c r="B2841" s="15" t="s">
        <v>6041</v>
      </c>
      <c r="C2841" s="15" t="s">
        <v>6042</v>
      </c>
      <c r="D2841" s="15" t="s">
        <v>6043</v>
      </c>
      <c r="E2841" s="15">
        <v>10.5404</v>
      </c>
      <c r="F2841" s="42">
        <v>46198</v>
      </c>
    </row>
    <row r="2842" spans="1:6" x14ac:dyDescent="0.3">
      <c r="A2842" s="15" t="s">
        <v>33499</v>
      </c>
      <c r="B2842" s="15" t="s">
        <v>795</v>
      </c>
      <c r="C2842" s="15" t="s">
        <v>795</v>
      </c>
      <c r="D2842" s="15" t="s">
        <v>795</v>
      </c>
      <c r="F2842" s="42"/>
    </row>
    <row r="2843" spans="1:6" x14ac:dyDescent="0.3">
      <c r="A2843" s="15" t="s">
        <v>37043</v>
      </c>
      <c r="B2843" s="15" t="s">
        <v>795</v>
      </c>
      <c r="C2843" s="15" t="s">
        <v>795</v>
      </c>
      <c r="D2843" s="15" t="s">
        <v>795</v>
      </c>
      <c r="F2843" s="42"/>
    </row>
    <row r="2844" spans="1:6" x14ac:dyDescent="0.3">
      <c r="A2844" s="15" t="s">
        <v>33499</v>
      </c>
      <c r="B2844" s="15" t="s">
        <v>795</v>
      </c>
      <c r="C2844" s="15" t="s">
        <v>795</v>
      </c>
      <c r="D2844" s="15" t="s">
        <v>795</v>
      </c>
      <c r="F2844" s="42"/>
    </row>
    <row r="2845" spans="1:6" x14ac:dyDescent="0.3">
      <c r="A2845" s="15" t="s">
        <v>44734</v>
      </c>
      <c r="B2845" s="15" t="s">
        <v>6044</v>
      </c>
      <c r="C2845" s="15" t="s">
        <v>800</v>
      </c>
      <c r="D2845" s="15" t="s">
        <v>6045</v>
      </c>
      <c r="E2845" s="15">
        <v>60.378500000000003</v>
      </c>
      <c r="F2845" s="42">
        <v>46198</v>
      </c>
    </row>
    <row r="2846" spans="1:6" x14ac:dyDescent="0.3">
      <c r="A2846" s="15" t="s">
        <v>44733</v>
      </c>
      <c r="B2846" s="15" t="s">
        <v>6046</v>
      </c>
      <c r="C2846" s="15" t="s">
        <v>800</v>
      </c>
      <c r="D2846" s="15" t="s">
        <v>6047</v>
      </c>
      <c r="E2846" s="15">
        <v>67.184299999999993</v>
      </c>
      <c r="F2846" s="42">
        <v>46198</v>
      </c>
    </row>
    <row r="2847" spans="1:6" x14ac:dyDescent="0.3">
      <c r="A2847" s="15" t="s">
        <v>44732</v>
      </c>
      <c r="B2847" s="15" t="s">
        <v>6048</v>
      </c>
      <c r="C2847" s="15" t="s">
        <v>800</v>
      </c>
      <c r="D2847" s="15" t="s">
        <v>6049</v>
      </c>
      <c r="E2847" s="15">
        <v>21.246500000000001</v>
      </c>
      <c r="F2847" s="42">
        <v>46198</v>
      </c>
    </row>
    <row r="2848" spans="1:6" x14ac:dyDescent="0.3">
      <c r="A2848" s="15" t="s">
        <v>44731</v>
      </c>
      <c r="B2848" s="15" t="s">
        <v>6050</v>
      </c>
      <c r="C2848" s="15" t="s">
        <v>800</v>
      </c>
      <c r="D2848" s="15" t="s">
        <v>6051</v>
      </c>
      <c r="E2848" s="15">
        <v>19.041</v>
      </c>
      <c r="F2848" s="42">
        <v>46198</v>
      </c>
    </row>
    <row r="2849" spans="1:6" x14ac:dyDescent="0.3">
      <c r="A2849" s="15" t="s">
        <v>44730</v>
      </c>
      <c r="B2849" s="15" t="s">
        <v>6052</v>
      </c>
      <c r="C2849" s="15" t="s">
        <v>6053</v>
      </c>
      <c r="D2849" s="15" t="s">
        <v>6054</v>
      </c>
      <c r="E2849" s="15">
        <v>11.6279</v>
      </c>
      <c r="F2849" s="42">
        <v>46198</v>
      </c>
    </row>
    <row r="2850" spans="1:6" x14ac:dyDescent="0.3">
      <c r="A2850" s="15" t="s">
        <v>44729</v>
      </c>
      <c r="B2850" s="15" t="s">
        <v>6055</v>
      </c>
      <c r="C2850" s="15" t="s">
        <v>6056</v>
      </c>
      <c r="D2850" s="15" t="s">
        <v>6057</v>
      </c>
      <c r="E2850" s="15">
        <v>13.067299999999999</v>
      </c>
      <c r="F2850" s="42">
        <v>46198</v>
      </c>
    </row>
    <row r="2851" spans="1:6" x14ac:dyDescent="0.3">
      <c r="A2851" s="15" t="s">
        <v>33499</v>
      </c>
      <c r="B2851" s="15" t="s">
        <v>795</v>
      </c>
      <c r="C2851" s="15" t="s">
        <v>795</v>
      </c>
      <c r="D2851" s="15" t="s">
        <v>795</v>
      </c>
      <c r="F2851" s="42"/>
    </row>
    <row r="2852" spans="1:6" x14ac:dyDescent="0.3">
      <c r="A2852" s="15" t="s">
        <v>36815</v>
      </c>
      <c r="B2852" s="15" t="s">
        <v>795</v>
      </c>
      <c r="C2852" s="15" t="s">
        <v>795</v>
      </c>
      <c r="D2852" s="15" t="s">
        <v>795</v>
      </c>
      <c r="F2852" s="42"/>
    </row>
    <row r="2853" spans="1:6" x14ac:dyDescent="0.3">
      <c r="A2853" s="15" t="s">
        <v>33499</v>
      </c>
      <c r="B2853" s="15" t="s">
        <v>795</v>
      </c>
      <c r="C2853" s="15" t="s">
        <v>795</v>
      </c>
      <c r="D2853" s="15" t="s">
        <v>795</v>
      </c>
      <c r="F2853" s="42"/>
    </row>
    <row r="2854" spans="1:6" x14ac:dyDescent="0.3">
      <c r="A2854" s="15" t="s">
        <v>44728</v>
      </c>
      <c r="B2854" s="15" t="s">
        <v>6058</v>
      </c>
      <c r="C2854" s="15" t="s">
        <v>800</v>
      </c>
      <c r="D2854" s="15" t="s">
        <v>6059</v>
      </c>
      <c r="E2854" s="15">
        <v>48.723399999999998</v>
      </c>
      <c r="F2854" s="42">
        <v>46198</v>
      </c>
    </row>
    <row r="2855" spans="1:6" x14ac:dyDescent="0.3">
      <c r="A2855" s="15" t="s">
        <v>44727</v>
      </c>
      <c r="B2855" s="15" t="s">
        <v>6060</v>
      </c>
      <c r="C2855" s="15" t="s">
        <v>6061</v>
      </c>
      <c r="D2855" s="15" t="s">
        <v>6062</v>
      </c>
      <c r="E2855" s="15">
        <v>10.569000000000001</v>
      </c>
      <c r="F2855" s="42">
        <v>46198</v>
      </c>
    </row>
    <row r="2856" spans="1:6" x14ac:dyDescent="0.3">
      <c r="A2856" s="15" t="s">
        <v>44726</v>
      </c>
      <c r="B2856" s="15" t="s">
        <v>6063</v>
      </c>
      <c r="C2856" s="15" t="s">
        <v>800</v>
      </c>
      <c r="D2856" s="15" t="s">
        <v>6064</v>
      </c>
      <c r="E2856" s="15">
        <v>43.629800000000003</v>
      </c>
      <c r="F2856" s="42">
        <v>46198</v>
      </c>
    </row>
    <row r="2857" spans="1:6" x14ac:dyDescent="0.3">
      <c r="A2857" s="15" t="s">
        <v>44725</v>
      </c>
      <c r="B2857" s="15" t="s">
        <v>6065</v>
      </c>
      <c r="C2857" s="15" t="s">
        <v>6066</v>
      </c>
      <c r="D2857" s="15" t="s">
        <v>6067</v>
      </c>
      <c r="E2857" s="15">
        <v>10.738799999999999</v>
      </c>
      <c r="F2857" s="42">
        <v>46198</v>
      </c>
    </row>
    <row r="2858" spans="1:6" x14ac:dyDescent="0.3">
      <c r="A2858" s="15" t="s">
        <v>33499</v>
      </c>
      <c r="B2858" s="15" t="s">
        <v>795</v>
      </c>
      <c r="C2858" s="15" t="s">
        <v>795</v>
      </c>
      <c r="D2858" s="15" t="s">
        <v>795</v>
      </c>
      <c r="F2858" s="42"/>
    </row>
    <row r="2859" spans="1:6" x14ac:dyDescent="0.3">
      <c r="A2859" s="15" t="s">
        <v>36764</v>
      </c>
      <c r="B2859" s="15" t="s">
        <v>795</v>
      </c>
      <c r="C2859" s="15" t="s">
        <v>795</v>
      </c>
      <c r="D2859" s="15" t="s">
        <v>795</v>
      </c>
      <c r="F2859" s="42"/>
    </row>
    <row r="2860" spans="1:6" x14ac:dyDescent="0.3">
      <c r="A2860" s="15" t="s">
        <v>33499</v>
      </c>
      <c r="B2860" s="15" t="s">
        <v>795</v>
      </c>
      <c r="C2860" s="15" t="s">
        <v>795</v>
      </c>
      <c r="D2860" s="15" t="s">
        <v>795</v>
      </c>
      <c r="F2860" s="42"/>
    </row>
    <row r="2861" spans="1:6" x14ac:dyDescent="0.3">
      <c r="A2861" s="15" t="s">
        <v>44724</v>
      </c>
      <c r="B2861" s="15" t="s">
        <v>6068</v>
      </c>
      <c r="C2861" s="15" t="s">
        <v>800</v>
      </c>
      <c r="D2861" s="15" t="s">
        <v>6069</v>
      </c>
      <c r="E2861" s="15">
        <v>12.4602</v>
      </c>
      <c r="F2861" s="42">
        <v>43283</v>
      </c>
    </row>
    <row r="2862" spans="1:6" x14ac:dyDescent="0.3">
      <c r="A2862" s="15" t="s">
        <v>44723</v>
      </c>
      <c r="B2862" s="15" t="s">
        <v>6070</v>
      </c>
      <c r="C2862" s="15" t="s">
        <v>800</v>
      </c>
      <c r="D2862" s="15" t="s">
        <v>6071</v>
      </c>
      <c r="E2862" s="15">
        <v>44.752499999999998</v>
      </c>
      <c r="F2862" s="42">
        <v>46198</v>
      </c>
    </row>
    <row r="2863" spans="1:6" x14ac:dyDescent="0.3">
      <c r="A2863" s="15" t="s">
        <v>44722</v>
      </c>
      <c r="B2863" s="15" t="s">
        <v>6072</v>
      </c>
      <c r="C2863" s="15" t="s">
        <v>6073</v>
      </c>
      <c r="D2863" s="15" t="s">
        <v>6074</v>
      </c>
      <c r="E2863" s="15">
        <v>10.9758</v>
      </c>
      <c r="F2863" s="42">
        <v>46198</v>
      </c>
    </row>
    <row r="2864" spans="1:6" x14ac:dyDescent="0.3">
      <c r="A2864" s="15" t="s">
        <v>44721</v>
      </c>
      <c r="B2864" s="15" t="s">
        <v>6075</v>
      </c>
      <c r="C2864" s="15" t="s">
        <v>6076</v>
      </c>
      <c r="D2864" s="15" t="s">
        <v>6077</v>
      </c>
      <c r="E2864" s="15">
        <v>11.754799999999999</v>
      </c>
      <c r="F2864" s="42">
        <v>46198</v>
      </c>
    </row>
    <row r="2865" spans="1:6" x14ac:dyDescent="0.3">
      <c r="A2865" s="15" t="s">
        <v>44720</v>
      </c>
      <c r="B2865" s="15" t="s">
        <v>6078</v>
      </c>
      <c r="C2865" s="15" t="s">
        <v>6079</v>
      </c>
      <c r="D2865" s="15" t="s">
        <v>6080</v>
      </c>
      <c r="E2865" s="15">
        <v>11.909700000000001</v>
      </c>
      <c r="F2865" s="42">
        <v>46198</v>
      </c>
    </row>
    <row r="2866" spans="1:6" x14ac:dyDescent="0.3">
      <c r="A2866" s="15" t="s">
        <v>44719</v>
      </c>
      <c r="B2866" s="15" t="s">
        <v>6081</v>
      </c>
      <c r="C2866" s="15" t="s">
        <v>800</v>
      </c>
      <c r="D2866" s="15" t="s">
        <v>6082</v>
      </c>
      <c r="E2866" s="15">
        <v>42.090400000000002</v>
      </c>
      <c r="F2866" s="42">
        <v>46198</v>
      </c>
    </row>
    <row r="2867" spans="1:6" x14ac:dyDescent="0.3">
      <c r="A2867" s="15" t="s">
        <v>44718</v>
      </c>
      <c r="B2867" s="15" t="s">
        <v>6083</v>
      </c>
      <c r="C2867" s="15" t="s">
        <v>6084</v>
      </c>
      <c r="D2867" s="15" t="s">
        <v>6085</v>
      </c>
      <c r="E2867" s="15">
        <v>11.297800000000001</v>
      </c>
      <c r="F2867" s="42">
        <v>46198</v>
      </c>
    </row>
    <row r="2868" spans="1:6" x14ac:dyDescent="0.3">
      <c r="A2868" s="15" t="s">
        <v>44717</v>
      </c>
      <c r="B2868" s="15" t="s">
        <v>6086</v>
      </c>
      <c r="C2868" s="15" t="s">
        <v>6087</v>
      </c>
      <c r="D2868" s="15" t="s">
        <v>6088</v>
      </c>
      <c r="E2868" s="15">
        <v>11.5283</v>
      </c>
      <c r="F2868" s="42">
        <v>46198</v>
      </c>
    </row>
    <row r="2869" spans="1:6" x14ac:dyDescent="0.3">
      <c r="A2869" s="15" t="s">
        <v>44716</v>
      </c>
      <c r="B2869" s="15" t="s">
        <v>6089</v>
      </c>
      <c r="C2869" s="15" t="s">
        <v>6090</v>
      </c>
      <c r="D2869" s="15" t="s">
        <v>6091</v>
      </c>
      <c r="E2869" s="15">
        <v>11.523</v>
      </c>
      <c r="F2869" s="42">
        <v>46198</v>
      </c>
    </row>
    <row r="2870" spans="1:6" x14ac:dyDescent="0.3">
      <c r="A2870" s="15" t="s">
        <v>44715</v>
      </c>
      <c r="B2870" s="15" t="s">
        <v>6092</v>
      </c>
      <c r="C2870" s="15" t="s">
        <v>800</v>
      </c>
      <c r="D2870" s="15" t="s">
        <v>6093</v>
      </c>
      <c r="E2870" s="15">
        <v>25.0654</v>
      </c>
      <c r="F2870" s="42">
        <v>43945</v>
      </c>
    </row>
    <row r="2871" spans="1:6" x14ac:dyDescent="0.3">
      <c r="A2871" s="15" t="s">
        <v>44714</v>
      </c>
      <c r="B2871" s="15" t="s">
        <v>6094</v>
      </c>
      <c r="C2871" s="15" t="s">
        <v>6095</v>
      </c>
      <c r="D2871" s="15" t="s">
        <v>6096</v>
      </c>
      <c r="E2871" s="15">
        <v>10.644399999999999</v>
      </c>
      <c r="F2871" s="42">
        <v>43945</v>
      </c>
    </row>
    <row r="2872" spans="1:6" x14ac:dyDescent="0.3">
      <c r="A2872" s="15" t="s">
        <v>44713</v>
      </c>
      <c r="B2872" s="15" t="s">
        <v>6097</v>
      </c>
      <c r="C2872" s="15" t="s">
        <v>6098</v>
      </c>
      <c r="D2872" s="15" t="s">
        <v>6099</v>
      </c>
      <c r="E2872" s="15">
        <v>11.429399999999999</v>
      </c>
      <c r="F2872" s="42">
        <v>43945</v>
      </c>
    </row>
    <row r="2873" spans="1:6" x14ac:dyDescent="0.3">
      <c r="A2873" s="15" t="s">
        <v>33499</v>
      </c>
      <c r="B2873" s="15" t="s">
        <v>795</v>
      </c>
      <c r="C2873" s="15" t="s">
        <v>795</v>
      </c>
      <c r="D2873" s="15" t="s">
        <v>795</v>
      </c>
      <c r="F2873" s="42"/>
    </row>
    <row r="2874" spans="1:6" x14ac:dyDescent="0.3">
      <c r="A2874" s="15" t="s">
        <v>40894</v>
      </c>
      <c r="B2874" s="15" t="s">
        <v>795</v>
      </c>
      <c r="C2874" s="15" t="s">
        <v>795</v>
      </c>
      <c r="D2874" s="15" t="s">
        <v>795</v>
      </c>
      <c r="F2874" s="42"/>
    </row>
    <row r="2875" spans="1:6" x14ac:dyDescent="0.3">
      <c r="A2875" s="15" t="s">
        <v>33499</v>
      </c>
      <c r="B2875" s="15" t="s">
        <v>795</v>
      </c>
      <c r="C2875" s="15" t="s">
        <v>795</v>
      </c>
      <c r="D2875" s="15" t="s">
        <v>795</v>
      </c>
      <c r="F2875" s="42"/>
    </row>
    <row r="2876" spans="1:6" x14ac:dyDescent="0.3">
      <c r="A2876" s="15" t="s">
        <v>44712</v>
      </c>
      <c r="B2876" s="15" t="s">
        <v>6100</v>
      </c>
      <c r="C2876" s="15" t="s">
        <v>800</v>
      </c>
      <c r="D2876" s="15" t="s">
        <v>6101</v>
      </c>
      <c r="E2876" s="15">
        <v>28.556000000000001</v>
      </c>
      <c r="F2876" s="42">
        <v>45684</v>
      </c>
    </row>
    <row r="2877" spans="1:6" x14ac:dyDescent="0.3">
      <c r="A2877" s="15" t="s">
        <v>44711</v>
      </c>
      <c r="B2877" s="15" t="s">
        <v>6102</v>
      </c>
      <c r="C2877" s="15" t="s">
        <v>800</v>
      </c>
      <c r="D2877" s="15" t="s">
        <v>6103</v>
      </c>
      <c r="E2877" s="15">
        <v>72.049899999999994</v>
      </c>
      <c r="F2877" s="42">
        <v>46198</v>
      </c>
    </row>
    <row r="2878" spans="1:6" x14ac:dyDescent="0.3">
      <c r="A2878" s="15" t="s">
        <v>44710</v>
      </c>
      <c r="B2878" s="15" t="s">
        <v>6104</v>
      </c>
      <c r="C2878" s="15" t="s">
        <v>6105</v>
      </c>
      <c r="D2878" s="15" t="s">
        <v>6106</v>
      </c>
      <c r="E2878" s="15">
        <v>25.459299999999999</v>
      </c>
      <c r="F2878" s="42">
        <v>46198</v>
      </c>
    </row>
    <row r="2879" spans="1:6" x14ac:dyDescent="0.3">
      <c r="A2879" s="15" t="s">
        <v>44709</v>
      </c>
      <c r="B2879" s="15" t="s">
        <v>6107</v>
      </c>
      <c r="C2879" s="15" t="s">
        <v>800</v>
      </c>
      <c r="D2879" s="15" t="s">
        <v>6108</v>
      </c>
      <c r="E2879" s="15">
        <v>64.359200000000001</v>
      </c>
      <c r="F2879" s="42">
        <v>46198</v>
      </c>
    </row>
    <row r="2880" spans="1:6" x14ac:dyDescent="0.3">
      <c r="A2880" s="15" t="s">
        <v>44708</v>
      </c>
      <c r="B2880" s="15" t="s">
        <v>6109</v>
      </c>
      <c r="C2880" s="15" t="s">
        <v>6110</v>
      </c>
      <c r="D2880" s="15" t="s">
        <v>6111</v>
      </c>
      <c r="E2880" s="15">
        <v>21.8825</v>
      </c>
      <c r="F2880" s="42">
        <v>46198</v>
      </c>
    </row>
    <row r="2881" spans="1:6" x14ac:dyDescent="0.3">
      <c r="A2881" s="15" t="s">
        <v>44707</v>
      </c>
      <c r="B2881" s="15" t="s">
        <v>6112</v>
      </c>
      <c r="C2881" s="15" t="s">
        <v>800</v>
      </c>
      <c r="D2881" s="15" t="s">
        <v>6113</v>
      </c>
      <c r="E2881" s="15">
        <v>26.331199999999999</v>
      </c>
      <c r="F2881" s="42">
        <v>46198</v>
      </c>
    </row>
    <row r="2882" spans="1:6" x14ac:dyDescent="0.3">
      <c r="A2882" s="15" t="s">
        <v>33499</v>
      </c>
      <c r="B2882" s="15" t="s">
        <v>795</v>
      </c>
      <c r="C2882" s="15" t="s">
        <v>795</v>
      </c>
      <c r="D2882" s="15" t="s">
        <v>795</v>
      </c>
      <c r="F2882" s="42"/>
    </row>
    <row r="2883" spans="1:6" x14ac:dyDescent="0.3">
      <c r="A2883" s="15" t="s">
        <v>139</v>
      </c>
      <c r="B2883" s="15" t="s">
        <v>795</v>
      </c>
      <c r="C2883" s="15" t="s">
        <v>795</v>
      </c>
      <c r="D2883" s="15" t="s">
        <v>795</v>
      </c>
      <c r="F2883" s="42"/>
    </row>
    <row r="2884" spans="1:6" x14ac:dyDescent="0.3">
      <c r="A2884" s="15" t="s">
        <v>33499</v>
      </c>
      <c r="B2884" s="15" t="s">
        <v>795</v>
      </c>
      <c r="C2884" s="15" t="s">
        <v>795</v>
      </c>
      <c r="D2884" s="15" t="s">
        <v>795</v>
      </c>
      <c r="F2884" s="42"/>
    </row>
    <row r="2885" spans="1:6" x14ac:dyDescent="0.3">
      <c r="A2885" s="15" t="s">
        <v>44706</v>
      </c>
      <c r="B2885" s="15" t="s">
        <v>6114</v>
      </c>
      <c r="C2885" s="15" t="s">
        <v>800</v>
      </c>
      <c r="D2885" s="15" t="s">
        <v>6115</v>
      </c>
      <c r="E2885" s="15">
        <v>30.067499999999999</v>
      </c>
      <c r="F2885" s="42">
        <v>46198</v>
      </c>
    </row>
    <row r="2886" spans="1:6" x14ac:dyDescent="0.3">
      <c r="A2886" s="15" t="s">
        <v>44705</v>
      </c>
      <c r="B2886" s="15" t="s">
        <v>6116</v>
      </c>
      <c r="C2886" s="15" t="s">
        <v>800</v>
      </c>
      <c r="D2886" s="15" t="s">
        <v>6117</v>
      </c>
      <c r="E2886" s="15">
        <v>90.338099999999997</v>
      </c>
      <c r="F2886" s="42">
        <v>46198</v>
      </c>
    </row>
    <row r="2887" spans="1:6" x14ac:dyDescent="0.3">
      <c r="A2887" s="15" t="s">
        <v>44704</v>
      </c>
      <c r="B2887" s="15" t="s">
        <v>6118</v>
      </c>
      <c r="C2887" s="15" t="s">
        <v>6119</v>
      </c>
      <c r="D2887" s="15" t="s">
        <v>6120</v>
      </c>
      <c r="E2887" s="15">
        <v>48.828499999999998</v>
      </c>
      <c r="F2887" s="42">
        <v>46198</v>
      </c>
    </row>
    <row r="2888" spans="1:6" x14ac:dyDescent="0.3">
      <c r="A2888" s="15" t="s">
        <v>44703</v>
      </c>
      <c r="B2888" s="15" t="s">
        <v>6121</v>
      </c>
      <c r="C2888" s="15" t="s">
        <v>800</v>
      </c>
      <c r="D2888" s="15" t="s">
        <v>6122</v>
      </c>
      <c r="E2888" s="15">
        <v>79.697999999999993</v>
      </c>
      <c r="F2888" s="42">
        <v>46198</v>
      </c>
    </row>
    <row r="2889" spans="1:6" x14ac:dyDescent="0.3">
      <c r="A2889" s="15" t="s">
        <v>44702</v>
      </c>
      <c r="B2889" s="15" t="s">
        <v>6123</v>
      </c>
      <c r="C2889" s="15" t="s">
        <v>6124</v>
      </c>
      <c r="D2889" s="15" t="s">
        <v>6125</v>
      </c>
      <c r="E2889" s="15">
        <v>13.6554</v>
      </c>
      <c r="F2889" s="42">
        <v>42664</v>
      </c>
    </row>
    <row r="2890" spans="1:6" x14ac:dyDescent="0.3">
      <c r="A2890" s="15" t="s">
        <v>44701</v>
      </c>
      <c r="B2890" s="15" t="s">
        <v>6126</v>
      </c>
      <c r="C2890" s="15" t="s">
        <v>800</v>
      </c>
      <c r="D2890" s="15" t="s">
        <v>6127</v>
      </c>
      <c r="E2890" s="15">
        <v>42.935400000000001</v>
      </c>
      <c r="F2890" s="42">
        <v>42664</v>
      </c>
    </row>
    <row r="2891" spans="1:6" x14ac:dyDescent="0.3">
      <c r="A2891" s="15" t="s">
        <v>33499</v>
      </c>
      <c r="B2891" s="15" t="s">
        <v>795</v>
      </c>
      <c r="C2891" s="15" t="s">
        <v>795</v>
      </c>
      <c r="D2891" s="15" t="s">
        <v>795</v>
      </c>
      <c r="F2891" s="42"/>
    </row>
    <row r="2892" spans="1:6" x14ac:dyDescent="0.3">
      <c r="A2892" s="15" t="s">
        <v>37618</v>
      </c>
      <c r="B2892" s="15" t="s">
        <v>795</v>
      </c>
      <c r="C2892" s="15" t="s">
        <v>795</v>
      </c>
      <c r="D2892" s="15" t="s">
        <v>795</v>
      </c>
      <c r="F2892" s="42"/>
    </row>
    <row r="2893" spans="1:6" x14ac:dyDescent="0.3">
      <c r="A2893" s="15" t="s">
        <v>33499</v>
      </c>
      <c r="B2893" s="15" t="s">
        <v>795</v>
      </c>
      <c r="C2893" s="15" t="s">
        <v>795</v>
      </c>
      <c r="D2893" s="15" t="s">
        <v>795</v>
      </c>
      <c r="F2893" s="42"/>
    </row>
    <row r="2894" spans="1:6" x14ac:dyDescent="0.3">
      <c r="A2894" s="15" t="s">
        <v>44700</v>
      </c>
      <c r="B2894" s="15" t="s">
        <v>6128</v>
      </c>
      <c r="C2894" s="15" t="s">
        <v>800</v>
      </c>
      <c r="D2894" s="15" t="s">
        <v>6129</v>
      </c>
      <c r="E2894" s="15">
        <v>19.769200000000001</v>
      </c>
      <c r="F2894" s="42">
        <v>46198</v>
      </c>
    </row>
    <row r="2895" spans="1:6" x14ac:dyDescent="0.3">
      <c r="A2895" s="15" t="s">
        <v>44699</v>
      </c>
      <c r="B2895" s="15" t="s">
        <v>6130</v>
      </c>
      <c r="C2895" s="15" t="s">
        <v>800</v>
      </c>
      <c r="D2895" s="15" t="s">
        <v>6131</v>
      </c>
      <c r="E2895" s="15">
        <v>81.8245</v>
      </c>
      <c r="F2895" s="42">
        <v>46198</v>
      </c>
    </row>
    <row r="2896" spans="1:6" x14ac:dyDescent="0.3">
      <c r="A2896" s="15" t="s">
        <v>44698</v>
      </c>
      <c r="B2896" s="15" t="s">
        <v>6132</v>
      </c>
      <c r="C2896" s="15" t="s">
        <v>6133</v>
      </c>
      <c r="D2896" s="15" t="s">
        <v>6134</v>
      </c>
      <c r="E2896" s="15">
        <v>19.769300000000001</v>
      </c>
      <c r="F2896" s="42">
        <v>46198</v>
      </c>
    </row>
    <row r="2897" spans="1:6" x14ac:dyDescent="0.3">
      <c r="A2897" s="15" t="s">
        <v>44697</v>
      </c>
      <c r="B2897" s="15" t="s">
        <v>6135</v>
      </c>
      <c r="C2897" s="15" t="s">
        <v>800</v>
      </c>
      <c r="D2897" s="15" t="s">
        <v>6136</v>
      </c>
      <c r="E2897" s="15">
        <v>19.769400000000001</v>
      </c>
      <c r="F2897" s="42">
        <v>46198</v>
      </c>
    </row>
    <row r="2898" spans="1:6" x14ac:dyDescent="0.3">
      <c r="A2898" s="15" t="s">
        <v>44696</v>
      </c>
      <c r="B2898" s="15" t="s">
        <v>6137</v>
      </c>
      <c r="C2898" s="15" t="s">
        <v>800</v>
      </c>
      <c r="D2898" s="15" t="s">
        <v>6138</v>
      </c>
      <c r="E2898" s="15">
        <v>16.524100000000001</v>
      </c>
      <c r="F2898" s="42">
        <v>46198</v>
      </c>
    </row>
    <row r="2899" spans="1:6" x14ac:dyDescent="0.3">
      <c r="A2899" s="15" t="s">
        <v>44695</v>
      </c>
      <c r="B2899" s="15" t="s">
        <v>6139</v>
      </c>
      <c r="C2899" s="15" t="s">
        <v>800</v>
      </c>
      <c r="D2899" s="15" t="s">
        <v>6140</v>
      </c>
      <c r="E2899" s="15">
        <v>75.3857</v>
      </c>
      <c r="F2899" s="42">
        <v>46198</v>
      </c>
    </row>
    <row r="2900" spans="1:6" x14ac:dyDescent="0.3">
      <c r="A2900" s="15" t="s">
        <v>44694</v>
      </c>
      <c r="B2900" s="15" t="s">
        <v>6141</v>
      </c>
      <c r="C2900" s="15" t="s">
        <v>6142</v>
      </c>
      <c r="D2900" s="15" t="s">
        <v>6143</v>
      </c>
      <c r="E2900" s="15">
        <v>16.5242</v>
      </c>
      <c r="F2900" s="42">
        <v>46198</v>
      </c>
    </row>
    <row r="2901" spans="1:6" x14ac:dyDescent="0.3">
      <c r="A2901" s="15" t="s">
        <v>44693</v>
      </c>
      <c r="B2901" s="15" t="s">
        <v>6144</v>
      </c>
      <c r="C2901" s="15" t="s">
        <v>800</v>
      </c>
      <c r="D2901" s="15" t="s">
        <v>6145</v>
      </c>
      <c r="E2901" s="15">
        <v>16.524100000000001</v>
      </c>
      <c r="F2901" s="42">
        <v>46198</v>
      </c>
    </row>
    <row r="2902" spans="1:6" x14ac:dyDescent="0.3">
      <c r="A2902" s="15" t="s">
        <v>33499</v>
      </c>
      <c r="B2902" s="15" t="s">
        <v>795</v>
      </c>
      <c r="C2902" s="15" t="s">
        <v>795</v>
      </c>
      <c r="D2902" s="15" t="s">
        <v>795</v>
      </c>
      <c r="F2902" s="42"/>
    </row>
    <row r="2903" spans="1:6" x14ac:dyDescent="0.3">
      <c r="A2903" s="15" t="s">
        <v>208</v>
      </c>
      <c r="B2903" s="15" t="s">
        <v>795</v>
      </c>
      <c r="C2903" s="15" t="s">
        <v>795</v>
      </c>
      <c r="D2903" s="15" t="s">
        <v>795</v>
      </c>
      <c r="F2903" s="42"/>
    </row>
    <row r="2904" spans="1:6" x14ac:dyDescent="0.3">
      <c r="A2904" s="15" t="s">
        <v>33499</v>
      </c>
      <c r="B2904" s="15" t="s">
        <v>795</v>
      </c>
      <c r="C2904" s="15" t="s">
        <v>795</v>
      </c>
      <c r="D2904" s="15" t="s">
        <v>795</v>
      </c>
      <c r="F2904" s="42"/>
    </row>
    <row r="2905" spans="1:6" x14ac:dyDescent="0.3">
      <c r="A2905" s="15" t="s">
        <v>44692</v>
      </c>
      <c r="B2905" s="15" t="s">
        <v>6146</v>
      </c>
      <c r="C2905" s="15" t="s">
        <v>6147</v>
      </c>
      <c r="D2905" s="15" t="s">
        <v>6148</v>
      </c>
      <c r="E2905" s="15">
        <v>13.045400000000001</v>
      </c>
      <c r="F2905" s="42">
        <v>46198</v>
      </c>
    </row>
    <row r="2906" spans="1:6" x14ac:dyDescent="0.3">
      <c r="A2906" s="15" t="s">
        <v>44691</v>
      </c>
      <c r="B2906" s="15" t="s">
        <v>6149</v>
      </c>
      <c r="C2906" s="15" t="s">
        <v>6150</v>
      </c>
      <c r="D2906" s="15" t="s">
        <v>6151</v>
      </c>
      <c r="E2906" s="15">
        <v>14.327400000000001</v>
      </c>
      <c r="F2906" s="42">
        <v>46198</v>
      </c>
    </row>
    <row r="2907" spans="1:6" x14ac:dyDescent="0.3">
      <c r="A2907" s="15" t="s">
        <v>44690</v>
      </c>
      <c r="B2907" s="15" t="s">
        <v>6152</v>
      </c>
      <c r="C2907" s="15" t="s">
        <v>6153</v>
      </c>
      <c r="D2907" s="15" t="s">
        <v>6154</v>
      </c>
      <c r="E2907" s="15">
        <v>13.739699999999999</v>
      </c>
      <c r="F2907" s="42">
        <v>46198</v>
      </c>
    </row>
    <row r="2908" spans="1:6" x14ac:dyDescent="0.3">
      <c r="A2908" s="15" t="s">
        <v>44689</v>
      </c>
      <c r="B2908" s="15" t="s">
        <v>6155</v>
      </c>
      <c r="C2908" s="15" t="s">
        <v>800</v>
      </c>
      <c r="D2908" s="15" t="s">
        <v>6156</v>
      </c>
      <c r="E2908" s="15">
        <v>11.5093</v>
      </c>
      <c r="F2908" s="42">
        <v>46198</v>
      </c>
    </row>
    <row r="2909" spans="1:6" x14ac:dyDescent="0.3">
      <c r="A2909" s="15" t="s">
        <v>44688</v>
      </c>
      <c r="B2909" s="15" t="s">
        <v>6157</v>
      </c>
      <c r="C2909" s="15" t="s">
        <v>800</v>
      </c>
      <c r="D2909" s="15" t="s">
        <v>6158</v>
      </c>
      <c r="E2909" s="15">
        <v>29.9041</v>
      </c>
      <c r="F2909" s="42">
        <v>46198</v>
      </c>
    </row>
    <row r="2910" spans="1:6" x14ac:dyDescent="0.3">
      <c r="A2910" s="15" t="s">
        <v>44687</v>
      </c>
      <c r="B2910" s="15" t="s">
        <v>6159</v>
      </c>
      <c r="C2910" s="15" t="s">
        <v>800</v>
      </c>
      <c r="D2910" s="15" t="s">
        <v>6160</v>
      </c>
      <c r="E2910" s="15">
        <v>26.678799999999999</v>
      </c>
      <c r="F2910" s="42">
        <v>46198</v>
      </c>
    </row>
    <row r="2911" spans="1:6" x14ac:dyDescent="0.3">
      <c r="A2911" s="15" t="s">
        <v>44686</v>
      </c>
      <c r="B2911" s="15" t="s">
        <v>6161</v>
      </c>
      <c r="C2911" s="15" t="s">
        <v>800</v>
      </c>
      <c r="D2911" s="15" t="s">
        <v>6162</v>
      </c>
      <c r="E2911" s="15">
        <v>92.798299999999998</v>
      </c>
      <c r="F2911" s="42">
        <v>46198</v>
      </c>
    </row>
    <row r="2912" spans="1:6" x14ac:dyDescent="0.3">
      <c r="A2912" s="15" t="s">
        <v>44685</v>
      </c>
      <c r="B2912" s="15" t="s">
        <v>6163</v>
      </c>
      <c r="C2912" s="15" t="s">
        <v>6164</v>
      </c>
      <c r="D2912" s="15" t="s">
        <v>6165</v>
      </c>
      <c r="E2912" s="15">
        <v>12.747999999999999</v>
      </c>
      <c r="F2912" s="42">
        <v>46198</v>
      </c>
    </row>
    <row r="2913" spans="1:6" x14ac:dyDescent="0.3">
      <c r="A2913" s="15" t="s">
        <v>44684</v>
      </c>
      <c r="B2913" s="15" t="s">
        <v>6166</v>
      </c>
      <c r="C2913" s="15" t="s">
        <v>6167</v>
      </c>
      <c r="D2913" s="15" t="s">
        <v>6168</v>
      </c>
      <c r="E2913" s="15">
        <v>13.243399999999999</v>
      </c>
      <c r="F2913" s="42">
        <v>46198</v>
      </c>
    </row>
    <row r="2914" spans="1:6" x14ac:dyDescent="0.3">
      <c r="A2914" s="15" t="s">
        <v>44683</v>
      </c>
      <c r="B2914" s="15" t="s">
        <v>6169</v>
      </c>
      <c r="C2914" s="15" t="s">
        <v>6170</v>
      </c>
      <c r="D2914" s="15" t="s">
        <v>6171</v>
      </c>
      <c r="E2914" s="15">
        <v>13.969799999999999</v>
      </c>
      <c r="F2914" s="42">
        <v>46198</v>
      </c>
    </row>
    <row r="2915" spans="1:6" x14ac:dyDescent="0.3">
      <c r="A2915" s="15" t="s">
        <v>44682</v>
      </c>
      <c r="B2915" s="15" t="s">
        <v>6172</v>
      </c>
      <c r="C2915" s="15" t="s">
        <v>800</v>
      </c>
      <c r="D2915" s="15" t="s">
        <v>6173</v>
      </c>
      <c r="E2915" s="15">
        <v>104.6476</v>
      </c>
      <c r="F2915" s="42">
        <v>46198</v>
      </c>
    </row>
    <row r="2916" spans="1:6" x14ac:dyDescent="0.3">
      <c r="A2916" s="15" t="s">
        <v>44681</v>
      </c>
      <c r="B2916" s="15" t="s">
        <v>6174</v>
      </c>
      <c r="C2916" s="15" t="s">
        <v>6175</v>
      </c>
      <c r="D2916" s="15" t="s">
        <v>6176</v>
      </c>
      <c r="E2916" s="15">
        <v>10.875500000000001</v>
      </c>
      <c r="F2916" s="42">
        <v>46198</v>
      </c>
    </row>
    <row r="2917" spans="1:6" x14ac:dyDescent="0.3">
      <c r="A2917" s="15" t="s">
        <v>33499</v>
      </c>
      <c r="B2917" s="15" t="s">
        <v>795</v>
      </c>
      <c r="C2917" s="15" t="s">
        <v>795</v>
      </c>
      <c r="D2917" s="15" t="s">
        <v>795</v>
      </c>
      <c r="F2917" s="42"/>
    </row>
    <row r="2918" spans="1:6" x14ac:dyDescent="0.3">
      <c r="A2918" s="15" t="s">
        <v>33636</v>
      </c>
      <c r="B2918" s="15" t="s">
        <v>795</v>
      </c>
      <c r="C2918" s="15" t="s">
        <v>795</v>
      </c>
      <c r="D2918" s="15" t="s">
        <v>795</v>
      </c>
      <c r="F2918" s="42"/>
    </row>
    <row r="2919" spans="1:6" x14ac:dyDescent="0.3">
      <c r="A2919" s="15" t="s">
        <v>33499</v>
      </c>
      <c r="B2919" s="15" t="s">
        <v>795</v>
      </c>
      <c r="C2919" s="15" t="s">
        <v>795</v>
      </c>
      <c r="D2919" s="15" t="s">
        <v>795</v>
      </c>
      <c r="F2919" s="42"/>
    </row>
    <row r="2920" spans="1:6" x14ac:dyDescent="0.3">
      <c r="A2920" s="15" t="s">
        <v>44680</v>
      </c>
      <c r="B2920" s="15" t="s">
        <v>6177</v>
      </c>
      <c r="C2920" s="15" t="s">
        <v>6178</v>
      </c>
      <c r="D2920" s="15" t="s">
        <v>6179</v>
      </c>
      <c r="E2920" s="15">
        <v>22.662400000000002</v>
      </c>
      <c r="F2920" s="42">
        <v>46198</v>
      </c>
    </row>
    <row r="2921" spans="1:6" x14ac:dyDescent="0.3">
      <c r="A2921" s="15" t="s">
        <v>44679</v>
      </c>
      <c r="B2921" s="15" t="s">
        <v>6180</v>
      </c>
      <c r="C2921" s="15" t="s">
        <v>6181</v>
      </c>
      <c r="D2921" s="15" t="s">
        <v>6182</v>
      </c>
      <c r="E2921" s="15">
        <v>23.200800000000001</v>
      </c>
      <c r="F2921" s="42">
        <v>46198</v>
      </c>
    </row>
    <row r="2922" spans="1:6" x14ac:dyDescent="0.3">
      <c r="A2922" s="15" t="s">
        <v>44678</v>
      </c>
      <c r="B2922" s="15" t="s">
        <v>6183</v>
      </c>
      <c r="C2922" s="15" t="s">
        <v>6184</v>
      </c>
      <c r="D2922" s="15" t="s">
        <v>6185</v>
      </c>
      <c r="E2922" s="15">
        <v>19.229299999999999</v>
      </c>
      <c r="F2922" s="42">
        <v>46198</v>
      </c>
    </row>
    <row r="2923" spans="1:6" x14ac:dyDescent="0.3">
      <c r="A2923" s="15" t="s">
        <v>44677</v>
      </c>
      <c r="B2923" s="15" t="s">
        <v>6186</v>
      </c>
      <c r="C2923" s="15" t="s">
        <v>6187</v>
      </c>
      <c r="D2923" s="15" t="s">
        <v>6188</v>
      </c>
      <c r="E2923" s="15">
        <v>20.703499999999998</v>
      </c>
      <c r="F2923" s="42">
        <v>46198</v>
      </c>
    </row>
    <row r="2924" spans="1:6" x14ac:dyDescent="0.3">
      <c r="A2924" s="15" t="s">
        <v>44676</v>
      </c>
      <c r="B2924" s="15" t="s">
        <v>6189</v>
      </c>
      <c r="C2924" s="15" t="s">
        <v>800</v>
      </c>
      <c r="D2924" s="15" t="s">
        <v>6190</v>
      </c>
      <c r="E2924" s="15">
        <v>48.4375</v>
      </c>
      <c r="F2924" s="42">
        <v>46198</v>
      </c>
    </row>
    <row r="2925" spans="1:6" x14ac:dyDescent="0.3">
      <c r="A2925" s="15" t="s">
        <v>44675</v>
      </c>
      <c r="B2925" s="15" t="s">
        <v>6191</v>
      </c>
      <c r="C2925" s="15" t="s">
        <v>800</v>
      </c>
      <c r="D2925" s="15" t="s">
        <v>6192</v>
      </c>
      <c r="E2925" s="15">
        <v>79.874799999999993</v>
      </c>
      <c r="F2925" s="42">
        <v>46198</v>
      </c>
    </row>
    <row r="2926" spans="1:6" x14ac:dyDescent="0.3">
      <c r="A2926" s="15" t="s">
        <v>44674</v>
      </c>
      <c r="B2926" s="15" t="s">
        <v>6193</v>
      </c>
      <c r="C2926" s="15" t="s">
        <v>800</v>
      </c>
      <c r="D2926" s="15" t="s">
        <v>6194</v>
      </c>
      <c r="E2926" s="15">
        <v>44.544800000000002</v>
      </c>
      <c r="F2926" s="42">
        <v>46198</v>
      </c>
    </row>
    <row r="2927" spans="1:6" x14ac:dyDescent="0.3">
      <c r="A2927" s="15" t="s">
        <v>44673</v>
      </c>
      <c r="B2927" s="15" t="s">
        <v>6195</v>
      </c>
      <c r="C2927" s="15" t="s">
        <v>800</v>
      </c>
      <c r="D2927" s="15" t="s">
        <v>6196</v>
      </c>
      <c r="E2927" s="15">
        <v>73.517099999999999</v>
      </c>
      <c r="F2927" s="42">
        <v>46198</v>
      </c>
    </row>
    <row r="2928" spans="1:6" x14ac:dyDescent="0.3">
      <c r="A2928" s="15" t="s">
        <v>33499</v>
      </c>
      <c r="B2928" s="15" t="s">
        <v>795</v>
      </c>
      <c r="C2928" s="15" t="s">
        <v>795</v>
      </c>
      <c r="D2928" s="15" t="s">
        <v>795</v>
      </c>
      <c r="F2928" s="42"/>
    </row>
    <row r="2929" spans="1:6" x14ac:dyDescent="0.3">
      <c r="A2929" s="15" t="s">
        <v>33519</v>
      </c>
      <c r="B2929" s="15" t="s">
        <v>795</v>
      </c>
      <c r="C2929" s="15" t="s">
        <v>795</v>
      </c>
      <c r="D2929" s="15" t="s">
        <v>795</v>
      </c>
      <c r="F2929" s="42"/>
    </row>
    <row r="2930" spans="1:6" x14ac:dyDescent="0.3">
      <c r="A2930" s="15" t="s">
        <v>33499</v>
      </c>
      <c r="B2930" s="15" t="s">
        <v>795</v>
      </c>
      <c r="C2930" s="15" t="s">
        <v>795</v>
      </c>
      <c r="D2930" s="15" t="s">
        <v>795</v>
      </c>
      <c r="F2930" s="42"/>
    </row>
    <row r="2931" spans="1:6" x14ac:dyDescent="0.3">
      <c r="A2931" s="15" t="s">
        <v>44672</v>
      </c>
      <c r="B2931" s="15" t="s">
        <v>6197</v>
      </c>
      <c r="C2931" s="15" t="s">
        <v>800</v>
      </c>
      <c r="D2931" s="15" t="s">
        <v>6198</v>
      </c>
      <c r="E2931" s="15">
        <v>72.199200000000005</v>
      </c>
      <c r="F2931" s="42">
        <v>44827</v>
      </c>
    </row>
    <row r="2932" spans="1:6" x14ac:dyDescent="0.3">
      <c r="A2932" s="15" t="s">
        <v>44671</v>
      </c>
      <c r="B2932" s="15" t="s">
        <v>6199</v>
      </c>
      <c r="C2932" s="15" t="s">
        <v>800</v>
      </c>
      <c r="D2932" s="15" t="s">
        <v>6200</v>
      </c>
      <c r="E2932" s="15">
        <v>66.614000000000004</v>
      </c>
      <c r="F2932" s="42">
        <v>44827</v>
      </c>
    </row>
    <row r="2933" spans="1:6" x14ac:dyDescent="0.3">
      <c r="A2933" s="15" t="s">
        <v>44670</v>
      </c>
      <c r="B2933" s="15" t="s">
        <v>6201</v>
      </c>
      <c r="C2933" s="15" t="s">
        <v>6202</v>
      </c>
      <c r="D2933" s="15" t="s">
        <v>6203</v>
      </c>
      <c r="E2933" s="15">
        <v>41.096200000000003</v>
      </c>
      <c r="F2933" s="42">
        <v>44827</v>
      </c>
    </row>
    <row r="2934" spans="1:6" x14ac:dyDescent="0.3">
      <c r="A2934" s="15" t="s">
        <v>44669</v>
      </c>
      <c r="B2934" s="15" t="s">
        <v>6204</v>
      </c>
      <c r="C2934" s="15" t="s">
        <v>6205</v>
      </c>
      <c r="D2934" s="15" t="s">
        <v>6206</v>
      </c>
      <c r="E2934" s="15">
        <v>38.648699999999998</v>
      </c>
      <c r="F2934" s="42">
        <v>44827</v>
      </c>
    </row>
    <row r="2935" spans="1:6" x14ac:dyDescent="0.3">
      <c r="A2935" s="15" t="s">
        <v>44668</v>
      </c>
      <c r="B2935" s="15" t="s">
        <v>6207</v>
      </c>
      <c r="C2935" s="15" t="s">
        <v>6208</v>
      </c>
      <c r="D2935" s="15" t="s">
        <v>6209</v>
      </c>
      <c r="E2935" s="15">
        <v>16.845400000000001</v>
      </c>
      <c r="F2935" s="42">
        <v>44827</v>
      </c>
    </row>
    <row r="2936" spans="1:6" x14ac:dyDescent="0.3">
      <c r="A2936" s="15" t="s">
        <v>44667</v>
      </c>
      <c r="B2936" s="15" t="s">
        <v>6210</v>
      </c>
      <c r="C2936" s="15" t="s">
        <v>6211</v>
      </c>
      <c r="D2936" s="15" t="s">
        <v>6212</v>
      </c>
      <c r="E2936" s="15">
        <v>15.3414</v>
      </c>
      <c r="F2936" s="42">
        <v>44827</v>
      </c>
    </row>
    <row r="2937" spans="1:6" x14ac:dyDescent="0.3">
      <c r="A2937" s="15" t="s">
        <v>33499</v>
      </c>
      <c r="B2937" s="15" t="s">
        <v>795</v>
      </c>
      <c r="C2937" s="15" t="s">
        <v>795</v>
      </c>
      <c r="D2937" s="15" t="s">
        <v>795</v>
      </c>
      <c r="F2937" s="42"/>
    </row>
    <row r="2938" spans="1:6" x14ac:dyDescent="0.3">
      <c r="A2938" s="15" t="s">
        <v>33500</v>
      </c>
      <c r="B2938" s="15" t="s">
        <v>795</v>
      </c>
      <c r="C2938" s="15" t="s">
        <v>795</v>
      </c>
      <c r="D2938" s="15" t="s">
        <v>795</v>
      </c>
      <c r="F2938" s="42"/>
    </row>
    <row r="2939" spans="1:6" x14ac:dyDescent="0.3">
      <c r="A2939" s="15" t="s">
        <v>33499</v>
      </c>
      <c r="B2939" s="15" t="s">
        <v>795</v>
      </c>
      <c r="C2939" s="15" t="s">
        <v>795</v>
      </c>
      <c r="D2939" s="15" t="s">
        <v>795</v>
      </c>
      <c r="F2939" s="42"/>
    </row>
    <row r="2940" spans="1:6" x14ac:dyDescent="0.3">
      <c r="A2940" s="15" t="s">
        <v>44666</v>
      </c>
      <c r="B2940" s="15" t="s">
        <v>6213</v>
      </c>
      <c r="C2940" s="15" t="s">
        <v>800</v>
      </c>
      <c r="D2940" s="15" t="s">
        <v>6214</v>
      </c>
      <c r="E2940" s="15">
        <v>13.3071</v>
      </c>
      <c r="F2940" s="42">
        <v>46198</v>
      </c>
    </row>
    <row r="2941" spans="1:6" x14ac:dyDescent="0.3">
      <c r="A2941" s="15" t="s">
        <v>44665</v>
      </c>
      <c r="B2941" s="15" t="s">
        <v>6215</v>
      </c>
      <c r="C2941" s="15" t="s">
        <v>6216</v>
      </c>
      <c r="D2941" s="15" t="s">
        <v>6217</v>
      </c>
      <c r="E2941" s="15">
        <v>16.128</v>
      </c>
      <c r="F2941" s="42">
        <v>46198</v>
      </c>
    </row>
    <row r="2942" spans="1:6" x14ac:dyDescent="0.3">
      <c r="A2942" s="15" t="s">
        <v>44664</v>
      </c>
      <c r="B2942" s="15" t="s">
        <v>6218</v>
      </c>
      <c r="C2942" s="15" t="s">
        <v>6219</v>
      </c>
      <c r="D2942" s="15" t="s">
        <v>6220</v>
      </c>
      <c r="E2942" s="15">
        <v>15.521800000000001</v>
      </c>
      <c r="F2942" s="42">
        <v>46198</v>
      </c>
    </row>
    <row r="2943" spans="1:6" x14ac:dyDescent="0.3">
      <c r="A2943" s="15" t="s">
        <v>44663</v>
      </c>
      <c r="B2943" s="15" t="s">
        <v>6221</v>
      </c>
      <c r="C2943" s="15" t="s">
        <v>6222</v>
      </c>
      <c r="D2943" s="15" t="s">
        <v>6223</v>
      </c>
      <c r="E2943" s="15">
        <v>26.161100000000001</v>
      </c>
      <c r="F2943" s="42">
        <v>46198</v>
      </c>
    </row>
    <row r="2944" spans="1:6" x14ac:dyDescent="0.3">
      <c r="A2944" s="15" t="s">
        <v>44662</v>
      </c>
      <c r="B2944" s="15" t="s">
        <v>6224</v>
      </c>
      <c r="C2944" s="15" t="s">
        <v>6225</v>
      </c>
      <c r="D2944" s="15" t="s">
        <v>6226</v>
      </c>
      <c r="E2944" s="15">
        <v>13.073499999999999</v>
      </c>
      <c r="F2944" s="42">
        <v>46198</v>
      </c>
    </row>
    <row r="2945" spans="1:6" x14ac:dyDescent="0.3">
      <c r="A2945" s="15" t="s">
        <v>44661</v>
      </c>
      <c r="B2945" s="15" t="s">
        <v>6227</v>
      </c>
      <c r="C2945" s="15" t="s">
        <v>6228</v>
      </c>
      <c r="D2945" s="15" t="s">
        <v>6229</v>
      </c>
      <c r="E2945" s="15">
        <v>14.7402</v>
      </c>
      <c r="F2945" s="42">
        <v>46198</v>
      </c>
    </row>
    <row r="2946" spans="1:6" x14ac:dyDescent="0.3">
      <c r="A2946" s="15" t="s">
        <v>44660</v>
      </c>
      <c r="B2946" s="15" t="s">
        <v>6230</v>
      </c>
      <c r="C2946" s="15" t="s">
        <v>6231</v>
      </c>
      <c r="D2946" s="15" t="s">
        <v>6232</v>
      </c>
      <c r="E2946" s="15">
        <v>14.976800000000001</v>
      </c>
      <c r="F2946" s="42">
        <v>46198</v>
      </c>
    </row>
    <row r="2947" spans="1:6" x14ac:dyDescent="0.3">
      <c r="A2947" s="15" t="s">
        <v>44659</v>
      </c>
      <c r="B2947" s="15" t="s">
        <v>6233</v>
      </c>
      <c r="C2947" s="15" t="s">
        <v>6234</v>
      </c>
      <c r="D2947" s="15" t="s">
        <v>6235</v>
      </c>
      <c r="E2947" s="15">
        <v>19.469899999999999</v>
      </c>
      <c r="F2947" s="42">
        <v>46198</v>
      </c>
    </row>
    <row r="2948" spans="1:6" x14ac:dyDescent="0.3">
      <c r="A2948" s="15" t="s">
        <v>44658</v>
      </c>
      <c r="B2948" s="15" t="s">
        <v>6236</v>
      </c>
      <c r="C2948" s="15" t="s">
        <v>800</v>
      </c>
      <c r="D2948" s="15" t="s">
        <v>6237</v>
      </c>
      <c r="E2948" s="15">
        <v>75.806700000000006</v>
      </c>
      <c r="F2948" s="42">
        <v>46198</v>
      </c>
    </row>
    <row r="2949" spans="1:6" x14ac:dyDescent="0.3">
      <c r="A2949" s="15" t="s">
        <v>44657</v>
      </c>
      <c r="B2949" s="15" t="s">
        <v>6238</v>
      </c>
      <c r="C2949" s="15" t="s">
        <v>800</v>
      </c>
      <c r="D2949" s="15" t="s">
        <v>6239</v>
      </c>
      <c r="E2949" s="15">
        <v>82.897400000000005</v>
      </c>
      <c r="F2949" s="42">
        <v>46198</v>
      </c>
    </row>
    <row r="2950" spans="1:6" x14ac:dyDescent="0.3">
      <c r="A2950" s="15" t="s">
        <v>33499</v>
      </c>
      <c r="B2950" s="15" t="s">
        <v>795</v>
      </c>
      <c r="C2950" s="15" t="s">
        <v>795</v>
      </c>
      <c r="D2950" s="15" t="s">
        <v>795</v>
      </c>
      <c r="F2950" s="42"/>
    </row>
    <row r="2951" spans="1:6" x14ac:dyDescent="0.3">
      <c r="A2951" s="15" t="s">
        <v>44656</v>
      </c>
      <c r="B2951" s="15" t="s">
        <v>795</v>
      </c>
      <c r="C2951" s="15" t="s">
        <v>795</v>
      </c>
      <c r="D2951" s="15" t="s">
        <v>795</v>
      </c>
      <c r="F2951" s="42"/>
    </row>
    <row r="2952" spans="1:6" x14ac:dyDescent="0.3">
      <c r="A2952" s="15" t="s">
        <v>33499</v>
      </c>
      <c r="B2952" s="15" t="s">
        <v>795</v>
      </c>
      <c r="C2952" s="15" t="s">
        <v>795</v>
      </c>
      <c r="D2952" s="15" t="s">
        <v>795</v>
      </c>
      <c r="F2952" s="42"/>
    </row>
    <row r="2953" spans="1:6" x14ac:dyDescent="0.3">
      <c r="A2953" s="15" t="s">
        <v>37122</v>
      </c>
      <c r="B2953" s="15" t="s">
        <v>795</v>
      </c>
      <c r="C2953" s="15" t="s">
        <v>795</v>
      </c>
      <c r="D2953" s="15" t="s">
        <v>795</v>
      </c>
      <c r="F2953" s="42"/>
    </row>
    <row r="2954" spans="1:6" x14ac:dyDescent="0.3">
      <c r="A2954" s="15" t="s">
        <v>33499</v>
      </c>
      <c r="B2954" s="15" t="s">
        <v>795</v>
      </c>
      <c r="C2954" s="15" t="s">
        <v>795</v>
      </c>
      <c r="D2954" s="15" t="s">
        <v>795</v>
      </c>
      <c r="F2954" s="42"/>
    </row>
    <row r="2955" spans="1:6" x14ac:dyDescent="0.3">
      <c r="A2955" s="15" t="s">
        <v>44655</v>
      </c>
      <c r="B2955" s="15" t="s">
        <v>800</v>
      </c>
      <c r="C2955" s="15" t="s">
        <v>6240</v>
      </c>
      <c r="D2955" s="15" t="s">
        <v>6241</v>
      </c>
      <c r="E2955" s="15">
        <v>100.02</v>
      </c>
      <c r="F2955" s="42">
        <v>46198</v>
      </c>
    </row>
    <row r="2956" spans="1:6" x14ac:dyDescent="0.3">
      <c r="A2956" s="15" t="s">
        <v>44654</v>
      </c>
      <c r="B2956" s="15" t="s">
        <v>800</v>
      </c>
      <c r="C2956" s="15" t="s">
        <v>6242</v>
      </c>
      <c r="D2956" s="15" t="s">
        <v>6243</v>
      </c>
      <c r="E2956" s="15">
        <v>100.02</v>
      </c>
      <c r="F2956" s="42">
        <v>46198</v>
      </c>
    </row>
    <row r="2957" spans="1:6" x14ac:dyDescent="0.3">
      <c r="A2957" s="15" t="s">
        <v>44653</v>
      </c>
      <c r="B2957" s="15" t="s">
        <v>6244</v>
      </c>
      <c r="C2957" s="15" t="s">
        <v>6245</v>
      </c>
      <c r="D2957" s="15" t="s">
        <v>6246</v>
      </c>
      <c r="E2957" s="15">
        <v>100.2978</v>
      </c>
      <c r="F2957" s="42">
        <v>46198</v>
      </c>
    </row>
    <row r="2958" spans="1:6" x14ac:dyDescent="0.3">
      <c r="A2958" s="15" t="s">
        <v>44652</v>
      </c>
      <c r="B2958" s="15" t="s">
        <v>6247</v>
      </c>
      <c r="C2958" s="15" t="s">
        <v>800</v>
      </c>
      <c r="D2958" s="15" t="s">
        <v>6248</v>
      </c>
      <c r="E2958" s="15">
        <v>393.45339999999999</v>
      </c>
      <c r="F2958" s="42">
        <v>46198</v>
      </c>
    </row>
    <row r="2959" spans="1:6" x14ac:dyDescent="0.3">
      <c r="A2959" s="15" t="s">
        <v>44651</v>
      </c>
      <c r="B2959" s="15" t="s">
        <v>6249</v>
      </c>
      <c r="C2959" s="15" t="s">
        <v>800</v>
      </c>
      <c r="D2959" s="15" t="s">
        <v>6250</v>
      </c>
      <c r="E2959" s="15">
        <v>399.12689999999998</v>
      </c>
      <c r="F2959" s="42">
        <v>46198</v>
      </c>
    </row>
    <row r="2960" spans="1:6" x14ac:dyDescent="0.3">
      <c r="A2960" s="15" t="s">
        <v>44650</v>
      </c>
      <c r="B2960" s="15" t="s">
        <v>800</v>
      </c>
      <c r="C2960" s="15" t="s">
        <v>6251</v>
      </c>
      <c r="D2960" s="15" t="s">
        <v>6252</v>
      </c>
      <c r="E2960" s="15">
        <v>100.015</v>
      </c>
      <c r="F2960" s="42">
        <v>46192</v>
      </c>
    </row>
    <row r="2961" spans="1:6" x14ac:dyDescent="0.3">
      <c r="A2961" s="15" t="s">
        <v>44649</v>
      </c>
      <c r="B2961" s="15" t="s">
        <v>800</v>
      </c>
      <c r="C2961" s="15" t="s">
        <v>6253</v>
      </c>
      <c r="D2961" s="15" t="s">
        <v>6254</v>
      </c>
      <c r="E2961" s="15">
        <v>100.2953</v>
      </c>
      <c r="F2961" s="42">
        <v>46198</v>
      </c>
    </row>
    <row r="2962" spans="1:6" x14ac:dyDescent="0.3">
      <c r="A2962" s="15" t="s">
        <v>33499</v>
      </c>
      <c r="B2962" s="15" t="s">
        <v>795</v>
      </c>
      <c r="C2962" s="15" t="s">
        <v>795</v>
      </c>
      <c r="D2962" s="15" t="s">
        <v>795</v>
      </c>
      <c r="F2962" s="42"/>
    </row>
    <row r="2963" spans="1:6" x14ac:dyDescent="0.3">
      <c r="A2963" s="15" t="s">
        <v>37087</v>
      </c>
      <c r="B2963" s="15" t="s">
        <v>795</v>
      </c>
      <c r="C2963" s="15" t="s">
        <v>795</v>
      </c>
      <c r="D2963" s="15" t="s">
        <v>795</v>
      </c>
      <c r="F2963" s="42"/>
    </row>
    <row r="2964" spans="1:6" x14ac:dyDescent="0.3">
      <c r="A2964" s="15" t="s">
        <v>33499</v>
      </c>
      <c r="B2964" s="15" t="s">
        <v>795</v>
      </c>
      <c r="C2964" s="15" t="s">
        <v>795</v>
      </c>
      <c r="D2964" s="15" t="s">
        <v>795</v>
      </c>
      <c r="F2964" s="42"/>
    </row>
    <row r="2965" spans="1:6" x14ac:dyDescent="0.3">
      <c r="A2965" s="15" t="s">
        <v>44648</v>
      </c>
      <c r="B2965" s="15" t="s">
        <v>6255</v>
      </c>
      <c r="C2965" s="15" t="s">
        <v>6256</v>
      </c>
      <c r="D2965" s="15" t="s">
        <v>6257</v>
      </c>
      <c r="E2965" s="15">
        <v>1303.4221</v>
      </c>
      <c r="F2965" s="42">
        <v>46198</v>
      </c>
    </row>
    <row r="2966" spans="1:6" x14ac:dyDescent="0.3">
      <c r="A2966" s="15" t="s">
        <v>44647</v>
      </c>
      <c r="B2966" s="15" t="s">
        <v>800</v>
      </c>
      <c r="C2966" s="15" t="s">
        <v>6258</v>
      </c>
      <c r="D2966" s="15" t="s">
        <v>6259</v>
      </c>
      <c r="E2966" s="15">
        <v>1005.6131</v>
      </c>
      <c r="F2966" s="42">
        <v>46198</v>
      </c>
    </row>
    <row r="2967" spans="1:6" x14ac:dyDescent="0.3">
      <c r="A2967" s="15" t="s">
        <v>44646</v>
      </c>
      <c r="B2967" s="15" t="s">
        <v>6260</v>
      </c>
      <c r="C2967" s="15" t="s">
        <v>800</v>
      </c>
      <c r="D2967" s="15" t="s">
        <v>6261</v>
      </c>
      <c r="E2967" s="15">
        <v>1538.884</v>
      </c>
      <c r="F2967" s="42">
        <v>46198</v>
      </c>
    </row>
    <row r="2968" spans="1:6" x14ac:dyDescent="0.3">
      <c r="A2968" s="15" t="s">
        <v>44645</v>
      </c>
      <c r="B2968" s="15" t="s">
        <v>6262</v>
      </c>
      <c r="C2968" s="15" t="s">
        <v>6263</v>
      </c>
      <c r="D2968" s="15" t="s">
        <v>6264</v>
      </c>
      <c r="E2968" s="15">
        <v>1008.425</v>
      </c>
      <c r="F2968" s="42">
        <v>46198</v>
      </c>
    </row>
    <row r="2969" spans="1:6" x14ac:dyDescent="0.3">
      <c r="A2969" s="15" t="s">
        <v>44644</v>
      </c>
      <c r="B2969" s="15" t="s">
        <v>6265</v>
      </c>
      <c r="C2969" s="15" t="s">
        <v>6266</v>
      </c>
      <c r="D2969" s="15" t="s">
        <v>6267</v>
      </c>
      <c r="E2969" s="15">
        <v>1202.9266</v>
      </c>
      <c r="F2969" s="42">
        <v>46198</v>
      </c>
    </row>
    <row r="2970" spans="1:6" x14ac:dyDescent="0.3">
      <c r="A2970" s="15" t="s">
        <v>44643</v>
      </c>
      <c r="B2970" s="15" t="s">
        <v>6268</v>
      </c>
      <c r="C2970" s="15" t="s">
        <v>6269</v>
      </c>
      <c r="D2970" s="15" t="s">
        <v>6270</v>
      </c>
      <c r="E2970" s="15">
        <v>1287.8539000000001</v>
      </c>
      <c r="F2970" s="42">
        <v>46198</v>
      </c>
    </row>
    <row r="2971" spans="1:6" x14ac:dyDescent="0.3">
      <c r="A2971" s="15" t="s">
        <v>44642</v>
      </c>
      <c r="B2971" s="15" t="s">
        <v>800</v>
      </c>
      <c r="C2971" s="15" t="s">
        <v>6271</v>
      </c>
      <c r="D2971" s="15" t="s">
        <v>6272</v>
      </c>
      <c r="E2971" s="15">
        <v>1005.6127</v>
      </c>
      <c r="F2971" s="42">
        <v>46198</v>
      </c>
    </row>
    <row r="2972" spans="1:6" x14ac:dyDescent="0.3">
      <c r="A2972" s="15" t="s">
        <v>44641</v>
      </c>
      <c r="B2972" s="15" t="s">
        <v>6273</v>
      </c>
      <c r="C2972" s="15" t="s">
        <v>800</v>
      </c>
      <c r="D2972" s="15" t="s">
        <v>6274</v>
      </c>
      <c r="E2972" s="15">
        <v>1522.4059</v>
      </c>
      <c r="F2972" s="42">
        <v>46198</v>
      </c>
    </row>
    <row r="2973" spans="1:6" x14ac:dyDescent="0.3">
      <c r="A2973" s="15" t="s">
        <v>44640</v>
      </c>
      <c r="B2973" s="15" t="s">
        <v>6275</v>
      </c>
      <c r="C2973" s="15" t="s">
        <v>6276</v>
      </c>
      <c r="D2973" s="15" t="s">
        <v>6277</v>
      </c>
      <c r="E2973" s="15">
        <v>1005.5636</v>
      </c>
      <c r="F2973" s="42">
        <v>46198</v>
      </c>
    </row>
    <row r="2974" spans="1:6" x14ac:dyDescent="0.3">
      <c r="A2974" s="15" t="s">
        <v>44639</v>
      </c>
      <c r="B2974" s="15" t="s">
        <v>6278</v>
      </c>
      <c r="C2974" s="15" t="s">
        <v>6279</v>
      </c>
      <c r="D2974" s="15" t="s">
        <v>6280</v>
      </c>
      <c r="E2974" s="15">
        <v>1187.335</v>
      </c>
      <c r="F2974" s="42">
        <v>46198</v>
      </c>
    </row>
    <row r="2975" spans="1:6" x14ac:dyDescent="0.3">
      <c r="A2975" s="15" t="s">
        <v>33499</v>
      </c>
      <c r="B2975" s="15" t="s">
        <v>795</v>
      </c>
      <c r="C2975" s="15" t="s">
        <v>795</v>
      </c>
      <c r="D2975" s="15" t="s">
        <v>795</v>
      </c>
      <c r="F2975" s="42"/>
    </row>
    <row r="2976" spans="1:6" x14ac:dyDescent="0.3">
      <c r="A2976" s="15" t="s">
        <v>37923</v>
      </c>
      <c r="B2976" s="15" t="s">
        <v>795</v>
      </c>
      <c r="C2976" s="15" t="s">
        <v>795</v>
      </c>
      <c r="D2976" s="15" t="s">
        <v>795</v>
      </c>
      <c r="F2976" s="42"/>
    </row>
    <row r="2977" spans="1:6" x14ac:dyDescent="0.3">
      <c r="A2977" s="15" t="s">
        <v>33499</v>
      </c>
      <c r="B2977" s="15" t="s">
        <v>795</v>
      </c>
      <c r="C2977" s="15" t="s">
        <v>795</v>
      </c>
      <c r="D2977" s="15" t="s">
        <v>795</v>
      </c>
      <c r="F2977" s="42"/>
    </row>
    <row r="2978" spans="1:6" x14ac:dyDescent="0.3">
      <c r="A2978" s="15" t="s">
        <v>44638</v>
      </c>
      <c r="B2978" s="15" t="s">
        <v>6281</v>
      </c>
      <c r="C2978" s="15" t="s">
        <v>800</v>
      </c>
      <c r="D2978" s="15" t="s">
        <v>6282</v>
      </c>
      <c r="E2978" s="15">
        <v>1236.4637</v>
      </c>
      <c r="F2978" s="42">
        <v>46198</v>
      </c>
    </row>
    <row r="2979" spans="1:6" x14ac:dyDescent="0.3">
      <c r="A2979" s="15" t="s">
        <v>44637</v>
      </c>
      <c r="B2979" s="15" t="s">
        <v>6283</v>
      </c>
      <c r="C2979" s="15" t="s">
        <v>6284</v>
      </c>
      <c r="D2979" s="15" t="s">
        <v>6285</v>
      </c>
      <c r="E2979" s="15">
        <v>1236.4637</v>
      </c>
      <c r="F2979" s="42">
        <v>46198</v>
      </c>
    </row>
    <row r="2980" spans="1:6" x14ac:dyDescent="0.3">
      <c r="A2980" s="15" t="s">
        <v>44636</v>
      </c>
      <c r="B2980" s="15" t="s">
        <v>6286</v>
      </c>
      <c r="C2980" s="15" t="s">
        <v>6287</v>
      </c>
      <c r="D2980" s="15" t="s">
        <v>6288</v>
      </c>
      <c r="E2980" s="15">
        <v>1038.8308999999999</v>
      </c>
      <c r="F2980" s="42">
        <v>46198</v>
      </c>
    </row>
    <row r="2981" spans="1:6" x14ac:dyDescent="0.3">
      <c r="A2981" s="15" t="s">
        <v>44635</v>
      </c>
      <c r="B2981" s="15" t="s">
        <v>6289</v>
      </c>
      <c r="C2981" s="15" t="s">
        <v>800</v>
      </c>
      <c r="D2981" s="15" t="s">
        <v>6290</v>
      </c>
      <c r="E2981" s="15">
        <v>1214.9908</v>
      </c>
      <c r="F2981" s="42">
        <v>46198</v>
      </c>
    </row>
    <row r="2982" spans="1:6" x14ac:dyDescent="0.3">
      <c r="A2982" s="15" t="s">
        <v>44634</v>
      </c>
      <c r="B2982" s="15" t="s">
        <v>6291</v>
      </c>
      <c r="C2982" s="15" t="s">
        <v>6292</v>
      </c>
      <c r="D2982" s="15" t="s">
        <v>6293</v>
      </c>
      <c r="E2982" s="15">
        <v>1214.9908</v>
      </c>
      <c r="F2982" s="42">
        <v>46198</v>
      </c>
    </row>
    <row r="2983" spans="1:6" x14ac:dyDescent="0.3">
      <c r="A2983" s="15" t="s">
        <v>44633</v>
      </c>
      <c r="B2983" s="15" t="s">
        <v>6294</v>
      </c>
      <c r="C2983" s="15" t="s">
        <v>6295</v>
      </c>
      <c r="D2983" s="15" t="s">
        <v>6296</v>
      </c>
      <c r="E2983" s="15">
        <v>1046.8757000000001</v>
      </c>
      <c r="F2983" s="42">
        <v>46198</v>
      </c>
    </row>
    <row r="2984" spans="1:6" x14ac:dyDescent="0.3">
      <c r="A2984" s="15" t="s">
        <v>33499</v>
      </c>
      <c r="B2984" s="15" t="s">
        <v>795</v>
      </c>
      <c r="C2984" s="15" t="s">
        <v>795</v>
      </c>
      <c r="D2984" s="15" t="s">
        <v>795</v>
      </c>
      <c r="F2984" s="42"/>
    </row>
    <row r="2985" spans="1:6" x14ac:dyDescent="0.3">
      <c r="A2985" s="15" t="s">
        <v>37073</v>
      </c>
      <c r="B2985" s="15" t="s">
        <v>795</v>
      </c>
      <c r="C2985" s="15" t="s">
        <v>795</v>
      </c>
      <c r="D2985" s="15" t="s">
        <v>795</v>
      </c>
      <c r="F2985" s="42"/>
    </row>
    <row r="2986" spans="1:6" x14ac:dyDescent="0.3">
      <c r="A2986" s="15" t="s">
        <v>33499</v>
      </c>
      <c r="B2986" s="15" t="s">
        <v>795</v>
      </c>
      <c r="C2986" s="15" t="s">
        <v>795</v>
      </c>
      <c r="D2986" s="15" t="s">
        <v>795</v>
      </c>
      <c r="F2986" s="42"/>
    </row>
    <row r="2987" spans="1:6" x14ac:dyDescent="0.3">
      <c r="A2987" s="15" t="s">
        <v>44632</v>
      </c>
      <c r="B2987" s="15" t="s">
        <v>6297</v>
      </c>
      <c r="C2987" s="15" t="s">
        <v>6298</v>
      </c>
      <c r="D2987" s="15" t="s">
        <v>6299</v>
      </c>
      <c r="E2987" s="15">
        <v>14.058</v>
      </c>
      <c r="F2987" s="42">
        <v>46198</v>
      </c>
    </row>
    <row r="2988" spans="1:6" x14ac:dyDescent="0.3">
      <c r="A2988" s="15" t="s">
        <v>44631</v>
      </c>
      <c r="B2988" s="15" t="s">
        <v>6300</v>
      </c>
      <c r="C2988" s="15" t="s">
        <v>6301</v>
      </c>
      <c r="D2988" s="15" t="s">
        <v>6302</v>
      </c>
      <c r="E2988" s="15">
        <v>10.1418</v>
      </c>
      <c r="F2988" s="42">
        <v>46198</v>
      </c>
    </row>
    <row r="2989" spans="1:6" x14ac:dyDescent="0.3">
      <c r="A2989" s="15" t="s">
        <v>44630</v>
      </c>
      <c r="B2989" s="15" t="s">
        <v>800</v>
      </c>
      <c r="C2989" s="15" t="s">
        <v>6303</v>
      </c>
      <c r="D2989" s="15" t="s">
        <v>6304</v>
      </c>
      <c r="E2989" s="15">
        <v>10.099399999999999</v>
      </c>
      <c r="F2989" s="42">
        <v>46198</v>
      </c>
    </row>
    <row r="2990" spans="1:6" x14ac:dyDescent="0.3">
      <c r="A2990" s="15" t="s">
        <v>44629</v>
      </c>
      <c r="B2990" s="15" t="s">
        <v>6305</v>
      </c>
      <c r="C2990" s="15" t="s">
        <v>800</v>
      </c>
      <c r="D2990" s="15" t="s">
        <v>6306</v>
      </c>
      <c r="E2990" s="15">
        <v>46.528100000000002</v>
      </c>
      <c r="F2990" s="42">
        <v>46198</v>
      </c>
    </row>
    <row r="2991" spans="1:6" x14ac:dyDescent="0.3">
      <c r="A2991" s="15" t="s">
        <v>44628</v>
      </c>
      <c r="B2991" s="15" t="s">
        <v>6307</v>
      </c>
      <c r="C2991" s="15" t="s">
        <v>6308</v>
      </c>
      <c r="D2991" s="15" t="s">
        <v>6309</v>
      </c>
      <c r="E2991" s="15">
        <v>10.2919</v>
      </c>
      <c r="F2991" s="42">
        <v>46198</v>
      </c>
    </row>
    <row r="2992" spans="1:6" x14ac:dyDescent="0.3">
      <c r="A2992" s="15" t="s">
        <v>44627</v>
      </c>
      <c r="B2992" s="15" t="s">
        <v>6310</v>
      </c>
      <c r="C2992" s="15" t="s">
        <v>6311</v>
      </c>
      <c r="D2992" s="15" t="s">
        <v>6312</v>
      </c>
      <c r="E2992" s="15">
        <v>17.065200000000001</v>
      </c>
      <c r="F2992" s="42">
        <v>46198</v>
      </c>
    </row>
    <row r="2993" spans="1:6" x14ac:dyDescent="0.3">
      <c r="A2993" s="15" t="s">
        <v>44626</v>
      </c>
      <c r="B2993" s="15" t="s">
        <v>800</v>
      </c>
      <c r="C2993" s="15" t="s">
        <v>6313</v>
      </c>
      <c r="D2993" s="15" t="s">
        <v>6314</v>
      </c>
      <c r="E2993" s="15">
        <v>10.1196</v>
      </c>
      <c r="F2993" s="42">
        <v>46198</v>
      </c>
    </row>
    <row r="2994" spans="1:6" x14ac:dyDescent="0.3">
      <c r="A2994" s="15" t="s">
        <v>44625</v>
      </c>
      <c r="B2994" s="15" t="s">
        <v>6315</v>
      </c>
      <c r="C2994" s="15" t="s">
        <v>6316</v>
      </c>
      <c r="D2994" s="15" t="s">
        <v>6317</v>
      </c>
      <c r="E2994" s="15">
        <v>10.099399999999999</v>
      </c>
      <c r="F2994" s="42">
        <v>46198</v>
      </c>
    </row>
    <row r="2995" spans="1:6" x14ac:dyDescent="0.3">
      <c r="A2995" s="15" t="s">
        <v>44624</v>
      </c>
      <c r="B2995" s="15" t="s">
        <v>6318</v>
      </c>
      <c r="C2995" s="15" t="s">
        <v>800</v>
      </c>
      <c r="D2995" s="15" t="s">
        <v>6319</v>
      </c>
      <c r="E2995" s="15">
        <v>42.861800000000002</v>
      </c>
      <c r="F2995" s="42">
        <v>46198</v>
      </c>
    </row>
    <row r="2996" spans="1:6" x14ac:dyDescent="0.3">
      <c r="A2996" s="15" t="s">
        <v>44623</v>
      </c>
      <c r="B2996" s="15" t="s">
        <v>6320</v>
      </c>
      <c r="C2996" s="15" t="s">
        <v>6321</v>
      </c>
      <c r="D2996" s="15" t="s">
        <v>6322</v>
      </c>
      <c r="E2996" s="15">
        <v>10.354699999999999</v>
      </c>
      <c r="F2996" s="42">
        <v>46198</v>
      </c>
    </row>
    <row r="2997" spans="1:6" x14ac:dyDescent="0.3">
      <c r="A2997" s="15" t="s">
        <v>33499</v>
      </c>
      <c r="B2997" s="15" t="s">
        <v>795</v>
      </c>
      <c r="C2997" s="15" t="s">
        <v>795</v>
      </c>
      <c r="D2997" s="15" t="s">
        <v>795</v>
      </c>
      <c r="F2997" s="42"/>
    </row>
    <row r="2998" spans="1:6" x14ac:dyDescent="0.3">
      <c r="A2998" s="15" t="s">
        <v>37447</v>
      </c>
      <c r="B2998" s="15" t="s">
        <v>795</v>
      </c>
      <c r="C2998" s="15" t="s">
        <v>795</v>
      </c>
      <c r="D2998" s="15" t="s">
        <v>795</v>
      </c>
      <c r="F2998" s="42"/>
    </row>
    <row r="2999" spans="1:6" x14ac:dyDescent="0.3">
      <c r="A2999" s="15" t="s">
        <v>33499</v>
      </c>
      <c r="B2999" s="15" t="s">
        <v>795</v>
      </c>
      <c r="C2999" s="15" t="s">
        <v>795</v>
      </c>
      <c r="D2999" s="15" t="s">
        <v>795</v>
      </c>
      <c r="F2999" s="42"/>
    </row>
    <row r="3000" spans="1:6" x14ac:dyDescent="0.3">
      <c r="A3000" s="15" t="s">
        <v>44622</v>
      </c>
      <c r="B3000" s="15" t="s">
        <v>800</v>
      </c>
      <c r="C3000" s="15" t="s">
        <v>6323</v>
      </c>
      <c r="D3000" s="15" t="s">
        <v>6324</v>
      </c>
      <c r="E3000" s="15">
        <v>10.050000000000001</v>
      </c>
      <c r="F3000" s="42">
        <v>46198</v>
      </c>
    </row>
    <row r="3001" spans="1:6" x14ac:dyDescent="0.3">
      <c r="A3001" s="15" t="s">
        <v>44621</v>
      </c>
      <c r="B3001" s="15" t="s">
        <v>6325</v>
      </c>
      <c r="C3001" s="15" t="s">
        <v>800</v>
      </c>
      <c r="D3001" s="15" t="s">
        <v>6326</v>
      </c>
      <c r="E3001" s="15">
        <v>11.0205</v>
      </c>
      <c r="F3001" s="42">
        <v>46198</v>
      </c>
    </row>
    <row r="3002" spans="1:6" x14ac:dyDescent="0.3">
      <c r="A3002" s="15" t="s">
        <v>44620</v>
      </c>
      <c r="B3002" s="15" t="s">
        <v>6327</v>
      </c>
      <c r="C3002" s="15" t="s">
        <v>6328</v>
      </c>
      <c r="D3002" s="15" t="s">
        <v>6329</v>
      </c>
      <c r="E3002" s="15">
        <v>10.1577</v>
      </c>
      <c r="F3002" s="42">
        <v>46198</v>
      </c>
    </row>
    <row r="3003" spans="1:6" x14ac:dyDescent="0.3">
      <c r="A3003" s="15" t="s">
        <v>44619</v>
      </c>
      <c r="B3003" s="15" t="s">
        <v>800</v>
      </c>
      <c r="C3003" s="15" t="s">
        <v>6330</v>
      </c>
      <c r="D3003" s="15" t="s">
        <v>6331</v>
      </c>
      <c r="E3003" s="15">
        <v>10.050000000000001</v>
      </c>
      <c r="F3003" s="42">
        <v>46198</v>
      </c>
    </row>
    <row r="3004" spans="1:6" x14ac:dyDescent="0.3">
      <c r="A3004" s="15" t="s">
        <v>44618</v>
      </c>
      <c r="B3004" s="15" t="s">
        <v>6332</v>
      </c>
      <c r="C3004" s="15" t="s">
        <v>800</v>
      </c>
      <c r="D3004" s="15" t="s">
        <v>6333</v>
      </c>
      <c r="E3004" s="15">
        <v>10.9457</v>
      </c>
      <c r="F3004" s="42">
        <v>46198</v>
      </c>
    </row>
    <row r="3005" spans="1:6" x14ac:dyDescent="0.3">
      <c r="A3005" s="15" t="s">
        <v>44617</v>
      </c>
      <c r="B3005" s="15" t="s">
        <v>6334</v>
      </c>
      <c r="C3005" s="15" t="s">
        <v>6335</v>
      </c>
      <c r="D3005" s="15" t="s">
        <v>6336</v>
      </c>
      <c r="E3005" s="15">
        <v>10.1547</v>
      </c>
      <c r="F3005" s="42">
        <v>46198</v>
      </c>
    </row>
    <row r="3006" spans="1:6" x14ac:dyDescent="0.3">
      <c r="A3006" s="15" t="s">
        <v>44616</v>
      </c>
      <c r="B3006" s="15" t="s">
        <v>800</v>
      </c>
      <c r="C3006" s="15" t="s">
        <v>6337</v>
      </c>
      <c r="D3006" s="15" t="s">
        <v>6338</v>
      </c>
      <c r="E3006" s="15">
        <v>10.067399999999999</v>
      </c>
      <c r="F3006" s="42">
        <v>46198</v>
      </c>
    </row>
    <row r="3007" spans="1:6" x14ac:dyDescent="0.3">
      <c r="A3007" s="15" t="s">
        <v>33499</v>
      </c>
      <c r="B3007" s="15" t="s">
        <v>795</v>
      </c>
      <c r="C3007" s="15" t="s">
        <v>795</v>
      </c>
      <c r="D3007" s="15" t="s">
        <v>795</v>
      </c>
      <c r="F3007" s="42"/>
    </row>
    <row r="3008" spans="1:6" x14ac:dyDescent="0.3">
      <c r="A3008" s="15" t="s">
        <v>37566</v>
      </c>
      <c r="B3008" s="15" t="s">
        <v>795</v>
      </c>
      <c r="C3008" s="15" t="s">
        <v>795</v>
      </c>
      <c r="D3008" s="15" t="s">
        <v>795</v>
      </c>
      <c r="F3008" s="42"/>
    </row>
    <row r="3009" spans="1:6" x14ac:dyDescent="0.3">
      <c r="A3009" s="15" t="s">
        <v>33499</v>
      </c>
      <c r="B3009" s="15" t="s">
        <v>795</v>
      </c>
      <c r="C3009" s="15" t="s">
        <v>795</v>
      </c>
      <c r="D3009" s="15" t="s">
        <v>795</v>
      </c>
      <c r="F3009" s="42"/>
    </row>
    <row r="3010" spans="1:6" x14ac:dyDescent="0.3">
      <c r="A3010" s="15" t="s">
        <v>44615</v>
      </c>
      <c r="B3010" s="15" t="s">
        <v>6339</v>
      </c>
      <c r="C3010" s="15" t="s">
        <v>800</v>
      </c>
      <c r="D3010" s="15" t="s">
        <v>6340</v>
      </c>
      <c r="E3010" s="15">
        <v>1037.0715</v>
      </c>
      <c r="F3010" s="42">
        <v>46198</v>
      </c>
    </row>
    <row r="3011" spans="1:6" x14ac:dyDescent="0.3">
      <c r="A3011" s="15" t="s">
        <v>44614</v>
      </c>
      <c r="B3011" s="15" t="s">
        <v>800</v>
      </c>
      <c r="C3011" s="15" t="s">
        <v>6341</v>
      </c>
      <c r="D3011" s="15" t="s">
        <v>6342</v>
      </c>
      <c r="E3011" s="15">
        <v>1000.0451</v>
      </c>
      <c r="F3011" s="42">
        <v>46198</v>
      </c>
    </row>
    <row r="3012" spans="1:6" x14ac:dyDescent="0.3">
      <c r="A3012" s="15" t="s">
        <v>44613</v>
      </c>
      <c r="B3012" s="15" t="s">
        <v>6343</v>
      </c>
      <c r="C3012" s="15" t="s">
        <v>800</v>
      </c>
      <c r="D3012" s="15" t="s">
        <v>6344</v>
      </c>
      <c r="E3012" s="15">
        <v>1017.3075</v>
      </c>
      <c r="F3012" s="42">
        <v>46198</v>
      </c>
    </row>
    <row r="3013" spans="1:6" x14ac:dyDescent="0.3">
      <c r="A3013" s="15" t="s">
        <v>44612</v>
      </c>
      <c r="B3013" s="15" t="s">
        <v>47083</v>
      </c>
      <c r="C3013" s="15" t="s">
        <v>6345</v>
      </c>
      <c r="D3013" s="15" t="s">
        <v>6346</v>
      </c>
      <c r="E3013" s="15">
        <v>1001.2981</v>
      </c>
      <c r="F3013" s="42">
        <v>46198</v>
      </c>
    </row>
    <row r="3014" spans="1:6" x14ac:dyDescent="0.3">
      <c r="A3014" s="15" t="s">
        <v>44611</v>
      </c>
      <c r="B3014" s="15" t="s">
        <v>6347</v>
      </c>
      <c r="C3014" s="15" t="s">
        <v>800</v>
      </c>
      <c r="D3014" s="15" t="s">
        <v>6348</v>
      </c>
      <c r="E3014" s="15">
        <v>1489.4976999999999</v>
      </c>
      <c r="F3014" s="42">
        <v>46198</v>
      </c>
    </row>
    <row r="3015" spans="1:6" x14ac:dyDescent="0.3">
      <c r="A3015" s="15" t="s">
        <v>44610</v>
      </c>
      <c r="B3015" s="15" t="s">
        <v>6349</v>
      </c>
      <c r="C3015" s="15" t="s">
        <v>800</v>
      </c>
      <c r="D3015" s="15" t="s">
        <v>6350</v>
      </c>
      <c r="E3015" s="15">
        <v>1465.0310999999999</v>
      </c>
      <c r="F3015" s="42">
        <v>46198</v>
      </c>
    </row>
    <row r="3016" spans="1:6" x14ac:dyDescent="0.3">
      <c r="A3016" s="15" t="s">
        <v>44609</v>
      </c>
      <c r="B3016" s="15" t="s">
        <v>800</v>
      </c>
      <c r="C3016" s="15" t="s">
        <v>6351</v>
      </c>
      <c r="D3016" s="15" t="s">
        <v>6352</v>
      </c>
      <c r="E3016" s="15">
        <v>1005.9752</v>
      </c>
      <c r="F3016" s="42">
        <v>46198</v>
      </c>
    </row>
    <row r="3017" spans="1:6" x14ac:dyDescent="0.3">
      <c r="A3017" s="15" t="s">
        <v>44608</v>
      </c>
      <c r="B3017" s="15" t="s">
        <v>47084</v>
      </c>
      <c r="C3017" s="15" t="s">
        <v>6353</v>
      </c>
      <c r="D3017" s="15" t="s">
        <v>6354</v>
      </c>
      <c r="E3017" s="15">
        <v>1001.4423</v>
      </c>
      <c r="F3017" s="42">
        <v>46198</v>
      </c>
    </row>
    <row r="3018" spans="1:6" x14ac:dyDescent="0.3">
      <c r="A3018" s="15" t="s">
        <v>33499</v>
      </c>
      <c r="B3018" s="15" t="s">
        <v>795</v>
      </c>
      <c r="C3018" s="15" t="s">
        <v>795</v>
      </c>
      <c r="D3018" s="15" t="s">
        <v>795</v>
      </c>
      <c r="F3018" s="42"/>
    </row>
    <row r="3019" spans="1:6" x14ac:dyDescent="0.3">
      <c r="A3019" s="15" t="s">
        <v>37061</v>
      </c>
      <c r="B3019" s="15" t="s">
        <v>795</v>
      </c>
      <c r="C3019" s="15" t="s">
        <v>795</v>
      </c>
      <c r="D3019" s="15" t="s">
        <v>795</v>
      </c>
      <c r="F3019" s="42"/>
    </row>
    <row r="3020" spans="1:6" x14ac:dyDescent="0.3">
      <c r="A3020" s="15" t="s">
        <v>33499</v>
      </c>
      <c r="B3020" s="15" t="s">
        <v>795</v>
      </c>
      <c r="C3020" s="15" t="s">
        <v>795</v>
      </c>
      <c r="D3020" s="15" t="s">
        <v>795</v>
      </c>
      <c r="F3020" s="42"/>
    </row>
    <row r="3021" spans="1:6" x14ac:dyDescent="0.3">
      <c r="A3021" s="15" t="s">
        <v>44607</v>
      </c>
      <c r="B3021" s="15" t="s">
        <v>800</v>
      </c>
      <c r="C3021" s="15" t="s">
        <v>6355</v>
      </c>
      <c r="D3021" s="15" t="s">
        <v>6356</v>
      </c>
      <c r="E3021" s="15">
        <v>10.152699999999999</v>
      </c>
      <c r="F3021" s="42">
        <v>46198</v>
      </c>
    </row>
    <row r="3022" spans="1:6" x14ac:dyDescent="0.3">
      <c r="A3022" s="15" t="s">
        <v>44606</v>
      </c>
      <c r="B3022" s="15" t="s">
        <v>6357</v>
      </c>
      <c r="C3022" s="15" t="s">
        <v>800</v>
      </c>
      <c r="D3022" s="15" t="s">
        <v>6358</v>
      </c>
      <c r="E3022" s="15">
        <v>57.759399999999999</v>
      </c>
      <c r="F3022" s="42">
        <v>46198</v>
      </c>
    </row>
    <row r="3023" spans="1:6" x14ac:dyDescent="0.3">
      <c r="A3023" s="15" t="s">
        <v>44605</v>
      </c>
      <c r="B3023" s="15" t="s">
        <v>6359</v>
      </c>
      <c r="C3023" s="15" t="s">
        <v>6360</v>
      </c>
      <c r="D3023" s="15" t="s">
        <v>6361</v>
      </c>
      <c r="E3023" s="15">
        <v>12.4872</v>
      </c>
      <c r="F3023" s="42">
        <v>46198</v>
      </c>
    </row>
    <row r="3024" spans="1:6" x14ac:dyDescent="0.3">
      <c r="A3024" s="15" t="s">
        <v>44604</v>
      </c>
      <c r="B3024" s="15" t="s">
        <v>6362</v>
      </c>
      <c r="C3024" s="15" t="s">
        <v>6363</v>
      </c>
      <c r="D3024" s="15" t="s">
        <v>6364</v>
      </c>
      <c r="E3024" s="15">
        <v>11.1334</v>
      </c>
      <c r="F3024" s="42">
        <v>46198</v>
      </c>
    </row>
    <row r="3025" spans="1:6" x14ac:dyDescent="0.3">
      <c r="A3025" s="15" t="s">
        <v>47156</v>
      </c>
      <c r="B3025" s="15" t="s">
        <v>47157</v>
      </c>
      <c r="C3025" s="15" t="s">
        <v>47158</v>
      </c>
      <c r="D3025" s="15" t="s">
        <v>47159</v>
      </c>
      <c r="E3025" s="15">
        <v>10.0055</v>
      </c>
      <c r="F3025" s="42">
        <v>46198</v>
      </c>
    </row>
    <row r="3026" spans="1:6" x14ac:dyDescent="0.3">
      <c r="A3026" s="15" t="s">
        <v>44603</v>
      </c>
      <c r="B3026" s="15" t="s">
        <v>6365</v>
      </c>
      <c r="C3026" s="15" t="s">
        <v>800</v>
      </c>
      <c r="D3026" s="15" t="s">
        <v>6366</v>
      </c>
      <c r="E3026" s="15">
        <v>55.9193</v>
      </c>
      <c r="F3026" s="42">
        <v>46198</v>
      </c>
    </row>
    <row r="3027" spans="1:6" x14ac:dyDescent="0.3">
      <c r="A3027" s="15" t="s">
        <v>44602</v>
      </c>
      <c r="B3027" s="15" t="s">
        <v>6367</v>
      </c>
      <c r="C3027" s="15" t="s">
        <v>6368</v>
      </c>
      <c r="D3027" s="15" t="s">
        <v>6369</v>
      </c>
      <c r="E3027" s="15">
        <v>12.4467</v>
      </c>
      <c r="F3027" s="42">
        <v>46198</v>
      </c>
    </row>
    <row r="3028" spans="1:6" x14ac:dyDescent="0.3">
      <c r="A3028" s="15" t="s">
        <v>44601</v>
      </c>
      <c r="B3028" s="15" t="s">
        <v>800</v>
      </c>
      <c r="C3028" s="15" t="s">
        <v>6370</v>
      </c>
      <c r="D3028" s="15" t="s">
        <v>6371</v>
      </c>
      <c r="E3028" s="15">
        <v>10.1021</v>
      </c>
      <c r="F3028" s="42">
        <v>46198</v>
      </c>
    </row>
    <row r="3029" spans="1:6" x14ac:dyDescent="0.3">
      <c r="A3029" s="15" t="s">
        <v>44600</v>
      </c>
      <c r="B3029" s="15" t="s">
        <v>6372</v>
      </c>
      <c r="C3029" s="15" t="s">
        <v>6373</v>
      </c>
      <c r="D3029" s="15" t="s">
        <v>6374</v>
      </c>
      <c r="E3029" s="15">
        <v>11.097200000000001</v>
      </c>
      <c r="F3029" s="42">
        <v>46198</v>
      </c>
    </row>
    <row r="3030" spans="1:6" x14ac:dyDescent="0.3">
      <c r="A3030" s="15" t="s">
        <v>33499</v>
      </c>
      <c r="B3030" s="15" t="s">
        <v>795</v>
      </c>
      <c r="C3030" s="15" t="s">
        <v>795</v>
      </c>
      <c r="D3030" s="15" t="s">
        <v>795</v>
      </c>
      <c r="F3030" s="42"/>
    </row>
    <row r="3031" spans="1:6" x14ac:dyDescent="0.3">
      <c r="A3031" s="15" t="s">
        <v>37895</v>
      </c>
      <c r="B3031" s="15" t="s">
        <v>795</v>
      </c>
      <c r="C3031" s="15" t="s">
        <v>795</v>
      </c>
      <c r="D3031" s="15" t="s">
        <v>795</v>
      </c>
      <c r="F3031" s="42"/>
    </row>
    <row r="3032" spans="1:6" x14ac:dyDescent="0.3">
      <c r="A3032" s="15" t="s">
        <v>33499</v>
      </c>
      <c r="B3032" s="15" t="s">
        <v>795</v>
      </c>
      <c r="C3032" s="15" t="s">
        <v>795</v>
      </c>
      <c r="D3032" s="15" t="s">
        <v>795</v>
      </c>
      <c r="F3032" s="42"/>
    </row>
    <row r="3033" spans="1:6" x14ac:dyDescent="0.3">
      <c r="A3033" s="15" t="s">
        <v>44599</v>
      </c>
      <c r="B3033" s="15" t="s">
        <v>6375</v>
      </c>
      <c r="C3033" s="15" t="s">
        <v>6376</v>
      </c>
      <c r="D3033" s="15" t="s">
        <v>6377</v>
      </c>
      <c r="E3033" s="15">
        <v>33.364899999999999</v>
      </c>
      <c r="F3033" s="42">
        <v>46198</v>
      </c>
    </row>
    <row r="3034" spans="1:6" x14ac:dyDescent="0.3">
      <c r="A3034" s="15" t="s">
        <v>44598</v>
      </c>
      <c r="B3034" s="15" t="s">
        <v>6378</v>
      </c>
      <c r="C3034" s="15" t="s">
        <v>800</v>
      </c>
      <c r="D3034" s="15" t="s">
        <v>6379</v>
      </c>
      <c r="E3034" s="15">
        <v>33.372399999999999</v>
      </c>
      <c r="F3034" s="42">
        <v>46198</v>
      </c>
    </row>
    <row r="3035" spans="1:6" x14ac:dyDescent="0.3">
      <c r="A3035" s="15" t="s">
        <v>44597</v>
      </c>
      <c r="B3035" s="15" t="s">
        <v>6380</v>
      </c>
      <c r="C3035" s="15" t="s">
        <v>6381</v>
      </c>
      <c r="D3035" s="15" t="s">
        <v>6382</v>
      </c>
      <c r="E3035" s="15">
        <v>31.123799999999999</v>
      </c>
      <c r="F3035" s="42">
        <v>46198</v>
      </c>
    </row>
    <row r="3036" spans="1:6" x14ac:dyDescent="0.3">
      <c r="A3036" s="15" t="s">
        <v>44596</v>
      </c>
      <c r="B3036" s="15" t="s">
        <v>6383</v>
      </c>
      <c r="C3036" s="15" t="s">
        <v>800</v>
      </c>
      <c r="D3036" s="15" t="s">
        <v>6384</v>
      </c>
      <c r="E3036" s="15">
        <v>25.748100000000001</v>
      </c>
      <c r="F3036" s="42">
        <v>46198</v>
      </c>
    </row>
    <row r="3037" spans="1:6" x14ac:dyDescent="0.3">
      <c r="A3037" s="15" t="s">
        <v>44595</v>
      </c>
      <c r="B3037" s="15" t="s">
        <v>6385</v>
      </c>
      <c r="C3037" s="15" t="s">
        <v>6386</v>
      </c>
      <c r="D3037" s="15" t="s">
        <v>6387</v>
      </c>
      <c r="E3037" s="15">
        <v>29.841100000000001</v>
      </c>
      <c r="F3037" s="42">
        <v>46198</v>
      </c>
    </row>
    <row r="3038" spans="1:6" x14ac:dyDescent="0.3">
      <c r="A3038" s="15" t="s">
        <v>44594</v>
      </c>
      <c r="B3038" s="15" t="s">
        <v>6388</v>
      </c>
      <c r="C3038" s="15" t="s">
        <v>800</v>
      </c>
      <c r="D3038" s="15" t="s">
        <v>6389</v>
      </c>
      <c r="E3038" s="15">
        <v>30.088799999999999</v>
      </c>
      <c r="F3038" s="42">
        <v>46198</v>
      </c>
    </row>
    <row r="3039" spans="1:6" x14ac:dyDescent="0.3">
      <c r="A3039" s="15" t="s">
        <v>44593</v>
      </c>
      <c r="B3039" s="15" t="s">
        <v>6390</v>
      </c>
      <c r="C3039" s="15" t="s">
        <v>6391</v>
      </c>
      <c r="D3039" s="15" t="s">
        <v>6392</v>
      </c>
      <c r="E3039" s="15">
        <v>28.305399999999999</v>
      </c>
      <c r="F3039" s="42">
        <v>46198</v>
      </c>
    </row>
    <row r="3040" spans="1:6" x14ac:dyDescent="0.3">
      <c r="A3040" s="15" t="s">
        <v>33499</v>
      </c>
      <c r="B3040" s="15" t="s">
        <v>795</v>
      </c>
      <c r="C3040" s="15" t="s">
        <v>795</v>
      </c>
      <c r="D3040" s="15" t="s">
        <v>795</v>
      </c>
      <c r="F3040" s="42"/>
    </row>
    <row r="3041" spans="1:6" x14ac:dyDescent="0.3">
      <c r="A3041" s="15" t="s">
        <v>37044</v>
      </c>
      <c r="B3041" s="15" t="s">
        <v>795</v>
      </c>
      <c r="C3041" s="15" t="s">
        <v>795</v>
      </c>
      <c r="D3041" s="15" t="s">
        <v>795</v>
      </c>
      <c r="F3041" s="42"/>
    </row>
    <row r="3042" spans="1:6" x14ac:dyDescent="0.3">
      <c r="A3042" s="15" t="s">
        <v>33499</v>
      </c>
      <c r="B3042" s="15" t="s">
        <v>795</v>
      </c>
      <c r="C3042" s="15" t="s">
        <v>795</v>
      </c>
      <c r="D3042" s="15" t="s">
        <v>795</v>
      </c>
      <c r="F3042" s="42"/>
    </row>
    <row r="3043" spans="1:6" x14ac:dyDescent="0.3">
      <c r="A3043" s="15" t="s">
        <v>44592</v>
      </c>
      <c r="B3043" s="15" t="s">
        <v>6393</v>
      </c>
      <c r="C3043" s="15" t="s">
        <v>800</v>
      </c>
      <c r="D3043" s="15" t="s">
        <v>6394</v>
      </c>
      <c r="E3043" s="15">
        <v>55.194200000000002</v>
      </c>
      <c r="F3043" s="42">
        <v>46198</v>
      </c>
    </row>
    <row r="3044" spans="1:6" x14ac:dyDescent="0.3">
      <c r="A3044" s="15" t="s">
        <v>44591</v>
      </c>
      <c r="B3044" s="15" t="s">
        <v>6395</v>
      </c>
      <c r="C3044" s="15" t="s">
        <v>6396</v>
      </c>
      <c r="D3044" s="15" t="s">
        <v>6397</v>
      </c>
      <c r="E3044" s="15">
        <v>10.1058</v>
      </c>
      <c r="F3044" s="42">
        <v>46198</v>
      </c>
    </row>
    <row r="3045" spans="1:6" x14ac:dyDescent="0.3">
      <c r="A3045" s="15" t="s">
        <v>44590</v>
      </c>
      <c r="B3045" s="15" t="s">
        <v>6398</v>
      </c>
      <c r="C3045" s="15" t="s">
        <v>800</v>
      </c>
      <c r="D3045" s="15" t="s">
        <v>6399</v>
      </c>
      <c r="E3045" s="15">
        <v>53.3386</v>
      </c>
      <c r="F3045" s="42">
        <v>46198</v>
      </c>
    </row>
    <row r="3046" spans="1:6" x14ac:dyDescent="0.3">
      <c r="A3046" s="15" t="s">
        <v>44589</v>
      </c>
      <c r="B3046" s="15" t="s">
        <v>6400</v>
      </c>
      <c r="C3046" s="15" t="s">
        <v>6401</v>
      </c>
      <c r="D3046" s="15" t="s">
        <v>6402</v>
      </c>
      <c r="E3046" s="15">
        <v>0</v>
      </c>
      <c r="F3046" s="42">
        <v>44000</v>
      </c>
    </row>
    <row r="3047" spans="1:6" x14ac:dyDescent="0.3">
      <c r="A3047" s="15" t="s">
        <v>44588</v>
      </c>
      <c r="B3047" s="15" t="s">
        <v>6403</v>
      </c>
      <c r="C3047" s="15" t="s">
        <v>800</v>
      </c>
      <c r="D3047" s="15" t="s">
        <v>6404</v>
      </c>
      <c r="E3047" s="15">
        <v>0</v>
      </c>
      <c r="F3047" s="42">
        <v>42254</v>
      </c>
    </row>
    <row r="3048" spans="1:6" x14ac:dyDescent="0.3">
      <c r="A3048" s="15" t="s">
        <v>44587</v>
      </c>
      <c r="B3048" s="15" t="s">
        <v>800</v>
      </c>
      <c r="C3048" s="15" t="s">
        <v>6405</v>
      </c>
      <c r="D3048" s="15" t="s">
        <v>6406</v>
      </c>
      <c r="E3048" s="15">
        <v>10.0486</v>
      </c>
      <c r="F3048" s="42">
        <v>46198</v>
      </c>
    </row>
    <row r="3049" spans="1:6" x14ac:dyDescent="0.3">
      <c r="A3049" s="15" t="s">
        <v>44586</v>
      </c>
      <c r="B3049" s="15" t="s">
        <v>800</v>
      </c>
      <c r="C3049" s="15" t="s">
        <v>6407</v>
      </c>
      <c r="D3049" s="15" t="s">
        <v>6408</v>
      </c>
      <c r="E3049" s="15">
        <v>10.060700000000001</v>
      </c>
      <c r="F3049" s="42">
        <v>46198</v>
      </c>
    </row>
    <row r="3050" spans="1:6" x14ac:dyDescent="0.3">
      <c r="A3050" s="15" t="s">
        <v>44585</v>
      </c>
      <c r="B3050" s="15" t="s">
        <v>6409</v>
      </c>
      <c r="C3050" s="15" t="s">
        <v>6410</v>
      </c>
      <c r="D3050" s="15" t="s">
        <v>6411</v>
      </c>
      <c r="E3050" s="15">
        <v>10.8543</v>
      </c>
      <c r="F3050" s="42">
        <v>46198</v>
      </c>
    </row>
    <row r="3051" spans="1:6" x14ac:dyDescent="0.3">
      <c r="A3051" s="15" t="s">
        <v>44584</v>
      </c>
      <c r="B3051" s="15" t="s">
        <v>6412</v>
      </c>
      <c r="C3051" s="15" t="s">
        <v>6413</v>
      </c>
      <c r="D3051" s="15" t="s">
        <v>6414</v>
      </c>
      <c r="E3051" s="15">
        <v>11.6309</v>
      </c>
      <c r="F3051" s="42">
        <v>46198</v>
      </c>
    </row>
    <row r="3052" spans="1:6" x14ac:dyDescent="0.3">
      <c r="A3052" s="15" t="s">
        <v>44583</v>
      </c>
      <c r="B3052" s="15" t="s">
        <v>6415</v>
      </c>
      <c r="C3052" s="15" t="s">
        <v>6416</v>
      </c>
      <c r="D3052" s="15" t="s">
        <v>6417</v>
      </c>
      <c r="E3052" s="15">
        <v>10.460100000000001</v>
      </c>
      <c r="F3052" s="42">
        <v>46198</v>
      </c>
    </row>
    <row r="3053" spans="1:6" x14ac:dyDescent="0.3">
      <c r="A3053" s="15" t="s">
        <v>44582</v>
      </c>
      <c r="B3053" s="15" t="s">
        <v>6418</v>
      </c>
      <c r="C3053" s="15" t="s">
        <v>6419</v>
      </c>
      <c r="D3053" s="15" t="s">
        <v>6420</v>
      </c>
      <c r="E3053" s="15">
        <v>11.103400000000001</v>
      </c>
      <c r="F3053" s="42">
        <v>46198</v>
      </c>
    </row>
    <row r="3054" spans="1:6" x14ac:dyDescent="0.3">
      <c r="A3054" s="15" t="s">
        <v>44581</v>
      </c>
      <c r="B3054" s="15" t="s">
        <v>6421</v>
      </c>
      <c r="C3054" s="15" t="s">
        <v>6422</v>
      </c>
      <c r="D3054" s="15" t="s">
        <v>6423</v>
      </c>
      <c r="E3054" s="15">
        <v>10.0946</v>
      </c>
      <c r="F3054" s="42">
        <v>46198</v>
      </c>
    </row>
    <row r="3055" spans="1:6" x14ac:dyDescent="0.3">
      <c r="A3055" s="15" t="s">
        <v>33499</v>
      </c>
      <c r="B3055" s="15" t="s">
        <v>795</v>
      </c>
      <c r="C3055" s="15" t="s">
        <v>795</v>
      </c>
      <c r="D3055" s="15" t="s">
        <v>795</v>
      </c>
      <c r="F3055" s="42"/>
    </row>
    <row r="3056" spans="1:6" x14ac:dyDescent="0.3">
      <c r="A3056" s="15" t="s">
        <v>37881</v>
      </c>
      <c r="B3056" s="15" t="s">
        <v>795</v>
      </c>
      <c r="C3056" s="15" t="s">
        <v>795</v>
      </c>
      <c r="D3056" s="15" t="s">
        <v>795</v>
      </c>
      <c r="F3056" s="42"/>
    </row>
    <row r="3057" spans="1:6" x14ac:dyDescent="0.3">
      <c r="A3057" s="15" t="s">
        <v>33499</v>
      </c>
      <c r="B3057" s="15" t="s">
        <v>795</v>
      </c>
      <c r="C3057" s="15" t="s">
        <v>795</v>
      </c>
      <c r="D3057" s="15" t="s">
        <v>795</v>
      </c>
      <c r="F3057" s="42"/>
    </row>
    <row r="3058" spans="1:6" x14ac:dyDescent="0.3">
      <c r="A3058" s="15" t="s">
        <v>44580</v>
      </c>
      <c r="B3058" s="15" t="s">
        <v>6424</v>
      </c>
      <c r="C3058" s="15" t="s">
        <v>800</v>
      </c>
      <c r="D3058" s="15" t="s">
        <v>6425</v>
      </c>
      <c r="E3058" s="15">
        <v>10.337300000000001</v>
      </c>
      <c r="F3058" s="42">
        <v>46198</v>
      </c>
    </row>
    <row r="3059" spans="1:6" x14ac:dyDescent="0.3">
      <c r="A3059" s="15" t="s">
        <v>44579</v>
      </c>
      <c r="B3059" s="15" t="s">
        <v>6426</v>
      </c>
      <c r="C3059" s="15" t="s">
        <v>6427</v>
      </c>
      <c r="D3059" s="15" t="s">
        <v>6428</v>
      </c>
      <c r="E3059" s="15">
        <v>10.3371</v>
      </c>
      <c r="F3059" s="42">
        <v>46198</v>
      </c>
    </row>
    <row r="3060" spans="1:6" x14ac:dyDescent="0.3">
      <c r="A3060" s="15" t="s">
        <v>44578</v>
      </c>
      <c r="B3060" s="15" t="s">
        <v>6429</v>
      </c>
      <c r="C3060" s="15" t="s">
        <v>800</v>
      </c>
      <c r="D3060" s="15" t="s">
        <v>6430</v>
      </c>
      <c r="E3060" s="15">
        <v>10.3017</v>
      </c>
      <c r="F3060" s="42">
        <v>46198</v>
      </c>
    </row>
    <row r="3061" spans="1:6" x14ac:dyDescent="0.3">
      <c r="A3061" s="15" t="s">
        <v>44577</v>
      </c>
      <c r="B3061" s="15" t="s">
        <v>6431</v>
      </c>
      <c r="C3061" s="15" t="s">
        <v>6432</v>
      </c>
      <c r="D3061" s="15" t="s">
        <v>6433</v>
      </c>
      <c r="E3061" s="15">
        <v>10.3019</v>
      </c>
      <c r="F3061" s="42">
        <v>46198</v>
      </c>
    </row>
    <row r="3062" spans="1:6" x14ac:dyDescent="0.3">
      <c r="A3062" s="15" t="s">
        <v>33499</v>
      </c>
      <c r="B3062" s="15" t="s">
        <v>795</v>
      </c>
      <c r="C3062" s="15" t="s">
        <v>795</v>
      </c>
      <c r="D3062" s="15" t="s">
        <v>795</v>
      </c>
      <c r="F3062" s="42"/>
    </row>
    <row r="3063" spans="1:6" x14ac:dyDescent="0.3">
      <c r="A3063" s="15" t="s">
        <v>37043</v>
      </c>
      <c r="B3063" s="15" t="s">
        <v>795</v>
      </c>
      <c r="C3063" s="15" t="s">
        <v>795</v>
      </c>
      <c r="D3063" s="15" t="s">
        <v>795</v>
      </c>
      <c r="F3063" s="42"/>
    </row>
    <row r="3064" spans="1:6" x14ac:dyDescent="0.3">
      <c r="A3064" s="15" t="s">
        <v>33499</v>
      </c>
      <c r="B3064" s="15" t="s">
        <v>795</v>
      </c>
      <c r="C3064" s="15" t="s">
        <v>795</v>
      </c>
      <c r="D3064" s="15" t="s">
        <v>795</v>
      </c>
      <c r="F3064" s="42"/>
    </row>
    <row r="3065" spans="1:6" x14ac:dyDescent="0.3">
      <c r="A3065" s="15" t="s">
        <v>44576</v>
      </c>
      <c r="B3065" s="15" t="s">
        <v>800</v>
      </c>
      <c r="C3065" s="15" t="s">
        <v>6434</v>
      </c>
      <c r="D3065" s="15" t="s">
        <v>6435</v>
      </c>
      <c r="E3065" s="15">
        <v>1063.6400000000001</v>
      </c>
      <c r="F3065" s="42">
        <v>46198</v>
      </c>
    </row>
    <row r="3066" spans="1:6" x14ac:dyDescent="0.3">
      <c r="A3066" s="15" t="s">
        <v>44575</v>
      </c>
      <c r="B3066" s="15" t="s">
        <v>800</v>
      </c>
      <c r="C3066" s="15" t="s">
        <v>6436</v>
      </c>
      <c r="D3066" s="15" t="s">
        <v>6437</v>
      </c>
      <c r="E3066" s="15">
        <v>1063.6400000000001</v>
      </c>
      <c r="F3066" s="42">
        <v>46198</v>
      </c>
    </row>
    <row r="3067" spans="1:6" x14ac:dyDescent="0.3">
      <c r="A3067" s="15" t="s">
        <v>44574</v>
      </c>
      <c r="B3067" s="15" t="s">
        <v>6438</v>
      </c>
      <c r="C3067" s="15" t="s">
        <v>800</v>
      </c>
      <c r="D3067" s="15" t="s">
        <v>6439</v>
      </c>
      <c r="E3067" s="15">
        <v>6077.4165000000003</v>
      </c>
      <c r="F3067" s="42">
        <v>46198</v>
      </c>
    </row>
    <row r="3068" spans="1:6" x14ac:dyDescent="0.3">
      <c r="A3068" s="15" t="s">
        <v>44573</v>
      </c>
      <c r="B3068" s="15" t="s">
        <v>6440</v>
      </c>
      <c r="C3068" s="15" t="s">
        <v>800</v>
      </c>
      <c r="D3068" s="15" t="s">
        <v>6441</v>
      </c>
      <c r="E3068" s="15">
        <v>6209.1907000000001</v>
      </c>
      <c r="F3068" s="42">
        <v>46198</v>
      </c>
    </row>
    <row r="3069" spans="1:6" x14ac:dyDescent="0.3">
      <c r="A3069" s="15" t="s">
        <v>44572</v>
      </c>
      <c r="B3069" s="15" t="s">
        <v>6442</v>
      </c>
      <c r="C3069" s="15" t="s">
        <v>6443</v>
      </c>
      <c r="D3069" s="15" t="s">
        <v>6444</v>
      </c>
      <c r="E3069" s="15">
        <v>1064.1169</v>
      </c>
      <c r="F3069" s="42">
        <v>46198</v>
      </c>
    </row>
    <row r="3070" spans="1:6" x14ac:dyDescent="0.3">
      <c r="A3070" s="15" t="s">
        <v>44571</v>
      </c>
      <c r="B3070" s="15" t="s">
        <v>6445</v>
      </c>
      <c r="C3070" s="15" t="s">
        <v>6446</v>
      </c>
      <c r="D3070" s="15" t="s">
        <v>6447</v>
      </c>
      <c r="E3070" s="15">
        <v>1064.1334999999999</v>
      </c>
      <c r="F3070" s="42">
        <v>46198</v>
      </c>
    </row>
    <row r="3071" spans="1:6" x14ac:dyDescent="0.3">
      <c r="A3071" s="15" t="s">
        <v>33499</v>
      </c>
      <c r="B3071" s="15" t="s">
        <v>795</v>
      </c>
      <c r="C3071" s="15" t="s">
        <v>795</v>
      </c>
      <c r="D3071" s="15" t="s">
        <v>795</v>
      </c>
      <c r="F3071" s="42"/>
    </row>
    <row r="3072" spans="1:6" x14ac:dyDescent="0.3">
      <c r="A3072" s="15" t="s">
        <v>36815</v>
      </c>
      <c r="B3072" s="15" t="s">
        <v>795</v>
      </c>
      <c r="C3072" s="15" t="s">
        <v>795</v>
      </c>
      <c r="D3072" s="15" t="s">
        <v>795</v>
      </c>
      <c r="F3072" s="42"/>
    </row>
    <row r="3073" spans="1:6" x14ac:dyDescent="0.3">
      <c r="A3073" s="15" t="s">
        <v>33499</v>
      </c>
      <c r="B3073" s="15" t="s">
        <v>795</v>
      </c>
      <c r="C3073" s="15" t="s">
        <v>795</v>
      </c>
      <c r="D3073" s="15" t="s">
        <v>795</v>
      </c>
      <c r="F3073" s="42"/>
    </row>
    <row r="3074" spans="1:6" x14ac:dyDescent="0.3">
      <c r="A3074" s="15" t="s">
        <v>44570</v>
      </c>
      <c r="B3074" s="15" t="s">
        <v>800</v>
      </c>
      <c r="C3074" s="15" t="s">
        <v>6448</v>
      </c>
      <c r="D3074" s="15" t="s">
        <v>6449</v>
      </c>
      <c r="E3074" s="15">
        <v>10.8591</v>
      </c>
      <c r="F3074" s="42">
        <v>46198</v>
      </c>
    </row>
    <row r="3075" spans="1:6" x14ac:dyDescent="0.3">
      <c r="A3075" s="15" t="s">
        <v>44569</v>
      </c>
      <c r="B3075" s="15" t="s">
        <v>6450</v>
      </c>
      <c r="C3075" s="15" t="s">
        <v>800</v>
      </c>
      <c r="D3075" s="15" t="s">
        <v>6451</v>
      </c>
      <c r="E3075" s="15">
        <v>29.464500000000001</v>
      </c>
      <c r="F3075" s="42">
        <v>46198</v>
      </c>
    </row>
    <row r="3076" spans="1:6" x14ac:dyDescent="0.3">
      <c r="A3076" s="15" t="s">
        <v>44568</v>
      </c>
      <c r="B3076" s="15" t="s">
        <v>6452</v>
      </c>
      <c r="C3076" s="15" t="s">
        <v>6453</v>
      </c>
      <c r="D3076" s="15" t="s">
        <v>6454</v>
      </c>
      <c r="E3076" s="15">
        <v>12.319100000000001</v>
      </c>
      <c r="F3076" s="42">
        <v>46198</v>
      </c>
    </row>
    <row r="3077" spans="1:6" x14ac:dyDescent="0.3">
      <c r="A3077" s="15" t="s">
        <v>44567</v>
      </c>
      <c r="B3077" s="15" t="s">
        <v>800</v>
      </c>
      <c r="C3077" s="15" t="s">
        <v>6455</v>
      </c>
      <c r="D3077" s="15" t="s">
        <v>6456</v>
      </c>
      <c r="E3077" s="15">
        <v>13.1972</v>
      </c>
      <c r="F3077" s="42">
        <v>46198</v>
      </c>
    </row>
    <row r="3078" spans="1:6" x14ac:dyDescent="0.3">
      <c r="A3078" s="15" t="s">
        <v>44566</v>
      </c>
      <c r="B3078" s="15" t="s">
        <v>800</v>
      </c>
      <c r="C3078" s="15" t="s">
        <v>6457</v>
      </c>
      <c r="D3078" s="15" t="s">
        <v>6458</v>
      </c>
      <c r="E3078" s="15">
        <v>10.8591</v>
      </c>
      <c r="F3078" s="42">
        <v>46198</v>
      </c>
    </row>
    <row r="3079" spans="1:6" x14ac:dyDescent="0.3">
      <c r="A3079" s="15" t="s">
        <v>44565</v>
      </c>
      <c r="B3079" s="15" t="s">
        <v>6459</v>
      </c>
      <c r="C3079" s="15" t="s">
        <v>800</v>
      </c>
      <c r="D3079" s="15" t="s">
        <v>6460</v>
      </c>
      <c r="E3079" s="15">
        <v>28.041499999999999</v>
      </c>
      <c r="F3079" s="42">
        <v>46198</v>
      </c>
    </row>
    <row r="3080" spans="1:6" x14ac:dyDescent="0.3">
      <c r="A3080" s="15" t="s">
        <v>44564</v>
      </c>
      <c r="B3080" s="15" t="s">
        <v>6461</v>
      </c>
      <c r="C3080" s="15" t="s">
        <v>6462</v>
      </c>
      <c r="D3080" s="15" t="s">
        <v>6463</v>
      </c>
      <c r="E3080" s="15">
        <v>11.6608</v>
      </c>
      <c r="F3080" s="42">
        <v>46198</v>
      </c>
    </row>
    <row r="3081" spans="1:6" x14ac:dyDescent="0.3">
      <c r="A3081" s="15" t="s">
        <v>44563</v>
      </c>
      <c r="B3081" s="15" t="s">
        <v>800</v>
      </c>
      <c r="C3081" s="15" t="s">
        <v>6464</v>
      </c>
      <c r="D3081" s="15" t="s">
        <v>6465</v>
      </c>
      <c r="E3081" s="15">
        <v>13.110099999999999</v>
      </c>
      <c r="F3081" s="42">
        <v>46198</v>
      </c>
    </row>
    <row r="3082" spans="1:6" x14ac:dyDescent="0.3">
      <c r="A3082" s="15" t="s">
        <v>33499</v>
      </c>
      <c r="B3082" s="15" t="s">
        <v>795</v>
      </c>
      <c r="C3082" s="15" t="s">
        <v>795</v>
      </c>
      <c r="D3082" s="15" t="s">
        <v>795</v>
      </c>
      <c r="F3082" s="42"/>
    </row>
    <row r="3083" spans="1:6" x14ac:dyDescent="0.3">
      <c r="A3083" s="15" t="s">
        <v>36764</v>
      </c>
      <c r="B3083" s="15" t="s">
        <v>795</v>
      </c>
      <c r="C3083" s="15" t="s">
        <v>795</v>
      </c>
      <c r="D3083" s="15" t="s">
        <v>795</v>
      </c>
      <c r="F3083" s="42"/>
    </row>
    <row r="3084" spans="1:6" x14ac:dyDescent="0.3">
      <c r="A3084" s="15" t="s">
        <v>33499</v>
      </c>
      <c r="B3084" s="15" t="s">
        <v>795</v>
      </c>
      <c r="C3084" s="15" t="s">
        <v>795</v>
      </c>
      <c r="D3084" s="15" t="s">
        <v>795</v>
      </c>
      <c r="F3084" s="42"/>
    </row>
    <row r="3085" spans="1:6" x14ac:dyDescent="0.3">
      <c r="A3085" s="15" t="s">
        <v>44562</v>
      </c>
      <c r="B3085" s="15" t="s">
        <v>6466</v>
      </c>
      <c r="C3085" s="15" t="s">
        <v>800</v>
      </c>
      <c r="D3085" s="15" t="s">
        <v>6467</v>
      </c>
      <c r="E3085" s="15">
        <v>151.2089</v>
      </c>
      <c r="F3085" s="42">
        <v>43945</v>
      </c>
    </row>
    <row r="3086" spans="1:6" x14ac:dyDescent="0.3">
      <c r="A3086" s="15" t="s">
        <v>44561</v>
      </c>
      <c r="B3086" s="15" t="s">
        <v>6468</v>
      </c>
      <c r="C3086" s="15" t="s">
        <v>800</v>
      </c>
      <c r="D3086" s="15" t="s">
        <v>6469</v>
      </c>
      <c r="E3086" s="15">
        <v>118.0134</v>
      </c>
      <c r="F3086" s="42">
        <v>42695</v>
      </c>
    </row>
    <row r="3087" spans="1:6" x14ac:dyDescent="0.3">
      <c r="A3087" s="15" t="s">
        <v>44560</v>
      </c>
      <c r="B3087" s="15" t="s">
        <v>6470</v>
      </c>
      <c r="C3087" s="15" t="s">
        <v>800</v>
      </c>
      <c r="D3087" s="15" t="s">
        <v>6471</v>
      </c>
      <c r="E3087" s="15">
        <v>100.09520000000001</v>
      </c>
      <c r="F3087" s="42">
        <v>43945</v>
      </c>
    </row>
    <row r="3088" spans="1:6" x14ac:dyDescent="0.3">
      <c r="A3088" s="15" t="s">
        <v>44559</v>
      </c>
      <c r="B3088" s="15" t="s">
        <v>800</v>
      </c>
      <c r="C3088" s="15" t="s">
        <v>6472</v>
      </c>
      <c r="D3088" s="15" t="s">
        <v>6473</v>
      </c>
      <c r="E3088" s="15">
        <v>100.1435</v>
      </c>
      <c r="F3088" s="42">
        <v>46198</v>
      </c>
    </row>
    <row r="3089" spans="1:6" x14ac:dyDescent="0.3">
      <c r="A3089" s="15" t="s">
        <v>44558</v>
      </c>
      <c r="B3089" s="15" t="s">
        <v>6474</v>
      </c>
      <c r="C3089" s="15" t="s">
        <v>800</v>
      </c>
      <c r="D3089" s="15" t="s">
        <v>6475</v>
      </c>
      <c r="E3089" s="15">
        <v>101.3351</v>
      </c>
      <c r="F3089" s="42">
        <v>44820</v>
      </c>
    </row>
    <row r="3090" spans="1:6" x14ac:dyDescent="0.3">
      <c r="A3090" s="15" t="s">
        <v>44557</v>
      </c>
      <c r="B3090" s="15" t="s">
        <v>6476</v>
      </c>
      <c r="C3090" s="15" t="s">
        <v>800</v>
      </c>
      <c r="D3090" s="15" t="s">
        <v>6477</v>
      </c>
      <c r="E3090" s="15">
        <v>408.9923</v>
      </c>
      <c r="F3090" s="42">
        <v>46198</v>
      </c>
    </row>
    <row r="3091" spans="1:6" x14ac:dyDescent="0.3">
      <c r="A3091" s="15" t="s">
        <v>44556</v>
      </c>
      <c r="B3091" s="15" t="s">
        <v>6478</v>
      </c>
      <c r="C3091" s="15" t="s">
        <v>800</v>
      </c>
      <c r="D3091" s="15" t="s">
        <v>6479</v>
      </c>
      <c r="E3091" s="15">
        <v>187.3982</v>
      </c>
      <c r="F3091" s="42">
        <v>46198</v>
      </c>
    </row>
    <row r="3092" spans="1:6" x14ac:dyDescent="0.3">
      <c r="A3092" s="15" t="s">
        <v>44555</v>
      </c>
      <c r="B3092" s="15" t="s">
        <v>6480</v>
      </c>
      <c r="C3092" s="15" t="s">
        <v>6481</v>
      </c>
      <c r="D3092" s="15" t="s">
        <v>6482</v>
      </c>
      <c r="E3092" s="15">
        <v>101.04559999999999</v>
      </c>
      <c r="F3092" s="42">
        <v>44820</v>
      </c>
    </row>
    <row r="3093" spans="1:6" x14ac:dyDescent="0.3">
      <c r="A3093" s="15" t="s">
        <v>44554</v>
      </c>
      <c r="B3093" s="15" t="s">
        <v>6483</v>
      </c>
      <c r="C3093" s="15" t="s">
        <v>800</v>
      </c>
      <c r="D3093" s="15" t="s">
        <v>6484</v>
      </c>
      <c r="E3093" s="15">
        <v>100.9263</v>
      </c>
      <c r="F3093" s="42">
        <v>46198</v>
      </c>
    </row>
    <row r="3094" spans="1:6" x14ac:dyDescent="0.3">
      <c r="A3094" s="15" t="s">
        <v>44553</v>
      </c>
      <c r="B3094" s="15" t="s">
        <v>6485</v>
      </c>
      <c r="C3094" s="15" t="s">
        <v>800</v>
      </c>
      <c r="D3094" s="15" t="s">
        <v>6486</v>
      </c>
      <c r="E3094" s="15">
        <v>306.67039999999997</v>
      </c>
      <c r="F3094" s="42">
        <v>43945</v>
      </c>
    </row>
    <row r="3095" spans="1:6" x14ac:dyDescent="0.3">
      <c r="A3095" s="15" t="s">
        <v>44552</v>
      </c>
      <c r="B3095" s="15" t="s">
        <v>6487</v>
      </c>
      <c r="C3095" s="15" t="s">
        <v>800</v>
      </c>
      <c r="D3095" s="15" t="s">
        <v>6488</v>
      </c>
      <c r="E3095" s="15">
        <v>100.12949999999999</v>
      </c>
      <c r="F3095" s="42">
        <v>46198</v>
      </c>
    </row>
    <row r="3096" spans="1:6" x14ac:dyDescent="0.3">
      <c r="A3096" s="15" t="s">
        <v>44551</v>
      </c>
      <c r="B3096" s="15" t="s">
        <v>6489</v>
      </c>
      <c r="C3096" s="15" t="s">
        <v>800</v>
      </c>
      <c r="D3096" s="15" t="s">
        <v>6490</v>
      </c>
      <c r="E3096" s="15">
        <v>403.53460000000001</v>
      </c>
      <c r="F3096" s="42">
        <v>46198</v>
      </c>
    </row>
    <row r="3097" spans="1:6" x14ac:dyDescent="0.3">
      <c r="A3097" s="15" t="s">
        <v>44550</v>
      </c>
      <c r="B3097" s="15" t="s">
        <v>6491</v>
      </c>
      <c r="C3097" s="15" t="s">
        <v>800</v>
      </c>
      <c r="D3097" s="15" t="s">
        <v>6492</v>
      </c>
      <c r="E3097" s="15">
        <v>185.33680000000001</v>
      </c>
      <c r="F3097" s="42">
        <v>46198</v>
      </c>
    </row>
    <row r="3098" spans="1:6" x14ac:dyDescent="0.3">
      <c r="A3098" s="15" t="s">
        <v>44549</v>
      </c>
      <c r="B3098" s="15" t="s">
        <v>6493</v>
      </c>
      <c r="C3098" s="15" t="s">
        <v>6494</v>
      </c>
      <c r="D3098" s="15" t="s">
        <v>6495</v>
      </c>
      <c r="E3098" s="15">
        <v>100.8819</v>
      </c>
      <c r="F3098" s="42">
        <v>44820</v>
      </c>
    </row>
    <row r="3099" spans="1:6" x14ac:dyDescent="0.3">
      <c r="A3099" s="15" t="s">
        <v>44548</v>
      </c>
      <c r="B3099" s="15" t="s">
        <v>6496</v>
      </c>
      <c r="C3099" s="15" t="s">
        <v>800</v>
      </c>
      <c r="D3099" s="15" t="s">
        <v>6497</v>
      </c>
      <c r="E3099" s="15">
        <v>100.8626</v>
      </c>
      <c r="F3099" s="42">
        <v>46198</v>
      </c>
    </row>
    <row r="3100" spans="1:6" x14ac:dyDescent="0.3">
      <c r="A3100" s="15" t="s">
        <v>44547</v>
      </c>
      <c r="B3100" s="15" t="s">
        <v>6498</v>
      </c>
      <c r="C3100" s="15" t="s">
        <v>800</v>
      </c>
      <c r="D3100" s="15" t="s">
        <v>6499</v>
      </c>
      <c r="E3100" s="15">
        <v>100.6605</v>
      </c>
      <c r="F3100" s="42">
        <v>44820</v>
      </c>
    </row>
    <row r="3101" spans="1:6" x14ac:dyDescent="0.3">
      <c r="A3101" s="15" t="s">
        <v>33499</v>
      </c>
      <c r="B3101" s="15" t="s">
        <v>795</v>
      </c>
      <c r="C3101" s="15" t="s">
        <v>795</v>
      </c>
      <c r="D3101" s="15" t="s">
        <v>795</v>
      </c>
      <c r="F3101" s="42"/>
    </row>
    <row r="3102" spans="1:6" x14ac:dyDescent="0.3">
      <c r="A3102" s="15" t="s">
        <v>37807</v>
      </c>
      <c r="B3102" s="15" t="s">
        <v>795</v>
      </c>
      <c r="C3102" s="15" t="s">
        <v>795</v>
      </c>
      <c r="D3102" s="15" t="s">
        <v>795</v>
      </c>
      <c r="F3102" s="42"/>
    </row>
    <row r="3103" spans="1:6" x14ac:dyDescent="0.3">
      <c r="A3103" s="15" t="s">
        <v>33499</v>
      </c>
      <c r="B3103" s="15" t="s">
        <v>795</v>
      </c>
      <c r="C3103" s="15" t="s">
        <v>795</v>
      </c>
      <c r="D3103" s="15" t="s">
        <v>795</v>
      </c>
      <c r="F3103" s="42"/>
    </row>
    <row r="3104" spans="1:6" x14ac:dyDescent="0.3">
      <c r="A3104" s="15" t="s">
        <v>44546</v>
      </c>
      <c r="B3104" s="15" t="s">
        <v>800</v>
      </c>
      <c r="C3104" s="15" t="s">
        <v>6500</v>
      </c>
      <c r="D3104" s="15" t="s">
        <v>6501</v>
      </c>
      <c r="E3104" s="15">
        <v>1000.29</v>
      </c>
      <c r="F3104" s="42">
        <v>46198</v>
      </c>
    </row>
    <row r="3105" spans="1:6" x14ac:dyDescent="0.3">
      <c r="A3105" s="15" t="s">
        <v>44545</v>
      </c>
      <c r="B3105" s="15" t="s">
        <v>800</v>
      </c>
      <c r="C3105" s="15" t="s">
        <v>6502</v>
      </c>
      <c r="D3105" s="15" t="s">
        <v>6503</v>
      </c>
      <c r="E3105" s="15">
        <v>1012.2021</v>
      </c>
      <c r="F3105" s="42">
        <v>46198</v>
      </c>
    </row>
    <row r="3106" spans="1:6" x14ac:dyDescent="0.3">
      <c r="A3106" s="15" t="s">
        <v>44544</v>
      </c>
      <c r="B3106" s="15" t="s">
        <v>6504</v>
      </c>
      <c r="C3106" s="15" t="s">
        <v>6505</v>
      </c>
      <c r="D3106" s="15" t="s">
        <v>6506</v>
      </c>
      <c r="E3106" s="15">
        <v>3003.7811000000002</v>
      </c>
      <c r="F3106" s="42">
        <v>46198</v>
      </c>
    </row>
    <row r="3107" spans="1:6" x14ac:dyDescent="0.3">
      <c r="A3107" s="15" t="s">
        <v>44543</v>
      </c>
      <c r="B3107" s="15" t="s">
        <v>6507</v>
      </c>
      <c r="C3107" s="15" t="s">
        <v>800</v>
      </c>
      <c r="D3107" s="15" t="s">
        <v>6508</v>
      </c>
      <c r="E3107" s="15">
        <v>3352.9675000000002</v>
      </c>
      <c r="F3107" s="42">
        <v>46198</v>
      </c>
    </row>
    <row r="3108" spans="1:6" x14ac:dyDescent="0.3">
      <c r="A3108" s="15" t="s">
        <v>44542</v>
      </c>
      <c r="B3108" s="15" t="s">
        <v>6509</v>
      </c>
      <c r="C3108" s="15" t="s">
        <v>6510</v>
      </c>
      <c r="D3108" s="15" t="s">
        <v>6511</v>
      </c>
      <c r="E3108" s="15">
        <v>1222.7796000000001</v>
      </c>
      <c r="F3108" s="42">
        <v>46198</v>
      </c>
    </row>
    <row r="3109" spans="1:6" x14ac:dyDescent="0.3">
      <c r="A3109" s="15" t="s">
        <v>44541</v>
      </c>
      <c r="B3109" s="15" t="s">
        <v>6512</v>
      </c>
      <c r="C3109" s="15" t="s">
        <v>6513</v>
      </c>
      <c r="D3109" s="15" t="s">
        <v>6514</v>
      </c>
      <c r="E3109" s="15">
        <v>1022.7969000000001</v>
      </c>
      <c r="F3109" s="42">
        <v>46198</v>
      </c>
    </row>
    <row r="3110" spans="1:6" x14ac:dyDescent="0.3">
      <c r="A3110" s="15" t="s">
        <v>44540</v>
      </c>
      <c r="B3110" s="15" t="s">
        <v>6515</v>
      </c>
      <c r="C3110" s="15" t="s">
        <v>6516</v>
      </c>
      <c r="D3110" s="15" t="s">
        <v>6517</v>
      </c>
      <c r="E3110" s="15">
        <v>3236.5962</v>
      </c>
      <c r="F3110" s="42">
        <v>46198</v>
      </c>
    </row>
    <row r="3111" spans="1:6" x14ac:dyDescent="0.3">
      <c r="A3111" s="15" t="s">
        <v>44539</v>
      </c>
      <c r="B3111" s="15" t="s">
        <v>6518</v>
      </c>
      <c r="C3111" s="15" t="s">
        <v>800</v>
      </c>
      <c r="D3111" s="15" t="s">
        <v>6519</v>
      </c>
      <c r="E3111" s="15">
        <v>3233.3031000000001</v>
      </c>
      <c r="F3111" s="42">
        <v>46198</v>
      </c>
    </row>
    <row r="3112" spans="1:6" x14ac:dyDescent="0.3">
      <c r="A3112" s="15" t="s">
        <v>44538</v>
      </c>
      <c r="B3112" s="15" t="s">
        <v>6520</v>
      </c>
      <c r="C3112" s="15" t="s">
        <v>6521</v>
      </c>
      <c r="D3112" s="15" t="s">
        <v>6522</v>
      </c>
      <c r="E3112" s="15">
        <v>1027.9244000000001</v>
      </c>
      <c r="F3112" s="42">
        <v>46198</v>
      </c>
    </row>
    <row r="3113" spans="1:6" x14ac:dyDescent="0.3">
      <c r="A3113" s="15" t="s">
        <v>44537</v>
      </c>
      <c r="B3113" s="15" t="s">
        <v>6523</v>
      </c>
      <c r="C3113" s="15" t="s">
        <v>800</v>
      </c>
      <c r="D3113" s="15" t="s">
        <v>6524</v>
      </c>
      <c r="E3113" s="15">
        <v>2837.4016999999999</v>
      </c>
      <c r="F3113" s="42">
        <v>46198</v>
      </c>
    </row>
    <row r="3114" spans="1:6" x14ac:dyDescent="0.3">
      <c r="A3114" s="15" t="s">
        <v>44536</v>
      </c>
      <c r="B3114" s="15" t="s">
        <v>6525</v>
      </c>
      <c r="C3114" s="15" t="s">
        <v>6526</v>
      </c>
      <c r="D3114" s="15" t="s">
        <v>6527</v>
      </c>
      <c r="E3114" s="15">
        <v>1507.0255</v>
      </c>
      <c r="F3114" s="42">
        <v>46198</v>
      </c>
    </row>
    <row r="3115" spans="1:6" x14ac:dyDescent="0.3">
      <c r="A3115" s="15" t="s">
        <v>44535</v>
      </c>
      <c r="B3115" s="15" t="s">
        <v>800</v>
      </c>
      <c r="C3115" s="15" t="s">
        <v>6528</v>
      </c>
      <c r="D3115" s="15" t="s">
        <v>6529</v>
      </c>
      <c r="E3115" s="15">
        <v>1008.6058</v>
      </c>
      <c r="F3115" s="42">
        <v>46198</v>
      </c>
    </row>
    <row r="3116" spans="1:6" x14ac:dyDescent="0.3">
      <c r="A3116" s="15" t="s">
        <v>44534</v>
      </c>
      <c r="B3116" s="15" t="s">
        <v>6530</v>
      </c>
      <c r="C3116" s="15" t="s">
        <v>6531</v>
      </c>
      <c r="D3116" s="15" t="s">
        <v>6532</v>
      </c>
      <c r="E3116" s="15">
        <v>1001.8739</v>
      </c>
      <c r="F3116" s="42">
        <v>46198</v>
      </c>
    </row>
    <row r="3117" spans="1:6" x14ac:dyDescent="0.3">
      <c r="A3117" s="15" t="s">
        <v>33499</v>
      </c>
      <c r="B3117" s="15" t="s">
        <v>795</v>
      </c>
      <c r="C3117" s="15" t="s">
        <v>795</v>
      </c>
      <c r="D3117" s="15" t="s">
        <v>795</v>
      </c>
      <c r="F3117" s="42"/>
    </row>
    <row r="3118" spans="1:6" x14ac:dyDescent="0.3">
      <c r="A3118" s="15" t="s">
        <v>38568</v>
      </c>
      <c r="B3118" s="15" t="s">
        <v>795</v>
      </c>
      <c r="C3118" s="15" t="s">
        <v>795</v>
      </c>
      <c r="D3118" s="15" t="s">
        <v>795</v>
      </c>
      <c r="F3118" s="42"/>
    </row>
    <row r="3119" spans="1:6" x14ac:dyDescent="0.3">
      <c r="A3119" s="15" t="s">
        <v>33499</v>
      </c>
      <c r="B3119" s="15" t="s">
        <v>795</v>
      </c>
      <c r="C3119" s="15" t="s">
        <v>795</v>
      </c>
      <c r="D3119" s="15" t="s">
        <v>795</v>
      </c>
      <c r="F3119" s="42"/>
    </row>
    <row r="3120" spans="1:6" x14ac:dyDescent="0.3">
      <c r="A3120" s="15" t="s">
        <v>44533</v>
      </c>
      <c r="B3120" s="15" t="s">
        <v>6533</v>
      </c>
      <c r="C3120" s="15" t="s">
        <v>800</v>
      </c>
      <c r="D3120" s="15" t="s">
        <v>6534</v>
      </c>
      <c r="E3120" s="15">
        <v>1060.2735</v>
      </c>
      <c r="F3120" s="42">
        <v>46198</v>
      </c>
    </row>
    <row r="3121" spans="1:6" x14ac:dyDescent="0.3">
      <c r="A3121" s="15" t="s">
        <v>33499</v>
      </c>
      <c r="B3121" s="15" t="s">
        <v>795</v>
      </c>
      <c r="C3121" s="15" t="s">
        <v>795</v>
      </c>
      <c r="D3121" s="15" t="s">
        <v>795</v>
      </c>
      <c r="F3121" s="42"/>
    </row>
    <row r="3122" spans="1:6" x14ac:dyDescent="0.3">
      <c r="A3122" s="15" t="s">
        <v>40894</v>
      </c>
      <c r="B3122" s="15" t="s">
        <v>795</v>
      </c>
      <c r="C3122" s="15" t="s">
        <v>795</v>
      </c>
      <c r="D3122" s="15" t="s">
        <v>795</v>
      </c>
      <c r="F3122" s="42"/>
    </row>
    <row r="3123" spans="1:6" x14ac:dyDescent="0.3">
      <c r="A3123" s="15" t="s">
        <v>33499</v>
      </c>
      <c r="B3123" s="15" t="s">
        <v>795</v>
      </c>
      <c r="C3123" s="15" t="s">
        <v>795</v>
      </c>
      <c r="D3123" s="15" t="s">
        <v>795</v>
      </c>
      <c r="F3123" s="42"/>
    </row>
    <row r="3124" spans="1:6" x14ac:dyDescent="0.3">
      <c r="A3124" s="15" t="s">
        <v>44532</v>
      </c>
      <c r="B3124" s="15" t="s">
        <v>800</v>
      </c>
      <c r="C3124" s="15" t="s">
        <v>6535</v>
      </c>
      <c r="D3124" s="15" t="s">
        <v>6536</v>
      </c>
      <c r="E3124" s="15">
        <v>10.3279</v>
      </c>
      <c r="F3124" s="42">
        <v>44099</v>
      </c>
    </row>
    <row r="3125" spans="1:6" x14ac:dyDescent="0.3">
      <c r="A3125" s="15" t="s">
        <v>44531</v>
      </c>
      <c r="B3125" s="15" t="s">
        <v>6537</v>
      </c>
      <c r="C3125" s="15" t="s">
        <v>800</v>
      </c>
      <c r="D3125" s="15" t="s">
        <v>6538</v>
      </c>
      <c r="E3125" s="15">
        <v>28.750599999999999</v>
      </c>
      <c r="F3125" s="42">
        <v>44099</v>
      </c>
    </row>
    <row r="3126" spans="1:6" x14ac:dyDescent="0.3">
      <c r="A3126" s="15" t="s">
        <v>44530</v>
      </c>
      <c r="B3126" s="15" t="s">
        <v>800</v>
      </c>
      <c r="C3126" s="15" t="s">
        <v>6539</v>
      </c>
      <c r="D3126" s="15" t="s">
        <v>6540</v>
      </c>
      <c r="E3126" s="15">
        <v>10.674300000000001</v>
      </c>
      <c r="F3126" s="42">
        <v>44099</v>
      </c>
    </row>
    <row r="3127" spans="1:6" x14ac:dyDescent="0.3">
      <c r="A3127" s="15" t="s">
        <v>44529</v>
      </c>
      <c r="B3127" s="15" t="s">
        <v>6541</v>
      </c>
      <c r="C3127" s="15" t="s">
        <v>800</v>
      </c>
      <c r="D3127" s="15" t="s">
        <v>6542</v>
      </c>
      <c r="E3127" s="15">
        <v>15.960599999999999</v>
      </c>
      <c r="F3127" s="42">
        <v>44099</v>
      </c>
    </row>
    <row r="3128" spans="1:6" x14ac:dyDescent="0.3">
      <c r="A3128" s="15" t="s">
        <v>44528</v>
      </c>
      <c r="B3128" s="15" t="s">
        <v>800</v>
      </c>
      <c r="C3128" s="15" t="s">
        <v>6543</v>
      </c>
      <c r="D3128" s="15" t="s">
        <v>6544</v>
      </c>
      <c r="E3128" s="15">
        <v>10.050800000000001</v>
      </c>
      <c r="F3128" s="42">
        <v>44099</v>
      </c>
    </row>
    <row r="3129" spans="1:6" x14ac:dyDescent="0.3">
      <c r="A3129" s="15" t="s">
        <v>44527</v>
      </c>
      <c r="B3129" s="15" t="s">
        <v>6545</v>
      </c>
      <c r="C3129" s="15" t="s">
        <v>800</v>
      </c>
      <c r="D3129" s="15" t="s">
        <v>6546</v>
      </c>
      <c r="E3129" s="15">
        <v>15.7555</v>
      </c>
      <c r="F3129" s="42">
        <v>44099</v>
      </c>
    </row>
    <row r="3130" spans="1:6" x14ac:dyDescent="0.3">
      <c r="A3130" s="15" t="s">
        <v>44526</v>
      </c>
      <c r="B3130" s="15" t="s">
        <v>800</v>
      </c>
      <c r="C3130" s="15" t="s">
        <v>6547</v>
      </c>
      <c r="D3130" s="15" t="s">
        <v>6548</v>
      </c>
      <c r="E3130" s="15">
        <v>10.0418</v>
      </c>
      <c r="F3130" s="42">
        <v>44099</v>
      </c>
    </row>
    <row r="3131" spans="1:6" x14ac:dyDescent="0.3">
      <c r="A3131" s="15" t="s">
        <v>44525</v>
      </c>
      <c r="B3131" s="15" t="s">
        <v>800</v>
      </c>
      <c r="C3131" s="15" t="s">
        <v>6549</v>
      </c>
      <c r="D3131" s="15" t="s">
        <v>6550</v>
      </c>
      <c r="E3131" s="15">
        <v>10.311</v>
      </c>
      <c r="F3131" s="42">
        <v>44099</v>
      </c>
    </row>
    <row r="3132" spans="1:6" x14ac:dyDescent="0.3">
      <c r="A3132" s="15" t="s">
        <v>44524</v>
      </c>
      <c r="B3132" s="15" t="s">
        <v>6551</v>
      </c>
      <c r="C3132" s="15" t="s">
        <v>800</v>
      </c>
      <c r="D3132" s="15" t="s">
        <v>6552</v>
      </c>
      <c r="E3132" s="15">
        <v>28.281199999999998</v>
      </c>
      <c r="F3132" s="42">
        <v>44099</v>
      </c>
    </row>
    <row r="3133" spans="1:6" x14ac:dyDescent="0.3">
      <c r="A3133" s="15" t="s">
        <v>44523</v>
      </c>
      <c r="B3133" s="15" t="s">
        <v>800</v>
      </c>
      <c r="C3133" s="15" t="s">
        <v>6553</v>
      </c>
      <c r="D3133" s="15" t="s">
        <v>6554</v>
      </c>
      <c r="E3133" s="15">
        <v>10.6454</v>
      </c>
      <c r="F3133" s="42">
        <v>44099</v>
      </c>
    </row>
    <row r="3134" spans="1:6" x14ac:dyDescent="0.3">
      <c r="A3134" s="15" t="s">
        <v>33499</v>
      </c>
      <c r="B3134" s="15" t="s">
        <v>795</v>
      </c>
      <c r="C3134" s="15" t="s">
        <v>795</v>
      </c>
      <c r="D3134" s="15" t="s">
        <v>795</v>
      </c>
      <c r="F3134" s="42"/>
    </row>
    <row r="3135" spans="1:6" x14ac:dyDescent="0.3">
      <c r="A3135" s="15" t="s">
        <v>139</v>
      </c>
      <c r="B3135" s="15" t="s">
        <v>795</v>
      </c>
      <c r="C3135" s="15" t="s">
        <v>795</v>
      </c>
      <c r="D3135" s="15" t="s">
        <v>795</v>
      </c>
      <c r="F3135" s="42"/>
    </row>
    <row r="3136" spans="1:6" x14ac:dyDescent="0.3">
      <c r="A3136" s="15" t="s">
        <v>33499</v>
      </c>
      <c r="B3136" s="15" t="s">
        <v>795</v>
      </c>
      <c r="C3136" s="15" t="s">
        <v>795</v>
      </c>
      <c r="D3136" s="15" t="s">
        <v>795</v>
      </c>
      <c r="F3136" s="42"/>
    </row>
    <row r="3137" spans="1:6" x14ac:dyDescent="0.3">
      <c r="A3137" s="15" t="s">
        <v>44522</v>
      </c>
      <c r="B3137" s="15" t="s">
        <v>6555</v>
      </c>
      <c r="C3137" s="15" t="s">
        <v>800</v>
      </c>
      <c r="D3137" s="15" t="s">
        <v>6556</v>
      </c>
      <c r="E3137" s="15">
        <v>4775.6750000000002</v>
      </c>
      <c r="F3137" s="42">
        <v>46198</v>
      </c>
    </row>
    <row r="3138" spans="1:6" x14ac:dyDescent="0.3">
      <c r="A3138" s="15" t="s">
        <v>44521</v>
      </c>
      <c r="B3138" s="15" t="s">
        <v>6557</v>
      </c>
      <c r="C3138" s="15" t="s">
        <v>800</v>
      </c>
      <c r="D3138" s="15" t="s">
        <v>6558</v>
      </c>
      <c r="E3138" s="15">
        <v>4827.7402000000002</v>
      </c>
      <c r="F3138" s="42">
        <v>46198</v>
      </c>
    </row>
    <row r="3139" spans="1:6" x14ac:dyDescent="0.3">
      <c r="A3139" s="15" t="s">
        <v>44520</v>
      </c>
      <c r="B3139" s="15" t="s">
        <v>6559</v>
      </c>
      <c r="C3139" s="15" t="s">
        <v>6560</v>
      </c>
      <c r="D3139" s="15" t="s">
        <v>6561</v>
      </c>
      <c r="E3139" s="15">
        <v>1059.0434</v>
      </c>
      <c r="F3139" s="42">
        <v>46198</v>
      </c>
    </row>
    <row r="3140" spans="1:6" x14ac:dyDescent="0.3">
      <c r="A3140" s="15" t="s">
        <v>44519</v>
      </c>
      <c r="B3140" s="15" t="s">
        <v>6562</v>
      </c>
      <c r="C3140" s="15" t="s">
        <v>6563</v>
      </c>
      <c r="D3140" s="15" t="s">
        <v>6564</v>
      </c>
      <c r="E3140" s="15">
        <v>1283.944</v>
      </c>
      <c r="F3140" s="42">
        <v>46198</v>
      </c>
    </row>
    <row r="3141" spans="1:6" x14ac:dyDescent="0.3">
      <c r="A3141" s="15" t="s">
        <v>33499</v>
      </c>
      <c r="B3141" s="15" t="s">
        <v>795</v>
      </c>
      <c r="C3141" s="15" t="s">
        <v>795</v>
      </c>
      <c r="D3141" s="15" t="s">
        <v>795</v>
      </c>
      <c r="F3141" s="42"/>
    </row>
    <row r="3142" spans="1:6" x14ac:dyDescent="0.3">
      <c r="A3142" s="15" t="s">
        <v>37618</v>
      </c>
      <c r="B3142" s="15" t="s">
        <v>795</v>
      </c>
      <c r="C3142" s="15" t="s">
        <v>795</v>
      </c>
      <c r="D3142" s="15" t="s">
        <v>795</v>
      </c>
      <c r="F3142" s="42"/>
    </row>
    <row r="3143" spans="1:6" x14ac:dyDescent="0.3">
      <c r="A3143" s="15" t="s">
        <v>33499</v>
      </c>
      <c r="B3143" s="15" t="s">
        <v>795</v>
      </c>
      <c r="C3143" s="15" t="s">
        <v>795</v>
      </c>
      <c r="D3143" s="15" t="s">
        <v>795</v>
      </c>
      <c r="F3143" s="42"/>
    </row>
    <row r="3144" spans="1:6" x14ac:dyDescent="0.3">
      <c r="A3144" s="15" t="s">
        <v>44518</v>
      </c>
      <c r="B3144" s="15" t="s">
        <v>6565</v>
      </c>
      <c r="C3144" s="15" t="s">
        <v>800</v>
      </c>
      <c r="D3144" s="15" t="s">
        <v>6566</v>
      </c>
      <c r="E3144" s="15">
        <v>1282.7125000000001</v>
      </c>
      <c r="F3144" s="42">
        <v>46198</v>
      </c>
    </row>
    <row r="3145" spans="1:6" x14ac:dyDescent="0.3">
      <c r="A3145" s="15" t="s">
        <v>44517</v>
      </c>
      <c r="B3145" s="15" t="s">
        <v>6567</v>
      </c>
      <c r="C3145" s="15" t="s">
        <v>6568</v>
      </c>
      <c r="D3145" s="15" t="s">
        <v>6569</v>
      </c>
      <c r="E3145" s="15">
        <v>1282.7125000000001</v>
      </c>
      <c r="F3145" s="42">
        <v>46198</v>
      </c>
    </row>
    <row r="3146" spans="1:6" x14ac:dyDescent="0.3">
      <c r="A3146" s="15" t="s">
        <v>44516</v>
      </c>
      <c r="B3146" s="15" t="s">
        <v>6570</v>
      </c>
      <c r="C3146" s="15" t="s">
        <v>800</v>
      </c>
      <c r="D3146" s="15" t="s">
        <v>6571</v>
      </c>
      <c r="E3146" s="15">
        <v>1263.6357</v>
      </c>
      <c r="F3146" s="42">
        <v>46198</v>
      </c>
    </row>
    <row r="3147" spans="1:6" x14ac:dyDescent="0.3">
      <c r="A3147" s="15" t="s">
        <v>44515</v>
      </c>
      <c r="B3147" s="15" t="s">
        <v>6572</v>
      </c>
      <c r="C3147" s="15" t="s">
        <v>6573</v>
      </c>
      <c r="D3147" s="15" t="s">
        <v>6574</v>
      </c>
      <c r="E3147" s="15">
        <v>1263.6357</v>
      </c>
      <c r="F3147" s="42">
        <v>46198</v>
      </c>
    </row>
    <row r="3148" spans="1:6" x14ac:dyDescent="0.3">
      <c r="A3148" s="15" t="s">
        <v>33499</v>
      </c>
      <c r="B3148" s="15" t="s">
        <v>795</v>
      </c>
      <c r="C3148" s="15" t="s">
        <v>795</v>
      </c>
      <c r="D3148" s="15" t="s">
        <v>795</v>
      </c>
      <c r="F3148" s="42"/>
    </row>
    <row r="3149" spans="1:6" x14ac:dyDescent="0.3">
      <c r="A3149" s="15" t="s">
        <v>37780</v>
      </c>
      <c r="B3149" s="15" t="s">
        <v>795</v>
      </c>
      <c r="C3149" s="15" t="s">
        <v>795</v>
      </c>
      <c r="D3149" s="15" t="s">
        <v>795</v>
      </c>
      <c r="F3149" s="42"/>
    </row>
    <row r="3150" spans="1:6" x14ac:dyDescent="0.3">
      <c r="A3150" s="15" t="s">
        <v>33499</v>
      </c>
      <c r="B3150" s="15" t="s">
        <v>795</v>
      </c>
      <c r="C3150" s="15" t="s">
        <v>795</v>
      </c>
      <c r="D3150" s="15" t="s">
        <v>795</v>
      </c>
      <c r="F3150" s="42"/>
    </row>
    <row r="3151" spans="1:6" x14ac:dyDescent="0.3">
      <c r="A3151" s="15" t="s">
        <v>44514</v>
      </c>
      <c r="B3151" s="15" t="s">
        <v>6575</v>
      </c>
      <c r="C3151" s="15" t="s">
        <v>800</v>
      </c>
      <c r="D3151" s="15" t="s">
        <v>6576</v>
      </c>
      <c r="E3151" s="15">
        <v>1360.0060000000001</v>
      </c>
      <c r="F3151" s="42">
        <v>46198</v>
      </c>
    </row>
    <row r="3152" spans="1:6" x14ac:dyDescent="0.3">
      <c r="A3152" s="15" t="s">
        <v>44513</v>
      </c>
      <c r="B3152" s="15" t="s">
        <v>6577</v>
      </c>
      <c r="C3152" s="15" t="s">
        <v>6578</v>
      </c>
      <c r="D3152" s="15" t="s">
        <v>6579</v>
      </c>
      <c r="E3152" s="15">
        <v>1357.7646999999999</v>
      </c>
      <c r="F3152" s="42">
        <v>46198</v>
      </c>
    </row>
    <row r="3153" spans="1:6" x14ac:dyDescent="0.3">
      <c r="A3153" s="15" t="s">
        <v>44512</v>
      </c>
      <c r="B3153" s="15" t="s">
        <v>6580</v>
      </c>
      <c r="C3153" s="15" t="s">
        <v>800</v>
      </c>
      <c r="D3153" s="15" t="s">
        <v>6581</v>
      </c>
      <c r="E3153" s="15">
        <v>1336.7900999999999</v>
      </c>
      <c r="F3153" s="42">
        <v>46198</v>
      </c>
    </row>
    <row r="3154" spans="1:6" x14ac:dyDescent="0.3">
      <c r="A3154" s="15" t="s">
        <v>44511</v>
      </c>
      <c r="B3154" s="15" t="s">
        <v>6582</v>
      </c>
      <c r="C3154" s="15" t="s">
        <v>6583</v>
      </c>
      <c r="D3154" s="15" t="s">
        <v>6584</v>
      </c>
      <c r="E3154" s="15">
        <v>1336.7792999999999</v>
      </c>
      <c r="F3154" s="42">
        <v>46198</v>
      </c>
    </row>
    <row r="3155" spans="1:6" x14ac:dyDescent="0.3">
      <c r="A3155" s="15" t="s">
        <v>33499</v>
      </c>
      <c r="B3155" s="15" t="s">
        <v>795</v>
      </c>
      <c r="C3155" s="15" t="s">
        <v>795</v>
      </c>
      <c r="D3155" s="15" t="s">
        <v>795</v>
      </c>
      <c r="F3155" s="42"/>
    </row>
    <row r="3156" spans="1:6" x14ac:dyDescent="0.3">
      <c r="A3156" s="15" t="s">
        <v>208</v>
      </c>
      <c r="B3156" s="15" t="s">
        <v>795</v>
      </c>
      <c r="C3156" s="15" t="s">
        <v>795</v>
      </c>
      <c r="D3156" s="15" t="s">
        <v>795</v>
      </c>
      <c r="F3156" s="42"/>
    </row>
    <row r="3157" spans="1:6" x14ac:dyDescent="0.3">
      <c r="A3157" s="15" t="s">
        <v>33499</v>
      </c>
      <c r="B3157" s="15" t="s">
        <v>795</v>
      </c>
      <c r="C3157" s="15" t="s">
        <v>795</v>
      </c>
      <c r="D3157" s="15" t="s">
        <v>795</v>
      </c>
      <c r="F3157" s="42"/>
    </row>
    <row r="3158" spans="1:6" x14ac:dyDescent="0.3">
      <c r="A3158" s="15" t="s">
        <v>44510</v>
      </c>
      <c r="B3158" s="15" t="s">
        <v>800</v>
      </c>
      <c r="C3158" s="15" t="s">
        <v>6585</v>
      </c>
      <c r="D3158" s="15" t="s">
        <v>6586</v>
      </c>
      <c r="E3158" s="15">
        <v>1006.3296</v>
      </c>
      <c r="F3158" s="42">
        <v>46198</v>
      </c>
    </row>
    <row r="3159" spans="1:6" x14ac:dyDescent="0.3">
      <c r="A3159" s="15" t="s">
        <v>44509</v>
      </c>
      <c r="B3159" s="15" t="s">
        <v>800</v>
      </c>
      <c r="C3159" s="15" t="s">
        <v>6587</v>
      </c>
      <c r="D3159" s="15" t="s">
        <v>6588</v>
      </c>
      <c r="E3159" s="15">
        <v>1006.2364</v>
      </c>
      <c r="F3159" s="42">
        <v>46198</v>
      </c>
    </row>
    <row r="3160" spans="1:6" x14ac:dyDescent="0.3">
      <c r="A3160" s="15" t="s">
        <v>44508</v>
      </c>
      <c r="B3160" s="15" t="s">
        <v>6589</v>
      </c>
      <c r="C3160" s="15" t="s">
        <v>6590</v>
      </c>
      <c r="D3160" s="15" t="s">
        <v>6591</v>
      </c>
      <c r="E3160" s="15">
        <v>1033.9659999999999</v>
      </c>
      <c r="F3160" s="42">
        <v>46198</v>
      </c>
    </row>
    <row r="3161" spans="1:6" x14ac:dyDescent="0.3">
      <c r="A3161" s="15" t="s">
        <v>44507</v>
      </c>
      <c r="B3161" s="15" t="s">
        <v>6592</v>
      </c>
      <c r="C3161" s="15" t="s">
        <v>6593</v>
      </c>
      <c r="D3161" s="15" t="s">
        <v>6594</v>
      </c>
      <c r="E3161" s="15">
        <v>1014.407</v>
      </c>
      <c r="F3161" s="42">
        <v>46198</v>
      </c>
    </row>
    <row r="3162" spans="1:6" x14ac:dyDescent="0.3">
      <c r="A3162" s="15" t="s">
        <v>44506</v>
      </c>
      <c r="B3162" s="15" t="s">
        <v>800</v>
      </c>
      <c r="C3162" s="15" t="s">
        <v>6595</v>
      </c>
      <c r="D3162" s="15" t="s">
        <v>6596</v>
      </c>
      <c r="E3162" s="15">
        <v>1008.9185</v>
      </c>
      <c r="F3162" s="42">
        <v>46198</v>
      </c>
    </row>
    <row r="3163" spans="1:6" x14ac:dyDescent="0.3">
      <c r="A3163" s="15" t="s">
        <v>44505</v>
      </c>
      <c r="B3163" s="15" t="s">
        <v>6597</v>
      </c>
      <c r="C3163" s="15" t="s">
        <v>800</v>
      </c>
      <c r="D3163" s="15" t="s">
        <v>6598</v>
      </c>
      <c r="E3163" s="15">
        <v>2632.9488000000001</v>
      </c>
      <c r="F3163" s="42">
        <v>46198</v>
      </c>
    </row>
    <row r="3164" spans="1:6" x14ac:dyDescent="0.3">
      <c r="A3164" s="15" t="s">
        <v>44504</v>
      </c>
      <c r="B3164" s="15" t="s">
        <v>6599</v>
      </c>
      <c r="C3164" s="15" t="s">
        <v>800</v>
      </c>
      <c r="D3164" s="15" t="s">
        <v>6600</v>
      </c>
      <c r="E3164" s="15">
        <v>4477.6431000000002</v>
      </c>
      <c r="F3164" s="42">
        <v>46198</v>
      </c>
    </row>
    <row r="3165" spans="1:6" x14ac:dyDescent="0.3">
      <c r="A3165" s="15" t="s">
        <v>44503</v>
      </c>
      <c r="B3165" s="15" t="s">
        <v>6601</v>
      </c>
      <c r="C3165" s="15" t="s">
        <v>6602</v>
      </c>
      <c r="D3165" s="15" t="s">
        <v>6603</v>
      </c>
      <c r="E3165" s="15">
        <v>1033.5391999999999</v>
      </c>
      <c r="F3165" s="42">
        <v>46198</v>
      </c>
    </row>
    <row r="3166" spans="1:6" x14ac:dyDescent="0.3">
      <c r="A3166" s="15" t="s">
        <v>44502</v>
      </c>
      <c r="B3166" s="15" t="s">
        <v>6604</v>
      </c>
      <c r="C3166" s="15" t="s">
        <v>6605</v>
      </c>
      <c r="D3166" s="15" t="s">
        <v>6606</v>
      </c>
      <c r="E3166" s="15">
        <v>1014.4448</v>
      </c>
      <c r="F3166" s="42">
        <v>46198</v>
      </c>
    </row>
    <row r="3167" spans="1:6" x14ac:dyDescent="0.3">
      <c r="A3167" s="15" t="s">
        <v>44501</v>
      </c>
      <c r="B3167" s="15" t="s">
        <v>800</v>
      </c>
      <c r="C3167" s="15" t="s">
        <v>6607</v>
      </c>
      <c r="D3167" s="15" t="s">
        <v>6608</v>
      </c>
      <c r="E3167" s="15">
        <v>1008.9133</v>
      </c>
      <c r="F3167" s="42">
        <v>46198</v>
      </c>
    </row>
    <row r="3168" spans="1:6" x14ac:dyDescent="0.3">
      <c r="A3168" s="15" t="s">
        <v>44500</v>
      </c>
      <c r="B3168" s="15" t="s">
        <v>6609</v>
      </c>
      <c r="C3168" s="15" t="s">
        <v>800</v>
      </c>
      <c r="D3168" s="15" t="s">
        <v>6610</v>
      </c>
      <c r="E3168" s="15">
        <v>1713.3216</v>
      </c>
      <c r="F3168" s="42">
        <v>43691</v>
      </c>
    </row>
    <row r="3169" spans="1:6" x14ac:dyDescent="0.3">
      <c r="A3169" s="15" t="s">
        <v>44499</v>
      </c>
      <c r="B3169" s="15" t="s">
        <v>6611</v>
      </c>
      <c r="C3169" s="15" t="s">
        <v>800</v>
      </c>
      <c r="D3169" s="15" t="s">
        <v>6612</v>
      </c>
      <c r="E3169" s="15">
        <v>4413.3635000000004</v>
      </c>
      <c r="F3169" s="42">
        <v>46198</v>
      </c>
    </row>
    <row r="3170" spans="1:6" x14ac:dyDescent="0.3">
      <c r="A3170" s="15" t="s">
        <v>33499</v>
      </c>
      <c r="B3170" s="15" t="s">
        <v>795</v>
      </c>
      <c r="C3170" s="15" t="s">
        <v>795</v>
      </c>
      <c r="D3170" s="15" t="s">
        <v>795</v>
      </c>
      <c r="F3170" s="42"/>
    </row>
    <row r="3171" spans="1:6" x14ac:dyDescent="0.3">
      <c r="A3171" s="15" t="s">
        <v>37523</v>
      </c>
      <c r="B3171" s="15" t="s">
        <v>795</v>
      </c>
      <c r="C3171" s="15" t="s">
        <v>795</v>
      </c>
      <c r="D3171" s="15" t="s">
        <v>795</v>
      </c>
      <c r="F3171" s="42"/>
    </row>
    <row r="3172" spans="1:6" x14ac:dyDescent="0.3">
      <c r="A3172" s="15" t="s">
        <v>33499</v>
      </c>
      <c r="B3172" s="15" t="s">
        <v>795</v>
      </c>
      <c r="C3172" s="15" t="s">
        <v>795</v>
      </c>
      <c r="D3172" s="15" t="s">
        <v>795</v>
      </c>
      <c r="F3172" s="42"/>
    </row>
    <row r="3173" spans="1:6" x14ac:dyDescent="0.3">
      <c r="A3173" s="15" t="s">
        <v>44498</v>
      </c>
      <c r="B3173" s="15" t="s">
        <v>800</v>
      </c>
      <c r="C3173" s="15" t="s">
        <v>6613</v>
      </c>
      <c r="D3173" s="15" t="s">
        <v>6614</v>
      </c>
      <c r="E3173" s="15">
        <v>1010.4294</v>
      </c>
      <c r="F3173" s="42">
        <v>46198</v>
      </c>
    </row>
    <row r="3174" spans="1:6" x14ac:dyDescent="0.3">
      <c r="A3174" s="15" t="s">
        <v>44497</v>
      </c>
      <c r="B3174" s="15" t="s">
        <v>6615</v>
      </c>
      <c r="C3174" s="15" t="s">
        <v>800</v>
      </c>
      <c r="D3174" s="15" t="s">
        <v>6616</v>
      </c>
      <c r="E3174" s="15">
        <v>1453.3028999999999</v>
      </c>
      <c r="F3174" s="42">
        <v>46198</v>
      </c>
    </row>
    <row r="3175" spans="1:6" x14ac:dyDescent="0.3">
      <c r="A3175" s="15" t="s">
        <v>44496</v>
      </c>
      <c r="B3175" s="15" t="s">
        <v>6617</v>
      </c>
      <c r="C3175" s="15" t="s">
        <v>800</v>
      </c>
      <c r="D3175" s="15" t="s">
        <v>6618</v>
      </c>
      <c r="E3175" s="15">
        <v>1065.2833000000001</v>
      </c>
      <c r="F3175" s="42">
        <v>46198</v>
      </c>
    </row>
    <row r="3176" spans="1:6" x14ac:dyDescent="0.3">
      <c r="A3176" s="15" t="s">
        <v>44495</v>
      </c>
      <c r="B3176" s="15" t="s">
        <v>800</v>
      </c>
      <c r="C3176" s="15" t="s">
        <v>6619</v>
      </c>
      <c r="D3176" s="15" t="s">
        <v>6620</v>
      </c>
      <c r="E3176" s="15">
        <v>1002.2364</v>
      </c>
      <c r="F3176" s="42">
        <v>46198</v>
      </c>
    </row>
    <row r="3177" spans="1:6" x14ac:dyDescent="0.3">
      <c r="A3177" s="15" t="s">
        <v>44494</v>
      </c>
      <c r="B3177" s="15" t="s">
        <v>800</v>
      </c>
      <c r="C3177" s="15" t="s">
        <v>6621</v>
      </c>
      <c r="D3177" s="15" t="s">
        <v>6622</v>
      </c>
      <c r="E3177" s="15">
        <v>1009.0934999999999</v>
      </c>
      <c r="F3177" s="42">
        <v>46198</v>
      </c>
    </row>
    <row r="3178" spans="1:6" x14ac:dyDescent="0.3">
      <c r="A3178" s="15" t="s">
        <v>44493</v>
      </c>
      <c r="B3178" s="15" t="s">
        <v>6623</v>
      </c>
      <c r="C3178" s="15" t="s">
        <v>800</v>
      </c>
      <c r="D3178" s="15" t="s">
        <v>6624</v>
      </c>
      <c r="E3178" s="15">
        <v>1407.2545</v>
      </c>
      <c r="F3178" s="42">
        <v>46198</v>
      </c>
    </row>
    <row r="3179" spans="1:6" x14ac:dyDescent="0.3">
      <c r="A3179" s="15" t="s">
        <v>44492</v>
      </c>
      <c r="B3179" s="15" t="s">
        <v>6625</v>
      </c>
      <c r="C3179" s="15" t="s">
        <v>800</v>
      </c>
      <c r="D3179" s="15" t="s">
        <v>6626</v>
      </c>
      <c r="E3179" s="15">
        <v>1054.9275</v>
      </c>
      <c r="F3179" s="42">
        <v>46198</v>
      </c>
    </row>
    <row r="3180" spans="1:6" x14ac:dyDescent="0.3">
      <c r="A3180" s="15" t="s">
        <v>44491</v>
      </c>
      <c r="B3180" s="15" t="s">
        <v>800</v>
      </c>
      <c r="C3180" s="15" t="s">
        <v>6627</v>
      </c>
      <c r="D3180" s="15" t="s">
        <v>6628</v>
      </c>
      <c r="E3180" s="15">
        <v>1003.1721</v>
      </c>
      <c r="F3180" s="42">
        <v>46198</v>
      </c>
    </row>
    <row r="3181" spans="1:6" x14ac:dyDescent="0.3">
      <c r="A3181" s="15" t="s">
        <v>44490</v>
      </c>
      <c r="B3181" s="15" t="s">
        <v>800</v>
      </c>
      <c r="C3181" s="15" t="s">
        <v>800</v>
      </c>
      <c r="D3181" s="15" t="s">
        <v>6629</v>
      </c>
      <c r="E3181" s="15">
        <v>0</v>
      </c>
      <c r="F3181" s="42">
        <v>46198</v>
      </c>
    </row>
    <row r="3182" spans="1:6" x14ac:dyDescent="0.3">
      <c r="A3182" s="15" t="s">
        <v>44489</v>
      </c>
      <c r="B3182" s="15" t="s">
        <v>800</v>
      </c>
      <c r="C3182" s="15" t="s">
        <v>800</v>
      </c>
      <c r="D3182" s="15" t="s">
        <v>6630</v>
      </c>
      <c r="E3182" s="15">
        <v>0</v>
      </c>
      <c r="F3182" s="42">
        <v>46198</v>
      </c>
    </row>
    <row r="3183" spans="1:6" x14ac:dyDescent="0.3">
      <c r="A3183" s="15" t="s">
        <v>44488</v>
      </c>
      <c r="B3183" s="15" t="s">
        <v>800</v>
      </c>
      <c r="C3183" s="15" t="s">
        <v>800</v>
      </c>
      <c r="D3183" s="15" t="s">
        <v>6631</v>
      </c>
      <c r="E3183" s="15">
        <v>0</v>
      </c>
      <c r="F3183" s="42">
        <v>46198</v>
      </c>
    </row>
    <row r="3184" spans="1:6" x14ac:dyDescent="0.3">
      <c r="A3184" s="15" t="s">
        <v>44487</v>
      </c>
      <c r="B3184" s="15" t="s">
        <v>800</v>
      </c>
      <c r="C3184" s="15" t="s">
        <v>800</v>
      </c>
      <c r="D3184" s="15" t="s">
        <v>6632</v>
      </c>
      <c r="E3184" s="15">
        <v>0</v>
      </c>
      <c r="F3184" s="42">
        <v>46198</v>
      </c>
    </row>
    <row r="3185" spans="1:6" x14ac:dyDescent="0.3">
      <c r="A3185" s="15" t="s">
        <v>44486</v>
      </c>
      <c r="B3185" s="15" t="s">
        <v>800</v>
      </c>
      <c r="C3185" s="15" t="s">
        <v>800</v>
      </c>
      <c r="D3185" s="15" t="s">
        <v>6633</v>
      </c>
      <c r="E3185" s="15">
        <v>0</v>
      </c>
      <c r="F3185" s="42">
        <v>46198</v>
      </c>
    </row>
    <row r="3186" spans="1:6" x14ac:dyDescent="0.3">
      <c r="A3186" s="15" t="s">
        <v>44485</v>
      </c>
      <c r="B3186" s="15" t="s">
        <v>800</v>
      </c>
      <c r="C3186" s="15" t="s">
        <v>800</v>
      </c>
      <c r="D3186" s="15" t="s">
        <v>6634</v>
      </c>
      <c r="E3186" s="15">
        <v>0</v>
      </c>
      <c r="F3186" s="42">
        <v>46198</v>
      </c>
    </row>
    <row r="3187" spans="1:6" x14ac:dyDescent="0.3">
      <c r="A3187" s="15" t="s">
        <v>44484</v>
      </c>
      <c r="B3187" s="15" t="s">
        <v>800</v>
      </c>
      <c r="C3187" s="15" t="s">
        <v>800</v>
      </c>
      <c r="D3187" s="15" t="s">
        <v>6635</v>
      </c>
      <c r="E3187" s="15">
        <v>0</v>
      </c>
      <c r="F3187" s="42">
        <v>46198</v>
      </c>
    </row>
    <row r="3188" spans="1:6" x14ac:dyDescent="0.3">
      <c r="A3188" s="15" t="s">
        <v>44483</v>
      </c>
      <c r="B3188" s="15" t="s">
        <v>800</v>
      </c>
      <c r="C3188" s="15" t="s">
        <v>800</v>
      </c>
      <c r="D3188" s="15" t="s">
        <v>6636</v>
      </c>
      <c r="E3188" s="15">
        <v>0</v>
      </c>
      <c r="F3188" s="42">
        <v>46198</v>
      </c>
    </row>
    <row r="3189" spans="1:6" x14ac:dyDescent="0.3">
      <c r="A3189" s="15" t="s">
        <v>33499</v>
      </c>
      <c r="B3189" s="15" t="s">
        <v>795</v>
      </c>
      <c r="C3189" s="15" t="s">
        <v>795</v>
      </c>
      <c r="D3189" s="15" t="s">
        <v>795</v>
      </c>
      <c r="F3189" s="42"/>
    </row>
    <row r="3190" spans="1:6" x14ac:dyDescent="0.3">
      <c r="A3190" s="15" t="s">
        <v>33636</v>
      </c>
      <c r="B3190" s="15" t="s">
        <v>795</v>
      </c>
      <c r="C3190" s="15" t="s">
        <v>795</v>
      </c>
      <c r="D3190" s="15" t="s">
        <v>795</v>
      </c>
      <c r="F3190" s="42"/>
    </row>
    <row r="3191" spans="1:6" x14ac:dyDescent="0.3">
      <c r="A3191" s="15" t="s">
        <v>33499</v>
      </c>
      <c r="B3191" s="15" t="s">
        <v>795</v>
      </c>
      <c r="C3191" s="15" t="s">
        <v>795</v>
      </c>
      <c r="D3191" s="15" t="s">
        <v>795</v>
      </c>
      <c r="F3191" s="42"/>
    </row>
    <row r="3192" spans="1:6" x14ac:dyDescent="0.3">
      <c r="A3192" s="15" t="s">
        <v>44482</v>
      </c>
      <c r="B3192" s="15" t="s">
        <v>6637</v>
      </c>
      <c r="C3192" s="15" t="s">
        <v>800</v>
      </c>
      <c r="D3192" s="15" t="s">
        <v>6638</v>
      </c>
      <c r="E3192" s="15">
        <v>47.306100000000001</v>
      </c>
      <c r="F3192" s="42">
        <v>46198</v>
      </c>
    </row>
    <row r="3193" spans="1:6" x14ac:dyDescent="0.3">
      <c r="A3193" s="15" t="s">
        <v>44481</v>
      </c>
      <c r="B3193" s="15" t="s">
        <v>6639</v>
      </c>
      <c r="C3193" s="15" t="s">
        <v>800</v>
      </c>
      <c r="D3193" s="15" t="s">
        <v>6640</v>
      </c>
      <c r="E3193" s="15">
        <v>43.918300000000002</v>
      </c>
      <c r="F3193" s="42">
        <v>46198</v>
      </c>
    </row>
    <row r="3194" spans="1:6" x14ac:dyDescent="0.3">
      <c r="A3194" s="15" t="s">
        <v>44480</v>
      </c>
      <c r="B3194" s="15" t="s">
        <v>6641</v>
      </c>
      <c r="C3194" s="15" t="s">
        <v>6642</v>
      </c>
      <c r="D3194" s="15" t="s">
        <v>6643</v>
      </c>
      <c r="E3194" s="15">
        <v>18.750800000000002</v>
      </c>
      <c r="F3194" s="42">
        <v>46198</v>
      </c>
    </row>
    <row r="3195" spans="1:6" x14ac:dyDescent="0.3">
      <c r="A3195" s="15" t="s">
        <v>44479</v>
      </c>
      <c r="B3195" s="15" t="s">
        <v>800</v>
      </c>
      <c r="C3195" s="15" t="s">
        <v>6644</v>
      </c>
      <c r="D3195" s="15" t="s">
        <v>6645</v>
      </c>
      <c r="E3195" s="15">
        <v>14.771599999999999</v>
      </c>
      <c r="F3195" s="42">
        <v>46198</v>
      </c>
    </row>
    <row r="3196" spans="1:6" x14ac:dyDescent="0.3">
      <c r="A3196" s="15" t="s">
        <v>44478</v>
      </c>
      <c r="B3196" s="15" t="s">
        <v>6646</v>
      </c>
      <c r="C3196" s="15" t="s">
        <v>6647</v>
      </c>
      <c r="D3196" s="15" t="s">
        <v>6648</v>
      </c>
      <c r="E3196" s="15">
        <v>16.912800000000001</v>
      </c>
      <c r="F3196" s="42">
        <v>46198</v>
      </c>
    </row>
    <row r="3197" spans="1:6" x14ac:dyDescent="0.3">
      <c r="A3197" s="15" t="s">
        <v>44477</v>
      </c>
      <c r="B3197" s="15" t="s">
        <v>6649</v>
      </c>
      <c r="C3197" s="15" t="s">
        <v>6650</v>
      </c>
      <c r="D3197" s="15" t="s">
        <v>6651</v>
      </c>
      <c r="E3197" s="15">
        <v>17.3171</v>
      </c>
      <c r="F3197" s="42">
        <v>46198</v>
      </c>
    </row>
    <row r="3198" spans="1:6" x14ac:dyDescent="0.3">
      <c r="A3198" s="15" t="s">
        <v>44476</v>
      </c>
      <c r="B3198" s="15" t="s">
        <v>800</v>
      </c>
      <c r="C3198" s="15" t="s">
        <v>6652</v>
      </c>
      <c r="D3198" s="15" t="s">
        <v>6653</v>
      </c>
      <c r="E3198" s="15">
        <v>14.316000000000001</v>
      </c>
      <c r="F3198" s="42">
        <v>46198</v>
      </c>
    </row>
    <row r="3199" spans="1:6" x14ac:dyDescent="0.3">
      <c r="A3199" s="15" t="s">
        <v>44475</v>
      </c>
      <c r="B3199" s="15" t="s">
        <v>6654</v>
      </c>
      <c r="C3199" s="15" t="s">
        <v>6655</v>
      </c>
      <c r="D3199" s="15" t="s">
        <v>6656</v>
      </c>
      <c r="E3199" s="15">
        <v>16.1938</v>
      </c>
      <c r="F3199" s="42">
        <v>46198</v>
      </c>
    </row>
    <row r="3200" spans="1:6" x14ac:dyDescent="0.3">
      <c r="A3200" s="15" t="s">
        <v>33499</v>
      </c>
      <c r="B3200" s="15" t="s">
        <v>795</v>
      </c>
      <c r="C3200" s="15" t="s">
        <v>795</v>
      </c>
      <c r="D3200" s="15" t="s">
        <v>795</v>
      </c>
      <c r="F3200" s="42"/>
    </row>
    <row r="3201" spans="1:6" x14ac:dyDescent="0.3">
      <c r="A3201" s="15" t="s">
        <v>37664</v>
      </c>
      <c r="B3201" s="15" t="s">
        <v>795</v>
      </c>
      <c r="C3201" s="15" t="s">
        <v>795</v>
      </c>
      <c r="D3201" s="15" t="s">
        <v>795</v>
      </c>
      <c r="F3201" s="42"/>
    </row>
    <row r="3202" spans="1:6" x14ac:dyDescent="0.3">
      <c r="A3202" s="15" t="s">
        <v>33499</v>
      </c>
      <c r="B3202" s="15" t="s">
        <v>795</v>
      </c>
      <c r="C3202" s="15" t="s">
        <v>795</v>
      </c>
      <c r="D3202" s="15" t="s">
        <v>795</v>
      </c>
      <c r="F3202" s="42"/>
    </row>
    <row r="3203" spans="1:6" x14ac:dyDescent="0.3">
      <c r="A3203" s="15" t="s">
        <v>44474</v>
      </c>
      <c r="B3203" s="15" t="s">
        <v>6657</v>
      </c>
      <c r="C3203" s="15" t="s">
        <v>800</v>
      </c>
      <c r="D3203" s="15" t="s">
        <v>6658</v>
      </c>
      <c r="E3203" s="15">
        <v>1027.4226000000001</v>
      </c>
      <c r="F3203" s="42">
        <v>46198</v>
      </c>
    </row>
    <row r="3204" spans="1:6" x14ac:dyDescent="0.3">
      <c r="A3204" s="15" t="s">
        <v>44473</v>
      </c>
      <c r="B3204" s="15" t="s">
        <v>6659</v>
      </c>
      <c r="C3204" s="15" t="s">
        <v>800</v>
      </c>
      <c r="D3204" s="15" t="s">
        <v>6660</v>
      </c>
      <c r="E3204" s="15">
        <v>1026.4253000000001</v>
      </c>
      <c r="F3204" s="42">
        <v>46198</v>
      </c>
    </row>
    <row r="3205" spans="1:6" x14ac:dyDescent="0.3">
      <c r="A3205" s="15" t="s">
        <v>33499</v>
      </c>
      <c r="B3205" s="15" t="s">
        <v>795</v>
      </c>
      <c r="C3205" s="15" t="s">
        <v>795</v>
      </c>
      <c r="D3205" s="15" t="s">
        <v>795</v>
      </c>
      <c r="F3205" s="42"/>
    </row>
    <row r="3206" spans="1:6" x14ac:dyDescent="0.3">
      <c r="A3206" s="15" t="s">
        <v>37414</v>
      </c>
      <c r="B3206" s="15" t="s">
        <v>795</v>
      </c>
      <c r="C3206" s="15" t="s">
        <v>795</v>
      </c>
      <c r="D3206" s="15" t="s">
        <v>795</v>
      </c>
      <c r="F3206" s="42"/>
    </row>
    <row r="3207" spans="1:6" x14ac:dyDescent="0.3">
      <c r="A3207" s="15" t="s">
        <v>33499</v>
      </c>
      <c r="B3207" s="15" t="s">
        <v>795</v>
      </c>
      <c r="C3207" s="15" t="s">
        <v>795</v>
      </c>
      <c r="D3207" s="15" t="s">
        <v>795</v>
      </c>
      <c r="F3207" s="42"/>
    </row>
    <row r="3208" spans="1:6" x14ac:dyDescent="0.3">
      <c r="A3208" s="15" t="s">
        <v>44472</v>
      </c>
      <c r="B3208" s="15" t="s">
        <v>800</v>
      </c>
      <c r="C3208" s="15" t="s">
        <v>6661</v>
      </c>
      <c r="D3208" s="15" t="s">
        <v>6662</v>
      </c>
      <c r="E3208" s="15">
        <v>10.061999999999999</v>
      </c>
      <c r="F3208" s="42">
        <v>45471</v>
      </c>
    </row>
    <row r="3209" spans="1:6" x14ac:dyDescent="0.3">
      <c r="A3209" s="15" t="s">
        <v>44471</v>
      </c>
      <c r="B3209" s="15" t="s">
        <v>800</v>
      </c>
      <c r="C3209" s="15" t="s">
        <v>6663</v>
      </c>
      <c r="D3209" s="15" t="s">
        <v>6664</v>
      </c>
      <c r="E3209" s="15">
        <v>10.3782</v>
      </c>
      <c r="F3209" s="42">
        <v>45103</v>
      </c>
    </row>
    <row r="3210" spans="1:6" x14ac:dyDescent="0.3">
      <c r="A3210" s="15" t="s">
        <v>44470</v>
      </c>
      <c r="B3210" s="15" t="s">
        <v>6665</v>
      </c>
      <c r="C3210" s="15" t="s">
        <v>800</v>
      </c>
      <c r="D3210" s="15" t="s">
        <v>6666</v>
      </c>
      <c r="E3210" s="15">
        <v>16.0642</v>
      </c>
      <c r="F3210" s="42">
        <v>46198</v>
      </c>
    </row>
    <row r="3211" spans="1:6" x14ac:dyDescent="0.3">
      <c r="A3211" s="15" t="s">
        <v>44469</v>
      </c>
      <c r="B3211" s="15" t="s">
        <v>6667</v>
      </c>
      <c r="C3211" s="15" t="s">
        <v>800</v>
      </c>
      <c r="D3211" s="15" t="s">
        <v>6668</v>
      </c>
      <c r="E3211" s="15">
        <v>11.2948</v>
      </c>
      <c r="F3211" s="42">
        <v>46198</v>
      </c>
    </row>
    <row r="3212" spans="1:6" x14ac:dyDescent="0.3">
      <c r="A3212" s="15" t="s">
        <v>44468</v>
      </c>
      <c r="B3212" s="15" t="s">
        <v>800</v>
      </c>
      <c r="C3212" s="15" t="s">
        <v>6669</v>
      </c>
      <c r="D3212" s="15" t="s">
        <v>6670</v>
      </c>
      <c r="E3212" s="15">
        <v>11.2948</v>
      </c>
      <c r="F3212" s="42">
        <v>46198</v>
      </c>
    </row>
    <row r="3213" spans="1:6" x14ac:dyDescent="0.3">
      <c r="A3213" s="15" t="s">
        <v>44467</v>
      </c>
      <c r="B3213" s="15" t="s">
        <v>800</v>
      </c>
      <c r="C3213" s="15" t="s">
        <v>6671</v>
      </c>
      <c r="D3213" s="15" t="s">
        <v>6672</v>
      </c>
      <c r="E3213" s="15">
        <v>10.4933</v>
      </c>
      <c r="F3213" s="42">
        <v>45177</v>
      </c>
    </row>
    <row r="3214" spans="1:6" x14ac:dyDescent="0.3">
      <c r="A3214" s="15" t="s">
        <v>44466</v>
      </c>
      <c r="B3214" s="15" t="s">
        <v>6673</v>
      </c>
      <c r="C3214" s="15" t="s">
        <v>800</v>
      </c>
      <c r="D3214" s="15" t="s">
        <v>6674</v>
      </c>
      <c r="E3214" s="15">
        <v>12.742599999999999</v>
      </c>
      <c r="F3214" s="42">
        <v>45835</v>
      </c>
    </row>
    <row r="3215" spans="1:6" x14ac:dyDescent="0.3">
      <c r="A3215" s="15" t="s">
        <v>44465</v>
      </c>
      <c r="B3215" s="15" t="s">
        <v>800</v>
      </c>
      <c r="C3215" s="15" t="s">
        <v>6675</v>
      </c>
      <c r="D3215" s="15" t="s">
        <v>6676</v>
      </c>
      <c r="E3215" s="15">
        <v>12.742599999999999</v>
      </c>
      <c r="F3215" s="42">
        <v>45835</v>
      </c>
    </row>
    <row r="3216" spans="1:6" x14ac:dyDescent="0.3">
      <c r="A3216" s="15" t="s">
        <v>44464</v>
      </c>
      <c r="B3216" s="15" t="s">
        <v>800</v>
      </c>
      <c r="C3216" s="15" t="s">
        <v>6677</v>
      </c>
      <c r="D3216" s="15" t="s">
        <v>6678</v>
      </c>
      <c r="E3216" s="15">
        <v>10.061999999999999</v>
      </c>
      <c r="F3216" s="42">
        <v>45471</v>
      </c>
    </row>
    <row r="3217" spans="1:6" x14ac:dyDescent="0.3">
      <c r="A3217" s="15" t="s">
        <v>44463</v>
      </c>
      <c r="B3217" s="15" t="s">
        <v>800</v>
      </c>
      <c r="C3217" s="15" t="s">
        <v>6679</v>
      </c>
      <c r="D3217" s="15" t="s">
        <v>6680</v>
      </c>
      <c r="E3217" s="15">
        <v>11.231999999999999</v>
      </c>
      <c r="F3217" s="42">
        <v>45449</v>
      </c>
    </row>
    <row r="3218" spans="1:6" x14ac:dyDescent="0.3">
      <c r="A3218" s="15" t="s">
        <v>44462</v>
      </c>
      <c r="B3218" s="15" t="s">
        <v>6681</v>
      </c>
      <c r="C3218" s="15" t="s">
        <v>800</v>
      </c>
      <c r="D3218" s="15" t="s">
        <v>6682</v>
      </c>
      <c r="E3218" s="15">
        <v>15.934799999999999</v>
      </c>
      <c r="F3218" s="42">
        <v>46198</v>
      </c>
    </row>
    <row r="3219" spans="1:6" x14ac:dyDescent="0.3">
      <c r="A3219" s="15" t="s">
        <v>44461</v>
      </c>
      <c r="B3219" s="15" t="s">
        <v>6683</v>
      </c>
      <c r="C3219" s="15" t="s">
        <v>800</v>
      </c>
      <c r="D3219" s="15" t="s">
        <v>6684</v>
      </c>
      <c r="E3219" s="15">
        <v>12.6568</v>
      </c>
      <c r="F3219" s="42">
        <v>45835</v>
      </c>
    </row>
    <row r="3220" spans="1:6" x14ac:dyDescent="0.3">
      <c r="A3220" s="15" t="s">
        <v>44460</v>
      </c>
      <c r="B3220" s="15" t="s">
        <v>800</v>
      </c>
      <c r="C3220" s="15" t="s">
        <v>6685</v>
      </c>
      <c r="D3220" s="15" t="s">
        <v>6686</v>
      </c>
      <c r="E3220" s="15">
        <v>10.494400000000001</v>
      </c>
      <c r="F3220" s="42">
        <v>45471</v>
      </c>
    </row>
    <row r="3221" spans="1:6" x14ac:dyDescent="0.3">
      <c r="A3221" s="15" t="s">
        <v>44459</v>
      </c>
      <c r="B3221" s="15" t="s">
        <v>800</v>
      </c>
      <c r="C3221" s="15" t="s">
        <v>6687</v>
      </c>
      <c r="D3221" s="15" t="s">
        <v>6688</v>
      </c>
      <c r="E3221" s="15">
        <v>12.6568</v>
      </c>
      <c r="F3221" s="42">
        <v>45835</v>
      </c>
    </row>
    <row r="3222" spans="1:6" x14ac:dyDescent="0.3">
      <c r="A3222" s="15" t="s">
        <v>44458</v>
      </c>
      <c r="B3222" s="15" t="s">
        <v>800</v>
      </c>
      <c r="C3222" s="15" t="s">
        <v>6689</v>
      </c>
      <c r="D3222" s="15" t="s">
        <v>6690</v>
      </c>
      <c r="E3222" s="15">
        <v>11.251200000000001</v>
      </c>
      <c r="F3222" s="42">
        <v>46198</v>
      </c>
    </row>
    <row r="3223" spans="1:6" x14ac:dyDescent="0.3">
      <c r="A3223" s="15" t="s">
        <v>44457</v>
      </c>
      <c r="B3223" s="15" t="s">
        <v>6691</v>
      </c>
      <c r="C3223" s="15" t="s">
        <v>800</v>
      </c>
      <c r="D3223" s="15" t="s">
        <v>6692</v>
      </c>
      <c r="E3223" s="15">
        <v>11.251200000000001</v>
      </c>
      <c r="F3223" s="42">
        <v>46198</v>
      </c>
    </row>
    <row r="3224" spans="1:6" x14ac:dyDescent="0.3">
      <c r="A3224" s="15" t="s">
        <v>33499</v>
      </c>
      <c r="B3224" s="15" t="s">
        <v>795</v>
      </c>
      <c r="C3224" s="15" t="s">
        <v>795</v>
      </c>
      <c r="D3224" s="15" t="s">
        <v>795</v>
      </c>
      <c r="F3224" s="42"/>
    </row>
    <row r="3225" spans="1:6" x14ac:dyDescent="0.3">
      <c r="A3225" s="15" t="s">
        <v>33519</v>
      </c>
      <c r="B3225" s="15" t="s">
        <v>795</v>
      </c>
      <c r="C3225" s="15" t="s">
        <v>795</v>
      </c>
      <c r="D3225" s="15" t="s">
        <v>795</v>
      </c>
      <c r="F3225" s="42"/>
    </row>
    <row r="3226" spans="1:6" x14ac:dyDescent="0.3">
      <c r="A3226" s="15" t="s">
        <v>33499</v>
      </c>
      <c r="B3226" s="15" t="s">
        <v>795</v>
      </c>
      <c r="C3226" s="15" t="s">
        <v>795</v>
      </c>
      <c r="D3226" s="15" t="s">
        <v>795</v>
      </c>
      <c r="F3226" s="42"/>
    </row>
    <row r="3227" spans="1:6" x14ac:dyDescent="0.3">
      <c r="A3227" s="15" t="s">
        <v>44456</v>
      </c>
      <c r="B3227" s="15" t="s">
        <v>800</v>
      </c>
      <c r="C3227" s="15" t="s">
        <v>6693</v>
      </c>
      <c r="D3227" s="15" t="s">
        <v>6694</v>
      </c>
      <c r="E3227" s="15">
        <v>1114.52</v>
      </c>
      <c r="F3227" s="42">
        <v>46198</v>
      </c>
    </row>
    <row r="3228" spans="1:6" x14ac:dyDescent="0.3">
      <c r="A3228" s="15" t="s">
        <v>44455</v>
      </c>
      <c r="B3228" s="15" t="s">
        <v>6695</v>
      </c>
      <c r="C3228" s="15" t="s">
        <v>800</v>
      </c>
      <c r="D3228" s="15" t="s">
        <v>6696</v>
      </c>
      <c r="E3228" s="15">
        <v>5128.5321000000004</v>
      </c>
      <c r="F3228" s="42">
        <v>46198</v>
      </c>
    </row>
    <row r="3229" spans="1:6" x14ac:dyDescent="0.3">
      <c r="A3229" s="15" t="s">
        <v>44454</v>
      </c>
      <c r="B3229" s="15" t="s">
        <v>800</v>
      </c>
      <c r="C3229" s="15" t="s">
        <v>6697</v>
      </c>
      <c r="D3229" s="15" t="s">
        <v>6698</v>
      </c>
      <c r="E3229" s="15">
        <v>1114.52</v>
      </c>
      <c r="F3229" s="42">
        <v>46198</v>
      </c>
    </row>
    <row r="3230" spans="1:6" x14ac:dyDescent="0.3">
      <c r="A3230" s="15" t="s">
        <v>44453</v>
      </c>
      <c r="B3230" s="15" t="s">
        <v>6699</v>
      </c>
      <c r="C3230" s="15" t="s">
        <v>800</v>
      </c>
      <c r="D3230" s="15" t="s">
        <v>6700</v>
      </c>
      <c r="E3230" s="15">
        <v>5022.1854999999996</v>
      </c>
      <c r="F3230" s="42">
        <v>46198</v>
      </c>
    </row>
    <row r="3231" spans="1:6" x14ac:dyDescent="0.3">
      <c r="A3231" s="15" t="s">
        <v>33499</v>
      </c>
      <c r="B3231" s="15" t="s">
        <v>795</v>
      </c>
      <c r="C3231" s="15" t="s">
        <v>795</v>
      </c>
      <c r="D3231" s="15" t="s">
        <v>795</v>
      </c>
      <c r="F3231" s="42"/>
    </row>
    <row r="3232" spans="1:6" x14ac:dyDescent="0.3">
      <c r="A3232" s="15" t="s">
        <v>33508</v>
      </c>
      <c r="B3232" s="15" t="s">
        <v>795</v>
      </c>
      <c r="C3232" s="15" t="s">
        <v>795</v>
      </c>
      <c r="D3232" s="15" t="s">
        <v>795</v>
      </c>
      <c r="F3232" s="42"/>
    </row>
    <row r="3233" spans="1:6" x14ac:dyDescent="0.3">
      <c r="A3233" s="15" t="s">
        <v>33499</v>
      </c>
      <c r="B3233" s="15" t="s">
        <v>795</v>
      </c>
      <c r="C3233" s="15" t="s">
        <v>795</v>
      </c>
      <c r="D3233" s="15" t="s">
        <v>795</v>
      </c>
      <c r="F3233" s="42"/>
    </row>
    <row r="3234" spans="1:6" x14ac:dyDescent="0.3">
      <c r="A3234" s="15" t="s">
        <v>44452</v>
      </c>
      <c r="B3234" s="15" t="s">
        <v>6701</v>
      </c>
      <c r="C3234" s="15" t="s">
        <v>800</v>
      </c>
      <c r="D3234" s="15" t="s">
        <v>6702</v>
      </c>
      <c r="E3234" s="15">
        <v>1303.4888000000001</v>
      </c>
      <c r="F3234" s="42">
        <v>46198</v>
      </c>
    </row>
    <row r="3235" spans="1:6" x14ac:dyDescent="0.3">
      <c r="A3235" s="15" t="s">
        <v>44451</v>
      </c>
      <c r="B3235" s="15" t="s">
        <v>6703</v>
      </c>
      <c r="C3235" s="15" t="s">
        <v>6704</v>
      </c>
      <c r="D3235" s="15" t="s">
        <v>6705</v>
      </c>
      <c r="E3235" s="15">
        <v>1158.0353</v>
      </c>
      <c r="F3235" s="42">
        <v>46198</v>
      </c>
    </row>
    <row r="3236" spans="1:6" x14ac:dyDescent="0.3">
      <c r="A3236" s="15" t="s">
        <v>44450</v>
      </c>
      <c r="B3236" s="15" t="s">
        <v>6706</v>
      </c>
      <c r="C3236" s="15" t="s">
        <v>800</v>
      </c>
      <c r="D3236" s="15" t="s">
        <v>6707</v>
      </c>
      <c r="E3236" s="15">
        <v>1293.1366</v>
      </c>
      <c r="F3236" s="42">
        <v>46198</v>
      </c>
    </row>
    <row r="3237" spans="1:6" x14ac:dyDescent="0.3">
      <c r="A3237" s="15" t="s">
        <v>44449</v>
      </c>
      <c r="B3237" s="15" t="s">
        <v>6708</v>
      </c>
      <c r="C3237" s="15" t="s">
        <v>6709</v>
      </c>
      <c r="D3237" s="15" t="s">
        <v>6710</v>
      </c>
      <c r="E3237" s="15">
        <v>1148.405</v>
      </c>
      <c r="F3237" s="42">
        <v>46198</v>
      </c>
    </row>
    <row r="3238" spans="1:6" x14ac:dyDescent="0.3">
      <c r="A3238" s="15" t="s">
        <v>33499</v>
      </c>
      <c r="B3238" s="15" t="s">
        <v>795</v>
      </c>
      <c r="C3238" s="15" t="s">
        <v>795</v>
      </c>
      <c r="D3238" s="15" t="s">
        <v>795</v>
      </c>
      <c r="F3238" s="42"/>
    </row>
    <row r="3239" spans="1:6" x14ac:dyDescent="0.3">
      <c r="A3239" s="15" t="s">
        <v>33504</v>
      </c>
      <c r="B3239" s="15" t="s">
        <v>795</v>
      </c>
      <c r="C3239" s="15" t="s">
        <v>795</v>
      </c>
      <c r="D3239" s="15" t="s">
        <v>795</v>
      </c>
      <c r="F3239" s="42"/>
    </row>
    <row r="3240" spans="1:6" x14ac:dyDescent="0.3">
      <c r="A3240" s="15" t="s">
        <v>33499</v>
      </c>
      <c r="B3240" s="15" t="s">
        <v>795</v>
      </c>
      <c r="C3240" s="15" t="s">
        <v>795</v>
      </c>
      <c r="D3240" s="15" t="s">
        <v>795</v>
      </c>
      <c r="F3240" s="42"/>
    </row>
    <row r="3241" spans="1:6" x14ac:dyDescent="0.3">
      <c r="A3241" s="15" t="s">
        <v>44448</v>
      </c>
      <c r="B3241" s="15" t="s">
        <v>6711</v>
      </c>
      <c r="C3241" s="15" t="s">
        <v>800</v>
      </c>
      <c r="D3241" s="15" t="s">
        <v>6712</v>
      </c>
      <c r="E3241" s="15">
        <v>1349.3525</v>
      </c>
      <c r="F3241" s="42">
        <v>46198</v>
      </c>
    </row>
    <row r="3242" spans="1:6" x14ac:dyDescent="0.3">
      <c r="A3242" s="15" t="s">
        <v>44447</v>
      </c>
      <c r="B3242" s="15" t="s">
        <v>6713</v>
      </c>
      <c r="C3242" s="15" t="s">
        <v>6714</v>
      </c>
      <c r="D3242" s="15" t="s">
        <v>6715</v>
      </c>
      <c r="E3242" s="15">
        <v>1019.0354</v>
      </c>
      <c r="F3242" s="42">
        <v>46198</v>
      </c>
    </row>
    <row r="3243" spans="1:6" x14ac:dyDescent="0.3">
      <c r="A3243" s="15" t="s">
        <v>44446</v>
      </c>
      <c r="B3243" s="15" t="s">
        <v>800</v>
      </c>
      <c r="C3243" s="15" t="s">
        <v>6716</v>
      </c>
      <c r="D3243" s="15" t="s">
        <v>6717</v>
      </c>
      <c r="E3243" s="15">
        <v>1000.2588</v>
      </c>
      <c r="F3243" s="42">
        <v>44491</v>
      </c>
    </row>
    <row r="3244" spans="1:6" x14ac:dyDescent="0.3">
      <c r="A3244" s="15" t="s">
        <v>44445</v>
      </c>
      <c r="B3244" s="15" t="s">
        <v>800</v>
      </c>
      <c r="C3244" s="15" t="s">
        <v>6718</v>
      </c>
      <c r="D3244" s="15" t="s">
        <v>6719</v>
      </c>
      <c r="E3244" s="15">
        <v>1000.0024</v>
      </c>
      <c r="F3244" s="42">
        <v>44456</v>
      </c>
    </row>
    <row r="3245" spans="1:6" x14ac:dyDescent="0.3">
      <c r="A3245" s="15" t="s">
        <v>44444</v>
      </c>
      <c r="B3245" s="15" t="s">
        <v>6720</v>
      </c>
      <c r="C3245" s="15" t="s">
        <v>800</v>
      </c>
      <c r="D3245" s="15" t="s">
        <v>6721</v>
      </c>
      <c r="E3245" s="15">
        <v>1304.0929000000001</v>
      </c>
      <c r="F3245" s="42">
        <v>46198</v>
      </c>
    </row>
    <row r="3246" spans="1:6" x14ac:dyDescent="0.3">
      <c r="A3246" s="15" t="s">
        <v>44443</v>
      </c>
      <c r="B3246" s="15" t="s">
        <v>6722</v>
      </c>
      <c r="C3246" s="15" t="s">
        <v>6723</v>
      </c>
      <c r="D3246" s="15" t="s">
        <v>6724</v>
      </c>
      <c r="E3246" s="15">
        <v>1000.9295</v>
      </c>
      <c r="F3246" s="42">
        <v>46111</v>
      </c>
    </row>
    <row r="3247" spans="1:6" x14ac:dyDescent="0.3">
      <c r="A3247" s="15" t="s">
        <v>44442</v>
      </c>
      <c r="B3247" s="15" t="s">
        <v>800</v>
      </c>
      <c r="C3247" s="15" t="s">
        <v>6725</v>
      </c>
      <c r="D3247" s="15" t="s">
        <v>6726</v>
      </c>
      <c r="E3247" s="15">
        <v>1002.2894</v>
      </c>
      <c r="F3247" s="42">
        <v>45819</v>
      </c>
    </row>
    <row r="3248" spans="1:6" x14ac:dyDescent="0.3">
      <c r="A3248" s="15" t="s">
        <v>44441</v>
      </c>
      <c r="B3248" s="15" t="s">
        <v>800</v>
      </c>
      <c r="C3248" s="15" t="s">
        <v>6727</v>
      </c>
      <c r="D3248" s="15" t="s">
        <v>6728</v>
      </c>
      <c r="E3248" s="15">
        <v>1002.29</v>
      </c>
      <c r="F3248" s="42">
        <v>46198</v>
      </c>
    </row>
    <row r="3249" spans="1:6" x14ac:dyDescent="0.3">
      <c r="A3249" s="15" t="s">
        <v>33499</v>
      </c>
      <c r="B3249" s="15" t="s">
        <v>795</v>
      </c>
      <c r="C3249" s="15" t="s">
        <v>795</v>
      </c>
      <c r="D3249" s="15" t="s">
        <v>795</v>
      </c>
      <c r="F3249" s="42"/>
    </row>
    <row r="3250" spans="1:6" x14ac:dyDescent="0.3">
      <c r="A3250" s="15" t="s">
        <v>33500</v>
      </c>
      <c r="B3250" s="15" t="s">
        <v>795</v>
      </c>
      <c r="C3250" s="15" t="s">
        <v>795</v>
      </c>
      <c r="D3250" s="15" t="s">
        <v>795</v>
      </c>
      <c r="F3250" s="42"/>
    </row>
    <row r="3251" spans="1:6" x14ac:dyDescent="0.3">
      <c r="A3251" s="15" t="s">
        <v>33499</v>
      </c>
      <c r="B3251" s="15" t="s">
        <v>795</v>
      </c>
      <c r="C3251" s="15" t="s">
        <v>795</v>
      </c>
      <c r="D3251" s="15" t="s">
        <v>795</v>
      </c>
      <c r="F3251" s="42"/>
    </row>
    <row r="3252" spans="1:6" x14ac:dyDescent="0.3">
      <c r="A3252" s="15" t="s">
        <v>44440</v>
      </c>
      <c r="B3252" s="15" t="s">
        <v>6729</v>
      </c>
      <c r="C3252" s="15" t="s">
        <v>800</v>
      </c>
      <c r="D3252" s="15" t="s">
        <v>6730</v>
      </c>
      <c r="E3252" s="15">
        <v>3323.3044</v>
      </c>
      <c r="F3252" s="42">
        <v>46198</v>
      </c>
    </row>
    <row r="3253" spans="1:6" x14ac:dyDescent="0.3">
      <c r="A3253" s="15" t="s">
        <v>44439</v>
      </c>
      <c r="B3253" s="15" t="s">
        <v>6731</v>
      </c>
      <c r="C3253" s="15" t="s">
        <v>6732</v>
      </c>
      <c r="D3253" s="15" t="s">
        <v>6733</v>
      </c>
      <c r="E3253" s="15">
        <v>1269.44</v>
      </c>
      <c r="F3253" s="42">
        <v>46198</v>
      </c>
    </row>
    <row r="3254" spans="1:6" x14ac:dyDescent="0.3">
      <c r="A3254" s="15" t="s">
        <v>44438</v>
      </c>
      <c r="B3254" s="15" t="s">
        <v>6734</v>
      </c>
      <c r="C3254" s="15" t="s">
        <v>800</v>
      </c>
      <c r="D3254" s="15" t="s">
        <v>6735</v>
      </c>
      <c r="E3254" s="15">
        <v>3280.8049000000001</v>
      </c>
      <c r="F3254" s="42">
        <v>46198</v>
      </c>
    </row>
    <row r="3255" spans="1:6" x14ac:dyDescent="0.3">
      <c r="A3255" s="15" t="s">
        <v>44437</v>
      </c>
      <c r="B3255" s="15" t="s">
        <v>800</v>
      </c>
      <c r="C3255" s="15" t="s">
        <v>6736</v>
      </c>
      <c r="D3255" s="15" t="s">
        <v>6737</v>
      </c>
      <c r="E3255" s="15">
        <v>4090.6410000000001</v>
      </c>
      <c r="F3255" s="42">
        <v>46198</v>
      </c>
    </row>
    <row r="3256" spans="1:6" x14ac:dyDescent="0.3">
      <c r="A3256" s="15" t="s">
        <v>44436</v>
      </c>
      <c r="B3256" s="15" t="s">
        <v>6738</v>
      </c>
      <c r="C3256" s="15" t="s">
        <v>800</v>
      </c>
      <c r="D3256" s="15" t="s">
        <v>6739</v>
      </c>
      <c r="E3256" s="15">
        <v>2642.9926999999998</v>
      </c>
      <c r="F3256" s="42">
        <v>46198</v>
      </c>
    </row>
    <row r="3257" spans="1:6" x14ac:dyDescent="0.3">
      <c r="A3257" s="15" t="s">
        <v>44435</v>
      </c>
      <c r="B3257" s="15" t="s">
        <v>6740</v>
      </c>
      <c r="C3257" s="15" t="s">
        <v>800</v>
      </c>
      <c r="D3257" s="15" t="s">
        <v>6741</v>
      </c>
      <c r="E3257" s="15">
        <v>7581.0922</v>
      </c>
      <c r="F3257" s="42">
        <v>46198</v>
      </c>
    </row>
    <row r="3258" spans="1:6" x14ac:dyDescent="0.3">
      <c r="A3258" s="15" t="s">
        <v>44434</v>
      </c>
      <c r="B3258" s="15" t="s">
        <v>6742</v>
      </c>
      <c r="C3258" s="15" t="s">
        <v>6743</v>
      </c>
      <c r="D3258" s="15" t="s">
        <v>6744</v>
      </c>
      <c r="E3258" s="15">
        <v>1972.5396000000001</v>
      </c>
      <c r="F3258" s="42">
        <v>46198</v>
      </c>
    </row>
    <row r="3259" spans="1:6" x14ac:dyDescent="0.3">
      <c r="A3259" s="15" t="s">
        <v>44433</v>
      </c>
      <c r="B3259" s="15" t="s">
        <v>800</v>
      </c>
      <c r="C3259" s="15" t="s">
        <v>6745</v>
      </c>
      <c r="D3259" s="15" t="s">
        <v>6746</v>
      </c>
      <c r="E3259" s="15">
        <v>1030.8670999999999</v>
      </c>
      <c r="F3259" s="42">
        <v>46198</v>
      </c>
    </row>
    <row r="3260" spans="1:6" x14ac:dyDescent="0.3">
      <c r="A3260" s="15" t="s">
        <v>44432</v>
      </c>
      <c r="B3260" s="15" t="s">
        <v>6747</v>
      </c>
      <c r="C3260" s="15" t="s">
        <v>6748</v>
      </c>
      <c r="D3260" s="15" t="s">
        <v>6749</v>
      </c>
      <c r="E3260" s="15">
        <v>1703.5041000000001</v>
      </c>
      <c r="F3260" s="42">
        <v>46198</v>
      </c>
    </row>
    <row r="3261" spans="1:6" x14ac:dyDescent="0.3">
      <c r="A3261" s="15" t="s">
        <v>44431</v>
      </c>
      <c r="B3261" s="15" t="s">
        <v>6750</v>
      </c>
      <c r="C3261" s="15" t="s">
        <v>6751</v>
      </c>
      <c r="D3261" s="15" t="s">
        <v>6752</v>
      </c>
      <c r="E3261" s="15">
        <v>1255.8438000000001</v>
      </c>
      <c r="F3261" s="42">
        <v>46198</v>
      </c>
    </row>
    <row r="3262" spans="1:6" x14ac:dyDescent="0.3">
      <c r="A3262" s="15" t="s">
        <v>44430</v>
      </c>
      <c r="B3262" s="15" t="s">
        <v>6753</v>
      </c>
      <c r="C3262" s="15" t="s">
        <v>6754</v>
      </c>
      <c r="D3262" s="15" t="s">
        <v>6755</v>
      </c>
      <c r="E3262" s="15">
        <v>1856.9419</v>
      </c>
      <c r="F3262" s="42">
        <v>46198</v>
      </c>
    </row>
    <row r="3263" spans="1:6" x14ac:dyDescent="0.3">
      <c r="A3263" s="15" t="s">
        <v>44429</v>
      </c>
      <c r="B3263" s="15" t="s">
        <v>6756</v>
      </c>
      <c r="C3263" s="15" t="s">
        <v>6757</v>
      </c>
      <c r="D3263" s="15" t="s">
        <v>6758</v>
      </c>
      <c r="E3263" s="15">
        <v>1626.7616</v>
      </c>
      <c r="F3263" s="42">
        <v>46198</v>
      </c>
    </row>
    <row r="3264" spans="1:6" x14ac:dyDescent="0.3">
      <c r="A3264" s="15" t="s">
        <v>44428</v>
      </c>
      <c r="B3264" s="15" t="s">
        <v>6759</v>
      </c>
      <c r="C3264" s="15" t="s">
        <v>6760</v>
      </c>
      <c r="D3264" s="15" t="s">
        <v>6761</v>
      </c>
      <c r="E3264" s="15">
        <v>1763.3867</v>
      </c>
      <c r="F3264" s="42">
        <v>46198</v>
      </c>
    </row>
    <row r="3265" spans="1:6" x14ac:dyDescent="0.3">
      <c r="A3265" s="15" t="s">
        <v>44427</v>
      </c>
      <c r="B3265" s="15" t="s">
        <v>6762</v>
      </c>
      <c r="C3265" s="15" t="s">
        <v>6763</v>
      </c>
      <c r="D3265" s="15" t="s">
        <v>6764</v>
      </c>
      <c r="E3265" s="15">
        <v>1131.2174</v>
      </c>
      <c r="F3265" s="42">
        <v>46198</v>
      </c>
    </row>
    <row r="3266" spans="1:6" x14ac:dyDescent="0.3">
      <c r="A3266" s="15" t="s">
        <v>44426</v>
      </c>
      <c r="B3266" s="15" t="s">
        <v>6765</v>
      </c>
      <c r="C3266" s="15" t="s">
        <v>6766</v>
      </c>
      <c r="D3266" s="15" t="s">
        <v>6767</v>
      </c>
      <c r="E3266" s="15">
        <v>1954.1255000000001</v>
      </c>
      <c r="F3266" s="42">
        <v>46198</v>
      </c>
    </row>
    <row r="3267" spans="1:6" x14ac:dyDescent="0.3">
      <c r="A3267" s="15" t="s">
        <v>44425</v>
      </c>
      <c r="B3267" s="15" t="s">
        <v>800</v>
      </c>
      <c r="C3267" s="15" t="s">
        <v>6768</v>
      </c>
      <c r="D3267" s="15" t="s">
        <v>6769</v>
      </c>
      <c r="E3267" s="15">
        <v>1065.6960999999999</v>
      </c>
      <c r="F3267" s="42">
        <v>46198</v>
      </c>
    </row>
    <row r="3268" spans="1:6" x14ac:dyDescent="0.3">
      <c r="A3268" s="15" t="s">
        <v>44424</v>
      </c>
      <c r="B3268" s="15" t="s">
        <v>6770</v>
      </c>
      <c r="C3268" s="15" t="s">
        <v>6771</v>
      </c>
      <c r="D3268" s="15" t="s">
        <v>6772</v>
      </c>
      <c r="E3268" s="15">
        <v>1163.5814</v>
      </c>
      <c r="F3268" s="42">
        <v>46198</v>
      </c>
    </row>
    <row r="3269" spans="1:6" x14ac:dyDescent="0.3">
      <c r="A3269" s="15" t="s">
        <v>44423</v>
      </c>
      <c r="B3269" s="15" t="s">
        <v>6773</v>
      </c>
      <c r="C3269" s="15" t="s">
        <v>6774</v>
      </c>
      <c r="D3269" s="15" t="s">
        <v>6775</v>
      </c>
      <c r="E3269" s="15">
        <v>1843.5913</v>
      </c>
      <c r="F3269" s="42">
        <v>46198</v>
      </c>
    </row>
    <row r="3270" spans="1:6" x14ac:dyDescent="0.3">
      <c r="A3270" s="15" t="s">
        <v>44422</v>
      </c>
      <c r="B3270" s="15" t="s">
        <v>6776</v>
      </c>
      <c r="C3270" s="15" t="s">
        <v>6777</v>
      </c>
      <c r="D3270" s="15" t="s">
        <v>6778</v>
      </c>
      <c r="E3270" s="15">
        <v>1045.7139999999999</v>
      </c>
      <c r="F3270" s="42">
        <v>46198</v>
      </c>
    </row>
    <row r="3271" spans="1:6" x14ac:dyDescent="0.3">
      <c r="A3271" s="15" t="s">
        <v>44421</v>
      </c>
      <c r="B3271" s="15" t="s">
        <v>6779</v>
      </c>
      <c r="C3271" s="15" t="s">
        <v>6780</v>
      </c>
      <c r="D3271" s="15" t="s">
        <v>6781</v>
      </c>
      <c r="E3271" s="15">
        <v>1009.9784</v>
      </c>
      <c r="F3271" s="42">
        <v>46198</v>
      </c>
    </row>
    <row r="3272" spans="1:6" x14ac:dyDescent="0.3">
      <c r="A3272" s="15" t="s">
        <v>44420</v>
      </c>
      <c r="B3272" s="15" t="s">
        <v>6782</v>
      </c>
      <c r="C3272" s="15" t="s">
        <v>6783</v>
      </c>
      <c r="D3272" s="15" t="s">
        <v>6784</v>
      </c>
      <c r="E3272" s="15">
        <v>1110.7193</v>
      </c>
      <c r="F3272" s="42">
        <v>46198</v>
      </c>
    </row>
    <row r="3273" spans="1:6" x14ac:dyDescent="0.3">
      <c r="A3273" s="15" t="s">
        <v>33499</v>
      </c>
      <c r="B3273" s="15" t="s">
        <v>795</v>
      </c>
      <c r="C3273" s="15" t="s">
        <v>795</v>
      </c>
      <c r="D3273" s="15" t="s">
        <v>795</v>
      </c>
      <c r="F3273" s="42"/>
    </row>
    <row r="3274" spans="1:6" x14ac:dyDescent="0.3">
      <c r="A3274" s="15" t="s">
        <v>44419</v>
      </c>
      <c r="B3274" s="15" t="s">
        <v>795</v>
      </c>
      <c r="C3274" s="15" t="s">
        <v>795</v>
      </c>
      <c r="D3274" s="15" t="s">
        <v>795</v>
      </c>
      <c r="F3274" s="42"/>
    </row>
    <row r="3275" spans="1:6" x14ac:dyDescent="0.3">
      <c r="A3275" s="15" t="s">
        <v>33499</v>
      </c>
      <c r="B3275" s="15" t="s">
        <v>795</v>
      </c>
      <c r="C3275" s="15" t="s">
        <v>795</v>
      </c>
      <c r="D3275" s="15" t="s">
        <v>795</v>
      </c>
      <c r="F3275" s="42"/>
    </row>
    <row r="3276" spans="1:6" x14ac:dyDescent="0.3">
      <c r="A3276" s="15" t="s">
        <v>37954</v>
      </c>
      <c r="B3276" s="15" t="s">
        <v>795</v>
      </c>
      <c r="C3276" s="15" t="s">
        <v>795</v>
      </c>
      <c r="D3276" s="15" t="s">
        <v>795</v>
      </c>
      <c r="F3276" s="42"/>
    </row>
    <row r="3277" spans="1:6" x14ac:dyDescent="0.3">
      <c r="A3277" s="15" t="s">
        <v>33499</v>
      </c>
      <c r="B3277" s="15" t="s">
        <v>795</v>
      </c>
      <c r="C3277" s="15" t="s">
        <v>795</v>
      </c>
      <c r="D3277" s="15" t="s">
        <v>795</v>
      </c>
      <c r="F3277" s="42"/>
    </row>
    <row r="3278" spans="1:6" x14ac:dyDescent="0.3">
      <c r="A3278" s="15" t="s">
        <v>44418</v>
      </c>
      <c r="B3278" s="15" t="s">
        <v>6785</v>
      </c>
      <c r="C3278" s="15" t="s">
        <v>800</v>
      </c>
      <c r="D3278" s="15" t="s">
        <v>6786</v>
      </c>
      <c r="E3278" s="15">
        <v>1052.4124999999999</v>
      </c>
      <c r="F3278" s="42">
        <v>46201</v>
      </c>
    </row>
    <row r="3279" spans="1:6" x14ac:dyDescent="0.3">
      <c r="A3279" s="15" t="s">
        <v>44417</v>
      </c>
      <c r="B3279" s="15" t="s">
        <v>6787</v>
      </c>
      <c r="C3279" s="15" t="s">
        <v>800</v>
      </c>
      <c r="D3279" s="15" t="s">
        <v>6788</v>
      </c>
      <c r="E3279" s="15">
        <v>1051.5977</v>
      </c>
      <c r="F3279" s="42">
        <v>46201</v>
      </c>
    </row>
    <row r="3280" spans="1:6" x14ac:dyDescent="0.3">
      <c r="A3280" s="15" t="s">
        <v>44416</v>
      </c>
      <c r="B3280" s="15" t="s">
        <v>6789</v>
      </c>
      <c r="C3280" s="15" t="s">
        <v>6790</v>
      </c>
      <c r="D3280" s="15" t="s">
        <v>6791</v>
      </c>
      <c r="E3280" s="15">
        <v>1051.5977</v>
      </c>
      <c r="F3280" s="42">
        <v>46201</v>
      </c>
    </row>
    <row r="3281" spans="1:6" x14ac:dyDescent="0.3">
      <c r="A3281" s="15" t="s">
        <v>44415</v>
      </c>
      <c r="B3281" s="15" t="s">
        <v>6792</v>
      </c>
      <c r="C3281" s="15" t="s">
        <v>6793</v>
      </c>
      <c r="D3281" s="15" t="s">
        <v>6794</v>
      </c>
      <c r="E3281" s="15">
        <v>1052.4124999999999</v>
      </c>
      <c r="F3281" s="42">
        <v>46201</v>
      </c>
    </row>
    <row r="3282" spans="1:6" x14ac:dyDescent="0.3">
      <c r="A3282" s="15" t="s">
        <v>33499</v>
      </c>
      <c r="B3282" s="15" t="s">
        <v>795</v>
      </c>
      <c r="C3282" s="15" t="s">
        <v>795</v>
      </c>
      <c r="D3282" s="15" t="s">
        <v>795</v>
      </c>
      <c r="F3282" s="42"/>
    </row>
    <row r="3283" spans="1:6" x14ac:dyDescent="0.3">
      <c r="A3283" s="15" t="s">
        <v>37122</v>
      </c>
      <c r="B3283" s="15" t="s">
        <v>795</v>
      </c>
      <c r="C3283" s="15" t="s">
        <v>795</v>
      </c>
      <c r="D3283" s="15" t="s">
        <v>795</v>
      </c>
      <c r="F3283" s="42"/>
    </row>
    <row r="3284" spans="1:6" x14ac:dyDescent="0.3">
      <c r="A3284" s="15" t="s">
        <v>33499</v>
      </c>
      <c r="B3284" s="15" t="s">
        <v>795</v>
      </c>
      <c r="C3284" s="15" t="s">
        <v>795</v>
      </c>
      <c r="D3284" s="15" t="s">
        <v>795</v>
      </c>
      <c r="F3284" s="42"/>
    </row>
    <row r="3285" spans="1:6" x14ac:dyDescent="0.3">
      <c r="A3285" s="15" t="s">
        <v>44414</v>
      </c>
      <c r="B3285" s="15" t="s">
        <v>6795</v>
      </c>
      <c r="C3285" s="15" t="s">
        <v>800</v>
      </c>
      <c r="D3285" s="15" t="s">
        <v>6796</v>
      </c>
      <c r="E3285" s="15">
        <v>1003.8534</v>
      </c>
      <c r="F3285" s="42">
        <v>46198</v>
      </c>
    </row>
    <row r="3286" spans="1:6" x14ac:dyDescent="0.3">
      <c r="A3286" s="15" t="s">
        <v>44413</v>
      </c>
      <c r="B3286" s="15" t="s">
        <v>800</v>
      </c>
      <c r="C3286" s="15" t="s">
        <v>6797</v>
      </c>
      <c r="D3286" s="15" t="s">
        <v>6798</v>
      </c>
      <c r="E3286" s="15">
        <v>1000.8646</v>
      </c>
      <c r="F3286" s="42">
        <v>46198</v>
      </c>
    </row>
    <row r="3287" spans="1:6" x14ac:dyDescent="0.3">
      <c r="A3287" s="15" t="s">
        <v>44412</v>
      </c>
      <c r="B3287" s="15" t="s">
        <v>800</v>
      </c>
      <c r="C3287" s="15" t="s">
        <v>6799</v>
      </c>
      <c r="D3287" s="15" t="s">
        <v>6800</v>
      </c>
      <c r="E3287" s="15">
        <v>1000.8588</v>
      </c>
      <c r="F3287" s="42">
        <v>46198</v>
      </c>
    </row>
    <row r="3288" spans="1:6" x14ac:dyDescent="0.3">
      <c r="A3288" s="15" t="s">
        <v>44411</v>
      </c>
      <c r="B3288" s="15" t="s">
        <v>800</v>
      </c>
      <c r="C3288" s="15" t="s">
        <v>6801</v>
      </c>
      <c r="D3288" s="15" t="s">
        <v>6802</v>
      </c>
      <c r="E3288" s="15">
        <v>1000.02</v>
      </c>
      <c r="F3288" s="42">
        <v>46198</v>
      </c>
    </row>
    <row r="3289" spans="1:6" x14ac:dyDescent="0.3">
      <c r="A3289" s="15" t="s">
        <v>44410</v>
      </c>
      <c r="B3289" s="15" t="s">
        <v>800</v>
      </c>
      <c r="C3289" s="15" t="s">
        <v>6803</v>
      </c>
      <c r="D3289" s="15" t="s">
        <v>6804</v>
      </c>
      <c r="E3289" s="15">
        <v>1000.02</v>
      </c>
      <c r="F3289" s="42">
        <v>46198</v>
      </c>
    </row>
    <row r="3290" spans="1:6" x14ac:dyDescent="0.3">
      <c r="A3290" s="15" t="s">
        <v>44409</v>
      </c>
      <c r="B3290" s="15" t="s">
        <v>6805</v>
      </c>
      <c r="C3290" s="15" t="s">
        <v>800</v>
      </c>
      <c r="D3290" s="15" t="s">
        <v>6806</v>
      </c>
      <c r="E3290" s="15">
        <v>1003.7723</v>
      </c>
      <c r="F3290" s="42">
        <v>46198</v>
      </c>
    </row>
    <row r="3291" spans="1:6" x14ac:dyDescent="0.3">
      <c r="A3291" s="15" t="s">
        <v>44408</v>
      </c>
      <c r="B3291" s="15" t="s">
        <v>6807</v>
      </c>
      <c r="C3291" s="15" t="s">
        <v>800</v>
      </c>
      <c r="D3291" s="15" t="s">
        <v>6808</v>
      </c>
      <c r="E3291" s="15">
        <v>1474.2922000000001</v>
      </c>
      <c r="F3291" s="42">
        <v>46198</v>
      </c>
    </row>
    <row r="3292" spans="1:6" x14ac:dyDescent="0.3">
      <c r="A3292" s="15" t="s">
        <v>44407</v>
      </c>
      <c r="B3292" s="15" t="s">
        <v>6809</v>
      </c>
      <c r="C3292" s="15" t="s">
        <v>800</v>
      </c>
      <c r="D3292" s="15" t="s">
        <v>6810</v>
      </c>
      <c r="E3292" s="15">
        <v>1461.4601</v>
      </c>
      <c r="F3292" s="42">
        <v>46198</v>
      </c>
    </row>
    <row r="3293" spans="1:6" x14ac:dyDescent="0.3">
      <c r="A3293" s="15" t="s">
        <v>33499</v>
      </c>
      <c r="B3293" s="15" t="s">
        <v>795</v>
      </c>
      <c r="C3293" s="15" t="s">
        <v>795</v>
      </c>
      <c r="D3293" s="15" t="s">
        <v>795</v>
      </c>
      <c r="F3293" s="42"/>
    </row>
    <row r="3294" spans="1:6" x14ac:dyDescent="0.3">
      <c r="A3294" s="15" t="s">
        <v>37087</v>
      </c>
      <c r="B3294" s="15" t="s">
        <v>795</v>
      </c>
      <c r="C3294" s="15" t="s">
        <v>795</v>
      </c>
      <c r="D3294" s="15" t="s">
        <v>795</v>
      </c>
      <c r="F3294" s="42"/>
    </row>
    <row r="3295" spans="1:6" x14ac:dyDescent="0.3">
      <c r="A3295" s="15" t="s">
        <v>33499</v>
      </c>
      <c r="B3295" s="15" t="s">
        <v>795</v>
      </c>
      <c r="C3295" s="15" t="s">
        <v>795</v>
      </c>
      <c r="D3295" s="15" t="s">
        <v>795</v>
      </c>
      <c r="F3295" s="42"/>
    </row>
    <row r="3296" spans="1:6" x14ac:dyDescent="0.3">
      <c r="A3296" s="15" t="s">
        <v>44406</v>
      </c>
      <c r="B3296" s="15" t="s">
        <v>800</v>
      </c>
      <c r="C3296" s="15" t="s">
        <v>6811</v>
      </c>
      <c r="D3296" s="15" t="s">
        <v>6812</v>
      </c>
      <c r="E3296" s="15">
        <v>1000.5073</v>
      </c>
      <c r="F3296" s="42">
        <v>46201</v>
      </c>
    </row>
    <row r="3297" spans="1:6" x14ac:dyDescent="0.3">
      <c r="A3297" s="15" t="s">
        <v>44405</v>
      </c>
      <c r="B3297" s="15" t="s">
        <v>6813</v>
      </c>
      <c r="C3297" s="15" t="s">
        <v>800</v>
      </c>
      <c r="D3297" s="15" t="s">
        <v>6814</v>
      </c>
      <c r="E3297" s="15">
        <v>1443.6469</v>
      </c>
      <c r="F3297" s="42">
        <v>46201</v>
      </c>
    </row>
    <row r="3298" spans="1:6" x14ac:dyDescent="0.3">
      <c r="A3298" s="15" t="s">
        <v>44404</v>
      </c>
      <c r="B3298" s="15" t="s">
        <v>6815</v>
      </c>
      <c r="C3298" s="15" t="s">
        <v>6816</v>
      </c>
      <c r="D3298" s="15" t="s">
        <v>6817</v>
      </c>
      <c r="E3298" s="15">
        <v>1001.29</v>
      </c>
      <c r="F3298" s="42">
        <v>46201</v>
      </c>
    </row>
    <row r="3299" spans="1:6" x14ac:dyDescent="0.3">
      <c r="A3299" s="15" t="s">
        <v>44403</v>
      </c>
      <c r="B3299" s="15" t="s">
        <v>6818</v>
      </c>
      <c r="C3299" s="15" t="s">
        <v>6819</v>
      </c>
      <c r="D3299" s="15" t="s">
        <v>6820</v>
      </c>
      <c r="E3299" s="15">
        <v>1001.5657</v>
      </c>
      <c r="F3299" s="42">
        <v>46201</v>
      </c>
    </row>
    <row r="3300" spans="1:6" x14ac:dyDescent="0.3">
      <c r="A3300" s="15" t="s">
        <v>44402</v>
      </c>
      <c r="B3300" s="15" t="s">
        <v>800</v>
      </c>
      <c r="C3300" s="15" t="s">
        <v>6821</v>
      </c>
      <c r="D3300" s="15" t="s">
        <v>6822</v>
      </c>
      <c r="E3300" s="15">
        <v>1000.5032</v>
      </c>
      <c r="F3300" s="42">
        <v>46201</v>
      </c>
    </row>
    <row r="3301" spans="1:6" x14ac:dyDescent="0.3">
      <c r="A3301" s="15" t="s">
        <v>44401</v>
      </c>
      <c r="B3301" s="15" t="s">
        <v>6823</v>
      </c>
      <c r="C3301" s="15" t="s">
        <v>800</v>
      </c>
      <c r="D3301" s="15" t="s">
        <v>6824</v>
      </c>
      <c r="E3301" s="15">
        <v>1438.1749</v>
      </c>
      <c r="F3301" s="42">
        <v>46201</v>
      </c>
    </row>
    <row r="3302" spans="1:6" x14ac:dyDescent="0.3">
      <c r="A3302" s="15" t="s">
        <v>44400</v>
      </c>
      <c r="B3302" s="15" t="s">
        <v>6825</v>
      </c>
      <c r="C3302" s="15" t="s">
        <v>6826</v>
      </c>
      <c r="D3302" s="15" t="s">
        <v>6827</v>
      </c>
      <c r="E3302" s="15">
        <v>1001.2785</v>
      </c>
      <c r="F3302" s="42">
        <v>46201</v>
      </c>
    </row>
    <row r="3303" spans="1:6" x14ac:dyDescent="0.3">
      <c r="A3303" s="15" t="s">
        <v>44399</v>
      </c>
      <c r="B3303" s="15" t="s">
        <v>6828</v>
      </c>
      <c r="C3303" s="15" t="s">
        <v>6829</v>
      </c>
      <c r="D3303" s="15" t="s">
        <v>6830</v>
      </c>
      <c r="E3303" s="15">
        <v>1001.5279</v>
      </c>
      <c r="F3303" s="42">
        <v>46201</v>
      </c>
    </row>
    <row r="3304" spans="1:6" x14ac:dyDescent="0.3">
      <c r="A3304" s="15" t="s">
        <v>33499</v>
      </c>
      <c r="B3304" s="15" t="s">
        <v>795</v>
      </c>
      <c r="C3304" s="15" t="s">
        <v>795</v>
      </c>
      <c r="D3304" s="15" t="s">
        <v>795</v>
      </c>
      <c r="F3304" s="42"/>
    </row>
    <row r="3305" spans="1:6" x14ac:dyDescent="0.3">
      <c r="A3305" s="15" t="s">
        <v>37923</v>
      </c>
      <c r="B3305" s="15" t="s">
        <v>795</v>
      </c>
      <c r="C3305" s="15" t="s">
        <v>795</v>
      </c>
      <c r="D3305" s="15" t="s">
        <v>795</v>
      </c>
      <c r="F3305" s="42"/>
    </row>
    <row r="3306" spans="1:6" x14ac:dyDescent="0.3">
      <c r="A3306" s="15" t="s">
        <v>33499</v>
      </c>
      <c r="B3306" s="15" t="s">
        <v>795</v>
      </c>
      <c r="C3306" s="15" t="s">
        <v>795</v>
      </c>
      <c r="D3306" s="15" t="s">
        <v>795</v>
      </c>
      <c r="F3306" s="42"/>
    </row>
    <row r="3307" spans="1:6" x14ac:dyDescent="0.3">
      <c r="A3307" s="15" t="s">
        <v>44398</v>
      </c>
      <c r="B3307" s="15" t="s">
        <v>6831</v>
      </c>
      <c r="C3307" s="15" t="s">
        <v>800</v>
      </c>
      <c r="D3307" s="15" t="s">
        <v>6832</v>
      </c>
      <c r="E3307" s="15">
        <v>1063.3621000000001</v>
      </c>
      <c r="F3307" s="42">
        <v>46201</v>
      </c>
    </row>
    <row r="3308" spans="1:6" x14ac:dyDescent="0.3">
      <c r="A3308" s="15" t="s">
        <v>44397</v>
      </c>
      <c r="B3308" s="15" t="s">
        <v>6833</v>
      </c>
      <c r="C3308" s="15" t="s">
        <v>800</v>
      </c>
      <c r="D3308" s="15" t="s">
        <v>6834</v>
      </c>
      <c r="E3308" s="15">
        <v>1069.4502</v>
      </c>
      <c r="F3308" s="42">
        <v>46201</v>
      </c>
    </row>
    <row r="3309" spans="1:6" x14ac:dyDescent="0.3">
      <c r="A3309" s="15" t="s">
        <v>44396</v>
      </c>
      <c r="B3309" s="15" t="s">
        <v>800</v>
      </c>
      <c r="C3309" s="15" t="s">
        <v>6835</v>
      </c>
      <c r="D3309" s="15" t="s">
        <v>6836</v>
      </c>
      <c r="E3309" s="15">
        <v>1033.1412</v>
      </c>
      <c r="F3309" s="42">
        <v>46201</v>
      </c>
    </row>
    <row r="3310" spans="1:6" x14ac:dyDescent="0.3">
      <c r="A3310" s="15" t="s">
        <v>44395</v>
      </c>
      <c r="B3310" s="15" t="s">
        <v>6837</v>
      </c>
      <c r="C3310" s="15" t="s">
        <v>6838</v>
      </c>
      <c r="D3310" s="15" t="s">
        <v>6839</v>
      </c>
      <c r="E3310" s="15">
        <v>1035.078</v>
      </c>
      <c r="F3310" s="42">
        <v>46201</v>
      </c>
    </row>
    <row r="3311" spans="1:6" x14ac:dyDescent="0.3">
      <c r="A3311" s="15" t="s">
        <v>44394</v>
      </c>
      <c r="B3311" s="15" t="s">
        <v>6840</v>
      </c>
      <c r="C3311" s="15" t="s">
        <v>800</v>
      </c>
      <c r="D3311" s="15" t="s">
        <v>6841</v>
      </c>
      <c r="E3311" s="15">
        <v>1196.5935999999999</v>
      </c>
      <c r="F3311" s="42">
        <v>46201</v>
      </c>
    </row>
    <row r="3312" spans="1:6" x14ac:dyDescent="0.3">
      <c r="A3312" s="15" t="s">
        <v>44393</v>
      </c>
      <c r="B3312" s="15" t="s">
        <v>6842</v>
      </c>
      <c r="C3312" s="15" t="s">
        <v>6843</v>
      </c>
      <c r="D3312" s="15" t="s">
        <v>6844</v>
      </c>
      <c r="E3312" s="15">
        <v>1035.0851</v>
      </c>
      <c r="F3312" s="42">
        <v>46201</v>
      </c>
    </row>
    <row r="3313" spans="1:6" x14ac:dyDescent="0.3">
      <c r="A3313" s="15" t="s">
        <v>44392</v>
      </c>
      <c r="B3313" s="15" t="s">
        <v>6845</v>
      </c>
      <c r="C3313" s="15" t="s">
        <v>6846</v>
      </c>
      <c r="D3313" s="15" t="s">
        <v>6847</v>
      </c>
      <c r="E3313" s="15">
        <v>1034.0354</v>
      </c>
      <c r="F3313" s="42">
        <v>46201</v>
      </c>
    </row>
    <row r="3314" spans="1:6" x14ac:dyDescent="0.3">
      <c r="A3314" s="15" t="s">
        <v>44391</v>
      </c>
      <c r="B3314" s="15" t="s">
        <v>800</v>
      </c>
      <c r="C3314" s="15" t="s">
        <v>6848</v>
      </c>
      <c r="D3314" s="15" t="s">
        <v>6849</v>
      </c>
      <c r="E3314" s="15">
        <v>1032.8859</v>
      </c>
      <c r="F3314" s="42">
        <v>46201</v>
      </c>
    </row>
    <row r="3315" spans="1:6" x14ac:dyDescent="0.3">
      <c r="A3315" s="15" t="s">
        <v>44390</v>
      </c>
      <c r="B3315" s="15" t="s">
        <v>6850</v>
      </c>
      <c r="C3315" s="15" t="s">
        <v>6851</v>
      </c>
      <c r="D3315" s="15" t="s">
        <v>6852</v>
      </c>
      <c r="E3315" s="15">
        <v>1034.8581999999999</v>
      </c>
      <c r="F3315" s="42">
        <v>46201</v>
      </c>
    </row>
    <row r="3316" spans="1:6" x14ac:dyDescent="0.3">
      <c r="A3316" s="15" t="s">
        <v>44389</v>
      </c>
      <c r="B3316" s="15" t="s">
        <v>6853</v>
      </c>
      <c r="C3316" s="15" t="s">
        <v>800</v>
      </c>
      <c r="D3316" s="15" t="s">
        <v>6854</v>
      </c>
      <c r="E3316" s="15">
        <v>1194.8106</v>
      </c>
      <c r="F3316" s="42">
        <v>46201</v>
      </c>
    </row>
    <row r="3317" spans="1:6" x14ac:dyDescent="0.3">
      <c r="A3317" s="15" t="s">
        <v>44388</v>
      </c>
      <c r="B3317" s="15" t="s">
        <v>6855</v>
      </c>
      <c r="C3317" s="15" t="s">
        <v>6856</v>
      </c>
      <c r="D3317" s="15" t="s">
        <v>6857</v>
      </c>
      <c r="E3317" s="15">
        <v>1034.818</v>
      </c>
      <c r="F3317" s="42">
        <v>46201</v>
      </c>
    </row>
    <row r="3318" spans="1:6" x14ac:dyDescent="0.3">
      <c r="A3318" s="15" t="s">
        <v>44387</v>
      </c>
      <c r="B3318" s="15" t="s">
        <v>6858</v>
      </c>
      <c r="C3318" s="15" t="s">
        <v>6859</v>
      </c>
      <c r="D3318" s="15" t="s">
        <v>6860</v>
      </c>
      <c r="E3318" s="15">
        <v>1033.7348999999999</v>
      </c>
      <c r="F3318" s="42">
        <v>46201</v>
      </c>
    </row>
    <row r="3319" spans="1:6" x14ac:dyDescent="0.3">
      <c r="A3319" s="15" t="s">
        <v>33499</v>
      </c>
      <c r="B3319" s="15" t="s">
        <v>795</v>
      </c>
      <c r="C3319" s="15" t="s">
        <v>795</v>
      </c>
      <c r="D3319" s="15" t="s">
        <v>795</v>
      </c>
      <c r="F3319" s="42"/>
    </row>
    <row r="3320" spans="1:6" x14ac:dyDescent="0.3">
      <c r="A3320" s="15" t="s">
        <v>37073</v>
      </c>
      <c r="B3320" s="15" t="s">
        <v>795</v>
      </c>
      <c r="C3320" s="15" t="s">
        <v>795</v>
      </c>
      <c r="D3320" s="15" t="s">
        <v>795</v>
      </c>
      <c r="F3320" s="42"/>
    </row>
    <row r="3321" spans="1:6" x14ac:dyDescent="0.3">
      <c r="A3321" s="15" t="s">
        <v>33499</v>
      </c>
      <c r="B3321" s="15" t="s">
        <v>795</v>
      </c>
      <c r="C3321" s="15" t="s">
        <v>795</v>
      </c>
      <c r="D3321" s="15" t="s">
        <v>795</v>
      </c>
      <c r="F3321" s="42"/>
    </row>
    <row r="3322" spans="1:6" x14ac:dyDescent="0.3">
      <c r="A3322" s="15" t="s">
        <v>44386</v>
      </c>
      <c r="B3322" s="15" t="s">
        <v>6861</v>
      </c>
      <c r="C3322" s="15" t="s">
        <v>6862</v>
      </c>
      <c r="D3322" s="15" t="s">
        <v>6863</v>
      </c>
      <c r="E3322" s="15">
        <v>1000.0098</v>
      </c>
      <c r="F3322" s="42">
        <v>46201</v>
      </c>
    </row>
    <row r="3323" spans="1:6" x14ac:dyDescent="0.3">
      <c r="A3323" s="15" t="s">
        <v>44385</v>
      </c>
      <c r="B3323" s="15" t="s">
        <v>6864</v>
      </c>
      <c r="C3323" s="15" t="s">
        <v>800</v>
      </c>
      <c r="D3323" s="15" t="s">
        <v>6865</v>
      </c>
      <c r="E3323" s="15">
        <v>1454.4226000000001</v>
      </c>
      <c r="F3323" s="42">
        <v>46201</v>
      </c>
    </row>
    <row r="3324" spans="1:6" x14ac:dyDescent="0.3">
      <c r="A3324" s="15" t="s">
        <v>44384</v>
      </c>
      <c r="B3324" s="15" t="s">
        <v>6866</v>
      </c>
      <c r="C3324" s="15" t="s">
        <v>6867</v>
      </c>
      <c r="D3324" s="15" t="s">
        <v>6868</v>
      </c>
      <c r="E3324" s="15">
        <v>1004.5551</v>
      </c>
      <c r="F3324" s="42">
        <v>46201</v>
      </c>
    </row>
    <row r="3325" spans="1:6" x14ac:dyDescent="0.3">
      <c r="A3325" s="15" t="s">
        <v>44383</v>
      </c>
      <c r="B3325" s="15" t="s">
        <v>6869</v>
      </c>
      <c r="C3325" s="15" t="s">
        <v>6870</v>
      </c>
      <c r="D3325" s="15" t="s">
        <v>6871</v>
      </c>
      <c r="E3325" s="15">
        <v>1325.3801000000001</v>
      </c>
      <c r="F3325" s="42">
        <v>46201</v>
      </c>
    </row>
    <row r="3326" spans="1:6" x14ac:dyDescent="0.3">
      <c r="A3326" s="15" t="s">
        <v>44382</v>
      </c>
      <c r="B3326" s="15" t="s">
        <v>6872</v>
      </c>
      <c r="C3326" s="15" t="s">
        <v>6873</v>
      </c>
      <c r="D3326" s="15" t="s">
        <v>6874</v>
      </c>
      <c r="E3326" s="15">
        <v>1000.4388</v>
      </c>
      <c r="F3326" s="42">
        <v>46201</v>
      </c>
    </row>
    <row r="3327" spans="1:6" x14ac:dyDescent="0.3">
      <c r="A3327" s="15" t="s">
        <v>44381</v>
      </c>
      <c r="B3327" s="15" t="s">
        <v>6875</v>
      </c>
      <c r="C3327" s="15" t="s">
        <v>6876</v>
      </c>
      <c r="D3327" s="15" t="s">
        <v>6877</v>
      </c>
      <c r="E3327" s="15">
        <v>1000.0098</v>
      </c>
      <c r="F3327" s="42">
        <v>46201</v>
      </c>
    </row>
    <row r="3328" spans="1:6" x14ac:dyDescent="0.3">
      <c r="A3328" s="15" t="s">
        <v>44380</v>
      </c>
      <c r="B3328" s="15" t="s">
        <v>6878</v>
      </c>
      <c r="C3328" s="15" t="s">
        <v>800</v>
      </c>
      <c r="D3328" s="15" t="s">
        <v>6879</v>
      </c>
      <c r="E3328" s="15">
        <v>1442.8254999999999</v>
      </c>
      <c r="F3328" s="42">
        <v>46201</v>
      </c>
    </row>
    <row r="3329" spans="1:6" x14ac:dyDescent="0.3">
      <c r="A3329" s="15" t="s">
        <v>44379</v>
      </c>
      <c r="B3329" s="15" t="s">
        <v>6880</v>
      </c>
      <c r="C3329" s="15" t="s">
        <v>6881</v>
      </c>
      <c r="D3329" s="15" t="s">
        <v>6882</v>
      </c>
      <c r="E3329" s="15">
        <v>1004.4822</v>
      </c>
      <c r="F3329" s="42">
        <v>46201</v>
      </c>
    </row>
    <row r="3330" spans="1:6" x14ac:dyDescent="0.3">
      <c r="A3330" s="15" t="s">
        <v>44378</v>
      </c>
      <c r="B3330" s="15" t="s">
        <v>6883</v>
      </c>
      <c r="C3330" s="15" t="s">
        <v>6884</v>
      </c>
      <c r="D3330" s="15" t="s">
        <v>6885</v>
      </c>
      <c r="E3330" s="15">
        <v>1001.651</v>
      </c>
      <c r="F3330" s="42">
        <v>46201</v>
      </c>
    </row>
    <row r="3331" spans="1:6" x14ac:dyDescent="0.3">
      <c r="A3331" s="15" t="s">
        <v>44377</v>
      </c>
      <c r="B3331" s="15" t="s">
        <v>6886</v>
      </c>
      <c r="C3331" s="15" t="s">
        <v>6887</v>
      </c>
      <c r="D3331" s="15" t="s">
        <v>6888</v>
      </c>
      <c r="E3331" s="15">
        <v>1320.2149999999999</v>
      </c>
      <c r="F3331" s="42">
        <v>46201</v>
      </c>
    </row>
    <row r="3332" spans="1:6" x14ac:dyDescent="0.3">
      <c r="A3332" s="15" t="s">
        <v>33499</v>
      </c>
      <c r="B3332" s="15" t="s">
        <v>795</v>
      </c>
      <c r="C3332" s="15" t="s">
        <v>795</v>
      </c>
      <c r="D3332" s="15" t="s">
        <v>795</v>
      </c>
      <c r="F3332" s="42"/>
    </row>
    <row r="3333" spans="1:6" x14ac:dyDescent="0.3">
      <c r="A3333" s="15" t="s">
        <v>37447</v>
      </c>
      <c r="B3333" s="15" t="s">
        <v>795</v>
      </c>
      <c r="C3333" s="15" t="s">
        <v>795</v>
      </c>
      <c r="D3333" s="15" t="s">
        <v>795</v>
      </c>
      <c r="F3333" s="42"/>
    </row>
    <row r="3334" spans="1:6" x14ac:dyDescent="0.3">
      <c r="A3334" s="15" t="s">
        <v>33499</v>
      </c>
      <c r="B3334" s="15" t="s">
        <v>795</v>
      </c>
      <c r="C3334" s="15" t="s">
        <v>795</v>
      </c>
      <c r="D3334" s="15" t="s">
        <v>795</v>
      </c>
      <c r="F3334" s="42"/>
    </row>
    <row r="3335" spans="1:6" x14ac:dyDescent="0.3">
      <c r="A3335" s="15" t="s">
        <v>44376</v>
      </c>
      <c r="B3335" s="15" t="s">
        <v>6889</v>
      </c>
      <c r="C3335" s="15" t="s">
        <v>800</v>
      </c>
      <c r="D3335" s="15" t="s">
        <v>6890</v>
      </c>
      <c r="E3335" s="15">
        <v>1387.3318999999999</v>
      </c>
      <c r="F3335" s="42">
        <v>46201</v>
      </c>
    </row>
    <row r="3336" spans="1:6" x14ac:dyDescent="0.3">
      <c r="A3336" s="15" t="s">
        <v>44375</v>
      </c>
      <c r="B3336" s="15" t="s">
        <v>800</v>
      </c>
      <c r="C3336" s="15" t="s">
        <v>6891</v>
      </c>
      <c r="D3336" s="15" t="s">
        <v>6892</v>
      </c>
      <c r="E3336" s="15">
        <v>1000</v>
      </c>
      <c r="F3336" s="42">
        <v>46201</v>
      </c>
    </row>
    <row r="3337" spans="1:6" x14ac:dyDescent="0.3">
      <c r="A3337" s="15" t="s">
        <v>44374</v>
      </c>
      <c r="B3337" s="15" t="s">
        <v>6893</v>
      </c>
      <c r="C3337" s="15" t="s">
        <v>6894</v>
      </c>
      <c r="D3337" s="15" t="s">
        <v>6895</v>
      </c>
      <c r="E3337" s="15">
        <v>1004.6808</v>
      </c>
      <c r="F3337" s="42">
        <v>46201</v>
      </c>
    </row>
    <row r="3338" spans="1:6" x14ac:dyDescent="0.3">
      <c r="A3338" s="15" t="s">
        <v>44373</v>
      </c>
      <c r="B3338" s="15" t="s">
        <v>800</v>
      </c>
      <c r="C3338" s="15" t="s">
        <v>6896</v>
      </c>
      <c r="D3338" s="15" t="s">
        <v>6897</v>
      </c>
      <c r="E3338" s="15">
        <v>1000.0019</v>
      </c>
      <c r="F3338" s="42">
        <v>45740</v>
      </c>
    </row>
    <row r="3339" spans="1:6" x14ac:dyDescent="0.3">
      <c r="A3339" s="15" t="s">
        <v>44372</v>
      </c>
      <c r="B3339" s="15" t="s">
        <v>6898</v>
      </c>
      <c r="C3339" s="15" t="s">
        <v>800</v>
      </c>
      <c r="D3339" s="15" t="s">
        <v>6899</v>
      </c>
      <c r="E3339" s="15">
        <v>1383.1026999999999</v>
      </c>
      <c r="F3339" s="42">
        <v>46201</v>
      </c>
    </row>
    <row r="3340" spans="1:6" x14ac:dyDescent="0.3">
      <c r="A3340" s="15" t="s">
        <v>44371</v>
      </c>
      <c r="B3340" s="15" t="s">
        <v>800</v>
      </c>
      <c r="C3340" s="15" t="s">
        <v>6900</v>
      </c>
      <c r="D3340" s="15" t="s">
        <v>6901</v>
      </c>
      <c r="E3340" s="15">
        <v>1000</v>
      </c>
      <c r="F3340" s="42">
        <v>46201</v>
      </c>
    </row>
    <row r="3341" spans="1:6" x14ac:dyDescent="0.3">
      <c r="A3341" s="15" t="s">
        <v>44370</v>
      </c>
      <c r="B3341" s="15" t="s">
        <v>6902</v>
      </c>
      <c r="C3341" s="15" t="s">
        <v>6903</v>
      </c>
      <c r="D3341" s="15" t="s">
        <v>6904</v>
      </c>
      <c r="E3341" s="15">
        <v>1004.6405</v>
      </c>
      <c r="F3341" s="42">
        <v>46201</v>
      </c>
    </row>
    <row r="3342" spans="1:6" x14ac:dyDescent="0.3">
      <c r="A3342" s="15" t="s">
        <v>44369</v>
      </c>
      <c r="B3342" s="15" t="s">
        <v>800</v>
      </c>
      <c r="C3342" s="15" t="s">
        <v>6905</v>
      </c>
      <c r="D3342" s="15" t="s">
        <v>6906</v>
      </c>
      <c r="E3342" s="15">
        <v>1000.2841</v>
      </c>
      <c r="F3342" s="42">
        <v>46051</v>
      </c>
    </row>
    <row r="3343" spans="1:6" x14ac:dyDescent="0.3">
      <c r="A3343" s="15" t="s">
        <v>44368</v>
      </c>
      <c r="B3343" s="15" t="s">
        <v>800</v>
      </c>
      <c r="C3343" s="15" t="s">
        <v>800</v>
      </c>
      <c r="D3343" s="15" t="s">
        <v>6907</v>
      </c>
      <c r="E3343" s="15">
        <v>1000</v>
      </c>
      <c r="F3343" s="42">
        <v>46201</v>
      </c>
    </row>
    <row r="3344" spans="1:6" x14ac:dyDescent="0.3">
      <c r="A3344" s="15" t="s">
        <v>44367</v>
      </c>
      <c r="B3344" s="15" t="s">
        <v>800</v>
      </c>
      <c r="C3344" s="15" t="s">
        <v>800</v>
      </c>
      <c r="D3344" s="15" t="s">
        <v>6908</v>
      </c>
      <c r="E3344" s="15">
        <v>1304.3788</v>
      </c>
      <c r="F3344" s="42">
        <v>46201</v>
      </c>
    </row>
    <row r="3345" spans="1:6" x14ac:dyDescent="0.3">
      <c r="A3345" s="15" t="s">
        <v>44366</v>
      </c>
      <c r="B3345" s="15" t="s">
        <v>800</v>
      </c>
      <c r="C3345" s="15" t="s">
        <v>800</v>
      </c>
      <c r="D3345" s="15" t="s">
        <v>6909</v>
      </c>
      <c r="E3345" s="15">
        <v>1000</v>
      </c>
      <c r="F3345" s="42">
        <v>46201</v>
      </c>
    </row>
    <row r="3346" spans="1:6" x14ac:dyDescent="0.3">
      <c r="A3346" s="15" t="s">
        <v>44365</v>
      </c>
      <c r="B3346" s="15" t="s">
        <v>800</v>
      </c>
      <c r="C3346" s="15" t="s">
        <v>800</v>
      </c>
      <c r="D3346" s="15" t="s">
        <v>6910</v>
      </c>
      <c r="E3346" s="15">
        <v>1304.6654000000001</v>
      </c>
      <c r="F3346" s="42">
        <v>46201</v>
      </c>
    </row>
    <row r="3347" spans="1:6" x14ac:dyDescent="0.3">
      <c r="A3347" s="15" t="s">
        <v>33499</v>
      </c>
      <c r="B3347" s="15" t="s">
        <v>795</v>
      </c>
      <c r="C3347" s="15" t="s">
        <v>795</v>
      </c>
      <c r="D3347" s="15" t="s">
        <v>795</v>
      </c>
      <c r="F3347" s="42"/>
    </row>
    <row r="3348" spans="1:6" x14ac:dyDescent="0.3">
      <c r="A3348" s="15" t="s">
        <v>37566</v>
      </c>
      <c r="B3348" s="15" t="s">
        <v>795</v>
      </c>
      <c r="C3348" s="15" t="s">
        <v>795</v>
      </c>
      <c r="D3348" s="15" t="s">
        <v>795</v>
      </c>
      <c r="F3348" s="42"/>
    </row>
    <row r="3349" spans="1:6" x14ac:dyDescent="0.3">
      <c r="A3349" s="15" t="s">
        <v>33499</v>
      </c>
      <c r="B3349" s="15" t="s">
        <v>795</v>
      </c>
      <c r="C3349" s="15" t="s">
        <v>795</v>
      </c>
      <c r="D3349" s="15" t="s">
        <v>795</v>
      </c>
      <c r="F3349" s="42"/>
    </row>
    <row r="3350" spans="1:6" x14ac:dyDescent="0.3">
      <c r="A3350" s="15" t="s">
        <v>44364</v>
      </c>
      <c r="B3350" s="15" t="s">
        <v>800</v>
      </c>
      <c r="C3350" s="15" t="s">
        <v>6911</v>
      </c>
      <c r="D3350" s="15" t="s">
        <v>6912</v>
      </c>
      <c r="E3350" s="15">
        <v>1000.0028</v>
      </c>
      <c r="F3350" s="42">
        <v>46201</v>
      </c>
    </row>
    <row r="3351" spans="1:6" x14ac:dyDescent="0.3">
      <c r="A3351" s="15" t="s">
        <v>44363</v>
      </c>
      <c r="B3351" s="15" t="s">
        <v>6913</v>
      </c>
      <c r="C3351" s="15" t="s">
        <v>800</v>
      </c>
      <c r="D3351" s="15" t="s">
        <v>6914</v>
      </c>
      <c r="E3351" s="15">
        <v>1432.5216</v>
      </c>
      <c r="F3351" s="42">
        <v>46201</v>
      </c>
    </row>
    <row r="3352" spans="1:6" x14ac:dyDescent="0.3">
      <c r="A3352" s="15" t="s">
        <v>44362</v>
      </c>
      <c r="B3352" s="15" t="s">
        <v>800</v>
      </c>
      <c r="C3352" s="15" t="s">
        <v>6915</v>
      </c>
      <c r="D3352" s="15" t="s">
        <v>6916</v>
      </c>
      <c r="E3352" s="15">
        <v>1000.8224</v>
      </c>
      <c r="F3352" s="42">
        <v>46201</v>
      </c>
    </row>
    <row r="3353" spans="1:6" x14ac:dyDescent="0.3">
      <c r="A3353" s="15" t="s">
        <v>44361</v>
      </c>
      <c r="B3353" s="15" t="s">
        <v>800</v>
      </c>
      <c r="C3353" s="15" t="s">
        <v>800</v>
      </c>
      <c r="D3353" s="15" t="s">
        <v>6917</v>
      </c>
      <c r="E3353" s="15">
        <v>1000</v>
      </c>
      <c r="F3353" s="42">
        <v>46201</v>
      </c>
    </row>
    <row r="3354" spans="1:6" x14ac:dyDescent="0.3">
      <c r="A3354" s="15" t="s">
        <v>44360</v>
      </c>
      <c r="B3354" s="15" t="s">
        <v>800</v>
      </c>
      <c r="C3354" s="15" t="s">
        <v>800</v>
      </c>
      <c r="D3354" s="15" t="s">
        <v>6918</v>
      </c>
      <c r="E3354" s="15">
        <v>1285.2973999999999</v>
      </c>
      <c r="F3354" s="42">
        <v>46201</v>
      </c>
    </row>
    <row r="3355" spans="1:6" x14ac:dyDescent="0.3">
      <c r="A3355" s="15" t="s">
        <v>44359</v>
      </c>
      <c r="B3355" s="15" t="s">
        <v>800</v>
      </c>
      <c r="C3355" s="15" t="s">
        <v>800</v>
      </c>
      <c r="D3355" s="15" t="s">
        <v>6919</v>
      </c>
      <c r="E3355" s="15">
        <v>1000</v>
      </c>
      <c r="F3355" s="42">
        <v>46201</v>
      </c>
    </row>
    <row r="3356" spans="1:6" x14ac:dyDescent="0.3">
      <c r="A3356" s="15" t="s">
        <v>44358</v>
      </c>
      <c r="B3356" s="15" t="s">
        <v>800</v>
      </c>
      <c r="C3356" s="15" t="s">
        <v>800</v>
      </c>
      <c r="D3356" s="15" t="s">
        <v>6920</v>
      </c>
      <c r="E3356" s="15">
        <v>1285.2674</v>
      </c>
      <c r="F3356" s="42">
        <v>46201</v>
      </c>
    </row>
    <row r="3357" spans="1:6" x14ac:dyDescent="0.3">
      <c r="A3357" s="15" t="s">
        <v>44357</v>
      </c>
      <c r="B3357" s="15" t="s">
        <v>800</v>
      </c>
      <c r="C3357" s="15" t="s">
        <v>6921</v>
      </c>
      <c r="D3357" s="15" t="s">
        <v>6922</v>
      </c>
      <c r="E3357" s="15">
        <v>1000.0018</v>
      </c>
      <c r="F3357" s="42">
        <v>46201</v>
      </c>
    </row>
    <row r="3358" spans="1:6" x14ac:dyDescent="0.3">
      <c r="A3358" s="15" t="s">
        <v>44356</v>
      </c>
      <c r="B3358" s="15" t="s">
        <v>6923</v>
      </c>
      <c r="C3358" s="15" t="s">
        <v>800</v>
      </c>
      <c r="D3358" s="15" t="s">
        <v>6924</v>
      </c>
      <c r="E3358" s="15">
        <v>1425.7682</v>
      </c>
      <c r="F3358" s="42">
        <v>46201</v>
      </c>
    </row>
    <row r="3359" spans="1:6" x14ac:dyDescent="0.3">
      <c r="A3359" s="15" t="s">
        <v>44355</v>
      </c>
      <c r="B3359" s="15" t="s">
        <v>800</v>
      </c>
      <c r="C3359" s="15" t="s">
        <v>6925</v>
      </c>
      <c r="D3359" s="15" t="s">
        <v>6926</v>
      </c>
      <c r="E3359" s="15">
        <v>1001.3048</v>
      </c>
      <c r="F3359" s="42">
        <v>46201</v>
      </c>
    </row>
    <row r="3360" spans="1:6" x14ac:dyDescent="0.3">
      <c r="A3360" s="15" t="s">
        <v>33499</v>
      </c>
      <c r="B3360" s="15" t="s">
        <v>795</v>
      </c>
      <c r="C3360" s="15" t="s">
        <v>795</v>
      </c>
      <c r="D3360" s="15" t="s">
        <v>795</v>
      </c>
      <c r="F3360" s="42"/>
    </row>
    <row r="3361" spans="1:6" x14ac:dyDescent="0.3">
      <c r="A3361" s="15" t="s">
        <v>40284</v>
      </c>
      <c r="B3361" s="15" t="s">
        <v>795</v>
      </c>
      <c r="C3361" s="15" t="s">
        <v>795</v>
      </c>
      <c r="D3361" s="15" t="s">
        <v>795</v>
      </c>
      <c r="F3361" s="42"/>
    </row>
    <row r="3362" spans="1:6" x14ac:dyDescent="0.3">
      <c r="A3362" s="15" t="s">
        <v>33499</v>
      </c>
      <c r="B3362" s="15" t="s">
        <v>795</v>
      </c>
      <c r="C3362" s="15" t="s">
        <v>795</v>
      </c>
      <c r="D3362" s="15" t="s">
        <v>795</v>
      </c>
      <c r="F3362" s="42"/>
    </row>
    <row r="3363" spans="1:6" x14ac:dyDescent="0.3">
      <c r="A3363" s="15" t="s">
        <v>44354</v>
      </c>
      <c r="B3363" s="15" t="s">
        <v>800</v>
      </c>
      <c r="C3363" s="15" t="s">
        <v>6927</v>
      </c>
      <c r="D3363" s="15" t="s">
        <v>6928</v>
      </c>
      <c r="E3363" s="15">
        <v>1001.0012</v>
      </c>
      <c r="F3363" s="42">
        <v>46201</v>
      </c>
    </row>
    <row r="3364" spans="1:6" x14ac:dyDescent="0.3">
      <c r="A3364" s="15" t="s">
        <v>44353</v>
      </c>
      <c r="B3364" s="15" t="s">
        <v>6929</v>
      </c>
      <c r="C3364" s="15" t="s">
        <v>800</v>
      </c>
      <c r="D3364" s="15" t="s">
        <v>6930</v>
      </c>
      <c r="E3364" s="15">
        <v>1407.5913</v>
      </c>
      <c r="F3364" s="42">
        <v>46201</v>
      </c>
    </row>
    <row r="3365" spans="1:6" x14ac:dyDescent="0.3">
      <c r="A3365" s="15" t="s">
        <v>44352</v>
      </c>
      <c r="B3365" s="15" t="s">
        <v>800</v>
      </c>
      <c r="C3365" s="15" t="s">
        <v>6931</v>
      </c>
      <c r="D3365" s="15" t="s">
        <v>6932</v>
      </c>
      <c r="E3365" s="15">
        <v>1001</v>
      </c>
      <c r="F3365" s="42">
        <v>46201</v>
      </c>
    </row>
    <row r="3366" spans="1:6" x14ac:dyDescent="0.3">
      <c r="A3366" s="15" t="s">
        <v>44351</v>
      </c>
      <c r="B3366" s="15" t="s">
        <v>6933</v>
      </c>
      <c r="C3366" s="15" t="s">
        <v>800</v>
      </c>
      <c r="D3366" s="15" t="s">
        <v>6934</v>
      </c>
      <c r="E3366" s="15">
        <v>1406.0382</v>
      </c>
      <c r="F3366" s="42">
        <v>46201</v>
      </c>
    </row>
    <row r="3367" spans="1:6" x14ac:dyDescent="0.3">
      <c r="A3367" s="15" t="s">
        <v>33499</v>
      </c>
      <c r="B3367" s="15" t="s">
        <v>795</v>
      </c>
      <c r="C3367" s="15" t="s">
        <v>795</v>
      </c>
      <c r="D3367" s="15" t="s">
        <v>795</v>
      </c>
      <c r="F3367" s="42"/>
    </row>
    <row r="3368" spans="1:6" x14ac:dyDescent="0.3">
      <c r="A3368" s="15" t="s">
        <v>37061</v>
      </c>
      <c r="B3368" s="15" t="s">
        <v>795</v>
      </c>
      <c r="C3368" s="15" t="s">
        <v>795</v>
      </c>
      <c r="D3368" s="15" t="s">
        <v>795</v>
      </c>
      <c r="F3368" s="42"/>
    </row>
    <row r="3369" spans="1:6" x14ac:dyDescent="0.3">
      <c r="A3369" s="15" t="s">
        <v>33499</v>
      </c>
      <c r="B3369" s="15" t="s">
        <v>795</v>
      </c>
      <c r="C3369" s="15" t="s">
        <v>795</v>
      </c>
      <c r="D3369" s="15" t="s">
        <v>795</v>
      </c>
      <c r="F3369" s="42"/>
    </row>
    <row r="3370" spans="1:6" x14ac:dyDescent="0.3">
      <c r="A3370" s="15" t="s">
        <v>44350</v>
      </c>
      <c r="B3370" s="15" t="s">
        <v>6935</v>
      </c>
      <c r="C3370" s="15" t="s">
        <v>800</v>
      </c>
      <c r="D3370" s="15" t="s">
        <v>6936</v>
      </c>
      <c r="E3370" s="15">
        <v>1460.8007</v>
      </c>
      <c r="F3370" s="42">
        <v>46201</v>
      </c>
    </row>
    <row r="3371" spans="1:6" x14ac:dyDescent="0.3">
      <c r="A3371" s="15" t="s">
        <v>44349</v>
      </c>
      <c r="B3371" s="15" t="s">
        <v>800</v>
      </c>
      <c r="C3371" s="15" t="s">
        <v>6937</v>
      </c>
      <c r="D3371" s="15" t="s">
        <v>6938</v>
      </c>
      <c r="E3371" s="15">
        <v>1000.0099</v>
      </c>
      <c r="F3371" s="42">
        <v>46201</v>
      </c>
    </row>
    <row r="3372" spans="1:6" x14ac:dyDescent="0.3">
      <c r="A3372" s="15" t="s">
        <v>44348</v>
      </c>
      <c r="B3372" s="15" t="s">
        <v>6939</v>
      </c>
      <c r="C3372" s="15" t="s">
        <v>6940</v>
      </c>
      <c r="D3372" s="15" t="s">
        <v>6941</v>
      </c>
      <c r="E3372" s="15">
        <v>1000.8946</v>
      </c>
      <c r="F3372" s="42">
        <v>45068</v>
      </c>
    </row>
    <row r="3373" spans="1:6" x14ac:dyDescent="0.3">
      <c r="A3373" s="15" t="s">
        <v>44347</v>
      </c>
      <c r="B3373" s="15" t="s">
        <v>6942</v>
      </c>
      <c r="C3373" s="15" t="s">
        <v>800</v>
      </c>
      <c r="D3373" s="15" t="s">
        <v>6943</v>
      </c>
      <c r="E3373" s="15">
        <v>1452.1279999999999</v>
      </c>
      <c r="F3373" s="42">
        <v>46201</v>
      </c>
    </row>
    <row r="3374" spans="1:6" x14ac:dyDescent="0.3">
      <c r="A3374" s="15" t="s">
        <v>44346</v>
      </c>
      <c r="B3374" s="15" t="s">
        <v>800</v>
      </c>
      <c r="C3374" s="15" t="s">
        <v>6944</v>
      </c>
      <c r="D3374" s="15" t="s">
        <v>6945</v>
      </c>
      <c r="E3374" s="15">
        <v>1000.0099</v>
      </c>
      <c r="F3374" s="42">
        <v>46201</v>
      </c>
    </row>
    <row r="3375" spans="1:6" x14ac:dyDescent="0.3">
      <c r="A3375" s="15" t="s">
        <v>44345</v>
      </c>
      <c r="B3375" s="15" t="s">
        <v>6946</v>
      </c>
      <c r="C3375" s="15" t="s">
        <v>6947</v>
      </c>
      <c r="D3375" s="15" t="s">
        <v>6948</v>
      </c>
      <c r="E3375" s="15">
        <v>1001.1433</v>
      </c>
      <c r="F3375" s="42">
        <v>46201</v>
      </c>
    </row>
    <row r="3376" spans="1:6" x14ac:dyDescent="0.3">
      <c r="A3376" s="15" t="s">
        <v>44344</v>
      </c>
      <c r="B3376" s="15" t="s">
        <v>800</v>
      </c>
      <c r="C3376" s="15" t="s">
        <v>800</v>
      </c>
      <c r="D3376" s="15" t="s">
        <v>6949</v>
      </c>
      <c r="E3376" s="15">
        <v>10</v>
      </c>
      <c r="F3376" s="42">
        <v>46201</v>
      </c>
    </row>
    <row r="3377" spans="1:6" x14ac:dyDescent="0.3">
      <c r="A3377" s="15" t="s">
        <v>44343</v>
      </c>
      <c r="B3377" s="15" t="s">
        <v>800</v>
      </c>
      <c r="C3377" s="15" t="s">
        <v>800</v>
      </c>
      <c r="D3377" s="15" t="s">
        <v>6950</v>
      </c>
      <c r="E3377" s="15">
        <v>13.0124</v>
      </c>
      <c r="F3377" s="42">
        <v>46201</v>
      </c>
    </row>
    <row r="3378" spans="1:6" x14ac:dyDescent="0.3">
      <c r="A3378" s="15" t="s">
        <v>44342</v>
      </c>
      <c r="B3378" s="15" t="s">
        <v>800</v>
      </c>
      <c r="C3378" s="15" t="s">
        <v>800</v>
      </c>
      <c r="D3378" s="15" t="s">
        <v>6951</v>
      </c>
      <c r="E3378" s="15">
        <v>10</v>
      </c>
      <c r="F3378" s="42">
        <v>46201</v>
      </c>
    </row>
    <row r="3379" spans="1:6" x14ac:dyDescent="0.3">
      <c r="A3379" s="15" t="s">
        <v>44341</v>
      </c>
      <c r="B3379" s="15" t="s">
        <v>800</v>
      </c>
      <c r="C3379" s="15" t="s">
        <v>800</v>
      </c>
      <c r="D3379" s="15" t="s">
        <v>6952</v>
      </c>
      <c r="E3379" s="15">
        <v>13.0124</v>
      </c>
      <c r="F3379" s="42">
        <v>46201</v>
      </c>
    </row>
    <row r="3380" spans="1:6" x14ac:dyDescent="0.3">
      <c r="A3380" s="15" t="s">
        <v>33499</v>
      </c>
      <c r="B3380" s="15" t="s">
        <v>795</v>
      </c>
      <c r="C3380" s="15" t="s">
        <v>795</v>
      </c>
      <c r="D3380" s="15" t="s">
        <v>795</v>
      </c>
      <c r="F3380" s="42"/>
    </row>
    <row r="3381" spans="1:6" x14ac:dyDescent="0.3">
      <c r="A3381" s="15" t="s">
        <v>37895</v>
      </c>
      <c r="B3381" s="15" t="s">
        <v>795</v>
      </c>
      <c r="C3381" s="15" t="s">
        <v>795</v>
      </c>
      <c r="D3381" s="15" t="s">
        <v>795</v>
      </c>
      <c r="F3381" s="42"/>
    </row>
    <row r="3382" spans="1:6" x14ac:dyDescent="0.3">
      <c r="A3382" s="15" t="s">
        <v>33499</v>
      </c>
      <c r="B3382" s="15" t="s">
        <v>795</v>
      </c>
      <c r="C3382" s="15" t="s">
        <v>795</v>
      </c>
      <c r="D3382" s="15" t="s">
        <v>795</v>
      </c>
      <c r="F3382" s="42"/>
    </row>
    <row r="3383" spans="1:6" x14ac:dyDescent="0.3">
      <c r="A3383" s="15" t="s">
        <v>44340</v>
      </c>
      <c r="B3383" s="15" t="s">
        <v>6953</v>
      </c>
      <c r="C3383" s="15" t="s">
        <v>6954</v>
      </c>
      <c r="D3383" s="15" t="s">
        <v>6955</v>
      </c>
      <c r="E3383" s="15">
        <v>1411.1186</v>
      </c>
      <c r="F3383" s="42">
        <v>46201</v>
      </c>
    </row>
    <row r="3384" spans="1:6" x14ac:dyDescent="0.3">
      <c r="A3384" s="15" t="s">
        <v>44339</v>
      </c>
      <c r="B3384" s="15" t="s">
        <v>800</v>
      </c>
      <c r="C3384" s="15" t="s">
        <v>6956</v>
      </c>
      <c r="D3384" s="15" t="s">
        <v>6957</v>
      </c>
      <c r="E3384" s="15">
        <v>1000.2322</v>
      </c>
      <c r="F3384" s="42">
        <v>46201</v>
      </c>
    </row>
    <row r="3385" spans="1:6" x14ac:dyDescent="0.3">
      <c r="A3385" s="15" t="s">
        <v>44338</v>
      </c>
      <c r="B3385" s="15" t="s">
        <v>6958</v>
      </c>
      <c r="C3385" s="15" t="s">
        <v>6959</v>
      </c>
      <c r="D3385" s="15" t="s">
        <v>6960</v>
      </c>
      <c r="E3385" s="15">
        <v>1366.6215999999999</v>
      </c>
      <c r="F3385" s="42">
        <v>46201</v>
      </c>
    </row>
    <row r="3386" spans="1:6" x14ac:dyDescent="0.3">
      <c r="A3386" s="15" t="s">
        <v>44337</v>
      </c>
      <c r="B3386" s="15" t="s">
        <v>6961</v>
      </c>
      <c r="C3386" s="15" t="s">
        <v>800</v>
      </c>
      <c r="D3386" s="15" t="s">
        <v>6962</v>
      </c>
      <c r="E3386" s="15">
        <v>1410.6514</v>
      </c>
      <c r="F3386" s="42">
        <v>46201</v>
      </c>
    </row>
    <row r="3387" spans="1:6" x14ac:dyDescent="0.3">
      <c r="A3387" s="15" t="s">
        <v>44336</v>
      </c>
      <c r="B3387" s="15" t="s">
        <v>6963</v>
      </c>
      <c r="C3387" s="15" t="s">
        <v>6964</v>
      </c>
      <c r="D3387" s="15" t="s">
        <v>6965</v>
      </c>
      <c r="E3387" s="15">
        <v>1057.9659999999999</v>
      </c>
      <c r="F3387" s="42">
        <v>46201</v>
      </c>
    </row>
    <row r="3388" spans="1:6" x14ac:dyDescent="0.3">
      <c r="A3388" s="15" t="s">
        <v>44335</v>
      </c>
      <c r="B3388" s="15" t="s">
        <v>800</v>
      </c>
      <c r="C3388" s="15" t="s">
        <v>6966</v>
      </c>
      <c r="D3388" s="15" t="s">
        <v>6967</v>
      </c>
      <c r="E3388" s="15">
        <v>1379.3027</v>
      </c>
      <c r="F3388" s="42">
        <v>46201</v>
      </c>
    </row>
    <row r="3389" spans="1:6" x14ac:dyDescent="0.3">
      <c r="A3389" s="15" t="s">
        <v>44334</v>
      </c>
      <c r="B3389" s="15" t="s">
        <v>6968</v>
      </c>
      <c r="C3389" s="15" t="s">
        <v>6969</v>
      </c>
      <c r="D3389" s="15" t="s">
        <v>6970</v>
      </c>
      <c r="E3389" s="15">
        <v>1405.3190999999999</v>
      </c>
      <c r="F3389" s="42">
        <v>46201</v>
      </c>
    </row>
    <row r="3390" spans="1:6" x14ac:dyDescent="0.3">
      <c r="A3390" s="15" t="s">
        <v>44333</v>
      </c>
      <c r="B3390" s="15" t="s">
        <v>800</v>
      </c>
      <c r="C3390" s="15" t="s">
        <v>6971</v>
      </c>
      <c r="D3390" s="15" t="s">
        <v>6972</v>
      </c>
      <c r="E3390" s="15">
        <v>1008.3718</v>
      </c>
      <c r="F3390" s="42">
        <v>46201</v>
      </c>
    </row>
    <row r="3391" spans="1:6" x14ac:dyDescent="0.3">
      <c r="A3391" s="15" t="s">
        <v>44332</v>
      </c>
      <c r="B3391" s="15" t="s">
        <v>6973</v>
      </c>
      <c r="C3391" s="15" t="s">
        <v>6974</v>
      </c>
      <c r="D3391" s="15" t="s">
        <v>6975</v>
      </c>
      <c r="E3391" s="15">
        <v>1095.1541999999999</v>
      </c>
      <c r="F3391" s="42">
        <v>46201</v>
      </c>
    </row>
    <row r="3392" spans="1:6" x14ac:dyDescent="0.3">
      <c r="A3392" s="15" t="s">
        <v>44331</v>
      </c>
      <c r="B3392" s="15" t="s">
        <v>6976</v>
      </c>
      <c r="C3392" s="15" t="s">
        <v>800</v>
      </c>
      <c r="D3392" s="15" t="s">
        <v>6977</v>
      </c>
      <c r="E3392" s="15">
        <v>1405.3076000000001</v>
      </c>
      <c r="F3392" s="42">
        <v>46201</v>
      </c>
    </row>
    <row r="3393" spans="1:6" x14ac:dyDescent="0.3">
      <c r="A3393" s="15" t="s">
        <v>44330</v>
      </c>
      <c r="B3393" s="15" t="s">
        <v>6978</v>
      </c>
      <c r="C3393" s="15" t="s">
        <v>6979</v>
      </c>
      <c r="D3393" s="15" t="s">
        <v>6980</v>
      </c>
      <c r="E3393" s="15">
        <v>1004.8437</v>
      </c>
      <c r="F3393" s="42">
        <v>46201</v>
      </c>
    </row>
    <row r="3394" spans="1:6" x14ac:dyDescent="0.3">
      <c r="A3394" s="15" t="s">
        <v>44329</v>
      </c>
      <c r="B3394" s="15" t="s">
        <v>800</v>
      </c>
      <c r="C3394" s="15" t="s">
        <v>6981</v>
      </c>
      <c r="D3394" s="15" t="s">
        <v>6982</v>
      </c>
      <c r="E3394" s="15">
        <v>1017.2791</v>
      </c>
      <c r="F3394" s="42">
        <v>46201</v>
      </c>
    </row>
    <row r="3395" spans="1:6" x14ac:dyDescent="0.3">
      <c r="A3395" s="15" t="s">
        <v>44328</v>
      </c>
      <c r="B3395" s="15" t="s">
        <v>800</v>
      </c>
      <c r="C3395" s="15" t="s">
        <v>800</v>
      </c>
      <c r="D3395" s="15" t="s">
        <v>6983</v>
      </c>
      <c r="E3395" s="15">
        <v>1000</v>
      </c>
      <c r="F3395" s="42">
        <v>46201</v>
      </c>
    </row>
    <row r="3396" spans="1:6" x14ac:dyDescent="0.3">
      <c r="A3396" s="15" t="s">
        <v>44327</v>
      </c>
      <c r="B3396" s="15" t="s">
        <v>800</v>
      </c>
      <c r="C3396" s="15" t="s">
        <v>800</v>
      </c>
      <c r="D3396" s="15" t="s">
        <v>6984</v>
      </c>
      <c r="E3396" s="15">
        <v>1290.6699000000001</v>
      </c>
      <c r="F3396" s="42">
        <v>46201</v>
      </c>
    </row>
    <row r="3397" spans="1:6" x14ac:dyDescent="0.3">
      <c r="A3397" s="15" t="s">
        <v>44326</v>
      </c>
      <c r="B3397" s="15" t="s">
        <v>800</v>
      </c>
      <c r="C3397" s="15" t="s">
        <v>800</v>
      </c>
      <c r="D3397" s="15" t="s">
        <v>6985</v>
      </c>
      <c r="E3397" s="15">
        <v>1000</v>
      </c>
      <c r="F3397" s="42">
        <v>46201</v>
      </c>
    </row>
    <row r="3398" spans="1:6" x14ac:dyDescent="0.3">
      <c r="A3398" s="15" t="s">
        <v>44325</v>
      </c>
      <c r="B3398" s="15" t="s">
        <v>800</v>
      </c>
      <c r="C3398" s="15" t="s">
        <v>800</v>
      </c>
      <c r="D3398" s="15" t="s">
        <v>6986</v>
      </c>
      <c r="E3398" s="15">
        <v>1290.6683</v>
      </c>
      <c r="F3398" s="42">
        <v>46201</v>
      </c>
    </row>
    <row r="3399" spans="1:6" x14ac:dyDescent="0.3">
      <c r="A3399" s="15" t="s">
        <v>33499</v>
      </c>
      <c r="B3399" s="15" t="s">
        <v>795</v>
      </c>
      <c r="C3399" s="15" t="s">
        <v>795</v>
      </c>
      <c r="D3399" s="15" t="s">
        <v>795</v>
      </c>
      <c r="F3399" s="42"/>
    </row>
    <row r="3400" spans="1:6" x14ac:dyDescent="0.3">
      <c r="A3400" s="15" t="s">
        <v>37044</v>
      </c>
      <c r="B3400" s="15" t="s">
        <v>795</v>
      </c>
      <c r="C3400" s="15" t="s">
        <v>795</v>
      </c>
      <c r="D3400" s="15" t="s">
        <v>795</v>
      </c>
      <c r="F3400" s="42"/>
    </row>
    <row r="3401" spans="1:6" x14ac:dyDescent="0.3">
      <c r="A3401" s="15" t="s">
        <v>33499</v>
      </c>
      <c r="B3401" s="15" t="s">
        <v>795</v>
      </c>
      <c r="C3401" s="15" t="s">
        <v>795</v>
      </c>
      <c r="D3401" s="15" t="s">
        <v>795</v>
      </c>
      <c r="F3401" s="42"/>
    </row>
    <row r="3402" spans="1:6" x14ac:dyDescent="0.3">
      <c r="A3402" s="15" t="s">
        <v>44324</v>
      </c>
      <c r="B3402" s="15" t="s">
        <v>800</v>
      </c>
      <c r="C3402" s="15" t="s">
        <v>6987</v>
      </c>
      <c r="D3402" s="15" t="s">
        <v>6988</v>
      </c>
      <c r="E3402" s="15">
        <v>1000.0001</v>
      </c>
      <c r="F3402" s="42">
        <v>46201</v>
      </c>
    </row>
    <row r="3403" spans="1:6" x14ac:dyDescent="0.3">
      <c r="A3403" s="15" t="s">
        <v>44323</v>
      </c>
      <c r="B3403" s="15" t="s">
        <v>800</v>
      </c>
      <c r="C3403" s="15" t="s">
        <v>6989</v>
      </c>
      <c r="D3403" s="15" t="s">
        <v>6990</v>
      </c>
      <c r="E3403" s="15">
        <v>1000.0007000000001</v>
      </c>
      <c r="F3403" s="42">
        <v>46201</v>
      </c>
    </row>
    <row r="3404" spans="1:6" x14ac:dyDescent="0.3">
      <c r="A3404" s="15" t="s">
        <v>44322</v>
      </c>
      <c r="B3404" s="15" t="s">
        <v>6991</v>
      </c>
      <c r="C3404" s="15" t="s">
        <v>6992</v>
      </c>
      <c r="D3404" s="15" t="s">
        <v>6993</v>
      </c>
      <c r="E3404" s="15">
        <v>1000.0026</v>
      </c>
      <c r="F3404" s="42">
        <v>46201</v>
      </c>
    </row>
    <row r="3405" spans="1:6" x14ac:dyDescent="0.3">
      <c r="A3405" s="15" t="s">
        <v>44321</v>
      </c>
      <c r="B3405" s="15" t="s">
        <v>6994</v>
      </c>
      <c r="C3405" s="15" t="s">
        <v>6995</v>
      </c>
      <c r="D3405" s="15" t="s">
        <v>6996</v>
      </c>
      <c r="E3405" s="15">
        <v>1000.0066</v>
      </c>
      <c r="F3405" s="42">
        <v>46201</v>
      </c>
    </row>
    <row r="3406" spans="1:6" x14ac:dyDescent="0.3">
      <c r="A3406" s="15" t="s">
        <v>44320</v>
      </c>
      <c r="B3406" s="15" t="s">
        <v>6997</v>
      </c>
      <c r="C3406" s="15" t="s">
        <v>800</v>
      </c>
      <c r="D3406" s="15" t="s">
        <v>6998</v>
      </c>
      <c r="E3406" s="15">
        <v>1417.7569000000001</v>
      </c>
      <c r="F3406" s="42">
        <v>46201</v>
      </c>
    </row>
    <row r="3407" spans="1:6" x14ac:dyDescent="0.3">
      <c r="A3407" s="15" t="s">
        <v>44319</v>
      </c>
      <c r="B3407" s="15" t="s">
        <v>6999</v>
      </c>
      <c r="C3407" s="15" t="s">
        <v>800</v>
      </c>
      <c r="D3407" s="15" t="s">
        <v>7000</v>
      </c>
      <c r="E3407" s="15">
        <v>1422.7049</v>
      </c>
      <c r="F3407" s="42">
        <v>46201</v>
      </c>
    </row>
    <row r="3408" spans="1:6" x14ac:dyDescent="0.3">
      <c r="A3408" s="15" t="s">
        <v>44318</v>
      </c>
      <c r="B3408" s="15" t="s">
        <v>800</v>
      </c>
      <c r="C3408" s="15" t="s">
        <v>800</v>
      </c>
      <c r="D3408" s="15" t="s">
        <v>7001</v>
      </c>
      <c r="E3408" s="15">
        <v>10</v>
      </c>
      <c r="F3408" s="42">
        <v>46201</v>
      </c>
    </row>
    <row r="3409" spans="1:6" x14ac:dyDescent="0.3">
      <c r="A3409" s="15" t="s">
        <v>44317</v>
      </c>
      <c r="B3409" s="15" t="s">
        <v>800</v>
      </c>
      <c r="C3409" s="15" t="s">
        <v>800</v>
      </c>
      <c r="D3409" s="15" t="s">
        <v>7002</v>
      </c>
      <c r="E3409" s="15">
        <v>12.912599999999999</v>
      </c>
      <c r="F3409" s="42">
        <v>46201</v>
      </c>
    </row>
    <row r="3410" spans="1:6" x14ac:dyDescent="0.3">
      <c r="A3410" s="15" t="s">
        <v>44316</v>
      </c>
      <c r="B3410" s="15" t="s">
        <v>800</v>
      </c>
      <c r="C3410" s="15" t="s">
        <v>800</v>
      </c>
      <c r="D3410" s="15" t="s">
        <v>7003</v>
      </c>
      <c r="E3410" s="15">
        <v>10</v>
      </c>
      <c r="F3410" s="42">
        <v>46201</v>
      </c>
    </row>
    <row r="3411" spans="1:6" x14ac:dyDescent="0.3">
      <c r="A3411" s="15" t="s">
        <v>44315</v>
      </c>
      <c r="B3411" s="15" t="s">
        <v>800</v>
      </c>
      <c r="C3411" s="15" t="s">
        <v>800</v>
      </c>
      <c r="D3411" s="15" t="s">
        <v>7004</v>
      </c>
      <c r="E3411" s="15">
        <v>12.912599999999999</v>
      </c>
      <c r="F3411" s="42">
        <v>46201</v>
      </c>
    </row>
    <row r="3412" spans="1:6" x14ac:dyDescent="0.3">
      <c r="A3412" s="15" t="s">
        <v>33499</v>
      </c>
      <c r="B3412" s="15" t="s">
        <v>795</v>
      </c>
      <c r="C3412" s="15" t="s">
        <v>795</v>
      </c>
      <c r="D3412" s="15" t="s">
        <v>795</v>
      </c>
      <c r="F3412" s="42"/>
    </row>
    <row r="3413" spans="1:6" x14ac:dyDescent="0.3">
      <c r="A3413" s="15" t="s">
        <v>37881</v>
      </c>
      <c r="B3413" s="15" t="s">
        <v>795</v>
      </c>
      <c r="C3413" s="15" t="s">
        <v>795</v>
      </c>
      <c r="D3413" s="15" t="s">
        <v>795</v>
      </c>
      <c r="F3413" s="42"/>
    </row>
    <row r="3414" spans="1:6" x14ac:dyDescent="0.3">
      <c r="A3414" s="15" t="s">
        <v>33499</v>
      </c>
      <c r="B3414" s="15" t="s">
        <v>795</v>
      </c>
      <c r="C3414" s="15" t="s">
        <v>795</v>
      </c>
      <c r="D3414" s="15" t="s">
        <v>795</v>
      </c>
      <c r="F3414" s="42"/>
    </row>
    <row r="3415" spans="1:6" x14ac:dyDescent="0.3">
      <c r="A3415" s="15" t="s">
        <v>44314</v>
      </c>
      <c r="B3415" s="15" t="s">
        <v>800</v>
      </c>
      <c r="C3415" s="15" t="s">
        <v>7005</v>
      </c>
      <c r="D3415" s="15" t="s">
        <v>7006</v>
      </c>
      <c r="E3415" s="15">
        <v>1001.4878</v>
      </c>
      <c r="F3415" s="42">
        <v>46201</v>
      </c>
    </row>
    <row r="3416" spans="1:6" x14ac:dyDescent="0.3">
      <c r="A3416" s="15" t="s">
        <v>44313</v>
      </c>
      <c r="B3416" s="15" t="s">
        <v>7007</v>
      </c>
      <c r="C3416" s="15" t="s">
        <v>7008</v>
      </c>
      <c r="D3416" s="15" t="s">
        <v>7009</v>
      </c>
      <c r="E3416" s="15">
        <v>1215.3336999999999</v>
      </c>
      <c r="F3416" s="42">
        <v>46201</v>
      </c>
    </row>
    <row r="3417" spans="1:6" x14ac:dyDescent="0.3">
      <c r="A3417" s="15" t="s">
        <v>44312</v>
      </c>
      <c r="B3417" s="15" t="s">
        <v>7010</v>
      </c>
      <c r="C3417" s="15" t="s">
        <v>800</v>
      </c>
      <c r="D3417" s="15" t="s">
        <v>7011</v>
      </c>
      <c r="E3417" s="15">
        <v>1404.8097</v>
      </c>
      <c r="F3417" s="42">
        <v>46201</v>
      </c>
    </row>
    <row r="3418" spans="1:6" x14ac:dyDescent="0.3">
      <c r="A3418" s="15" t="s">
        <v>44311</v>
      </c>
      <c r="B3418" s="15" t="s">
        <v>7012</v>
      </c>
      <c r="C3418" s="15" t="s">
        <v>7013</v>
      </c>
      <c r="D3418" s="15" t="s">
        <v>7014</v>
      </c>
      <c r="E3418" s="15">
        <v>1005.127</v>
      </c>
      <c r="F3418" s="42">
        <v>46201</v>
      </c>
    </row>
    <row r="3419" spans="1:6" x14ac:dyDescent="0.3">
      <c r="A3419" s="15" t="s">
        <v>44310</v>
      </c>
      <c r="B3419" s="15" t="s">
        <v>7015</v>
      </c>
      <c r="C3419" s="15" t="s">
        <v>7016</v>
      </c>
      <c r="D3419" s="15" t="s">
        <v>7017</v>
      </c>
      <c r="E3419" s="15">
        <v>1002.1772999999999</v>
      </c>
      <c r="F3419" s="42">
        <v>46201</v>
      </c>
    </row>
    <row r="3420" spans="1:6" x14ac:dyDescent="0.3">
      <c r="A3420" s="15" t="s">
        <v>44309</v>
      </c>
      <c r="B3420" s="15" t="s">
        <v>800</v>
      </c>
      <c r="C3420" s="15" t="s">
        <v>7018</v>
      </c>
      <c r="D3420" s="15" t="s">
        <v>7019</v>
      </c>
      <c r="E3420" s="15">
        <v>1001.0498</v>
      </c>
      <c r="F3420" s="42">
        <v>46201</v>
      </c>
    </row>
    <row r="3421" spans="1:6" x14ac:dyDescent="0.3">
      <c r="A3421" s="15" t="s">
        <v>44308</v>
      </c>
      <c r="B3421" s="15" t="s">
        <v>7020</v>
      </c>
      <c r="C3421" s="15" t="s">
        <v>7021</v>
      </c>
      <c r="D3421" s="15" t="s">
        <v>7022</v>
      </c>
      <c r="E3421" s="15">
        <v>1001.3629</v>
      </c>
      <c r="F3421" s="42">
        <v>46201</v>
      </c>
    </row>
    <row r="3422" spans="1:6" x14ac:dyDescent="0.3">
      <c r="A3422" s="15" t="s">
        <v>44307</v>
      </c>
      <c r="B3422" s="15" t="s">
        <v>7023</v>
      </c>
      <c r="C3422" s="15" t="s">
        <v>800</v>
      </c>
      <c r="D3422" s="15" t="s">
        <v>7024</v>
      </c>
      <c r="E3422" s="15">
        <v>1395.6023</v>
      </c>
      <c r="F3422" s="42">
        <v>46201</v>
      </c>
    </row>
    <row r="3423" spans="1:6" x14ac:dyDescent="0.3">
      <c r="A3423" s="15" t="s">
        <v>44306</v>
      </c>
      <c r="B3423" s="15" t="s">
        <v>7025</v>
      </c>
      <c r="C3423" s="15" t="s">
        <v>7026</v>
      </c>
      <c r="D3423" s="15" t="s">
        <v>7027</v>
      </c>
      <c r="E3423" s="15">
        <v>1004.9725</v>
      </c>
      <c r="F3423" s="42">
        <v>46201</v>
      </c>
    </row>
    <row r="3424" spans="1:6" x14ac:dyDescent="0.3">
      <c r="A3424" s="15" t="s">
        <v>44305</v>
      </c>
      <c r="B3424" s="15" t="s">
        <v>7028</v>
      </c>
      <c r="C3424" s="15" t="s">
        <v>7029</v>
      </c>
      <c r="D3424" s="15" t="s">
        <v>7030</v>
      </c>
      <c r="E3424" s="15">
        <v>1001.8439</v>
      </c>
      <c r="F3424" s="42">
        <v>46201</v>
      </c>
    </row>
    <row r="3425" spans="1:6" x14ac:dyDescent="0.3">
      <c r="A3425" s="15" t="s">
        <v>44304</v>
      </c>
      <c r="B3425" s="15" t="s">
        <v>800</v>
      </c>
      <c r="C3425" s="15" t="s">
        <v>800</v>
      </c>
      <c r="D3425" s="15" t="s">
        <v>7031</v>
      </c>
      <c r="E3425" s="15">
        <v>1303.2885000000001</v>
      </c>
      <c r="F3425" s="42">
        <v>46201</v>
      </c>
    </row>
    <row r="3426" spans="1:6" x14ac:dyDescent="0.3">
      <c r="A3426" s="15" t="s">
        <v>44303</v>
      </c>
      <c r="B3426" s="15" t="s">
        <v>800</v>
      </c>
      <c r="C3426" s="15" t="s">
        <v>800</v>
      </c>
      <c r="D3426" s="15" t="s">
        <v>7032</v>
      </c>
      <c r="E3426" s="15">
        <v>1183.0934</v>
      </c>
      <c r="F3426" s="42">
        <v>45623</v>
      </c>
    </row>
    <row r="3427" spans="1:6" x14ac:dyDescent="0.3">
      <c r="A3427" s="15" t="s">
        <v>44302</v>
      </c>
      <c r="B3427" s="15" t="s">
        <v>800</v>
      </c>
      <c r="C3427" s="15" t="s">
        <v>800</v>
      </c>
      <c r="D3427" s="15" t="s">
        <v>7033</v>
      </c>
      <c r="E3427" s="15">
        <v>1289.2958000000001</v>
      </c>
      <c r="F3427" s="42">
        <v>46201</v>
      </c>
    </row>
    <row r="3428" spans="1:6" x14ac:dyDescent="0.3">
      <c r="A3428" s="15" t="s">
        <v>44301</v>
      </c>
      <c r="B3428" s="15" t="s">
        <v>800</v>
      </c>
      <c r="C3428" s="15" t="s">
        <v>800</v>
      </c>
      <c r="D3428" s="15" t="s">
        <v>7034</v>
      </c>
      <c r="E3428" s="15">
        <v>1000</v>
      </c>
      <c r="F3428" s="42">
        <v>46201</v>
      </c>
    </row>
    <row r="3429" spans="1:6" x14ac:dyDescent="0.3">
      <c r="A3429" s="15" t="s">
        <v>33499</v>
      </c>
      <c r="B3429" s="15" t="s">
        <v>795</v>
      </c>
      <c r="C3429" s="15" t="s">
        <v>795</v>
      </c>
      <c r="D3429" s="15" t="s">
        <v>795</v>
      </c>
      <c r="F3429" s="42"/>
    </row>
    <row r="3430" spans="1:6" x14ac:dyDescent="0.3">
      <c r="A3430" s="15" t="s">
        <v>37043</v>
      </c>
      <c r="B3430" s="15" t="s">
        <v>795</v>
      </c>
      <c r="C3430" s="15" t="s">
        <v>795</v>
      </c>
      <c r="D3430" s="15" t="s">
        <v>795</v>
      </c>
      <c r="F3430" s="42"/>
    </row>
    <row r="3431" spans="1:6" x14ac:dyDescent="0.3">
      <c r="A3431" s="15" t="s">
        <v>33499</v>
      </c>
      <c r="B3431" s="15" t="s">
        <v>795</v>
      </c>
      <c r="C3431" s="15" t="s">
        <v>795</v>
      </c>
      <c r="D3431" s="15" t="s">
        <v>795</v>
      </c>
      <c r="F3431" s="42"/>
    </row>
    <row r="3432" spans="1:6" x14ac:dyDescent="0.3">
      <c r="A3432" s="15" t="s">
        <v>44300</v>
      </c>
      <c r="B3432" s="15" t="s">
        <v>800</v>
      </c>
      <c r="C3432" s="15" t="s">
        <v>7035</v>
      </c>
      <c r="D3432" s="15" t="s">
        <v>7036</v>
      </c>
      <c r="E3432" s="15">
        <v>1042.6600000000001</v>
      </c>
      <c r="F3432" s="42">
        <v>46201</v>
      </c>
    </row>
    <row r="3433" spans="1:6" x14ac:dyDescent="0.3">
      <c r="A3433" s="15" t="s">
        <v>44299</v>
      </c>
      <c r="B3433" s="15" t="s">
        <v>7037</v>
      </c>
      <c r="C3433" s="15" t="s">
        <v>800</v>
      </c>
      <c r="D3433" s="15" t="s">
        <v>7038</v>
      </c>
      <c r="E3433" s="15">
        <v>3999.9859999999999</v>
      </c>
      <c r="F3433" s="42">
        <v>46201</v>
      </c>
    </row>
    <row r="3434" spans="1:6" x14ac:dyDescent="0.3">
      <c r="A3434" s="15" t="s">
        <v>44298</v>
      </c>
      <c r="B3434" s="15" t="s">
        <v>7039</v>
      </c>
      <c r="C3434" s="15" t="s">
        <v>800</v>
      </c>
      <c r="D3434" s="15" t="s">
        <v>7040</v>
      </c>
      <c r="E3434" s="15">
        <v>4042.4369000000002</v>
      </c>
      <c r="F3434" s="42">
        <v>46201</v>
      </c>
    </row>
    <row r="3435" spans="1:6" x14ac:dyDescent="0.3">
      <c r="A3435" s="15" t="s">
        <v>44297</v>
      </c>
      <c r="B3435" s="15" t="s">
        <v>800</v>
      </c>
      <c r="C3435" s="15" t="s">
        <v>7041</v>
      </c>
      <c r="D3435" s="15" t="s">
        <v>7042</v>
      </c>
      <c r="E3435" s="15">
        <v>1042.6600000000001</v>
      </c>
      <c r="F3435" s="42">
        <v>46201</v>
      </c>
    </row>
    <row r="3436" spans="1:6" x14ac:dyDescent="0.3">
      <c r="A3436" s="15" t="s">
        <v>33499</v>
      </c>
      <c r="B3436" s="15" t="s">
        <v>795</v>
      </c>
      <c r="C3436" s="15" t="s">
        <v>795</v>
      </c>
      <c r="D3436" s="15" t="s">
        <v>795</v>
      </c>
      <c r="F3436" s="42"/>
    </row>
    <row r="3437" spans="1:6" x14ac:dyDescent="0.3">
      <c r="A3437" s="15" t="s">
        <v>40598</v>
      </c>
      <c r="B3437" s="15" t="s">
        <v>795</v>
      </c>
      <c r="C3437" s="15" t="s">
        <v>795</v>
      </c>
      <c r="D3437" s="15" t="s">
        <v>795</v>
      </c>
      <c r="F3437" s="42"/>
    </row>
    <row r="3438" spans="1:6" x14ac:dyDescent="0.3">
      <c r="A3438" s="15" t="s">
        <v>33499</v>
      </c>
      <c r="B3438" s="15" t="s">
        <v>795</v>
      </c>
      <c r="C3438" s="15" t="s">
        <v>795</v>
      </c>
      <c r="D3438" s="15" t="s">
        <v>795</v>
      </c>
      <c r="F3438" s="42"/>
    </row>
    <row r="3439" spans="1:6" x14ac:dyDescent="0.3">
      <c r="A3439" s="15" t="s">
        <v>44296</v>
      </c>
      <c r="B3439" s="15" t="s">
        <v>7043</v>
      </c>
      <c r="C3439" s="15" t="s">
        <v>800</v>
      </c>
      <c r="D3439" s="15" t="s">
        <v>7044</v>
      </c>
      <c r="E3439" s="15">
        <v>1000</v>
      </c>
      <c r="F3439" s="42">
        <v>46201</v>
      </c>
    </row>
    <row r="3440" spans="1:6" x14ac:dyDescent="0.3">
      <c r="A3440" s="15" t="s">
        <v>44295</v>
      </c>
      <c r="B3440" s="15" t="s">
        <v>7045</v>
      </c>
      <c r="C3440" s="15" t="s">
        <v>800</v>
      </c>
      <c r="D3440" s="15" t="s">
        <v>7046</v>
      </c>
      <c r="E3440" s="15">
        <v>1169.3744999999999</v>
      </c>
      <c r="F3440" s="42">
        <v>46201</v>
      </c>
    </row>
    <row r="3441" spans="1:6" x14ac:dyDescent="0.3">
      <c r="A3441" s="15" t="s">
        <v>44294</v>
      </c>
      <c r="B3441" s="15" t="s">
        <v>7047</v>
      </c>
      <c r="C3441" s="15" t="s">
        <v>800</v>
      </c>
      <c r="D3441" s="15" t="s">
        <v>7048</v>
      </c>
      <c r="E3441" s="15">
        <v>1000</v>
      </c>
      <c r="F3441" s="42">
        <v>46201</v>
      </c>
    </row>
    <row r="3442" spans="1:6" x14ac:dyDescent="0.3">
      <c r="A3442" s="15" t="s">
        <v>44293</v>
      </c>
      <c r="B3442" s="15" t="s">
        <v>7049</v>
      </c>
      <c r="C3442" s="15" t="s">
        <v>800</v>
      </c>
      <c r="D3442" s="15" t="s">
        <v>7050</v>
      </c>
      <c r="E3442" s="15">
        <v>1167.8194000000001</v>
      </c>
      <c r="F3442" s="42">
        <v>46201</v>
      </c>
    </row>
    <row r="3443" spans="1:6" x14ac:dyDescent="0.3">
      <c r="A3443" s="15" t="s">
        <v>33499</v>
      </c>
      <c r="B3443" s="15" t="s">
        <v>795</v>
      </c>
      <c r="C3443" s="15" t="s">
        <v>795</v>
      </c>
      <c r="D3443" s="15" t="s">
        <v>795</v>
      </c>
      <c r="F3443" s="42"/>
    </row>
    <row r="3444" spans="1:6" x14ac:dyDescent="0.3">
      <c r="A3444" s="15" t="s">
        <v>36815</v>
      </c>
      <c r="B3444" s="15" t="s">
        <v>795</v>
      </c>
      <c r="C3444" s="15" t="s">
        <v>795</v>
      </c>
      <c r="D3444" s="15" t="s">
        <v>795</v>
      </c>
      <c r="F3444" s="42"/>
    </row>
    <row r="3445" spans="1:6" x14ac:dyDescent="0.3">
      <c r="A3445" s="15" t="s">
        <v>33499</v>
      </c>
      <c r="B3445" s="15" t="s">
        <v>795</v>
      </c>
      <c r="C3445" s="15" t="s">
        <v>795</v>
      </c>
      <c r="D3445" s="15" t="s">
        <v>795</v>
      </c>
      <c r="F3445" s="42"/>
    </row>
    <row r="3446" spans="1:6" x14ac:dyDescent="0.3">
      <c r="A3446" s="15" t="s">
        <v>44292</v>
      </c>
      <c r="B3446" s="15" t="s">
        <v>800</v>
      </c>
      <c r="C3446" s="15" t="s">
        <v>7051</v>
      </c>
      <c r="D3446" s="15" t="s">
        <v>7052</v>
      </c>
      <c r="E3446" s="15">
        <v>1000.0149</v>
      </c>
      <c r="F3446" s="42">
        <v>46201</v>
      </c>
    </row>
    <row r="3447" spans="1:6" x14ac:dyDescent="0.3">
      <c r="A3447" s="15" t="s">
        <v>44291</v>
      </c>
      <c r="B3447" s="15" t="s">
        <v>7053</v>
      </c>
      <c r="C3447" s="15" t="s">
        <v>800</v>
      </c>
      <c r="D3447" s="15" t="s">
        <v>7054</v>
      </c>
      <c r="E3447" s="15">
        <v>1427.0962999999999</v>
      </c>
      <c r="F3447" s="42">
        <v>46201</v>
      </c>
    </row>
    <row r="3448" spans="1:6" x14ac:dyDescent="0.3">
      <c r="A3448" s="15" t="s">
        <v>44290</v>
      </c>
      <c r="B3448" s="15" t="s">
        <v>7055</v>
      </c>
      <c r="C3448" s="15" t="s">
        <v>7056</v>
      </c>
      <c r="D3448" s="15" t="s">
        <v>7057</v>
      </c>
      <c r="E3448" s="15">
        <v>1000.4272999999999</v>
      </c>
      <c r="F3448" s="42">
        <v>46201</v>
      </c>
    </row>
    <row r="3449" spans="1:6" x14ac:dyDescent="0.3">
      <c r="A3449" s="15" t="s">
        <v>44289</v>
      </c>
      <c r="B3449" s="15" t="s">
        <v>7058</v>
      </c>
      <c r="C3449" s="15" t="s">
        <v>7059</v>
      </c>
      <c r="D3449" s="15" t="s">
        <v>7060</v>
      </c>
      <c r="E3449" s="15">
        <v>1000.7255</v>
      </c>
      <c r="F3449" s="42">
        <v>46201</v>
      </c>
    </row>
    <row r="3450" spans="1:6" x14ac:dyDescent="0.3">
      <c r="A3450" s="15" t="s">
        <v>44288</v>
      </c>
      <c r="B3450" s="15" t="s">
        <v>800</v>
      </c>
      <c r="C3450" s="15" t="s">
        <v>7061</v>
      </c>
      <c r="D3450" s="15" t="s">
        <v>7062</v>
      </c>
      <c r="E3450" s="15">
        <v>1000.0149</v>
      </c>
      <c r="F3450" s="42">
        <v>46201</v>
      </c>
    </row>
    <row r="3451" spans="1:6" x14ac:dyDescent="0.3">
      <c r="A3451" s="15" t="s">
        <v>44287</v>
      </c>
      <c r="B3451" s="15" t="s">
        <v>7063</v>
      </c>
      <c r="C3451" s="15" t="s">
        <v>800</v>
      </c>
      <c r="D3451" s="15" t="s">
        <v>7064</v>
      </c>
      <c r="E3451" s="15">
        <v>1414.9057</v>
      </c>
      <c r="F3451" s="42">
        <v>46201</v>
      </c>
    </row>
    <row r="3452" spans="1:6" x14ac:dyDescent="0.3">
      <c r="A3452" s="15" t="s">
        <v>44286</v>
      </c>
      <c r="B3452" s="15" t="s">
        <v>7065</v>
      </c>
      <c r="C3452" s="15" t="s">
        <v>7066</v>
      </c>
      <c r="D3452" s="15" t="s">
        <v>7067</v>
      </c>
      <c r="E3452" s="15">
        <v>1000.4233</v>
      </c>
      <c r="F3452" s="42">
        <v>46201</v>
      </c>
    </row>
    <row r="3453" spans="1:6" x14ac:dyDescent="0.3">
      <c r="A3453" s="15" t="s">
        <v>44285</v>
      </c>
      <c r="B3453" s="15" t="s">
        <v>7068</v>
      </c>
      <c r="C3453" s="15" t="s">
        <v>7069</v>
      </c>
      <c r="D3453" s="15" t="s">
        <v>7070</v>
      </c>
      <c r="E3453" s="15">
        <v>1000.7387</v>
      </c>
      <c r="F3453" s="42">
        <v>46201</v>
      </c>
    </row>
    <row r="3454" spans="1:6" x14ac:dyDescent="0.3">
      <c r="A3454" s="15" t="s">
        <v>44284</v>
      </c>
      <c r="B3454" s="15" t="s">
        <v>800</v>
      </c>
      <c r="C3454" s="15" t="s">
        <v>800</v>
      </c>
      <c r="D3454" s="15" t="s">
        <v>7071</v>
      </c>
      <c r="E3454" s="15">
        <v>1000</v>
      </c>
      <c r="F3454" s="42">
        <v>46201</v>
      </c>
    </row>
    <row r="3455" spans="1:6" x14ac:dyDescent="0.3">
      <c r="A3455" s="15" t="s">
        <v>44283</v>
      </c>
      <c r="B3455" s="15" t="s">
        <v>800</v>
      </c>
      <c r="C3455" s="15" t="s">
        <v>800</v>
      </c>
      <c r="D3455" s="15" t="s">
        <v>7072</v>
      </c>
      <c r="E3455" s="15">
        <v>1266.5365999999999</v>
      </c>
      <c r="F3455" s="42">
        <v>46201</v>
      </c>
    </row>
    <row r="3456" spans="1:6" x14ac:dyDescent="0.3">
      <c r="A3456" s="15" t="s">
        <v>44282</v>
      </c>
      <c r="B3456" s="15" t="s">
        <v>800</v>
      </c>
      <c r="C3456" s="15" t="s">
        <v>800</v>
      </c>
      <c r="D3456" s="15" t="s">
        <v>7073</v>
      </c>
      <c r="E3456" s="15">
        <v>1000</v>
      </c>
      <c r="F3456" s="42">
        <v>46201</v>
      </c>
    </row>
    <row r="3457" spans="1:6" x14ac:dyDescent="0.3">
      <c r="A3457" s="15" t="s">
        <v>44281</v>
      </c>
      <c r="B3457" s="15" t="s">
        <v>800</v>
      </c>
      <c r="C3457" s="15" t="s">
        <v>800</v>
      </c>
      <c r="D3457" s="15" t="s">
        <v>7074</v>
      </c>
      <c r="E3457" s="15">
        <v>1266.5562</v>
      </c>
      <c r="F3457" s="42">
        <v>46201</v>
      </c>
    </row>
    <row r="3458" spans="1:6" x14ac:dyDescent="0.3">
      <c r="A3458" s="15" t="s">
        <v>33499</v>
      </c>
      <c r="B3458" s="15" t="s">
        <v>795</v>
      </c>
      <c r="C3458" s="15" t="s">
        <v>795</v>
      </c>
      <c r="D3458" s="15" t="s">
        <v>795</v>
      </c>
      <c r="F3458" s="42"/>
    </row>
    <row r="3459" spans="1:6" x14ac:dyDescent="0.3">
      <c r="A3459" s="15" t="s">
        <v>36764</v>
      </c>
      <c r="B3459" s="15" t="s">
        <v>795</v>
      </c>
      <c r="C3459" s="15" t="s">
        <v>795</v>
      </c>
      <c r="D3459" s="15" t="s">
        <v>795</v>
      </c>
      <c r="F3459" s="42"/>
    </row>
    <row r="3460" spans="1:6" x14ac:dyDescent="0.3">
      <c r="A3460" s="15" t="s">
        <v>33499</v>
      </c>
      <c r="B3460" s="15" t="s">
        <v>795</v>
      </c>
      <c r="C3460" s="15" t="s">
        <v>795</v>
      </c>
      <c r="D3460" s="15" t="s">
        <v>795</v>
      </c>
      <c r="F3460" s="42"/>
    </row>
    <row r="3461" spans="1:6" x14ac:dyDescent="0.3">
      <c r="A3461" s="15" t="s">
        <v>44280</v>
      </c>
      <c r="B3461" s="15" t="s">
        <v>7075</v>
      </c>
      <c r="C3461" s="15" t="s">
        <v>7076</v>
      </c>
      <c r="D3461" s="15" t="s">
        <v>7077</v>
      </c>
      <c r="E3461" s="15">
        <v>1032.7746</v>
      </c>
      <c r="F3461" s="42">
        <v>44820</v>
      </c>
    </row>
    <row r="3462" spans="1:6" x14ac:dyDescent="0.3">
      <c r="A3462" s="15" t="s">
        <v>44279</v>
      </c>
      <c r="B3462" s="15" t="s">
        <v>800</v>
      </c>
      <c r="C3462" s="15" t="s">
        <v>7078</v>
      </c>
      <c r="D3462" s="15" t="s">
        <v>7079</v>
      </c>
      <c r="E3462" s="15">
        <v>1000.005</v>
      </c>
      <c r="F3462" s="42">
        <v>46201</v>
      </c>
    </row>
    <row r="3463" spans="1:6" x14ac:dyDescent="0.3">
      <c r="A3463" s="15" t="s">
        <v>44278</v>
      </c>
      <c r="B3463" s="15" t="s">
        <v>7080</v>
      </c>
      <c r="C3463" s="15" t="s">
        <v>7081</v>
      </c>
      <c r="D3463" s="15" t="s">
        <v>7082</v>
      </c>
      <c r="E3463" s="15">
        <v>1033.5731000000001</v>
      </c>
      <c r="F3463" s="42">
        <v>44820</v>
      </c>
    </row>
    <row r="3464" spans="1:6" x14ac:dyDescent="0.3">
      <c r="A3464" s="15" t="s">
        <v>44277</v>
      </c>
      <c r="B3464" s="15" t="s">
        <v>800</v>
      </c>
      <c r="C3464" s="15" t="s">
        <v>7083</v>
      </c>
      <c r="D3464" s="15" t="s">
        <v>7084</v>
      </c>
      <c r="E3464" s="15">
        <v>1000.005</v>
      </c>
      <c r="F3464" s="42">
        <v>46201</v>
      </c>
    </row>
    <row r="3465" spans="1:6" x14ac:dyDescent="0.3">
      <c r="A3465" s="15" t="s">
        <v>44276</v>
      </c>
      <c r="B3465" s="15" t="s">
        <v>7085</v>
      </c>
      <c r="C3465" s="15" t="s">
        <v>7086</v>
      </c>
      <c r="D3465" s="15" t="s">
        <v>7087</v>
      </c>
      <c r="E3465" s="15">
        <v>1000.1497000000001</v>
      </c>
      <c r="F3465" s="42">
        <v>44820</v>
      </c>
    </row>
    <row r="3466" spans="1:6" x14ac:dyDescent="0.3">
      <c r="A3466" s="15" t="s">
        <v>44275</v>
      </c>
      <c r="B3466" s="15" t="s">
        <v>7088</v>
      </c>
      <c r="C3466" s="15" t="s">
        <v>800</v>
      </c>
      <c r="D3466" s="15" t="s">
        <v>7089</v>
      </c>
      <c r="E3466" s="15">
        <v>1469.5381</v>
      </c>
      <c r="F3466" s="42">
        <v>46201</v>
      </c>
    </row>
    <row r="3467" spans="1:6" x14ac:dyDescent="0.3">
      <c r="A3467" s="15" t="s">
        <v>44274</v>
      </c>
      <c r="B3467" s="15" t="s">
        <v>7090</v>
      </c>
      <c r="C3467" s="15" t="s">
        <v>7091</v>
      </c>
      <c r="D3467" s="15" t="s">
        <v>7092</v>
      </c>
      <c r="E3467" s="15">
        <v>1015.7798</v>
      </c>
      <c r="F3467" s="42">
        <v>44820</v>
      </c>
    </row>
    <row r="3468" spans="1:6" x14ac:dyDescent="0.3">
      <c r="A3468" s="15" t="s">
        <v>44273</v>
      </c>
      <c r="B3468" s="15" t="s">
        <v>7093</v>
      </c>
      <c r="C3468" s="15" t="s">
        <v>7094</v>
      </c>
      <c r="D3468" s="15" t="s">
        <v>7095</v>
      </c>
      <c r="E3468" s="15">
        <v>1002.3996</v>
      </c>
      <c r="F3468" s="42">
        <v>44820</v>
      </c>
    </row>
    <row r="3469" spans="1:6" x14ac:dyDescent="0.3">
      <c r="A3469" s="15" t="s">
        <v>44272</v>
      </c>
      <c r="B3469" s="15" t="s">
        <v>7096</v>
      </c>
      <c r="C3469" s="15" t="s">
        <v>7097</v>
      </c>
      <c r="D3469" s="15" t="s">
        <v>7098</v>
      </c>
      <c r="E3469" s="15">
        <v>1005.9571</v>
      </c>
      <c r="F3469" s="42">
        <v>44820</v>
      </c>
    </row>
    <row r="3470" spans="1:6" x14ac:dyDescent="0.3">
      <c r="A3470" s="15" t="s">
        <v>44271</v>
      </c>
      <c r="B3470" s="15" t="s">
        <v>7099</v>
      </c>
      <c r="C3470" s="15" t="s">
        <v>800</v>
      </c>
      <c r="D3470" s="15" t="s">
        <v>7100</v>
      </c>
      <c r="E3470" s="15">
        <v>1000</v>
      </c>
      <c r="F3470" s="42">
        <v>46201</v>
      </c>
    </row>
    <row r="3471" spans="1:6" x14ac:dyDescent="0.3">
      <c r="A3471" s="15" t="s">
        <v>44270</v>
      </c>
      <c r="B3471" s="15" t="s">
        <v>7101</v>
      </c>
      <c r="C3471" s="15" t="s">
        <v>800</v>
      </c>
      <c r="D3471" s="15" t="s">
        <v>7102</v>
      </c>
      <c r="E3471" s="15">
        <v>1296.5995</v>
      </c>
      <c r="F3471" s="42">
        <v>46201</v>
      </c>
    </row>
    <row r="3472" spans="1:6" x14ac:dyDescent="0.3">
      <c r="A3472" s="15" t="s">
        <v>44269</v>
      </c>
      <c r="B3472" s="15" t="s">
        <v>7103</v>
      </c>
      <c r="C3472" s="15" t="s">
        <v>800</v>
      </c>
      <c r="D3472" s="15" t="s">
        <v>7104</v>
      </c>
      <c r="E3472" s="15">
        <v>1000</v>
      </c>
      <c r="F3472" s="42">
        <v>46201</v>
      </c>
    </row>
    <row r="3473" spans="1:6" x14ac:dyDescent="0.3">
      <c r="A3473" s="15" t="s">
        <v>44268</v>
      </c>
      <c r="B3473" s="15" t="s">
        <v>7105</v>
      </c>
      <c r="C3473" s="15" t="s">
        <v>800</v>
      </c>
      <c r="D3473" s="15" t="s">
        <v>7106</v>
      </c>
      <c r="E3473" s="15">
        <v>1296.6131</v>
      </c>
      <c r="F3473" s="42">
        <v>46201</v>
      </c>
    </row>
    <row r="3474" spans="1:6" x14ac:dyDescent="0.3">
      <c r="A3474" s="15" t="s">
        <v>44267</v>
      </c>
      <c r="B3474" s="15" t="s">
        <v>7107</v>
      </c>
      <c r="C3474" s="15" t="s">
        <v>7108</v>
      </c>
      <c r="D3474" s="15" t="s">
        <v>7109</v>
      </c>
      <c r="E3474" s="15">
        <v>1000.8587</v>
      </c>
      <c r="F3474" s="42">
        <v>46201</v>
      </c>
    </row>
    <row r="3475" spans="1:6" x14ac:dyDescent="0.3">
      <c r="A3475" s="15" t="s">
        <v>44266</v>
      </c>
      <c r="B3475" s="15" t="s">
        <v>7110</v>
      </c>
      <c r="C3475" s="15" t="s">
        <v>7111</v>
      </c>
      <c r="D3475" s="15" t="s">
        <v>7112</v>
      </c>
      <c r="E3475" s="15">
        <v>1000.1472</v>
      </c>
      <c r="F3475" s="42">
        <v>44820</v>
      </c>
    </row>
    <row r="3476" spans="1:6" x14ac:dyDescent="0.3">
      <c r="A3476" s="15" t="s">
        <v>44265</v>
      </c>
      <c r="B3476" s="15" t="s">
        <v>7113</v>
      </c>
      <c r="C3476" s="15" t="s">
        <v>800</v>
      </c>
      <c r="D3476" s="15" t="s">
        <v>7114</v>
      </c>
      <c r="E3476" s="15">
        <v>1460.3240000000001</v>
      </c>
      <c r="F3476" s="42">
        <v>46201</v>
      </c>
    </row>
    <row r="3477" spans="1:6" x14ac:dyDescent="0.3">
      <c r="A3477" s="15" t="s">
        <v>44264</v>
      </c>
      <c r="B3477" s="15" t="s">
        <v>7115</v>
      </c>
      <c r="C3477" s="15" t="s">
        <v>7116</v>
      </c>
      <c r="D3477" s="15" t="s">
        <v>7117</v>
      </c>
      <c r="E3477" s="15">
        <v>1015.4752999999999</v>
      </c>
      <c r="F3477" s="42">
        <v>44820</v>
      </c>
    </row>
    <row r="3478" spans="1:6" x14ac:dyDescent="0.3">
      <c r="A3478" s="15" t="s">
        <v>44263</v>
      </c>
      <c r="B3478" s="15" t="s">
        <v>7118</v>
      </c>
      <c r="C3478" s="15" t="s">
        <v>7119</v>
      </c>
      <c r="D3478" s="15" t="s">
        <v>7120</v>
      </c>
      <c r="E3478" s="15">
        <v>1002.3577</v>
      </c>
      <c r="F3478" s="42">
        <v>44820</v>
      </c>
    </row>
    <row r="3479" spans="1:6" x14ac:dyDescent="0.3">
      <c r="A3479" s="15" t="s">
        <v>44262</v>
      </c>
      <c r="B3479" s="15" t="s">
        <v>7121</v>
      </c>
      <c r="C3479" s="15" t="s">
        <v>7122</v>
      </c>
      <c r="D3479" s="15" t="s">
        <v>7123</v>
      </c>
      <c r="E3479" s="15">
        <v>1004.0152</v>
      </c>
      <c r="F3479" s="42">
        <v>44820</v>
      </c>
    </row>
    <row r="3480" spans="1:6" x14ac:dyDescent="0.3">
      <c r="A3480" s="15" t="s">
        <v>44261</v>
      </c>
      <c r="B3480" s="15" t="s">
        <v>7124</v>
      </c>
      <c r="C3480" s="15" t="s">
        <v>7125</v>
      </c>
      <c r="D3480" s="15" t="s">
        <v>7126</v>
      </c>
      <c r="E3480" s="15">
        <v>1000.8482</v>
      </c>
      <c r="F3480" s="42">
        <v>46201</v>
      </c>
    </row>
    <row r="3481" spans="1:6" x14ac:dyDescent="0.3">
      <c r="A3481" s="15" t="s">
        <v>33499</v>
      </c>
      <c r="B3481" s="15" t="s">
        <v>795</v>
      </c>
      <c r="C3481" s="15" t="s">
        <v>795</v>
      </c>
      <c r="D3481" s="15" t="s">
        <v>795</v>
      </c>
      <c r="F3481" s="42"/>
    </row>
    <row r="3482" spans="1:6" x14ac:dyDescent="0.3">
      <c r="A3482" s="15" t="s">
        <v>37807</v>
      </c>
      <c r="B3482" s="15" t="s">
        <v>795</v>
      </c>
      <c r="C3482" s="15" t="s">
        <v>795</v>
      </c>
      <c r="D3482" s="15" t="s">
        <v>795</v>
      </c>
      <c r="F3482" s="42"/>
    </row>
    <row r="3483" spans="1:6" x14ac:dyDescent="0.3">
      <c r="A3483" s="15" t="s">
        <v>33499</v>
      </c>
      <c r="B3483" s="15" t="s">
        <v>795</v>
      </c>
      <c r="C3483" s="15" t="s">
        <v>795</v>
      </c>
      <c r="D3483" s="15" t="s">
        <v>795</v>
      </c>
      <c r="F3483" s="42"/>
    </row>
    <row r="3484" spans="1:6" x14ac:dyDescent="0.3">
      <c r="A3484" s="15" t="s">
        <v>44260</v>
      </c>
      <c r="B3484" s="15" t="s">
        <v>800</v>
      </c>
      <c r="C3484" s="15" t="s">
        <v>7127</v>
      </c>
      <c r="D3484" s="15" t="s">
        <v>7128</v>
      </c>
      <c r="E3484" s="15">
        <v>1000.5303</v>
      </c>
      <c r="F3484" s="42">
        <v>46201</v>
      </c>
    </row>
    <row r="3485" spans="1:6" x14ac:dyDescent="0.3">
      <c r="A3485" s="15" t="s">
        <v>44259</v>
      </c>
      <c r="B3485" s="15" t="s">
        <v>7129</v>
      </c>
      <c r="C3485" s="15" t="s">
        <v>800</v>
      </c>
      <c r="D3485" s="15" t="s">
        <v>7130</v>
      </c>
      <c r="E3485" s="15">
        <v>1377.8344</v>
      </c>
      <c r="F3485" s="42">
        <v>46201</v>
      </c>
    </row>
    <row r="3486" spans="1:6" x14ac:dyDescent="0.3">
      <c r="A3486" s="15" t="s">
        <v>44258</v>
      </c>
      <c r="B3486" s="15" t="s">
        <v>7131</v>
      </c>
      <c r="C3486" s="15" t="s">
        <v>7132</v>
      </c>
      <c r="D3486" s="15" t="s">
        <v>7133</v>
      </c>
      <c r="E3486" s="15">
        <v>1004.5898999999999</v>
      </c>
      <c r="F3486" s="42">
        <v>46201</v>
      </c>
    </row>
    <row r="3487" spans="1:6" x14ac:dyDescent="0.3">
      <c r="A3487" s="15" t="s">
        <v>44257</v>
      </c>
      <c r="B3487" s="15" t="s">
        <v>800</v>
      </c>
      <c r="C3487" s="15" t="s">
        <v>7134</v>
      </c>
      <c r="D3487" s="15" t="s">
        <v>7135</v>
      </c>
      <c r="E3487" s="15">
        <v>1001.7173</v>
      </c>
      <c r="F3487" s="42">
        <v>45769</v>
      </c>
    </row>
    <row r="3488" spans="1:6" x14ac:dyDescent="0.3">
      <c r="A3488" s="15" t="s">
        <v>44256</v>
      </c>
      <c r="B3488" s="15" t="s">
        <v>800</v>
      </c>
      <c r="C3488" s="15" t="s">
        <v>7136</v>
      </c>
      <c r="D3488" s="15" t="s">
        <v>7137</v>
      </c>
      <c r="E3488" s="15">
        <v>1000.1395</v>
      </c>
      <c r="F3488" s="42">
        <v>46201</v>
      </c>
    </row>
    <row r="3489" spans="1:6" x14ac:dyDescent="0.3">
      <c r="A3489" s="15" t="s">
        <v>44255</v>
      </c>
      <c r="B3489" s="15" t="s">
        <v>7138</v>
      </c>
      <c r="C3489" s="15" t="s">
        <v>800</v>
      </c>
      <c r="D3489" s="15" t="s">
        <v>7139</v>
      </c>
      <c r="E3489" s="15">
        <v>1372.8294000000001</v>
      </c>
      <c r="F3489" s="42">
        <v>46201</v>
      </c>
    </row>
    <row r="3490" spans="1:6" x14ac:dyDescent="0.3">
      <c r="A3490" s="15" t="s">
        <v>44254</v>
      </c>
      <c r="B3490" s="15" t="s">
        <v>7140</v>
      </c>
      <c r="C3490" s="15" t="s">
        <v>7141</v>
      </c>
      <c r="D3490" s="15" t="s">
        <v>7142</v>
      </c>
      <c r="E3490" s="15">
        <v>1004.8918</v>
      </c>
      <c r="F3490" s="42">
        <v>46201</v>
      </c>
    </row>
    <row r="3491" spans="1:6" x14ac:dyDescent="0.3">
      <c r="A3491" s="15" t="s">
        <v>44253</v>
      </c>
      <c r="B3491" s="15" t="s">
        <v>800</v>
      </c>
      <c r="C3491" s="15" t="s">
        <v>7143</v>
      </c>
      <c r="D3491" s="15" t="s">
        <v>7144</v>
      </c>
      <c r="E3491" s="15">
        <v>1001.083</v>
      </c>
      <c r="F3491" s="42">
        <v>46201</v>
      </c>
    </row>
    <row r="3492" spans="1:6" x14ac:dyDescent="0.3">
      <c r="A3492" s="15" t="s">
        <v>33499</v>
      </c>
      <c r="B3492" s="15" t="s">
        <v>795</v>
      </c>
      <c r="C3492" s="15" t="s">
        <v>795</v>
      </c>
      <c r="D3492" s="15" t="s">
        <v>795</v>
      </c>
      <c r="F3492" s="42"/>
    </row>
    <row r="3493" spans="1:6" x14ac:dyDescent="0.3">
      <c r="A3493" s="15" t="s">
        <v>40577</v>
      </c>
      <c r="B3493" s="15" t="s">
        <v>795</v>
      </c>
      <c r="C3493" s="15" t="s">
        <v>795</v>
      </c>
      <c r="D3493" s="15" t="s">
        <v>795</v>
      </c>
      <c r="F3493" s="42"/>
    </row>
    <row r="3494" spans="1:6" x14ac:dyDescent="0.3">
      <c r="A3494" s="15" t="s">
        <v>33499</v>
      </c>
      <c r="B3494" s="15" t="s">
        <v>795</v>
      </c>
      <c r="C3494" s="15" t="s">
        <v>795</v>
      </c>
      <c r="D3494" s="15" t="s">
        <v>795</v>
      </c>
      <c r="F3494" s="42"/>
    </row>
    <row r="3495" spans="1:6" x14ac:dyDescent="0.3">
      <c r="A3495" s="15" t="s">
        <v>44252</v>
      </c>
      <c r="B3495" s="15" t="s">
        <v>7145</v>
      </c>
      <c r="C3495" s="15" t="s">
        <v>7146</v>
      </c>
      <c r="D3495" s="15" t="s">
        <v>7147</v>
      </c>
      <c r="E3495" s="15">
        <v>1021.4640000000001</v>
      </c>
      <c r="F3495" s="42">
        <v>46201</v>
      </c>
    </row>
    <row r="3496" spans="1:6" x14ac:dyDescent="0.3">
      <c r="A3496" s="15" t="s">
        <v>44251</v>
      </c>
      <c r="B3496" s="15" t="s">
        <v>800</v>
      </c>
      <c r="C3496" s="15" t="s">
        <v>7148</v>
      </c>
      <c r="D3496" s="15" t="s">
        <v>7149</v>
      </c>
      <c r="E3496" s="15">
        <v>1001</v>
      </c>
      <c r="F3496" s="42">
        <v>46201</v>
      </c>
    </row>
    <row r="3497" spans="1:6" x14ac:dyDescent="0.3">
      <c r="A3497" s="15" t="s">
        <v>44250</v>
      </c>
      <c r="B3497" s="15" t="s">
        <v>7150</v>
      </c>
      <c r="C3497" s="15" t="s">
        <v>7151</v>
      </c>
      <c r="D3497" s="15" t="s">
        <v>7152</v>
      </c>
      <c r="E3497" s="15">
        <v>1001.2868</v>
      </c>
      <c r="F3497" s="42">
        <v>46201</v>
      </c>
    </row>
    <row r="3498" spans="1:6" x14ac:dyDescent="0.3">
      <c r="A3498" s="15" t="s">
        <v>44249</v>
      </c>
      <c r="B3498" s="15" t="s">
        <v>7153</v>
      </c>
      <c r="C3498" s="15" t="s">
        <v>800</v>
      </c>
      <c r="D3498" s="15" t="s">
        <v>7154</v>
      </c>
      <c r="E3498" s="15">
        <v>1379.5745999999999</v>
      </c>
      <c r="F3498" s="42">
        <v>46201</v>
      </c>
    </row>
    <row r="3499" spans="1:6" x14ac:dyDescent="0.3">
      <c r="A3499" s="15" t="s">
        <v>44248</v>
      </c>
      <c r="B3499" s="15" t="s">
        <v>7155</v>
      </c>
      <c r="C3499" s="15" t="s">
        <v>7156</v>
      </c>
      <c r="D3499" s="15" t="s">
        <v>7157</v>
      </c>
      <c r="E3499" s="15">
        <v>1001.2806</v>
      </c>
      <c r="F3499" s="42">
        <v>46201</v>
      </c>
    </row>
    <row r="3500" spans="1:6" x14ac:dyDescent="0.3">
      <c r="A3500" s="15" t="s">
        <v>44247</v>
      </c>
      <c r="B3500" s="15" t="s">
        <v>800</v>
      </c>
      <c r="C3500" s="15" t="s">
        <v>7158</v>
      </c>
      <c r="D3500" s="15" t="s">
        <v>7159</v>
      </c>
      <c r="E3500" s="15">
        <v>1001.7095</v>
      </c>
      <c r="F3500" s="42">
        <v>46201</v>
      </c>
    </row>
    <row r="3501" spans="1:6" x14ac:dyDescent="0.3">
      <c r="A3501" s="15" t="s">
        <v>44246</v>
      </c>
      <c r="B3501" s="15" t="s">
        <v>7160</v>
      </c>
      <c r="C3501" s="15" t="s">
        <v>7161</v>
      </c>
      <c r="D3501" s="15" t="s">
        <v>7162</v>
      </c>
      <c r="E3501" s="15">
        <v>1015.196</v>
      </c>
      <c r="F3501" s="42">
        <v>46159</v>
      </c>
    </row>
    <row r="3502" spans="1:6" x14ac:dyDescent="0.3">
      <c r="A3502" s="15" t="s">
        <v>44245</v>
      </c>
      <c r="B3502" s="15" t="s">
        <v>800</v>
      </c>
      <c r="C3502" s="15" t="s">
        <v>7163</v>
      </c>
      <c r="D3502" s="15" t="s">
        <v>7164</v>
      </c>
      <c r="E3502" s="15">
        <v>1001.0001</v>
      </c>
      <c r="F3502" s="42">
        <v>46201</v>
      </c>
    </row>
    <row r="3503" spans="1:6" x14ac:dyDescent="0.3">
      <c r="A3503" s="15" t="s">
        <v>44244</v>
      </c>
      <c r="B3503" s="15" t="s">
        <v>7165</v>
      </c>
      <c r="C3503" s="15" t="s">
        <v>7166</v>
      </c>
      <c r="D3503" s="15" t="s">
        <v>7167</v>
      </c>
      <c r="E3503" s="15">
        <v>1001.2966</v>
      </c>
      <c r="F3503" s="42">
        <v>46201</v>
      </c>
    </row>
    <row r="3504" spans="1:6" x14ac:dyDescent="0.3">
      <c r="A3504" s="15" t="s">
        <v>44243</v>
      </c>
      <c r="B3504" s="15" t="s">
        <v>7168</v>
      </c>
      <c r="C3504" s="15" t="s">
        <v>800</v>
      </c>
      <c r="D3504" s="15" t="s">
        <v>7169</v>
      </c>
      <c r="E3504" s="15">
        <v>1370.3406</v>
      </c>
      <c r="F3504" s="42">
        <v>46201</v>
      </c>
    </row>
    <row r="3505" spans="1:6" x14ac:dyDescent="0.3">
      <c r="A3505" s="15" t="s">
        <v>44242</v>
      </c>
      <c r="B3505" s="15" t="s">
        <v>7170</v>
      </c>
      <c r="C3505" s="15" t="s">
        <v>7171</v>
      </c>
      <c r="D3505" s="15" t="s">
        <v>7172</v>
      </c>
      <c r="E3505" s="15">
        <v>1001.0714</v>
      </c>
      <c r="F3505" s="42">
        <v>46201</v>
      </c>
    </row>
    <row r="3506" spans="1:6" x14ac:dyDescent="0.3">
      <c r="A3506" s="15" t="s">
        <v>44241</v>
      </c>
      <c r="B3506" s="15" t="s">
        <v>800</v>
      </c>
      <c r="C3506" s="15" t="s">
        <v>7173</v>
      </c>
      <c r="D3506" s="15" t="s">
        <v>7174</v>
      </c>
      <c r="E3506" s="15">
        <v>1001.6923</v>
      </c>
      <c r="F3506" s="42">
        <v>46201</v>
      </c>
    </row>
    <row r="3507" spans="1:6" x14ac:dyDescent="0.3">
      <c r="A3507" s="15" t="s">
        <v>33499</v>
      </c>
      <c r="B3507" s="15" t="s">
        <v>795</v>
      </c>
      <c r="C3507" s="15" t="s">
        <v>795</v>
      </c>
      <c r="D3507" s="15" t="s">
        <v>795</v>
      </c>
      <c r="F3507" s="42"/>
    </row>
    <row r="3508" spans="1:6" x14ac:dyDescent="0.3">
      <c r="A3508" s="15" t="s">
        <v>38568</v>
      </c>
      <c r="B3508" s="15" t="s">
        <v>795</v>
      </c>
      <c r="C3508" s="15" t="s">
        <v>795</v>
      </c>
      <c r="D3508" s="15" t="s">
        <v>795</v>
      </c>
      <c r="F3508" s="42"/>
    </row>
    <row r="3509" spans="1:6" x14ac:dyDescent="0.3">
      <c r="A3509" s="15" t="s">
        <v>33499</v>
      </c>
      <c r="B3509" s="15" t="s">
        <v>795</v>
      </c>
      <c r="C3509" s="15" t="s">
        <v>795</v>
      </c>
      <c r="D3509" s="15" t="s">
        <v>795</v>
      </c>
      <c r="F3509" s="42"/>
    </row>
    <row r="3510" spans="1:6" x14ac:dyDescent="0.3">
      <c r="A3510" s="15" t="s">
        <v>44240</v>
      </c>
      <c r="B3510" s="15" t="s">
        <v>7175</v>
      </c>
      <c r="C3510" s="15" t="s">
        <v>800</v>
      </c>
      <c r="D3510" s="15" t="s">
        <v>7176</v>
      </c>
      <c r="E3510" s="15">
        <v>1053.0423000000001</v>
      </c>
      <c r="F3510" s="42">
        <v>46201</v>
      </c>
    </row>
    <row r="3511" spans="1:6" x14ac:dyDescent="0.3">
      <c r="A3511" s="15" t="s">
        <v>44239</v>
      </c>
      <c r="B3511" s="15" t="s">
        <v>800</v>
      </c>
      <c r="C3511" s="15" t="s">
        <v>800</v>
      </c>
      <c r="D3511" s="15" t="s">
        <v>7177</v>
      </c>
      <c r="E3511" s="15">
        <v>1029.7293</v>
      </c>
      <c r="F3511" s="42">
        <v>46201</v>
      </c>
    </row>
    <row r="3512" spans="1:6" x14ac:dyDescent="0.3">
      <c r="A3512" s="15" t="s">
        <v>33499</v>
      </c>
      <c r="B3512" s="15" t="s">
        <v>795</v>
      </c>
      <c r="C3512" s="15" t="s">
        <v>795</v>
      </c>
      <c r="D3512" s="15" t="s">
        <v>795</v>
      </c>
      <c r="F3512" s="42"/>
    </row>
    <row r="3513" spans="1:6" x14ac:dyDescent="0.3">
      <c r="A3513" s="15" t="s">
        <v>40894</v>
      </c>
      <c r="B3513" s="15" t="s">
        <v>795</v>
      </c>
      <c r="C3513" s="15" t="s">
        <v>795</v>
      </c>
      <c r="D3513" s="15" t="s">
        <v>795</v>
      </c>
      <c r="F3513" s="42"/>
    </row>
    <row r="3514" spans="1:6" x14ac:dyDescent="0.3">
      <c r="A3514" s="15" t="s">
        <v>33499</v>
      </c>
      <c r="B3514" s="15" t="s">
        <v>795</v>
      </c>
      <c r="C3514" s="15" t="s">
        <v>795</v>
      </c>
      <c r="D3514" s="15" t="s">
        <v>795</v>
      </c>
      <c r="F3514" s="42"/>
    </row>
    <row r="3515" spans="1:6" x14ac:dyDescent="0.3">
      <c r="A3515" s="15" t="s">
        <v>44238</v>
      </c>
      <c r="B3515" s="15" t="s">
        <v>800</v>
      </c>
      <c r="C3515" s="15" t="s">
        <v>7178</v>
      </c>
      <c r="D3515" s="15" t="s">
        <v>7179</v>
      </c>
      <c r="E3515" s="15">
        <v>1000</v>
      </c>
      <c r="F3515" s="42">
        <v>46201</v>
      </c>
    </row>
    <row r="3516" spans="1:6" x14ac:dyDescent="0.3">
      <c r="A3516" s="15" t="s">
        <v>44237</v>
      </c>
      <c r="B3516" s="15" t="s">
        <v>7180</v>
      </c>
      <c r="C3516" s="15" t="s">
        <v>7181</v>
      </c>
      <c r="D3516" s="15" t="s">
        <v>7182</v>
      </c>
      <c r="E3516" s="15">
        <v>1000.6953999999999</v>
      </c>
      <c r="F3516" s="42">
        <v>46201</v>
      </c>
    </row>
    <row r="3517" spans="1:6" x14ac:dyDescent="0.3">
      <c r="A3517" s="15" t="s">
        <v>44236</v>
      </c>
      <c r="B3517" s="15" t="s">
        <v>800</v>
      </c>
      <c r="C3517" s="15" t="s">
        <v>7183</v>
      </c>
      <c r="D3517" s="15" t="s">
        <v>7184</v>
      </c>
      <c r="E3517" s="15">
        <v>1000</v>
      </c>
      <c r="F3517" s="42">
        <v>46201</v>
      </c>
    </row>
    <row r="3518" spans="1:6" x14ac:dyDescent="0.3">
      <c r="A3518" s="15" t="s">
        <v>44235</v>
      </c>
      <c r="B3518" s="15" t="s">
        <v>7185</v>
      </c>
      <c r="C3518" s="15" t="s">
        <v>800</v>
      </c>
      <c r="D3518" s="15" t="s">
        <v>7186</v>
      </c>
      <c r="E3518" s="15">
        <v>1375.3213000000001</v>
      </c>
      <c r="F3518" s="42">
        <v>46201</v>
      </c>
    </row>
    <row r="3519" spans="1:6" x14ac:dyDescent="0.3">
      <c r="A3519" s="15" t="s">
        <v>44234</v>
      </c>
      <c r="B3519" s="15" t="s">
        <v>7187</v>
      </c>
      <c r="C3519" s="15" t="s">
        <v>7188</v>
      </c>
      <c r="D3519" s="15" t="s">
        <v>7189</v>
      </c>
      <c r="E3519" s="15">
        <v>1000.6819</v>
      </c>
      <c r="F3519" s="42">
        <v>46201</v>
      </c>
    </row>
    <row r="3520" spans="1:6" x14ac:dyDescent="0.3">
      <c r="A3520" s="15" t="s">
        <v>44233</v>
      </c>
      <c r="B3520" s="15" t="s">
        <v>7190</v>
      </c>
      <c r="C3520" s="15" t="s">
        <v>800</v>
      </c>
      <c r="D3520" s="15" t="s">
        <v>7191</v>
      </c>
      <c r="E3520" s="15">
        <v>1381.6409000000001</v>
      </c>
      <c r="F3520" s="42">
        <v>46201</v>
      </c>
    </row>
    <row r="3521" spans="1:6" x14ac:dyDescent="0.3">
      <c r="A3521" s="15" t="s">
        <v>44232</v>
      </c>
      <c r="B3521" s="15" t="s">
        <v>7192</v>
      </c>
      <c r="C3521" s="15" t="s">
        <v>800</v>
      </c>
      <c r="D3521" s="15" t="s">
        <v>7193</v>
      </c>
      <c r="E3521" s="15">
        <v>1387.3199</v>
      </c>
      <c r="F3521" s="42">
        <v>46201</v>
      </c>
    </row>
    <row r="3522" spans="1:6" x14ac:dyDescent="0.3">
      <c r="A3522" s="15" t="s">
        <v>44231</v>
      </c>
      <c r="B3522" s="15" t="s">
        <v>7194</v>
      </c>
      <c r="C3522" s="15" t="s">
        <v>800</v>
      </c>
      <c r="D3522" s="15" t="s">
        <v>7195</v>
      </c>
      <c r="E3522" s="15">
        <v>1073.9936</v>
      </c>
      <c r="F3522" s="42">
        <v>46201</v>
      </c>
    </row>
    <row r="3523" spans="1:6" x14ac:dyDescent="0.3">
      <c r="A3523" s="15" t="s">
        <v>44230</v>
      </c>
      <c r="B3523" s="15" t="s">
        <v>7196</v>
      </c>
      <c r="C3523" s="15" t="s">
        <v>800</v>
      </c>
      <c r="D3523" s="15" t="s">
        <v>7197</v>
      </c>
      <c r="E3523" s="15">
        <v>1381.6612</v>
      </c>
      <c r="F3523" s="42">
        <v>46201</v>
      </c>
    </row>
    <row r="3524" spans="1:6" x14ac:dyDescent="0.3">
      <c r="A3524" s="15" t="s">
        <v>44229</v>
      </c>
      <c r="B3524" s="15" t="s">
        <v>7198</v>
      </c>
      <c r="C3524" s="15" t="s">
        <v>800</v>
      </c>
      <c r="D3524" s="15" t="s">
        <v>7199</v>
      </c>
      <c r="E3524" s="15">
        <v>1073.9936</v>
      </c>
      <c r="F3524" s="42">
        <v>46201</v>
      </c>
    </row>
    <row r="3525" spans="1:6" x14ac:dyDescent="0.3">
      <c r="A3525" s="15" t="s">
        <v>33499</v>
      </c>
      <c r="B3525" s="15" t="s">
        <v>795</v>
      </c>
      <c r="C3525" s="15" t="s">
        <v>795</v>
      </c>
      <c r="D3525" s="15" t="s">
        <v>795</v>
      </c>
      <c r="F3525" s="42"/>
    </row>
    <row r="3526" spans="1:6" x14ac:dyDescent="0.3">
      <c r="A3526" s="15" t="s">
        <v>139</v>
      </c>
      <c r="B3526" s="15" t="s">
        <v>795</v>
      </c>
      <c r="C3526" s="15" t="s">
        <v>795</v>
      </c>
      <c r="D3526" s="15" t="s">
        <v>795</v>
      </c>
      <c r="F3526" s="42"/>
    </row>
    <row r="3527" spans="1:6" x14ac:dyDescent="0.3">
      <c r="A3527" s="15" t="s">
        <v>33499</v>
      </c>
      <c r="B3527" s="15" t="s">
        <v>795</v>
      </c>
      <c r="C3527" s="15" t="s">
        <v>795</v>
      </c>
      <c r="D3527" s="15" t="s">
        <v>795</v>
      </c>
      <c r="F3527" s="42"/>
    </row>
    <row r="3528" spans="1:6" x14ac:dyDescent="0.3">
      <c r="A3528" s="15" t="s">
        <v>44228</v>
      </c>
      <c r="B3528" s="15" t="s">
        <v>7200</v>
      </c>
      <c r="C3528" s="15" t="s">
        <v>800</v>
      </c>
      <c r="D3528" s="15" t="s">
        <v>7201</v>
      </c>
      <c r="E3528" s="15">
        <v>1455.0579</v>
      </c>
      <c r="F3528" s="42">
        <v>46201</v>
      </c>
    </row>
    <row r="3529" spans="1:6" x14ac:dyDescent="0.3">
      <c r="A3529" s="15" t="s">
        <v>44227</v>
      </c>
      <c r="B3529" s="15" t="s">
        <v>7202</v>
      </c>
      <c r="C3529" s="15" t="s">
        <v>800</v>
      </c>
      <c r="D3529" s="15" t="s">
        <v>7203</v>
      </c>
      <c r="E3529" s="15">
        <v>1445.1845000000001</v>
      </c>
      <c r="F3529" s="42">
        <v>46201</v>
      </c>
    </row>
    <row r="3530" spans="1:6" x14ac:dyDescent="0.3">
      <c r="A3530" s="15" t="s">
        <v>44226</v>
      </c>
      <c r="B3530" s="15" t="s">
        <v>800</v>
      </c>
      <c r="C3530" s="15" t="s">
        <v>7204</v>
      </c>
      <c r="D3530" s="15" t="s">
        <v>7205</v>
      </c>
      <c r="E3530" s="15">
        <v>1003.6055</v>
      </c>
      <c r="F3530" s="42">
        <v>46201</v>
      </c>
    </row>
    <row r="3531" spans="1:6" x14ac:dyDescent="0.3">
      <c r="A3531" s="15" t="s">
        <v>44225</v>
      </c>
      <c r="B3531" s="15" t="s">
        <v>800</v>
      </c>
      <c r="C3531" s="15" t="s">
        <v>7206</v>
      </c>
      <c r="D3531" s="15" t="s">
        <v>7207</v>
      </c>
      <c r="E3531" s="15">
        <v>1004.7568</v>
      </c>
      <c r="F3531" s="42">
        <v>46201</v>
      </c>
    </row>
    <row r="3532" spans="1:6" x14ac:dyDescent="0.3">
      <c r="A3532" s="15" t="s">
        <v>33499</v>
      </c>
      <c r="B3532" s="15" t="s">
        <v>795</v>
      </c>
      <c r="C3532" s="15" t="s">
        <v>795</v>
      </c>
      <c r="D3532" s="15" t="s">
        <v>795</v>
      </c>
      <c r="F3532" s="42"/>
    </row>
    <row r="3533" spans="1:6" x14ac:dyDescent="0.3">
      <c r="A3533" s="15" t="s">
        <v>37618</v>
      </c>
      <c r="B3533" s="15" t="s">
        <v>795</v>
      </c>
      <c r="C3533" s="15" t="s">
        <v>795</v>
      </c>
      <c r="D3533" s="15" t="s">
        <v>795</v>
      </c>
      <c r="F3533" s="42"/>
    </row>
    <row r="3534" spans="1:6" x14ac:dyDescent="0.3">
      <c r="A3534" s="15" t="s">
        <v>33499</v>
      </c>
      <c r="B3534" s="15" t="s">
        <v>795</v>
      </c>
      <c r="C3534" s="15" t="s">
        <v>795</v>
      </c>
      <c r="D3534" s="15" t="s">
        <v>795</v>
      </c>
      <c r="F3534" s="42"/>
    </row>
    <row r="3535" spans="1:6" x14ac:dyDescent="0.3">
      <c r="A3535" s="15" t="s">
        <v>44224</v>
      </c>
      <c r="B3535" s="15" t="s">
        <v>800</v>
      </c>
      <c r="C3535" s="15" t="s">
        <v>7208</v>
      </c>
      <c r="D3535" s="15" t="s">
        <v>7209</v>
      </c>
      <c r="E3535" s="15">
        <v>1119.558</v>
      </c>
      <c r="F3535" s="42">
        <v>46201</v>
      </c>
    </row>
    <row r="3536" spans="1:6" x14ac:dyDescent="0.3">
      <c r="A3536" s="15" t="s">
        <v>44223</v>
      </c>
      <c r="B3536" s="15" t="s">
        <v>7210</v>
      </c>
      <c r="C3536" s="15" t="s">
        <v>800</v>
      </c>
      <c r="D3536" s="15" t="s">
        <v>7211</v>
      </c>
      <c r="E3536" s="15">
        <v>1413.68</v>
      </c>
      <c r="F3536" s="42">
        <v>46201</v>
      </c>
    </row>
    <row r="3537" spans="1:6" x14ac:dyDescent="0.3">
      <c r="A3537" s="15" t="s">
        <v>44222</v>
      </c>
      <c r="B3537" s="15" t="s">
        <v>7212</v>
      </c>
      <c r="C3537" s="15" t="s">
        <v>7213</v>
      </c>
      <c r="D3537" s="15" t="s">
        <v>7214</v>
      </c>
      <c r="E3537" s="15">
        <v>1413.8486</v>
      </c>
      <c r="F3537" s="42">
        <v>46201</v>
      </c>
    </row>
    <row r="3538" spans="1:6" x14ac:dyDescent="0.3">
      <c r="A3538" s="15" t="s">
        <v>44221</v>
      </c>
      <c r="B3538" s="15" t="s">
        <v>800</v>
      </c>
      <c r="C3538" s="15" t="s">
        <v>7215</v>
      </c>
      <c r="D3538" s="15" t="s">
        <v>7216</v>
      </c>
      <c r="E3538" s="15">
        <v>1101.2988</v>
      </c>
      <c r="F3538" s="42">
        <v>46201</v>
      </c>
    </row>
    <row r="3539" spans="1:6" x14ac:dyDescent="0.3">
      <c r="A3539" s="15" t="s">
        <v>44220</v>
      </c>
      <c r="B3539" s="15" t="s">
        <v>800</v>
      </c>
      <c r="C3539" s="15" t="s">
        <v>7217</v>
      </c>
      <c r="D3539" s="15" t="s">
        <v>7218</v>
      </c>
      <c r="E3539" s="15">
        <v>1115.5615</v>
      </c>
      <c r="F3539" s="42">
        <v>46201</v>
      </c>
    </row>
    <row r="3540" spans="1:6" x14ac:dyDescent="0.3">
      <c r="A3540" s="15" t="s">
        <v>44219</v>
      </c>
      <c r="B3540" s="15" t="s">
        <v>7219</v>
      </c>
      <c r="C3540" s="15" t="s">
        <v>800</v>
      </c>
      <c r="D3540" s="15" t="s">
        <v>7220</v>
      </c>
      <c r="E3540" s="15">
        <v>1401.8742999999999</v>
      </c>
      <c r="F3540" s="42">
        <v>46201</v>
      </c>
    </row>
    <row r="3541" spans="1:6" x14ac:dyDescent="0.3">
      <c r="A3541" s="15" t="s">
        <v>44218</v>
      </c>
      <c r="B3541" s="15" t="s">
        <v>7221</v>
      </c>
      <c r="C3541" s="15" t="s">
        <v>7222</v>
      </c>
      <c r="D3541" s="15" t="s">
        <v>7223</v>
      </c>
      <c r="E3541" s="15">
        <v>1239.8841</v>
      </c>
      <c r="F3541" s="42">
        <v>46201</v>
      </c>
    </row>
    <row r="3542" spans="1:6" x14ac:dyDescent="0.3">
      <c r="A3542" s="15" t="s">
        <v>44217</v>
      </c>
      <c r="B3542" s="15" t="s">
        <v>800</v>
      </c>
      <c r="C3542" s="15" t="s">
        <v>7224</v>
      </c>
      <c r="D3542" s="15" t="s">
        <v>7225</v>
      </c>
      <c r="E3542" s="15">
        <v>1180.0740000000001</v>
      </c>
      <c r="F3542" s="42">
        <v>46201</v>
      </c>
    </row>
    <row r="3543" spans="1:6" x14ac:dyDescent="0.3">
      <c r="A3543" s="15" t="s">
        <v>33499</v>
      </c>
      <c r="B3543" s="15" t="s">
        <v>795</v>
      </c>
      <c r="C3543" s="15" t="s">
        <v>795</v>
      </c>
      <c r="D3543" s="15" t="s">
        <v>795</v>
      </c>
      <c r="F3543" s="42"/>
    </row>
    <row r="3544" spans="1:6" x14ac:dyDescent="0.3">
      <c r="A3544" s="15" t="s">
        <v>39301</v>
      </c>
      <c r="B3544" s="15" t="s">
        <v>795</v>
      </c>
      <c r="C3544" s="15" t="s">
        <v>795</v>
      </c>
      <c r="D3544" s="15" t="s">
        <v>795</v>
      </c>
      <c r="F3544" s="42"/>
    </row>
    <row r="3545" spans="1:6" x14ac:dyDescent="0.3">
      <c r="A3545" s="15" t="s">
        <v>33499</v>
      </c>
      <c r="B3545" s="15" t="s">
        <v>795</v>
      </c>
      <c r="C3545" s="15" t="s">
        <v>795</v>
      </c>
      <c r="D3545" s="15" t="s">
        <v>795</v>
      </c>
      <c r="F3545" s="42"/>
    </row>
    <row r="3546" spans="1:6" x14ac:dyDescent="0.3">
      <c r="A3546" s="15" t="s">
        <v>44216</v>
      </c>
      <c r="B3546" s="15" t="s">
        <v>800</v>
      </c>
      <c r="C3546" s="15" t="s">
        <v>7226</v>
      </c>
      <c r="D3546" s="15" t="s">
        <v>7227</v>
      </c>
      <c r="E3546" s="15">
        <v>1414.8608999999999</v>
      </c>
      <c r="F3546" s="42">
        <v>46201</v>
      </c>
    </row>
    <row r="3547" spans="1:6" x14ac:dyDescent="0.3">
      <c r="A3547" s="15" t="s">
        <v>44215</v>
      </c>
      <c r="B3547" s="15" t="s">
        <v>7228</v>
      </c>
      <c r="C3547" s="15" t="s">
        <v>800</v>
      </c>
      <c r="D3547" s="15" t="s">
        <v>7229</v>
      </c>
      <c r="E3547" s="15">
        <v>1411.3847000000001</v>
      </c>
      <c r="F3547" s="42">
        <v>46201</v>
      </c>
    </row>
    <row r="3548" spans="1:6" x14ac:dyDescent="0.3">
      <c r="A3548" s="15" t="s">
        <v>44214</v>
      </c>
      <c r="B3548" s="15" t="s">
        <v>800</v>
      </c>
      <c r="C3548" s="15" t="s">
        <v>7230</v>
      </c>
      <c r="D3548" s="15" t="s">
        <v>7231</v>
      </c>
      <c r="E3548" s="15">
        <v>1242.9709</v>
      </c>
      <c r="F3548" s="42">
        <v>46201</v>
      </c>
    </row>
    <row r="3549" spans="1:6" x14ac:dyDescent="0.3">
      <c r="A3549" s="15" t="s">
        <v>44213</v>
      </c>
      <c r="B3549" s="15" t="s">
        <v>7232</v>
      </c>
      <c r="C3549" s="15" t="s">
        <v>800</v>
      </c>
      <c r="D3549" s="15" t="s">
        <v>7233</v>
      </c>
      <c r="E3549" s="15">
        <v>1401.5536</v>
      </c>
      <c r="F3549" s="42">
        <v>46201</v>
      </c>
    </row>
    <row r="3550" spans="1:6" x14ac:dyDescent="0.3">
      <c r="A3550" s="15" t="s">
        <v>44212</v>
      </c>
      <c r="B3550" s="15" t="s">
        <v>800</v>
      </c>
      <c r="C3550" s="15" t="s">
        <v>800</v>
      </c>
      <c r="D3550" s="15" t="s">
        <v>7234</v>
      </c>
      <c r="E3550" s="15">
        <v>1000</v>
      </c>
      <c r="F3550" s="42">
        <v>46201</v>
      </c>
    </row>
    <row r="3551" spans="1:6" x14ac:dyDescent="0.3">
      <c r="A3551" s="15" t="s">
        <v>44211</v>
      </c>
      <c r="B3551" s="15" t="s">
        <v>800</v>
      </c>
      <c r="C3551" s="15" t="s">
        <v>800</v>
      </c>
      <c r="D3551" s="15" t="s">
        <v>7235</v>
      </c>
      <c r="E3551" s="15">
        <v>1294.3788999999999</v>
      </c>
      <c r="F3551" s="42">
        <v>46201</v>
      </c>
    </row>
    <row r="3552" spans="1:6" x14ac:dyDescent="0.3">
      <c r="A3552" s="15" t="s">
        <v>33499</v>
      </c>
      <c r="B3552" s="15" t="s">
        <v>795</v>
      </c>
      <c r="C3552" s="15" t="s">
        <v>795</v>
      </c>
      <c r="D3552" s="15" t="s">
        <v>795</v>
      </c>
      <c r="F3552" s="42"/>
    </row>
    <row r="3553" spans="1:6" x14ac:dyDescent="0.3">
      <c r="A3553" s="15" t="s">
        <v>37780</v>
      </c>
      <c r="B3553" s="15" t="s">
        <v>795</v>
      </c>
      <c r="C3553" s="15" t="s">
        <v>795</v>
      </c>
      <c r="D3553" s="15" t="s">
        <v>795</v>
      </c>
      <c r="F3553" s="42"/>
    </row>
    <row r="3554" spans="1:6" x14ac:dyDescent="0.3">
      <c r="A3554" s="15" t="s">
        <v>33499</v>
      </c>
      <c r="B3554" s="15" t="s">
        <v>795</v>
      </c>
      <c r="C3554" s="15" t="s">
        <v>795</v>
      </c>
      <c r="D3554" s="15" t="s">
        <v>795</v>
      </c>
      <c r="F3554" s="42"/>
    </row>
    <row r="3555" spans="1:6" x14ac:dyDescent="0.3">
      <c r="A3555" s="15" t="s">
        <v>44210</v>
      </c>
      <c r="B3555" s="15" t="s">
        <v>800</v>
      </c>
      <c r="C3555" s="15" t="s">
        <v>7236</v>
      </c>
      <c r="D3555" s="15" t="s">
        <v>7237</v>
      </c>
      <c r="E3555" s="15">
        <v>1000.0245</v>
      </c>
      <c r="F3555" s="42">
        <v>46200</v>
      </c>
    </row>
    <row r="3556" spans="1:6" x14ac:dyDescent="0.3">
      <c r="A3556" s="15" t="s">
        <v>44209</v>
      </c>
      <c r="B3556" s="15" t="s">
        <v>7238</v>
      </c>
      <c r="C3556" s="15" t="s">
        <v>7239</v>
      </c>
      <c r="D3556" s="15" t="s">
        <v>7240</v>
      </c>
      <c r="E3556" s="15">
        <v>1000.4339</v>
      </c>
      <c r="F3556" s="42">
        <v>46200</v>
      </c>
    </row>
    <row r="3557" spans="1:6" x14ac:dyDescent="0.3">
      <c r="A3557" s="15" t="s">
        <v>44208</v>
      </c>
      <c r="B3557" s="15" t="s">
        <v>7241</v>
      </c>
      <c r="C3557" s="15" t="s">
        <v>800</v>
      </c>
      <c r="D3557" s="15" t="s">
        <v>7242</v>
      </c>
      <c r="E3557" s="15">
        <v>1398.4074000000001</v>
      </c>
      <c r="F3557" s="42">
        <v>46200</v>
      </c>
    </row>
    <row r="3558" spans="1:6" x14ac:dyDescent="0.3">
      <c r="A3558" s="15" t="s">
        <v>44207</v>
      </c>
      <c r="B3558" s="15" t="s">
        <v>800</v>
      </c>
      <c r="C3558" s="15" t="s">
        <v>7243</v>
      </c>
      <c r="D3558" s="15" t="s">
        <v>7244</v>
      </c>
      <c r="E3558" s="15">
        <v>1000.4301</v>
      </c>
      <c r="F3558" s="42">
        <v>46200</v>
      </c>
    </row>
    <row r="3559" spans="1:6" x14ac:dyDescent="0.3">
      <c r="A3559" s="15" t="s">
        <v>44206</v>
      </c>
      <c r="B3559" s="15" t="s">
        <v>800</v>
      </c>
      <c r="C3559" s="15" t="s">
        <v>7245</v>
      </c>
      <c r="D3559" s="15" t="s">
        <v>7246</v>
      </c>
      <c r="E3559" s="15">
        <v>1000.0068</v>
      </c>
      <c r="F3559" s="42">
        <v>46200</v>
      </c>
    </row>
    <row r="3560" spans="1:6" x14ac:dyDescent="0.3">
      <c r="A3560" s="15" t="s">
        <v>44205</v>
      </c>
      <c r="B3560" s="15" t="s">
        <v>7247</v>
      </c>
      <c r="C3560" s="15" t="s">
        <v>7248</v>
      </c>
      <c r="D3560" s="15" t="s">
        <v>7249</v>
      </c>
      <c r="E3560" s="15">
        <v>1000.4321</v>
      </c>
      <c r="F3560" s="42">
        <v>46200</v>
      </c>
    </row>
    <row r="3561" spans="1:6" x14ac:dyDescent="0.3">
      <c r="A3561" s="15" t="s">
        <v>44204</v>
      </c>
      <c r="B3561" s="15" t="s">
        <v>7250</v>
      </c>
      <c r="C3561" s="15" t="s">
        <v>800</v>
      </c>
      <c r="D3561" s="15" t="s">
        <v>7251</v>
      </c>
      <c r="E3561" s="15">
        <v>1389.9088999999999</v>
      </c>
      <c r="F3561" s="42">
        <v>46200</v>
      </c>
    </row>
    <row r="3562" spans="1:6" x14ac:dyDescent="0.3">
      <c r="A3562" s="15" t="s">
        <v>44203</v>
      </c>
      <c r="B3562" s="15" t="s">
        <v>800</v>
      </c>
      <c r="C3562" s="15" t="s">
        <v>7252</v>
      </c>
      <c r="D3562" s="15" t="s">
        <v>7253</v>
      </c>
      <c r="E3562" s="15">
        <v>1000.4342</v>
      </c>
      <c r="F3562" s="42">
        <v>46200</v>
      </c>
    </row>
    <row r="3563" spans="1:6" x14ac:dyDescent="0.3">
      <c r="A3563" s="15" t="s">
        <v>33499</v>
      </c>
      <c r="B3563" s="15" t="s">
        <v>795</v>
      </c>
      <c r="C3563" s="15" t="s">
        <v>795</v>
      </c>
      <c r="D3563" s="15" t="s">
        <v>795</v>
      </c>
      <c r="F3563" s="42"/>
    </row>
    <row r="3564" spans="1:6" x14ac:dyDescent="0.3">
      <c r="A3564" s="15" t="s">
        <v>208</v>
      </c>
      <c r="B3564" s="15" t="s">
        <v>795</v>
      </c>
      <c r="C3564" s="15" t="s">
        <v>795</v>
      </c>
      <c r="D3564" s="15" t="s">
        <v>795</v>
      </c>
      <c r="F3564" s="42"/>
    </row>
    <row r="3565" spans="1:6" x14ac:dyDescent="0.3">
      <c r="A3565" s="15" t="s">
        <v>33499</v>
      </c>
      <c r="B3565" s="15" t="s">
        <v>795</v>
      </c>
      <c r="C3565" s="15" t="s">
        <v>795</v>
      </c>
      <c r="D3565" s="15" t="s">
        <v>795</v>
      </c>
      <c r="F3565" s="42"/>
    </row>
    <row r="3566" spans="1:6" x14ac:dyDescent="0.3">
      <c r="A3566" s="15" t="s">
        <v>44202</v>
      </c>
      <c r="B3566" s="15" t="s">
        <v>800</v>
      </c>
      <c r="C3566" s="15" t="s">
        <v>7254</v>
      </c>
      <c r="D3566" s="15" t="s">
        <v>7255</v>
      </c>
      <c r="E3566" s="15">
        <v>100.005</v>
      </c>
      <c r="F3566" s="42">
        <v>46201</v>
      </c>
    </row>
    <row r="3567" spans="1:6" x14ac:dyDescent="0.3">
      <c r="A3567" s="15" t="s">
        <v>44201</v>
      </c>
      <c r="B3567" s="15" t="s">
        <v>800</v>
      </c>
      <c r="C3567" s="15" t="s">
        <v>7256</v>
      </c>
      <c r="D3567" s="15" t="s">
        <v>7257</v>
      </c>
      <c r="E3567" s="15">
        <v>100.005</v>
      </c>
      <c r="F3567" s="42">
        <v>46201</v>
      </c>
    </row>
    <row r="3568" spans="1:6" x14ac:dyDescent="0.3">
      <c r="A3568" s="15" t="s">
        <v>44200</v>
      </c>
      <c r="B3568" s="15" t="s">
        <v>7258</v>
      </c>
      <c r="C3568" s="15" t="s">
        <v>800</v>
      </c>
      <c r="D3568" s="15" t="s">
        <v>7259</v>
      </c>
      <c r="E3568" s="15">
        <v>146.5017</v>
      </c>
      <c r="F3568" s="42">
        <v>46201</v>
      </c>
    </row>
    <row r="3569" spans="1:6" x14ac:dyDescent="0.3">
      <c r="A3569" s="15" t="s">
        <v>44199</v>
      </c>
      <c r="B3569" s="15" t="s">
        <v>7260</v>
      </c>
      <c r="C3569" s="15" t="s">
        <v>7261</v>
      </c>
      <c r="D3569" s="15" t="s">
        <v>7262</v>
      </c>
      <c r="E3569" s="15">
        <v>100.1651</v>
      </c>
      <c r="F3569" s="42">
        <v>46201</v>
      </c>
    </row>
    <row r="3570" spans="1:6" x14ac:dyDescent="0.3">
      <c r="A3570" s="15" t="s">
        <v>44198</v>
      </c>
      <c r="B3570" s="15" t="s">
        <v>7263</v>
      </c>
      <c r="C3570" s="15" t="s">
        <v>7264</v>
      </c>
      <c r="D3570" s="15" t="s">
        <v>7265</v>
      </c>
      <c r="E3570" s="15">
        <v>100.4136</v>
      </c>
      <c r="F3570" s="42">
        <v>46201</v>
      </c>
    </row>
    <row r="3571" spans="1:6" x14ac:dyDescent="0.3">
      <c r="A3571" s="15" t="s">
        <v>44197</v>
      </c>
      <c r="B3571" s="15" t="s">
        <v>800</v>
      </c>
      <c r="C3571" s="15" t="s">
        <v>7266</v>
      </c>
      <c r="D3571" s="15" t="s">
        <v>7267</v>
      </c>
      <c r="E3571" s="15">
        <v>100.1336</v>
      </c>
      <c r="F3571" s="42">
        <v>46201</v>
      </c>
    </row>
    <row r="3572" spans="1:6" x14ac:dyDescent="0.3">
      <c r="A3572" s="15" t="s">
        <v>44196</v>
      </c>
      <c r="B3572" s="15" t="s">
        <v>7268</v>
      </c>
      <c r="C3572" s="15" t="s">
        <v>7269</v>
      </c>
      <c r="D3572" s="15" t="s">
        <v>7270</v>
      </c>
      <c r="E3572" s="15">
        <v>100.15560000000001</v>
      </c>
      <c r="F3572" s="42">
        <v>46201</v>
      </c>
    </row>
    <row r="3573" spans="1:6" x14ac:dyDescent="0.3">
      <c r="A3573" s="15" t="s">
        <v>44195</v>
      </c>
      <c r="B3573" s="15" t="s">
        <v>7271</v>
      </c>
      <c r="C3573" s="15" t="s">
        <v>7272</v>
      </c>
      <c r="D3573" s="15" t="s">
        <v>7273</v>
      </c>
      <c r="E3573" s="15">
        <v>100.40949999999999</v>
      </c>
      <c r="F3573" s="42">
        <v>46201</v>
      </c>
    </row>
    <row r="3574" spans="1:6" x14ac:dyDescent="0.3">
      <c r="A3574" s="15" t="s">
        <v>44194</v>
      </c>
      <c r="B3574" s="15" t="s">
        <v>7274</v>
      </c>
      <c r="C3574" s="15" t="s">
        <v>800</v>
      </c>
      <c r="D3574" s="15" t="s">
        <v>7275</v>
      </c>
      <c r="E3574" s="15">
        <v>145.49430000000001</v>
      </c>
      <c r="F3574" s="42">
        <v>46201</v>
      </c>
    </row>
    <row r="3575" spans="1:6" x14ac:dyDescent="0.3">
      <c r="A3575" s="15" t="s">
        <v>44193</v>
      </c>
      <c r="B3575" s="15" t="s">
        <v>800</v>
      </c>
      <c r="C3575" s="15" t="s">
        <v>7276</v>
      </c>
      <c r="D3575" s="15" t="s">
        <v>7277</v>
      </c>
      <c r="E3575" s="15">
        <v>100.1317</v>
      </c>
      <c r="F3575" s="42">
        <v>46201</v>
      </c>
    </row>
    <row r="3576" spans="1:6" x14ac:dyDescent="0.3">
      <c r="A3576" s="15" t="s">
        <v>33499</v>
      </c>
      <c r="B3576" s="15" t="s">
        <v>795</v>
      </c>
      <c r="C3576" s="15" t="s">
        <v>795</v>
      </c>
      <c r="D3576" s="15" t="s">
        <v>795</v>
      </c>
      <c r="F3576" s="42"/>
    </row>
    <row r="3577" spans="1:6" x14ac:dyDescent="0.3">
      <c r="A3577" s="15" t="s">
        <v>40544</v>
      </c>
      <c r="B3577" s="15" t="s">
        <v>795</v>
      </c>
      <c r="C3577" s="15" t="s">
        <v>795</v>
      </c>
      <c r="D3577" s="15" t="s">
        <v>795</v>
      </c>
      <c r="F3577" s="42"/>
    </row>
    <row r="3578" spans="1:6" x14ac:dyDescent="0.3">
      <c r="A3578" s="15" t="s">
        <v>33499</v>
      </c>
      <c r="B3578" s="15" t="s">
        <v>795</v>
      </c>
      <c r="C3578" s="15" t="s">
        <v>795</v>
      </c>
      <c r="D3578" s="15" t="s">
        <v>795</v>
      </c>
      <c r="F3578" s="42"/>
    </row>
    <row r="3579" spans="1:6" x14ac:dyDescent="0.3">
      <c r="A3579" s="15" t="s">
        <v>44192</v>
      </c>
      <c r="B3579" s="15" t="s">
        <v>7278</v>
      </c>
      <c r="C3579" s="15" t="s">
        <v>800</v>
      </c>
      <c r="D3579" s="15" t="s">
        <v>7279</v>
      </c>
      <c r="E3579" s="15">
        <v>1261.9093</v>
      </c>
      <c r="F3579" s="42">
        <v>46201</v>
      </c>
    </row>
    <row r="3580" spans="1:6" x14ac:dyDescent="0.3">
      <c r="A3580" s="15" t="s">
        <v>44191</v>
      </c>
      <c r="B3580" s="15" t="s">
        <v>7280</v>
      </c>
      <c r="C3580" s="15" t="s">
        <v>800</v>
      </c>
      <c r="D3580" s="15" t="s">
        <v>7281</v>
      </c>
      <c r="E3580" s="15">
        <v>1256.973</v>
      </c>
      <c r="F3580" s="42">
        <v>46201</v>
      </c>
    </row>
    <row r="3581" spans="1:6" x14ac:dyDescent="0.3">
      <c r="A3581" s="15" t="s">
        <v>44190</v>
      </c>
      <c r="B3581" s="15" t="s">
        <v>800</v>
      </c>
      <c r="C3581" s="15" t="s">
        <v>800</v>
      </c>
      <c r="D3581" s="15" t="s">
        <v>7282</v>
      </c>
      <c r="E3581" s="15">
        <v>1096.1388999999999</v>
      </c>
      <c r="F3581" s="42">
        <v>46201</v>
      </c>
    </row>
    <row r="3582" spans="1:6" x14ac:dyDescent="0.3">
      <c r="A3582" s="15" t="s">
        <v>33499</v>
      </c>
      <c r="B3582" s="15" t="s">
        <v>795</v>
      </c>
      <c r="C3582" s="15" t="s">
        <v>795</v>
      </c>
      <c r="D3582" s="15" t="s">
        <v>795</v>
      </c>
      <c r="F3582" s="42"/>
    </row>
    <row r="3583" spans="1:6" x14ac:dyDescent="0.3">
      <c r="A3583" s="15" t="s">
        <v>37523</v>
      </c>
      <c r="B3583" s="15" t="s">
        <v>795</v>
      </c>
      <c r="C3583" s="15" t="s">
        <v>795</v>
      </c>
      <c r="D3583" s="15" t="s">
        <v>795</v>
      </c>
      <c r="F3583" s="42"/>
    </row>
    <row r="3584" spans="1:6" x14ac:dyDescent="0.3">
      <c r="A3584" s="15" t="s">
        <v>33499</v>
      </c>
      <c r="B3584" s="15" t="s">
        <v>795</v>
      </c>
      <c r="C3584" s="15" t="s">
        <v>795</v>
      </c>
      <c r="D3584" s="15" t="s">
        <v>795</v>
      </c>
      <c r="F3584" s="42"/>
    </row>
    <row r="3585" spans="1:6" x14ac:dyDescent="0.3">
      <c r="A3585" s="15" t="s">
        <v>44189</v>
      </c>
      <c r="B3585" s="15" t="s">
        <v>800</v>
      </c>
      <c r="C3585" s="15" t="s">
        <v>7283</v>
      </c>
      <c r="D3585" s="15" t="s">
        <v>7284</v>
      </c>
      <c r="E3585" s="15">
        <v>1000.0088</v>
      </c>
      <c r="F3585" s="42">
        <v>46201</v>
      </c>
    </row>
    <row r="3586" spans="1:6" x14ac:dyDescent="0.3">
      <c r="A3586" s="15" t="s">
        <v>44188</v>
      </c>
      <c r="B3586" s="15" t="s">
        <v>7285</v>
      </c>
      <c r="C3586" s="15" t="s">
        <v>800</v>
      </c>
      <c r="D3586" s="15" t="s">
        <v>7286</v>
      </c>
      <c r="E3586" s="15">
        <v>1405.7399</v>
      </c>
      <c r="F3586" s="42">
        <v>46201</v>
      </c>
    </row>
    <row r="3587" spans="1:6" x14ac:dyDescent="0.3">
      <c r="A3587" s="15" t="s">
        <v>44187</v>
      </c>
      <c r="B3587" s="15" t="s">
        <v>7287</v>
      </c>
      <c r="C3587" s="15" t="s">
        <v>7288</v>
      </c>
      <c r="D3587" s="15" t="s">
        <v>7289</v>
      </c>
      <c r="E3587" s="15">
        <v>1000.7052</v>
      </c>
      <c r="F3587" s="42">
        <v>46201</v>
      </c>
    </row>
    <row r="3588" spans="1:6" x14ac:dyDescent="0.3">
      <c r="A3588" s="15" t="s">
        <v>44186</v>
      </c>
      <c r="B3588" s="15" t="s">
        <v>800</v>
      </c>
      <c r="C3588" s="15" t="s">
        <v>7290</v>
      </c>
      <c r="D3588" s="15" t="s">
        <v>7291</v>
      </c>
      <c r="E3588" s="15">
        <v>1000</v>
      </c>
      <c r="F3588" s="42">
        <v>46201</v>
      </c>
    </row>
    <row r="3589" spans="1:6" x14ac:dyDescent="0.3">
      <c r="A3589" s="15" t="s">
        <v>44185</v>
      </c>
      <c r="B3589" s="15" t="s">
        <v>7292</v>
      </c>
      <c r="C3589" s="15" t="s">
        <v>7293</v>
      </c>
      <c r="D3589" s="15" t="s">
        <v>7294</v>
      </c>
      <c r="E3589" s="15">
        <v>1007.3806</v>
      </c>
      <c r="F3589" s="42">
        <v>46201</v>
      </c>
    </row>
    <row r="3590" spans="1:6" x14ac:dyDescent="0.3">
      <c r="A3590" s="15" t="s">
        <v>44184</v>
      </c>
      <c r="B3590" s="15" t="s">
        <v>7295</v>
      </c>
      <c r="C3590" s="15" t="s">
        <v>800</v>
      </c>
      <c r="D3590" s="15" t="s">
        <v>7296</v>
      </c>
      <c r="E3590" s="15">
        <v>1399.4438</v>
      </c>
      <c r="F3590" s="42">
        <v>46201</v>
      </c>
    </row>
    <row r="3591" spans="1:6" x14ac:dyDescent="0.3">
      <c r="A3591" s="15" t="s">
        <v>33499</v>
      </c>
      <c r="B3591" s="15" t="s">
        <v>795</v>
      </c>
      <c r="C3591" s="15" t="s">
        <v>795</v>
      </c>
      <c r="D3591" s="15" t="s">
        <v>795</v>
      </c>
      <c r="F3591" s="42"/>
    </row>
    <row r="3592" spans="1:6" x14ac:dyDescent="0.3">
      <c r="A3592" s="15" t="s">
        <v>40216</v>
      </c>
      <c r="B3592" s="15" t="s">
        <v>795</v>
      </c>
      <c r="C3592" s="15" t="s">
        <v>795</v>
      </c>
      <c r="D3592" s="15" t="s">
        <v>795</v>
      </c>
      <c r="F3592" s="42"/>
    </row>
    <row r="3593" spans="1:6" x14ac:dyDescent="0.3">
      <c r="A3593" s="15" t="s">
        <v>33499</v>
      </c>
      <c r="B3593" s="15" t="s">
        <v>795</v>
      </c>
      <c r="C3593" s="15" t="s">
        <v>795</v>
      </c>
      <c r="D3593" s="15" t="s">
        <v>795</v>
      </c>
      <c r="F3593" s="42"/>
    </row>
    <row r="3594" spans="1:6" x14ac:dyDescent="0.3">
      <c r="A3594" s="15" t="s">
        <v>44183</v>
      </c>
      <c r="B3594" s="15" t="s">
        <v>7297</v>
      </c>
      <c r="C3594" s="15" t="s">
        <v>800</v>
      </c>
      <c r="D3594" s="15" t="s">
        <v>7298</v>
      </c>
      <c r="E3594" s="15">
        <v>12.459899999999999</v>
      </c>
      <c r="F3594" s="42">
        <v>46201</v>
      </c>
    </row>
    <row r="3595" spans="1:6" x14ac:dyDescent="0.3">
      <c r="A3595" s="15" t="s">
        <v>44182</v>
      </c>
      <c r="B3595" s="15" t="s">
        <v>7299</v>
      </c>
      <c r="C3595" s="15" t="s">
        <v>800</v>
      </c>
      <c r="D3595" s="15" t="s">
        <v>7300</v>
      </c>
      <c r="E3595" s="15">
        <v>12.414999999999999</v>
      </c>
      <c r="F3595" s="42">
        <v>46201</v>
      </c>
    </row>
    <row r="3596" spans="1:6" x14ac:dyDescent="0.3">
      <c r="A3596" s="15" t="s">
        <v>44181</v>
      </c>
      <c r="B3596" s="15" t="s">
        <v>7301</v>
      </c>
      <c r="C3596" s="15" t="s">
        <v>7302</v>
      </c>
      <c r="D3596" s="15" t="s">
        <v>7303</v>
      </c>
      <c r="E3596" s="15">
        <v>12.465</v>
      </c>
      <c r="F3596" s="42">
        <v>46201</v>
      </c>
    </row>
    <row r="3597" spans="1:6" x14ac:dyDescent="0.3">
      <c r="A3597" s="15" t="s">
        <v>44180</v>
      </c>
      <c r="B3597" s="15" t="s">
        <v>7304</v>
      </c>
      <c r="C3597" s="15" t="s">
        <v>7305</v>
      </c>
      <c r="D3597" s="15" t="s">
        <v>7306</v>
      </c>
      <c r="E3597" s="15">
        <v>12.403499999999999</v>
      </c>
      <c r="F3597" s="42">
        <v>46201</v>
      </c>
    </row>
    <row r="3598" spans="1:6" x14ac:dyDescent="0.3">
      <c r="A3598" s="15" t="s">
        <v>44179</v>
      </c>
      <c r="B3598" s="15" t="s">
        <v>800</v>
      </c>
      <c r="C3598" s="15" t="s">
        <v>800</v>
      </c>
      <c r="D3598" s="15" t="s">
        <v>7307</v>
      </c>
      <c r="E3598" s="15">
        <v>10</v>
      </c>
      <c r="F3598" s="42">
        <v>46201</v>
      </c>
    </row>
    <row r="3599" spans="1:6" x14ac:dyDescent="0.3">
      <c r="A3599" s="15" t="s">
        <v>44178</v>
      </c>
      <c r="B3599" s="15" t="s">
        <v>800</v>
      </c>
      <c r="C3599" s="15" t="s">
        <v>800</v>
      </c>
      <c r="D3599" s="15" t="s">
        <v>7308</v>
      </c>
      <c r="E3599" s="15">
        <v>10.2668</v>
      </c>
      <c r="F3599" s="42">
        <v>46201</v>
      </c>
    </row>
    <row r="3600" spans="1:6" x14ac:dyDescent="0.3">
      <c r="A3600" s="15" t="s">
        <v>44177</v>
      </c>
      <c r="B3600" s="15" t="s">
        <v>800</v>
      </c>
      <c r="C3600" s="15" t="s">
        <v>800</v>
      </c>
      <c r="D3600" s="15" t="s">
        <v>7309</v>
      </c>
      <c r="E3600" s="15">
        <v>10</v>
      </c>
      <c r="F3600" s="42">
        <v>46201</v>
      </c>
    </row>
    <row r="3601" spans="1:6" x14ac:dyDescent="0.3">
      <c r="A3601" s="15" t="s">
        <v>44176</v>
      </c>
      <c r="B3601" s="15" t="s">
        <v>800</v>
      </c>
      <c r="C3601" s="15" t="s">
        <v>800</v>
      </c>
      <c r="D3601" s="15" t="s">
        <v>7310</v>
      </c>
      <c r="E3601" s="15">
        <v>10.262499999999999</v>
      </c>
      <c r="F3601" s="42">
        <v>46201</v>
      </c>
    </row>
    <row r="3602" spans="1:6" x14ac:dyDescent="0.3">
      <c r="A3602" s="15" t="s">
        <v>33499</v>
      </c>
      <c r="B3602" s="15" t="s">
        <v>795</v>
      </c>
      <c r="C3602" s="15" t="s">
        <v>795</v>
      </c>
      <c r="D3602" s="15" t="s">
        <v>795</v>
      </c>
      <c r="F3602" s="42"/>
    </row>
    <row r="3603" spans="1:6" x14ac:dyDescent="0.3">
      <c r="A3603" s="15" t="s">
        <v>40209</v>
      </c>
      <c r="B3603" s="15" t="s">
        <v>795</v>
      </c>
      <c r="C3603" s="15" t="s">
        <v>795</v>
      </c>
      <c r="D3603" s="15" t="s">
        <v>795</v>
      </c>
      <c r="F3603" s="42"/>
    </row>
    <row r="3604" spans="1:6" x14ac:dyDescent="0.3">
      <c r="A3604" s="15" t="s">
        <v>33499</v>
      </c>
      <c r="B3604" s="15" t="s">
        <v>795</v>
      </c>
      <c r="C3604" s="15" t="s">
        <v>795</v>
      </c>
      <c r="D3604" s="15" t="s">
        <v>795</v>
      </c>
      <c r="F3604" s="42"/>
    </row>
    <row r="3605" spans="1:6" x14ac:dyDescent="0.3">
      <c r="A3605" s="15" t="s">
        <v>44175</v>
      </c>
      <c r="B3605" s="15" t="s">
        <v>7311</v>
      </c>
      <c r="C3605" s="15" t="s">
        <v>800</v>
      </c>
      <c r="D3605" s="15" t="s">
        <v>7312</v>
      </c>
      <c r="E3605" s="15">
        <v>1244.9267</v>
      </c>
      <c r="F3605" s="42">
        <v>46201</v>
      </c>
    </row>
    <row r="3606" spans="1:6" x14ac:dyDescent="0.3">
      <c r="A3606" s="15" t="s">
        <v>44174</v>
      </c>
      <c r="B3606" s="15" t="s">
        <v>7313</v>
      </c>
      <c r="C3606" s="15" t="s">
        <v>800</v>
      </c>
      <c r="D3606" s="15" t="s">
        <v>7314</v>
      </c>
      <c r="E3606" s="15">
        <v>1235.0618999999999</v>
      </c>
      <c r="F3606" s="42">
        <v>46201</v>
      </c>
    </row>
    <row r="3607" spans="1:6" x14ac:dyDescent="0.3">
      <c r="A3607" s="15" t="s">
        <v>44173</v>
      </c>
      <c r="B3607" s="15" t="s">
        <v>800</v>
      </c>
      <c r="C3607" s="15" t="s">
        <v>800</v>
      </c>
      <c r="D3607" s="15" t="s">
        <v>7315</v>
      </c>
      <c r="E3607" s="15">
        <v>1089.1514999999999</v>
      </c>
      <c r="F3607" s="42">
        <v>46201</v>
      </c>
    </row>
    <row r="3608" spans="1:6" x14ac:dyDescent="0.3">
      <c r="A3608" s="15" t="s">
        <v>33499</v>
      </c>
      <c r="B3608" s="15" t="s">
        <v>795</v>
      </c>
      <c r="C3608" s="15" t="s">
        <v>795</v>
      </c>
      <c r="D3608" s="15" t="s">
        <v>795</v>
      </c>
      <c r="F3608" s="42"/>
    </row>
    <row r="3609" spans="1:6" x14ac:dyDescent="0.3">
      <c r="A3609" s="15" t="s">
        <v>33636</v>
      </c>
      <c r="B3609" s="15" t="s">
        <v>795</v>
      </c>
      <c r="C3609" s="15" t="s">
        <v>795</v>
      </c>
      <c r="D3609" s="15" t="s">
        <v>795</v>
      </c>
      <c r="F3609" s="42"/>
    </row>
    <row r="3610" spans="1:6" x14ac:dyDescent="0.3">
      <c r="A3610" s="15" t="s">
        <v>33499</v>
      </c>
      <c r="B3610" s="15" t="s">
        <v>795</v>
      </c>
      <c r="C3610" s="15" t="s">
        <v>795</v>
      </c>
      <c r="D3610" s="15" t="s">
        <v>795</v>
      </c>
      <c r="F3610" s="42"/>
    </row>
    <row r="3611" spans="1:6" x14ac:dyDescent="0.3">
      <c r="A3611" s="15" t="s">
        <v>44172</v>
      </c>
      <c r="B3611" s="15" t="s">
        <v>800</v>
      </c>
      <c r="C3611" s="15" t="s">
        <v>7316</v>
      </c>
      <c r="D3611" s="15" t="s">
        <v>7317</v>
      </c>
      <c r="E3611" s="15">
        <v>1376.2607</v>
      </c>
      <c r="F3611" s="42">
        <v>46201</v>
      </c>
    </row>
    <row r="3612" spans="1:6" x14ac:dyDescent="0.3">
      <c r="A3612" s="15" t="s">
        <v>44171</v>
      </c>
      <c r="B3612" s="15" t="s">
        <v>7318</v>
      </c>
      <c r="C3612" s="15" t="s">
        <v>800</v>
      </c>
      <c r="D3612" s="15" t="s">
        <v>7319</v>
      </c>
      <c r="E3612" s="15">
        <v>4433.9989999999998</v>
      </c>
      <c r="F3612" s="42">
        <v>46201</v>
      </c>
    </row>
    <row r="3613" spans="1:6" x14ac:dyDescent="0.3">
      <c r="A3613" s="15" t="s">
        <v>44170</v>
      </c>
      <c r="B3613" s="15" t="s">
        <v>7320</v>
      </c>
      <c r="C3613" s="15" t="s">
        <v>7321</v>
      </c>
      <c r="D3613" s="15" t="s">
        <v>7322</v>
      </c>
      <c r="E3613" s="15">
        <v>1405.3571999999999</v>
      </c>
      <c r="F3613" s="42">
        <v>46201</v>
      </c>
    </row>
    <row r="3614" spans="1:6" x14ac:dyDescent="0.3">
      <c r="A3614" s="15" t="s">
        <v>44169</v>
      </c>
      <c r="B3614" s="15" t="s">
        <v>800</v>
      </c>
      <c r="C3614" s="15" t="s">
        <v>7323</v>
      </c>
      <c r="D3614" s="15" t="s">
        <v>7324</v>
      </c>
      <c r="E3614" s="15">
        <v>1369.9455</v>
      </c>
      <c r="F3614" s="42">
        <v>46201</v>
      </c>
    </row>
    <row r="3615" spans="1:6" x14ac:dyDescent="0.3">
      <c r="A3615" s="15" t="s">
        <v>44168</v>
      </c>
      <c r="B3615" s="15" t="s">
        <v>7325</v>
      </c>
      <c r="C3615" s="15" t="s">
        <v>800</v>
      </c>
      <c r="D3615" s="15" t="s">
        <v>7326</v>
      </c>
      <c r="E3615" s="15">
        <v>4374.0603000000001</v>
      </c>
      <c r="F3615" s="42">
        <v>46201</v>
      </c>
    </row>
    <row r="3616" spans="1:6" x14ac:dyDescent="0.3">
      <c r="A3616" s="15" t="s">
        <v>44167</v>
      </c>
      <c r="B3616" s="15" t="s">
        <v>7327</v>
      </c>
      <c r="C3616" s="15" t="s">
        <v>7328</v>
      </c>
      <c r="D3616" s="15" t="s">
        <v>7329</v>
      </c>
      <c r="E3616" s="15">
        <v>1398.8072</v>
      </c>
      <c r="F3616" s="42">
        <v>46201</v>
      </c>
    </row>
    <row r="3617" spans="1:6" x14ac:dyDescent="0.3">
      <c r="A3617" s="15" t="s">
        <v>33499</v>
      </c>
      <c r="B3617" s="15" t="s">
        <v>795</v>
      </c>
      <c r="C3617" s="15" t="s">
        <v>795</v>
      </c>
      <c r="D3617" s="15" t="s">
        <v>795</v>
      </c>
      <c r="F3617" s="42"/>
    </row>
    <row r="3618" spans="1:6" x14ac:dyDescent="0.3">
      <c r="A3618" s="15" t="s">
        <v>37664</v>
      </c>
      <c r="B3618" s="15" t="s">
        <v>795</v>
      </c>
      <c r="C3618" s="15" t="s">
        <v>795</v>
      </c>
      <c r="D3618" s="15" t="s">
        <v>795</v>
      </c>
      <c r="F3618" s="42"/>
    </row>
    <row r="3619" spans="1:6" x14ac:dyDescent="0.3">
      <c r="A3619" s="15" t="s">
        <v>33499</v>
      </c>
      <c r="B3619" s="15" t="s">
        <v>795</v>
      </c>
      <c r="C3619" s="15" t="s">
        <v>795</v>
      </c>
      <c r="D3619" s="15" t="s">
        <v>795</v>
      </c>
      <c r="F3619" s="42"/>
    </row>
    <row r="3620" spans="1:6" x14ac:dyDescent="0.3">
      <c r="A3620" s="15" t="s">
        <v>47085</v>
      </c>
      <c r="B3620" s="15" t="s">
        <v>800</v>
      </c>
      <c r="C3620" s="15" t="s">
        <v>47086</v>
      </c>
      <c r="D3620" s="15" t="s">
        <v>47087</v>
      </c>
      <c r="E3620" s="15">
        <v>1000.0266</v>
      </c>
      <c r="F3620" s="42">
        <v>46201</v>
      </c>
    </row>
    <row r="3621" spans="1:6" x14ac:dyDescent="0.3">
      <c r="A3621" s="15" t="s">
        <v>47088</v>
      </c>
      <c r="B3621" s="15" t="s">
        <v>47089</v>
      </c>
      <c r="C3621" s="15" t="s">
        <v>800</v>
      </c>
      <c r="D3621" s="15" t="s">
        <v>47090</v>
      </c>
      <c r="E3621" s="15">
        <v>1259.4423999999999</v>
      </c>
      <c r="F3621" s="42">
        <v>46201</v>
      </c>
    </row>
    <row r="3622" spans="1:6" x14ac:dyDescent="0.3">
      <c r="A3622" s="15" t="s">
        <v>47091</v>
      </c>
      <c r="B3622" s="15" t="s">
        <v>47092</v>
      </c>
      <c r="C3622" s="15" t="s">
        <v>47093</v>
      </c>
      <c r="D3622" s="15" t="s">
        <v>47094</v>
      </c>
      <c r="E3622" s="15">
        <v>1001.9447</v>
      </c>
      <c r="F3622" s="42">
        <v>46201</v>
      </c>
    </row>
    <row r="3623" spans="1:6" x14ac:dyDescent="0.3">
      <c r="A3623" s="15" t="s">
        <v>47095</v>
      </c>
      <c r="B3623" s="15" t="s">
        <v>800</v>
      </c>
      <c r="C3623" s="15" t="s">
        <v>47096</v>
      </c>
      <c r="D3623" s="15" t="s">
        <v>47097</v>
      </c>
      <c r="E3623" s="15">
        <v>1000.0101</v>
      </c>
      <c r="F3623" s="42">
        <v>46201</v>
      </c>
    </row>
    <row r="3624" spans="1:6" x14ac:dyDescent="0.3">
      <c r="A3624" s="15" t="s">
        <v>47098</v>
      </c>
      <c r="B3624" s="15" t="s">
        <v>47099</v>
      </c>
      <c r="C3624" s="15" t="s">
        <v>800</v>
      </c>
      <c r="D3624" s="15" t="s">
        <v>47100</v>
      </c>
      <c r="E3624" s="15">
        <v>1255.4772</v>
      </c>
      <c r="F3624" s="42">
        <v>46201</v>
      </c>
    </row>
    <row r="3625" spans="1:6" x14ac:dyDescent="0.3">
      <c r="A3625" s="15" t="s">
        <v>47101</v>
      </c>
      <c r="B3625" s="15" t="s">
        <v>47102</v>
      </c>
      <c r="C3625" s="15" t="s">
        <v>47103</v>
      </c>
      <c r="D3625" s="15" t="s">
        <v>47104</v>
      </c>
      <c r="E3625" s="15">
        <v>1001.9672</v>
      </c>
      <c r="F3625" s="42">
        <v>46201</v>
      </c>
    </row>
    <row r="3626" spans="1:6" x14ac:dyDescent="0.3">
      <c r="A3626" s="15" t="s">
        <v>33499</v>
      </c>
      <c r="B3626" s="15" t="s">
        <v>795</v>
      </c>
      <c r="C3626" s="15" t="s">
        <v>795</v>
      </c>
      <c r="D3626" s="15" t="s">
        <v>795</v>
      </c>
      <c r="F3626" s="42"/>
    </row>
    <row r="3627" spans="1:6" x14ac:dyDescent="0.3">
      <c r="A3627" s="15" t="s">
        <v>37414</v>
      </c>
      <c r="B3627" s="15" t="s">
        <v>795</v>
      </c>
      <c r="C3627" s="15" t="s">
        <v>795</v>
      </c>
      <c r="D3627" s="15" t="s">
        <v>795</v>
      </c>
      <c r="F3627" s="42"/>
    </row>
    <row r="3628" spans="1:6" x14ac:dyDescent="0.3">
      <c r="A3628" s="15" t="s">
        <v>33499</v>
      </c>
      <c r="B3628" s="15" t="s">
        <v>795</v>
      </c>
      <c r="C3628" s="15" t="s">
        <v>795</v>
      </c>
      <c r="D3628" s="15" t="s">
        <v>795</v>
      </c>
      <c r="F3628" s="42"/>
    </row>
    <row r="3629" spans="1:6" x14ac:dyDescent="0.3">
      <c r="A3629" s="15" t="s">
        <v>44166</v>
      </c>
      <c r="B3629" s="15" t="s">
        <v>7330</v>
      </c>
      <c r="C3629" s="15" t="s">
        <v>800</v>
      </c>
      <c r="D3629" s="15" t="s">
        <v>7331</v>
      </c>
      <c r="E3629" s="15">
        <v>1000.03</v>
      </c>
      <c r="F3629" s="42">
        <v>45548</v>
      </c>
    </row>
    <row r="3630" spans="1:6" x14ac:dyDescent="0.3">
      <c r="A3630" s="15" t="s">
        <v>44165</v>
      </c>
      <c r="B3630" s="15" t="s">
        <v>7332</v>
      </c>
      <c r="C3630" s="15" t="s">
        <v>800</v>
      </c>
      <c r="D3630" s="15" t="s">
        <v>7333</v>
      </c>
      <c r="E3630" s="15">
        <v>1067.4521999999999</v>
      </c>
      <c r="F3630" s="42">
        <v>45548</v>
      </c>
    </row>
    <row r="3631" spans="1:6" x14ac:dyDescent="0.3">
      <c r="A3631" s="15" t="s">
        <v>44164</v>
      </c>
      <c r="B3631" s="15" t="s">
        <v>7334</v>
      </c>
      <c r="C3631" s="15" t="s">
        <v>800</v>
      </c>
      <c r="D3631" s="15" t="s">
        <v>7335</v>
      </c>
      <c r="E3631" s="15">
        <v>1448.3200999999999</v>
      </c>
      <c r="F3631" s="42">
        <v>46201</v>
      </c>
    </row>
    <row r="3632" spans="1:6" x14ac:dyDescent="0.3">
      <c r="A3632" s="15" t="s">
        <v>44163</v>
      </c>
      <c r="B3632" s="15" t="s">
        <v>7336</v>
      </c>
      <c r="C3632" s="15" t="s">
        <v>800</v>
      </c>
      <c r="D3632" s="15" t="s">
        <v>7337</v>
      </c>
      <c r="E3632" s="15">
        <v>1046.7630999999999</v>
      </c>
      <c r="F3632" s="42">
        <v>46201</v>
      </c>
    </row>
    <row r="3633" spans="1:6" x14ac:dyDescent="0.3">
      <c r="A3633" s="15" t="s">
        <v>44162</v>
      </c>
      <c r="B3633" s="15" t="s">
        <v>800</v>
      </c>
      <c r="C3633" s="15" t="s">
        <v>7338</v>
      </c>
      <c r="D3633" s="15" t="s">
        <v>7339</v>
      </c>
      <c r="E3633" s="15">
        <v>1046.7630999999999</v>
      </c>
      <c r="F3633" s="42">
        <v>46201</v>
      </c>
    </row>
    <row r="3634" spans="1:6" x14ac:dyDescent="0.3">
      <c r="A3634" s="15" t="s">
        <v>44161</v>
      </c>
      <c r="B3634" s="15" t="s">
        <v>7340</v>
      </c>
      <c r="C3634" s="15" t="s">
        <v>800</v>
      </c>
      <c r="D3634" s="15" t="s">
        <v>7341</v>
      </c>
      <c r="E3634" s="15">
        <v>1049.5696</v>
      </c>
      <c r="F3634" s="42">
        <v>45548</v>
      </c>
    </row>
    <row r="3635" spans="1:6" x14ac:dyDescent="0.3">
      <c r="A3635" s="15" t="s">
        <v>44160</v>
      </c>
      <c r="B3635" s="15" t="s">
        <v>7342</v>
      </c>
      <c r="C3635" s="15" t="s">
        <v>800</v>
      </c>
      <c r="D3635" s="15" t="s">
        <v>7343</v>
      </c>
      <c r="E3635" s="15">
        <v>1000.03</v>
      </c>
      <c r="F3635" s="42">
        <v>45548</v>
      </c>
    </row>
    <row r="3636" spans="1:6" x14ac:dyDescent="0.3">
      <c r="A3636" s="15" t="s">
        <v>44159</v>
      </c>
      <c r="B3636" s="15" t="s">
        <v>7344</v>
      </c>
      <c r="C3636" s="15" t="s">
        <v>800</v>
      </c>
      <c r="D3636" s="15" t="s">
        <v>7345</v>
      </c>
      <c r="E3636" s="15">
        <v>1068.8380999999999</v>
      </c>
      <c r="F3636" s="42">
        <v>45548</v>
      </c>
    </row>
    <row r="3637" spans="1:6" x14ac:dyDescent="0.3">
      <c r="A3637" s="15" t="s">
        <v>44158</v>
      </c>
      <c r="B3637" s="15" t="s">
        <v>7346</v>
      </c>
      <c r="C3637" s="15" t="s">
        <v>800</v>
      </c>
      <c r="D3637" s="15" t="s">
        <v>7347</v>
      </c>
      <c r="E3637" s="15">
        <v>1438.104</v>
      </c>
      <c r="F3637" s="42">
        <v>46201</v>
      </c>
    </row>
    <row r="3638" spans="1:6" x14ac:dyDescent="0.3">
      <c r="A3638" s="15" t="s">
        <v>44157</v>
      </c>
      <c r="B3638" s="15" t="s">
        <v>7348</v>
      </c>
      <c r="C3638" s="15" t="s">
        <v>800</v>
      </c>
      <c r="D3638" s="15" t="s">
        <v>7349</v>
      </c>
      <c r="E3638" s="15">
        <v>1041.5951</v>
      </c>
      <c r="F3638" s="42">
        <v>46201</v>
      </c>
    </row>
    <row r="3639" spans="1:6" x14ac:dyDescent="0.3">
      <c r="A3639" s="15" t="s">
        <v>44156</v>
      </c>
      <c r="B3639" s="15" t="s">
        <v>800</v>
      </c>
      <c r="C3639" s="15" t="s">
        <v>7350</v>
      </c>
      <c r="D3639" s="15" t="s">
        <v>7351</v>
      </c>
      <c r="E3639" s="15">
        <v>1041.5951</v>
      </c>
      <c r="F3639" s="42">
        <v>46201</v>
      </c>
    </row>
    <row r="3640" spans="1:6" x14ac:dyDescent="0.3">
      <c r="A3640" s="15" t="s">
        <v>44155</v>
      </c>
      <c r="B3640" s="15" t="s">
        <v>7352</v>
      </c>
      <c r="C3640" s="15" t="s">
        <v>800</v>
      </c>
      <c r="D3640" s="15" t="s">
        <v>7353</v>
      </c>
      <c r="E3640" s="15">
        <v>1048.3635999999999</v>
      </c>
      <c r="F3640" s="42">
        <v>45548</v>
      </c>
    </row>
    <row r="3641" spans="1:6" x14ac:dyDescent="0.3">
      <c r="A3641" s="15" t="s">
        <v>33499</v>
      </c>
      <c r="B3641" s="15" t="s">
        <v>795</v>
      </c>
      <c r="C3641" s="15" t="s">
        <v>795</v>
      </c>
      <c r="D3641" s="15" t="s">
        <v>795</v>
      </c>
      <c r="F3641" s="42"/>
    </row>
    <row r="3642" spans="1:6" x14ac:dyDescent="0.3">
      <c r="A3642" s="15" t="s">
        <v>33519</v>
      </c>
      <c r="B3642" s="15" t="s">
        <v>795</v>
      </c>
      <c r="C3642" s="15" t="s">
        <v>795</v>
      </c>
      <c r="D3642" s="15" t="s">
        <v>795</v>
      </c>
      <c r="F3642" s="42"/>
    </row>
    <row r="3643" spans="1:6" x14ac:dyDescent="0.3">
      <c r="A3643" s="15" t="s">
        <v>33499</v>
      </c>
      <c r="B3643" s="15" t="s">
        <v>795</v>
      </c>
      <c r="C3643" s="15" t="s">
        <v>795</v>
      </c>
      <c r="D3643" s="15" t="s">
        <v>795</v>
      </c>
      <c r="F3643" s="42"/>
    </row>
    <row r="3644" spans="1:6" x14ac:dyDescent="0.3">
      <c r="A3644" s="15" t="s">
        <v>44154</v>
      </c>
      <c r="B3644" s="15" t="s">
        <v>800</v>
      </c>
      <c r="C3644" s="15" t="s">
        <v>7354</v>
      </c>
      <c r="D3644" s="15" t="s">
        <v>7355</v>
      </c>
      <c r="E3644" s="15">
        <v>1000</v>
      </c>
      <c r="F3644" s="42">
        <v>46201</v>
      </c>
    </row>
    <row r="3645" spans="1:6" x14ac:dyDescent="0.3">
      <c r="A3645" s="15" t="s">
        <v>44153</v>
      </c>
      <c r="B3645" s="15" t="s">
        <v>800</v>
      </c>
      <c r="C3645" s="15" t="s">
        <v>7356</v>
      </c>
      <c r="D3645" s="15" t="s">
        <v>7357</v>
      </c>
      <c r="E3645" s="15">
        <v>1000</v>
      </c>
      <c r="F3645" s="42">
        <v>46201</v>
      </c>
    </row>
    <row r="3646" spans="1:6" x14ac:dyDescent="0.3">
      <c r="A3646" s="15" t="s">
        <v>44152</v>
      </c>
      <c r="B3646" s="15" t="s">
        <v>7358</v>
      </c>
      <c r="C3646" s="15" t="s">
        <v>800</v>
      </c>
      <c r="D3646" s="15" t="s">
        <v>7359</v>
      </c>
      <c r="E3646" s="15">
        <v>1439.75</v>
      </c>
      <c r="F3646" s="42">
        <v>46201</v>
      </c>
    </row>
    <row r="3647" spans="1:6" x14ac:dyDescent="0.3">
      <c r="A3647" s="15" t="s">
        <v>44151</v>
      </c>
      <c r="B3647" s="15" t="s">
        <v>7360</v>
      </c>
      <c r="C3647" s="15" t="s">
        <v>800</v>
      </c>
      <c r="D3647" s="15" t="s">
        <v>7361</v>
      </c>
      <c r="E3647" s="15">
        <v>1427.9416000000001</v>
      </c>
      <c r="F3647" s="42">
        <v>46201</v>
      </c>
    </row>
    <row r="3648" spans="1:6" x14ac:dyDescent="0.3">
      <c r="A3648" s="15" t="s">
        <v>33499</v>
      </c>
      <c r="B3648" s="15" t="s">
        <v>795</v>
      </c>
      <c r="C3648" s="15" t="s">
        <v>795</v>
      </c>
      <c r="D3648" s="15" t="s">
        <v>795</v>
      </c>
      <c r="F3648" s="42"/>
    </row>
    <row r="3649" spans="1:6" x14ac:dyDescent="0.3">
      <c r="A3649" s="15" t="s">
        <v>33508</v>
      </c>
      <c r="B3649" s="15" t="s">
        <v>795</v>
      </c>
      <c r="C3649" s="15" t="s">
        <v>795</v>
      </c>
      <c r="D3649" s="15" t="s">
        <v>795</v>
      </c>
      <c r="F3649" s="42"/>
    </row>
    <row r="3650" spans="1:6" x14ac:dyDescent="0.3">
      <c r="A3650" s="15" t="s">
        <v>33499</v>
      </c>
      <c r="B3650" s="15" t="s">
        <v>795</v>
      </c>
      <c r="C3650" s="15" t="s">
        <v>795</v>
      </c>
      <c r="D3650" s="15" t="s">
        <v>795</v>
      </c>
      <c r="F3650" s="42"/>
    </row>
    <row r="3651" spans="1:6" x14ac:dyDescent="0.3">
      <c r="A3651" s="15" t="s">
        <v>44150</v>
      </c>
      <c r="B3651" s="15" t="s">
        <v>800</v>
      </c>
      <c r="C3651" s="15" t="s">
        <v>7362</v>
      </c>
      <c r="D3651" s="15" t="s">
        <v>7363</v>
      </c>
      <c r="E3651" s="15">
        <v>1261.4844000000001</v>
      </c>
      <c r="F3651" s="42">
        <v>46201</v>
      </c>
    </row>
    <row r="3652" spans="1:6" x14ac:dyDescent="0.3">
      <c r="A3652" s="15" t="s">
        <v>44149</v>
      </c>
      <c r="B3652" s="15" t="s">
        <v>7364</v>
      </c>
      <c r="C3652" s="15" t="s">
        <v>800</v>
      </c>
      <c r="D3652" s="15" t="s">
        <v>7365</v>
      </c>
      <c r="E3652" s="15">
        <v>1289.3107</v>
      </c>
      <c r="F3652" s="42">
        <v>46201</v>
      </c>
    </row>
    <row r="3653" spans="1:6" x14ac:dyDescent="0.3">
      <c r="A3653" s="15" t="s">
        <v>44148</v>
      </c>
      <c r="B3653" s="15" t="s">
        <v>800</v>
      </c>
      <c r="C3653" s="15" t="s">
        <v>7366</v>
      </c>
      <c r="D3653" s="15" t="s">
        <v>7367</v>
      </c>
      <c r="E3653" s="15">
        <v>1251.9793999999999</v>
      </c>
      <c r="F3653" s="42">
        <v>46201</v>
      </c>
    </row>
    <row r="3654" spans="1:6" x14ac:dyDescent="0.3">
      <c r="A3654" s="15" t="s">
        <v>44147</v>
      </c>
      <c r="B3654" s="15" t="s">
        <v>7368</v>
      </c>
      <c r="C3654" s="15" t="s">
        <v>800</v>
      </c>
      <c r="D3654" s="15" t="s">
        <v>7369</v>
      </c>
      <c r="E3654" s="15">
        <v>1286.4426000000001</v>
      </c>
      <c r="F3654" s="42">
        <v>46201</v>
      </c>
    </row>
    <row r="3655" spans="1:6" x14ac:dyDescent="0.3">
      <c r="A3655" s="15" t="s">
        <v>33499</v>
      </c>
      <c r="B3655" s="15" t="s">
        <v>795</v>
      </c>
      <c r="C3655" s="15" t="s">
        <v>795</v>
      </c>
      <c r="D3655" s="15" t="s">
        <v>795</v>
      </c>
      <c r="F3655" s="42"/>
    </row>
    <row r="3656" spans="1:6" x14ac:dyDescent="0.3">
      <c r="A3656" s="15" t="s">
        <v>33504</v>
      </c>
      <c r="B3656" s="15" t="s">
        <v>795</v>
      </c>
      <c r="C3656" s="15" t="s">
        <v>795</v>
      </c>
      <c r="D3656" s="15" t="s">
        <v>795</v>
      </c>
      <c r="F3656" s="42"/>
    </row>
    <row r="3657" spans="1:6" x14ac:dyDescent="0.3">
      <c r="A3657" s="15" t="s">
        <v>33499</v>
      </c>
      <c r="B3657" s="15" t="s">
        <v>795</v>
      </c>
      <c r="C3657" s="15" t="s">
        <v>795</v>
      </c>
      <c r="D3657" s="15" t="s">
        <v>795</v>
      </c>
      <c r="F3657" s="42"/>
    </row>
    <row r="3658" spans="1:6" x14ac:dyDescent="0.3">
      <c r="A3658" s="15" t="s">
        <v>44146</v>
      </c>
      <c r="B3658" s="15" t="s">
        <v>800</v>
      </c>
      <c r="C3658" s="15" t="s">
        <v>7370</v>
      </c>
      <c r="D3658" s="15" t="s">
        <v>7371</v>
      </c>
      <c r="E3658" s="15">
        <v>1000.8054</v>
      </c>
      <c r="F3658" s="42">
        <v>46201</v>
      </c>
    </row>
    <row r="3659" spans="1:6" x14ac:dyDescent="0.3">
      <c r="A3659" s="15" t="s">
        <v>44145</v>
      </c>
      <c r="B3659" s="15" t="s">
        <v>7372</v>
      </c>
      <c r="C3659" s="15" t="s">
        <v>800</v>
      </c>
      <c r="D3659" s="15" t="s">
        <v>7373</v>
      </c>
      <c r="E3659" s="15">
        <v>1435.5616</v>
      </c>
      <c r="F3659" s="42">
        <v>46201</v>
      </c>
    </row>
    <row r="3660" spans="1:6" x14ac:dyDescent="0.3">
      <c r="A3660" s="15" t="s">
        <v>44144</v>
      </c>
      <c r="B3660" s="15" t="s">
        <v>7374</v>
      </c>
      <c r="C3660" s="15" t="s">
        <v>7375</v>
      </c>
      <c r="D3660" s="15" t="s">
        <v>7376</v>
      </c>
      <c r="E3660" s="15">
        <v>1001.0461</v>
      </c>
      <c r="F3660" s="42">
        <v>46201</v>
      </c>
    </row>
    <row r="3661" spans="1:6" x14ac:dyDescent="0.3">
      <c r="A3661" s="15" t="s">
        <v>44143</v>
      </c>
      <c r="B3661" s="15" t="s">
        <v>800</v>
      </c>
      <c r="C3661" s="15" t="s">
        <v>7377</v>
      </c>
      <c r="D3661" s="15" t="s">
        <v>7378</v>
      </c>
      <c r="E3661" s="15">
        <v>1001.2621</v>
      </c>
      <c r="F3661" s="42">
        <v>46201</v>
      </c>
    </row>
    <row r="3662" spans="1:6" x14ac:dyDescent="0.3">
      <c r="A3662" s="15" t="s">
        <v>44142</v>
      </c>
      <c r="B3662" s="15" t="s">
        <v>7379</v>
      </c>
      <c r="C3662" s="15" t="s">
        <v>800</v>
      </c>
      <c r="D3662" s="15" t="s">
        <v>7380</v>
      </c>
      <c r="E3662" s="15">
        <v>1425.3</v>
      </c>
      <c r="F3662" s="42">
        <v>46201</v>
      </c>
    </row>
    <row r="3663" spans="1:6" x14ac:dyDescent="0.3">
      <c r="A3663" s="15" t="s">
        <v>44141</v>
      </c>
      <c r="B3663" s="15" t="s">
        <v>7381</v>
      </c>
      <c r="C3663" s="15" t="s">
        <v>7382</v>
      </c>
      <c r="D3663" s="15" t="s">
        <v>7383</v>
      </c>
      <c r="E3663" s="15">
        <v>1001.0441</v>
      </c>
      <c r="F3663" s="42">
        <v>46201</v>
      </c>
    </row>
    <row r="3664" spans="1:6" x14ac:dyDescent="0.3">
      <c r="A3664" s="15" t="s">
        <v>44140</v>
      </c>
      <c r="B3664" s="15" t="s">
        <v>800</v>
      </c>
      <c r="C3664" s="15" t="s">
        <v>800</v>
      </c>
      <c r="D3664" s="15" t="s">
        <v>7384</v>
      </c>
      <c r="E3664" s="15">
        <v>1000</v>
      </c>
      <c r="F3664" s="42">
        <v>46201</v>
      </c>
    </row>
    <row r="3665" spans="1:6" x14ac:dyDescent="0.3">
      <c r="A3665" s="15" t="s">
        <v>44139</v>
      </c>
      <c r="B3665" s="15" t="s">
        <v>800</v>
      </c>
      <c r="C3665" s="15" t="s">
        <v>800</v>
      </c>
      <c r="D3665" s="15" t="s">
        <v>7385</v>
      </c>
      <c r="E3665" s="15">
        <v>1293.048</v>
      </c>
      <c r="F3665" s="42">
        <v>46201</v>
      </c>
    </row>
    <row r="3666" spans="1:6" x14ac:dyDescent="0.3">
      <c r="A3666" s="15" t="s">
        <v>44138</v>
      </c>
      <c r="B3666" s="15" t="s">
        <v>800</v>
      </c>
      <c r="C3666" s="15" t="s">
        <v>800</v>
      </c>
      <c r="D3666" s="15" t="s">
        <v>7386</v>
      </c>
      <c r="E3666" s="15">
        <v>1000</v>
      </c>
      <c r="F3666" s="42">
        <v>46201</v>
      </c>
    </row>
    <row r="3667" spans="1:6" x14ac:dyDescent="0.3">
      <c r="A3667" s="15" t="s">
        <v>44137</v>
      </c>
      <c r="B3667" s="15" t="s">
        <v>800</v>
      </c>
      <c r="C3667" s="15" t="s">
        <v>800</v>
      </c>
      <c r="D3667" s="15" t="s">
        <v>7387</v>
      </c>
      <c r="E3667" s="15">
        <v>1293.0128999999999</v>
      </c>
      <c r="F3667" s="42">
        <v>46201</v>
      </c>
    </row>
    <row r="3668" spans="1:6" x14ac:dyDescent="0.3">
      <c r="A3668" s="15" t="s">
        <v>33499</v>
      </c>
      <c r="B3668" s="15" t="s">
        <v>795</v>
      </c>
      <c r="C3668" s="15" t="s">
        <v>795</v>
      </c>
      <c r="D3668" s="15" t="s">
        <v>795</v>
      </c>
      <c r="F3668" s="42"/>
    </row>
    <row r="3669" spans="1:6" x14ac:dyDescent="0.3">
      <c r="A3669" s="15" t="s">
        <v>33500</v>
      </c>
      <c r="B3669" s="15" t="s">
        <v>795</v>
      </c>
      <c r="C3669" s="15" t="s">
        <v>795</v>
      </c>
      <c r="D3669" s="15" t="s">
        <v>795</v>
      </c>
      <c r="F3669" s="42"/>
    </row>
    <row r="3670" spans="1:6" x14ac:dyDescent="0.3">
      <c r="A3670" s="15" t="s">
        <v>33499</v>
      </c>
      <c r="B3670" s="15" t="s">
        <v>795</v>
      </c>
      <c r="C3670" s="15" t="s">
        <v>795</v>
      </c>
      <c r="D3670" s="15" t="s">
        <v>795</v>
      </c>
      <c r="F3670" s="42"/>
    </row>
    <row r="3671" spans="1:6" x14ac:dyDescent="0.3">
      <c r="A3671" s="15" t="s">
        <v>44136</v>
      </c>
      <c r="B3671" s="15" t="s">
        <v>7388</v>
      </c>
      <c r="C3671" s="15" t="s">
        <v>800</v>
      </c>
      <c r="D3671" s="15" t="s">
        <v>7389</v>
      </c>
      <c r="E3671" s="15">
        <v>3690.9582</v>
      </c>
      <c r="F3671" s="42">
        <v>46201</v>
      </c>
    </row>
    <row r="3672" spans="1:6" x14ac:dyDescent="0.3">
      <c r="A3672" s="15" t="s">
        <v>44135</v>
      </c>
      <c r="B3672" s="15" t="s">
        <v>7390</v>
      </c>
      <c r="C3672" s="15" t="s">
        <v>800</v>
      </c>
      <c r="D3672" s="15" t="s">
        <v>7391</v>
      </c>
      <c r="E3672" s="15">
        <v>3732.9101000000001</v>
      </c>
      <c r="F3672" s="42">
        <v>46201</v>
      </c>
    </row>
    <row r="3673" spans="1:6" x14ac:dyDescent="0.3">
      <c r="A3673" s="15" t="s">
        <v>44134</v>
      </c>
      <c r="B3673" s="15" t="s">
        <v>800</v>
      </c>
      <c r="C3673" s="15" t="s">
        <v>7392</v>
      </c>
      <c r="D3673" s="15" t="s">
        <v>7393</v>
      </c>
      <c r="E3673" s="15">
        <v>1371.6621</v>
      </c>
      <c r="F3673" s="42">
        <v>46201</v>
      </c>
    </row>
    <row r="3674" spans="1:6" x14ac:dyDescent="0.3">
      <c r="A3674" s="15" t="s">
        <v>44133</v>
      </c>
      <c r="B3674" s="15" t="s">
        <v>7394</v>
      </c>
      <c r="C3674" s="15" t="s">
        <v>7395</v>
      </c>
      <c r="D3674" s="15" t="s">
        <v>7396</v>
      </c>
      <c r="E3674" s="15">
        <v>1959.0831000000001</v>
      </c>
      <c r="F3674" s="42">
        <v>46201</v>
      </c>
    </row>
    <row r="3675" spans="1:6" x14ac:dyDescent="0.3">
      <c r="A3675" s="15" t="s">
        <v>44132</v>
      </c>
      <c r="B3675" s="15" t="s">
        <v>800</v>
      </c>
      <c r="C3675" s="15" t="s">
        <v>7397</v>
      </c>
      <c r="D3675" s="15" t="s">
        <v>7398</v>
      </c>
      <c r="E3675" s="15">
        <v>1370.8616999999999</v>
      </c>
      <c r="F3675" s="42">
        <v>46201</v>
      </c>
    </row>
    <row r="3676" spans="1:6" x14ac:dyDescent="0.3">
      <c r="A3676" s="15" t="s">
        <v>44131</v>
      </c>
      <c r="B3676" s="15" t="s">
        <v>7399</v>
      </c>
      <c r="C3676" s="15" t="s">
        <v>7400</v>
      </c>
      <c r="D3676" s="15" t="s">
        <v>7401</v>
      </c>
      <c r="E3676" s="15">
        <v>1901.4531999999999</v>
      </c>
      <c r="F3676" s="42">
        <v>46201</v>
      </c>
    </row>
    <row r="3677" spans="1:6" x14ac:dyDescent="0.3">
      <c r="A3677" s="15" t="s">
        <v>33499</v>
      </c>
      <c r="B3677" s="15" t="s">
        <v>795</v>
      </c>
      <c r="C3677" s="15" t="s">
        <v>795</v>
      </c>
      <c r="D3677" s="15" t="s">
        <v>795</v>
      </c>
      <c r="F3677" s="42"/>
    </row>
    <row r="3678" spans="1:6" x14ac:dyDescent="0.3">
      <c r="A3678" s="15" t="s">
        <v>37648</v>
      </c>
      <c r="B3678" s="15" t="s">
        <v>795</v>
      </c>
      <c r="C3678" s="15" t="s">
        <v>795</v>
      </c>
      <c r="D3678" s="15" t="s">
        <v>795</v>
      </c>
      <c r="F3678" s="42"/>
    </row>
    <row r="3679" spans="1:6" x14ac:dyDescent="0.3">
      <c r="A3679" s="15" t="s">
        <v>33499</v>
      </c>
      <c r="B3679" s="15" t="s">
        <v>795</v>
      </c>
      <c r="C3679" s="15" t="s">
        <v>795</v>
      </c>
      <c r="D3679" s="15" t="s">
        <v>795</v>
      </c>
      <c r="F3679" s="42"/>
    </row>
    <row r="3680" spans="1:6" x14ac:dyDescent="0.3">
      <c r="A3680" s="15" t="s">
        <v>44130</v>
      </c>
      <c r="B3680" s="15" t="s">
        <v>7402</v>
      </c>
      <c r="C3680" s="15" t="s">
        <v>800</v>
      </c>
      <c r="D3680" s="15" t="s">
        <v>7403</v>
      </c>
      <c r="E3680" s="15">
        <v>10.670400000000001</v>
      </c>
      <c r="F3680" s="42">
        <v>46201</v>
      </c>
    </row>
    <row r="3681" spans="1:6" x14ac:dyDescent="0.3">
      <c r="A3681" s="15" t="s">
        <v>33499</v>
      </c>
      <c r="B3681" s="15" t="s">
        <v>795</v>
      </c>
      <c r="C3681" s="15" t="s">
        <v>795</v>
      </c>
      <c r="D3681" s="15" t="s">
        <v>795</v>
      </c>
      <c r="F3681" s="42"/>
    </row>
    <row r="3682" spans="1:6" x14ac:dyDescent="0.3">
      <c r="A3682" s="15" t="s">
        <v>44129</v>
      </c>
      <c r="B3682" s="15" t="s">
        <v>795</v>
      </c>
      <c r="C3682" s="15" t="s">
        <v>795</v>
      </c>
      <c r="D3682" s="15" t="s">
        <v>795</v>
      </c>
      <c r="F3682" s="42"/>
    </row>
    <row r="3683" spans="1:6" x14ac:dyDescent="0.3">
      <c r="A3683" s="15" t="s">
        <v>33499</v>
      </c>
      <c r="B3683" s="15" t="s">
        <v>795</v>
      </c>
      <c r="C3683" s="15" t="s">
        <v>795</v>
      </c>
      <c r="D3683" s="15" t="s">
        <v>795</v>
      </c>
      <c r="F3683" s="42"/>
    </row>
    <row r="3684" spans="1:6" x14ac:dyDescent="0.3">
      <c r="A3684" s="15" t="s">
        <v>37122</v>
      </c>
      <c r="B3684" s="15" t="s">
        <v>795</v>
      </c>
      <c r="C3684" s="15" t="s">
        <v>795</v>
      </c>
      <c r="D3684" s="15" t="s">
        <v>795</v>
      </c>
      <c r="F3684" s="42"/>
    </row>
    <row r="3685" spans="1:6" x14ac:dyDescent="0.3">
      <c r="A3685" s="15" t="s">
        <v>33499</v>
      </c>
      <c r="B3685" s="15" t="s">
        <v>795</v>
      </c>
      <c r="C3685" s="15" t="s">
        <v>795</v>
      </c>
      <c r="D3685" s="15" t="s">
        <v>795</v>
      </c>
      <c r="F3685" s="42"/>
    </row>
    <row r="3686" spans="1:6" x14ac:dyDescent="0.3">
      <c r="A3686" s="15" t="s">
        <v>44128</v>
      </c>
      <c r="B3686" s="15" t="s">
        <v>7404</v>
      </c>
      <c r="C3686" s="15" t="s">
        <v>7405</v>
      </c>
      <c r="D3686" s="15" t="s">
        <v>7406</v>
      </c>
      <c r="E3686" s="15">
        <v>11.0084</v>
      </c>
      <c r="F3686" s="42">
        <v>46198</v>
      </c>
    </row>
    <row r="3687" spans="1:6" x14ac:dyDescent="0.3">
      <c r="A3687" s="15" t="s">
        <v>44127</v>
      </c>
      <c r="B3687" s="15" t="s">
        <v>7407</v>
      </c>
      <c r="C3687" s="15" t="s">
        <v>800</v>
      </c>
      <c r="D3687" s="15" t="s">
        <v>7408</v>
      </c>
      <c r="E3687" s="15">
        <v>54.731200000000001</v>
      </c>
      <c r="F3687" s="42">
        <v>46198</v>
      </c>
    </row>
    <row r="3688" spans="1:6" x14ac:dyDescent="0.3">
      <c r="A3688" s="15" t="s">
        <v>44126</v>
      </c>
      <c r="B3688" s="15" t="s">
        <v>7409</v>
      </c>
      <c r="C3688" s="15" t="s">
        <v>800</v>
      </c>
      <c r="D3688" s="15" t="s">
        <v>7410</v>
      </c>
      <c r="E3688" s="15">
        <v>50.277700000000003</v>
      </c>
      <c r="F3688" s="42">
        <v>46198</v>
      </c>
    </row>
    <row r="3689" spans="1:6" x14ac:dyDescent="0.3">
      <c r="A3689" s="15" t="s">
        <v>44125</v>
      </c>
      <c r="B3689" s="15" t="s">
        <v>7411</v>
      </c>
      <c r="C3689" s="15" t="s">
        <v>7412</v>
      </c>
      <c r="D3689" s="15" t="s">
        <v>7413</v>
      </c>
      <c r="E3689" s="15">
        <v>15.0205</v>
      </c>
      <c r="F3689" s="42">
        <v>46198</v>
      </c>
    </row>
    <row r="3690" spans="1:6" x14ac:dyDescent="0.3">
      <c r="A3690" s="15" t="s">
        <v>44124</v>
      </c>
      <c r="B3690" s="15" t="s">
        <v>7414</v>
      </c>
      <c r="C3690" s="15" t="s">
        <v>800</v>
      </c>
      <c r="D3690" s="15" t="s">
        <v>7415</v>
      </c>
      <c r="E3690" s="15">
        <v>10.3826</v>
      </c>
      <c r="F3690" s="42">
        <v>46198</v>
      </c>
    </row>
    <row r="3691" spans="1:6" x14ac:dyDescent="0.3">
      <c r="A3691" s="15" t="s">
        <v>44123</v>
      </c>
      <c r="B3691" s="15" t="s">
        <v>7416</v>
      </c>
      <c r="C3691" s="15" t="s">
        <v>7417</v>
      </c>
      <c r="D3691" s="15" t="s">
        <v>7418</v>
      </c>
      <c r="E3691" s="15">
        <v>10.8917</v>
      </c>
      <c r="F3691" s="42">
        <v>46198</v>
      </c>
    </row>
    <row r="3692" spans="1:6" x14ac:dyDescent="0.3">
      <c r="A3692" s="15" t="s">
        <v>33499</v>
      </c>
      <c r="B3692" s="15" t="s">
        <v>795</v>
      </c>
      <c r="C3692" s="15" t="s">
        <v>795</v>
      </c>
      <c r="D3692" s="15" t="s">
        <v>795</v>
      </c>
      <c r="F3692" s="42"/>
    </row>
    <row r="3693" spans="1:6" x14ac:dyDescent="0.3">
      <c r="A3693" s="15" t="s">
        <v>37087</v>
      </c>
      <c r="B3693" s="15" t="s">
        <v>795</v>
      </c>
      <c r="C3693" s="15" t="s">
        <v>795</v>
      </c>
      <c r="D3693" s="15" t="s">
        <v>795</v>
      </c>
      <c r="F3693" s="42"/>
    </row>
    <row r="3694" spans="1:6" x14ac:dyDescent="0.3">
      <c r="A3694" s="15" t="s">
        <v>33499</v>
      </c>
      <c r="B3694" s="15" t="s">
        <v>795</v>
      </c>
      <c r="C3694" s="15" t="s">
        <v>795</v>
      </c>
      <c r="D3694" s="15" t="s">
        <v>795</v>
      </c>
      <c r="F3694" s="42"/>
    </row>
    <row r="3695" spans="1:6" x14ac:dyDescent="0.3">
      <c r="A3695" s="15" t="s">
        <v>44122</v>
      </c>
      <c r="B3695" s="15" t="s">
        <v>7419</v>
      </c>
      <c r="C3695" s="15" t="s">
        <v>800</v>
      </c>
      <c r="D3695" s="15" t="s">
        <v>7420</v>
      </c>
      <c r="E3695" s="15">
        <v>35.935600000000001</v>
      </c>
      <c r="F3695" s="42">
        <v>46198</v>
      </c>
    </row>
    <row r="3696" spans="1:6" x14ac:dyDescent="0.3">
      <c r="A3696" s="15" t="s">
        <v>44121</v>
      </c>
      <c r="B3696" s="15" t="s">
        <v>7421</v>
      </c>
      <c r="C3696" s="15" t="s">
        <v>7422</v>
      </c>
      <c r="D3696" s="15" t="s">
        <v>7423</v>
      </c>
      <c r="E3696" s="15">
        <v>10.0383</v>
      </c>
      <c r="F3696" s="42">
        <v>46198</v>
      </c>
    </row>
    <row r="3697" spans="1:6" x14ac:dyDescent="0.3">
      <c r="A3697" s="15" t="s">
        <v>44120</v>
      </c>
      <c r="B3697" s="15" t="s">
        <v>7424</v>
      </c>
      <c r="C3697" s="15" t="s">
        <v>7425</v>
      </c>
      <c r="D3697" s="15" t="s">
        <v>7426</v>
      </c>
      <c r="E3697" s="15">
        <v>21.985399999999998</v>
      </c>
      <c r="F3697" s="42">
        <v>46198</v>
      </c>
    </row>
    <row r="3698" spans="1:6" x14ac:dyDescent="0.3">
      <c r="A3698" s="15" t="s">
        <v>44119</v>
      </c>
      <c r="B3698" s="15" t="s">
        <v>7427</v>
      </c>
      <c r="C3698" s="15" t="s">
        <v>7428</v>
      </c>
      <c r="D3698" s="15" t="s">
        <v>7429</v>
      </c>
      <c r="E3698" s="15">
        <v>10.273300000000001</v>
      </c>
      <c r="F3698" s="42">
        <v>46198</v>
      </c>
    </row>
    <row r="3699" spans="1:6" x14ac:dyDescent="0.3">
      <c r="A3699" s="15" t="s">
        <v>44118</v>
      </c>
      <c r="B3699" s="15" t="s">
        <v>7430</v>
      </c>
      <c r="C3699" s="15" t="s">
        <v>800</v>
      </c>
      <c r="D3699" s="15" t="s">
        <v>7431</v>
      </c>
      <c r="E3699" s="15">
        <v>22.373699999999999</v>
      </c>
      <c r="F3699" s="42">
        <v>43955</v>
      </c>
    </row>
    <row r="3700" spans="1:6" x14ac:dyDescent="0.3">
      <c r="A3700" s="15" t="s">
        <v>44117</v>
      </c>
      <c r="B3700" s="15" t="s">
        <v>7432</v>
      </c>
      <c r="C3700" s="15" t="s">
        <v>800</v>
      </c>
      <c r="D3700" s="15" t="s">
        <v>7433</v>
      </c>
      <c r="E3700" s="15">
        <v>32.769799999999996</v>
      </c>
      <c r="F3700" s="42">
        <v>46198</v>
      </c>
    </row>
    <row r="3701" spans="1:6" x14ac:dyDescent="0.3">
      <c r="A3701" s="15" t="s">
        <v>44116</v>
      </c>
      <c r="B3701" s="15" t="s">
        <v>7434</v>
      </c>
      <c r="C3701" s="15" t="s">
        <v>7435</v>
      </c>
      <c r="D3701" s="15" t="s">
        <v>7436</v>
      </c>
      <c r="E3701" s="15">
        <v>10.059900000000001</v>
      </c>
      <c r="F3701" s="42">
        <v>46198</v>
      </c>
    </row>
    <row r="3702" spans="1:6" x14ac:dyDescent="0.3">
      <c r="A3702" s="15" t="s">
        <v>44115</v>
      </c>
      <c r="B3702" s="15" t="s">
        <v>7437</v>
      </c>
      <c r="C3702" s="15" t="s">
        <v>7438</v>
      </c>
      <c r="D3702" s="15" t="s">
        <v>7439</v>
      </c>
      <c r="E3702" s="15">
        <v>21.9224</v>
      </c>
      <c r="F3702" s="42">
        <v>46198</v>
      </c>
    </row>
    <row r="3703" spans="1:6" x14ac:dyDescent="0.3">
      <c r="A3703" s="15" t="s">
        <v>44114</v>
      </c>
      <c r="B3703" s="15" t="s">
        <v>7440</v>
      </c>
      <c r="C3703" s="15" t="s">
        <v>7441</v>
      </c>
      <c r="D3703" s="15" t="s">
        <v>7442</v>
      </c>
      <c r="E3703" s="15">
        <v>10.4251</v>
      </c>
      <c r="F3703" s="42">
        <v>46198</v>
      </c>
    </row>
    <row r="3704" spans="1:6" x14ac:dyDescent="0.3">
      <c r="A3704" s="15" t="s">
        <v>44113</v>
      </c>
      <c r="B3704" s="15" t="s">
        <v>7443</v>
      </c>
      <c r="C3704" s="15" t="s">
        <v>800</v>
      </c>
      <c r="D3704" s="15" t="s">
        <v>7444</v>
      </c>
      <c r="E3704" s="15">
        <v>32.390900000000002</v>
      </c>
      <c r="F3704" s="42">
        <v>46198</v>
      </c>
    </row>
    <row r="3705" spans="1:6" x14ac:dyDescent="0.3">
      <c r="A3705" s="15" t="s">
        <v>44112</v>
      </c>
      <c r="B3705" s="15" t="s">
        <v>7445</v>
      </c>
      <c r="C3705" s="15" t="s">
        <v>7446</v>
      </c>
      <c r="D3705" s="15" t="s">
        <v>7447</v>
      </c>
      <c r="E3705" s="15">
        <v>10.037000000000001</v>
      </c>
      <c r="F3705" s="42">
        <v>46198</v>
      </c>
    </row>
    <row r="3706" spans="1:6" x14ac:dyDescent="0.3">
      <c r="A3706" s="15" t="s">
        <v>44111</v>
      </c>
      <c r="B3706" s="15" t="s">
        <v>7448</v>
      </c>
      <c r="C3706" s="15" t="s">
        <v>7449</v>
      </c>
      <c r="D3706" s="15" t="s">
        <v>7450</v>
      </c>
      <c r="E3706" s="15">
        <v>10.254899999999999</v>
      </c>
      <c r="F3706" s="42">
        <v>46198</v>
      </c>
    </row>
    <row r="3707" spans="1:6" x14ac:dyDescent="0.3">
      <c r="A3707" s="15" t="s">
        <v>33499</v>
      </c>
      <c r="B3707" s="15" t="s">
        <v>795</v>
      </c>
      <c r="C3707" s="15" t="s">
        <v>795</v>
      </c>
      <c r="D3707" s="15" t="s">
        <v>795</v>
      </c>
      <c r="F3707" s="42"/>
    </row>
    <row r="3708" spans="1:6" x14ac:dyDescent="0.3">
      <c r="A3708" s="15" t="s">
        <v>37073</v>
      </c>
      <c r="B3708" s="15" t="s">
        <v>795</v>
      </c>
      <c r="C3708" s="15" t="s">
        <v>795</v>
      </c>
      <c r="D3708" s="15" t="s">
        <v>795</v>
      </c>
      <c r="F3708" s="42"/>
    </row>
    <row r="3709" spans="1:6" x14ac:dyDescent="0.3">
      <c r="A3709" s="15" t="s">
        <v>33499</v>
      </c>
      <c r="B3709" s="15" t="s">
        <v>795</v>
      </c>
      <c r="C3709" s="15" t="s">
        <v>795</v>
      </c>
      <c r="D3709" s="15" t="s">
        <v>795</v>
      </c>
      <c r="F3709" s="42"/>
    </row>
    <row r="3710" spans="1:6" x14ac:dyDescent="0.3">
      <c r="A3710" s="15" t="s">
        <v>44110</v>
      </c>
      <c r="B3710" s="15" t="s">
        <v>7451</v>
      </c>
      <c r="C3710" s="15" t="s">
        <v>7452</v>
      </c>
      <c r="D3710" s="15" t="s">
        <v>7453</v>
      </c>
      <c r="E3710" s="15">
        <v>11.047700000000001</v>
      </c>
      <c r="F3710" s="42">
        <v>46198</v>
      </c>
    </row>
    <row r="3711" spans="1:6" x14ac:dyDescent="0.3">
      <c r="A3711" s="15" t="s">
        <v>44109</v>
      </c>
      <c r="B3711" s="15" t="s">
        <v>7454</v>
      </c>
      <c r="C3711" s="15" t="s">
        <v>7455</v>
      </c>
      <c r="D3711" s="15" t="s">
        <v>7456</v>
      </c>
      <c r="E3711" s="15">
        <v>10.4278</v>
      </c>
      <c r="F3711" s="42">
        <v>46198</v>
      </c>
    </row>
    <row r="3712" spans="1:6" x14ac:dyDescent="0.3">
      <c r="A3712" s="15" t="s">
        <v>44108</v>
      </c>
      <c r="B3712" s="15" t="s">
        <v>7457</v>
      </c>
      <c r="C3712" s="15" t="s">
        <v>800</v>
      </c>
      <c r="D3712" s="15" t="s">
        <v>7458</v>
      </c>
      <c r="E3712" s="15">
        <v>65.178200000000004</v>
      </c>
      <c r="F3712" s="42">
        <v>46198</v>
      </c>
    </row>
    <row r="3713" spans="1:6" x14ac:dyDescent="0.3">
      <c r="A3713" s="15" t="s">
        <v>44107</v>
      </c>
      <c r="B3713" s="15" t="s">
        <v>7459</v>
      </c>
      <c r="C3713" s="15" t="s">
        <v>7460</v>
      </c>
      <c r="D3713" s="15" t="s">
        <v>7461</v>
      </c>
      <c r="E3713" s="15">
        <v>10.554600000000001</v>
      </c>
      <c r="F3713" s="42">
        <v>46198</v>
      </c>
    </row>
    <row r="3714" spans="1:6" x14ac:dyDescent="0.3">
      <c r="A3714" s="15" t="s">
        <v>44106</v>
      </c>
      <c r="B3714" s="15" t="s">
        <v>7462</v>
      </c>
      <c r="C3714" s="15" t="s">
        <v>7463</v>
      </c>
      <c r="D3714" s="15" t="s">
        <v>7464</v>
      </c>
      <c r="E3714" s="15">
        <v>23.5273</v>
      </c>
      <c r="F3714" s="42">
        <v>46198</v>
      </c>
    </row>
    <row r="3715" spans="1:6" x14ac:dyDescent="0.3">
      <c r="A3715" s="15" t="s">
        <v>44105</v>
      </c>
      <c r="B3715" s="15" t="s">
        <v>7465</v>
      </c>
      <c r="C3715" s="15" t="s">
        <v>7466</v>
      </c>
      <c r="D3715" s="15" t="s">
        <v>7467</v>
      </c>
      <c r="E3715" s="15">
        <v>10.9414</v>
      </c>
      <c r="F3715" s="42">
        <v>46198</v>
      </c>
    </row>
    <row r="3716" spans="1:6" x14ac:dyDescent="0.3">
      <c r="A3716" s="15" t="s">
        <v>44104</v>
      </c>
      <c r="B3716" s="15" t="s">
        <v>7468</v>
      </c>
      <c r="C3716" s="15" t="s">
        <v>7469</v>
      </c>
      <c r="D3716" s="15" t="s">
        <v>7470</v>
      </c>
      <c r="E3716" s="15">
        <v>14.25207048</v>
      </c>
      <c r="F3716" s="42">
        <v>42783</v>
      </c>
    </row>
    <row r="3717" spans="1:6" x14ac:dyDescent="0.3">
      <c r="A3717" s="15" t="s">
        <v>44103</v>
      </c>
      <c r="B3717" s="15" t="s">
        <v>7471</v>
      </c>
      <c r="C3717" s="15" t="s">
        <v>7472</v>
      </c>
      <c r="D3717" s="15" t="s">
        <v>7473</v>
      </c>
      <c r="E3717" s="15">
        <v>11.21885202</v>
      </c>
      <c r="F3717" s="42">
        <v>42783</v>
      </c>
    </row>
    <row r="3718" spans="1:6" x14ac:dyDescent="0.3">
      <c r="A3718" s="15" t="s">
        <v>44102</v>
      </c>
      <c r="B3718" s="15" t="s">
        <v>7474</v>
      </c>
      <c r="C3718" s="15" t="s">
        <v>800</v>
      </c>
      <c r="D3718" s="15" t="s">
        <v>7475</v>
      </c>
      <c r="E3718" s="15">
        <v>18.702108370000001</v>
      </c>
      <c r="F3718" s="42">
        <v>42783</v>
      </c>
    </row>
    <row r="3719" spans="1:6" x14ac:dyDescent="0.3">
      <c r="A3719" s="15" t="s">
        <v>44101</v>
      </c>
      <c r="B3719" s="15" t="s">
        <v>7476</v>
      </c>
      <c r="C3719" s="15" t="s">
        <v>7477</v>
      </c>
      <c r="D3719" s="15" t="s">
        <v>7478</v>
      </c>
      <c r="E3719" s="15">
        <v>14.741553250000001</v>
      </c>
      <c r="F3719" s="42">
        <v>42783</v>
      </c>
    </row>
    <row r="3720" spans="1:6" x14ac:dyDescent="0.3">
      <c r="A3720" s="15" t="s">
        <v>44100</v>
      </c>
      <c r="B3720" s="15" t="s">
        <v>7479</v>
      </c>
      <c r="C3720" s="15" t="s">
        <v>800</v>
      </c>
      <c r="D3720" s="15" t="s">
        <v>7480</v>
      </c>
      <c r="E3720" s="15">
        <v>22.163920149999999</v>
      </c>
      <c r="F3720" s="42">
        <v>42783</v>
      </c>
    </row>
    <row r="3721" spans="1:6" x14ac:dyDescent="0.3">
      <c r="A3721" s="15" t="s">
        <v>44099</v>
      </c>
      <c r="B3721" s="15" t="s">
        <v>7481</v>
      </c>
      <c r="C3721" s="15" t="s">
        <v>7482</v>
      </c>
      <c r="D3721" s="15" t="s">
        <v>7483</v>
      </c>
      <c r="E3721" s="15">
        <v>17.711699970000002</v>
      </c>
      <c r="F3721" s="42">
        <v>42783</v>
      </c>
    </row>
    <row r="3722" spans="1:6" x14ac:dyDescent="0.3">
      <c r="A3722" s="15" t="s">
        <v>44098</v>
      </c>
      <c r="B3722" s="15" t="s">
        <v>7484</v>
      </c>
      <c r="C3722" s="15" t="s">
        <v>7485</v>
      </c>
      <c r="D3722" s="15" t="s">
        <v>7486</v>
      </c>
      <c r="E3722" s="15">
        <v>12.03375677</v>
      </c>
      <c r="F3722" s="42">
        <v>42783</v>
      </c>
    </row>
    <row r="3723" spans="1:6" x14ac:dyDescent="0.3">
      <c r="A3723" s="15" t="s">
        <v>44097</v>
      </c>
      <c r="B3723" s="15" t="s">
        <v>7487</v>
      </c>
      <c r="C3723" s="15" t="s">
        <v>7488</v>
      </c>
      <c r="D3723" s="15" t="s">
        <v>7489</v>
      </c>
      <c r="E3723" s="15">
        <v>10.823700000000001</v>
      </c>
      <c r="F3723" s="42">
        <v>46198</v>
      </c>
    </row>
    <row r="3724" spans="1:6" x14ac:dyDescent="0.3">
      <c r="A3724" s="15" t="s">
        <v>44096</v>
      </c>
      <c r="B3724" s="15" t="s">
        <v>7490</v>
      </c>
      <c r="C3724" s="15" t="s">
        <v>7491</v>
      </c>
      <c r="D3724" s="15" t="s">
        <v>7492</v>
      </c>
      <c r="E3724" s="15">
        <v>10.4703</v>
      </c>
      <c r="F3724" s="42">
        <v>46198</v>
      </c>
    </row>
    <row r="3725" spans="1:6" x14ac:dyDescent="0.3">
      <c r="A3725" s="15" t="s">
        <v>44095</v>
      </c>
      <c r="B3725" s="15" t="s">
        <v>7493</v>
      </c>
      <c r="C3725" s="15" t="s">
        <v>7494</v>
      </c>
      <c r="D3725" s="15" t="s">
        <v>7495</v>
      </c>
      <c r="E3725" s="15">
        <v>22.4802</v>
      </c>
      <c r="F3725" s="42">
        <v>46198</v>
      </c>
    </row>
    <row r="3726" spans="1:6" x14ac:dyDescent="0.3">
      <c r="A3726" s="15" t="s">
        <v>44094</v>
      </c>
      <c r="B3726" s="15" t="s">
        <v>7496</v>
      </c>
      <c r="C3726" s="15" t="s">
        <v>7497</v>
      </c>
      <c r="D3726" s="15" t="s">
        <v>7498</v>
      </c>
      <c r="E3726" s="15">
        <v>11.002599999999999</v>
      </c>
      <c r="F3726" s="42">
        <v>46198</v>
      </c>
    </row>
    <row r="3727" spans="1:6" x14ac:dyDescent="0.3">
      <c r="A3727" s="15" t="s">
        <v>33499</v>
      </c>
      <c r="B3727" s="15" t="s">
        <v>795</v>
      </c>
      <c r="C3727" s="15" t="s">
        <v>795</v>
      </c>
      <c r="D3727" s="15" t="s">
        <v>795</v>
      </c>
      <c r="F3727" s="42"/>
    </row>
    <row r="3728" spans="1:6" x14ac:dyDescent="0.3">
      <c r="A3728" s="15" t="s">
        <v>37447</v>
      </c>
      <c r="B3728" s="15" t="s">
        <v>795</v>
      </c>
      <c r="C3728" s="15" t="s">
        <v>795</v>
      </c>
      <c r="D3728" s="15" t="s">
        <v>795</v>
      </c>
      <c r="F3728" s="42"/>
    </row>
    <row r="3729" spans="1:6" x14ac:dyDescent="0.3">
      <c r="A3729" s="15" t="s">
        <v>33499</v>
      </c>
      <c r="B3729" s="15" t="s">
        <v>795</v>
      </c>
      <c r="C3729" s="15" t="s">
        <v>795</v>
      </c>
      <c r="D3729" s="15" t="s">
        <v>795</v>
      </c>
      <c r="F3729" s="42"/>
    </row>
    <row r="3730" spans="1:6" x14ac:dyDescent="0.3">
      <c r="A3730" s="15" t="s">
        <v>44093</v>
      </c>
      <c r="B3730" s="15" t="s">
        <v>7499</v>
      </c>
      <c r="C3730" s="15" t="s">
        <v>800</v>
      </c>
      <c r="D3730" s="15" t="s">
        <v>7500</v>
      </c>
      <c r="E3730" s="15">
        <v>30.760200000000001</v>
      </c>
      <c r="F3730" s="42">
        <v>46198</v>
      </c>
    </row>
    <row r="3731" spans="1:6" x14ac:dyDescent="0.3">
      <c r="A3731" s="15" t="s">
        <v>44092</v>
      </c>
      <c r="B3731" s="15" t="s">
        <v>7501</v>
      </c>
      <c r="C3731" s="15" t="s">
        <v>7502</v>
      </c>
      <c r="D3731" s="15" t="s">
        <v>7503</v>
      </c>
      <c r="E3731" s="15">
        <v>14.955299999999999</v>
      </c>
      <c r="F3731" s="42">
        <v>46198</v>
      </c>
    </row>
    <row r="3732" spans="1:6" x14ac:dyDescent="0.3">
      <c r="A3732" s="15" t="s">
        <v>44091</v>
      </c>
      <c r="B3732" s="15" t="s">
        <v>7504</v>
      </c>
      <c r="C3732" s="15" t="s">
        <v>7505</v>
      </c>
      <c r="D3732" s="15" t="s">
        <v>7506</v>
      </c>
      <c r="E3732" s="15">
        <v>14.1806</v>
      </c>
      <c r="F3732" s="42">
        <v>46198</v>
      </c>
    </row>
    <row r="3733" spans="1:6" x14ac:dyDescent="0.3">
      <c r="A3733" s="15" t="s">
        <v>44090</v>
      </c>
      <c r="B3733" s="15" t="s">
        <v>7507</v>
      </c>
      <c r="C3733" s="15" t="s">
        <v>800</v>
      </c>
      <c r="D3733" s="15" t="s">
        <v>7508</v>
      </c>
      <c r="E3733" s="15">
        <v>28.1358</v>
      </c>
      <c r="F3733" s="42">
        <v>46198</v>
      </c>
    </row>
    <row r="3734" spans="1:6" x14ac:dyDescent="0.3">
      <c r="A3734" s="15" t="s">
        <v>44089</v>
      </c>
      <c r="B3734" s="15" t="s">
        <v>7509</v>
      </c>
      <c r="C3734" s="15" t="s">
        <v>7510</v>
      </c>
      <c r="D3734" s="15" t="s">
        <v>7511</v>
      </c>
      <c r="E3734" s="15">
        <v>14.438000000000001</v>
      </c>
      <c r="F3734" s="42">
        <v>46198</v>
      </c>
    </row>
    <row r="3735" spans="1:6" x14ac:dyDescent="0.3">
      <c r="A3735" s="15" t="s">
        <v>44088</v>
      </c>
      <c r="B3735" s="15" t="s">
        <v>7512</v>
      </c>
      <c r="C3735" s="15" t="s">
        <v>7513</v>
      </c>
      <c r="D3735" s="15" t="s">
        <v>7514</v>
      </c>
      <c r="E3735" s="15">
        <v>14.228</v>
      </c>
      <c r="F3735" s="42">
        <v>46198</v>
      </c>
    </row>
    <row r="3736" spans="1:6" x14ac:dyDescent="0.3">
      <c r="A3736" s="15" t="s">
        <v>33499</v>
      </c>
      <c r="B3736" s="15" t="s">
        <v>795</v>
      </c>
      <c r="C3736" s="15" t="s">
        <v>795</v>
      </c>
      <c r="D3736" s="15" t="s">
        <v>795</v>
      </c>
      <c r="F3736" s="42"/>
    </row>
    <row r="3737" spans="1:6" x14ac:dyDescent="0.3">
      <c r="A3737" s="15" t="s">
        <v>37566</v>
      </c>
      <c r="B3737" s="15" t="s">
        <v>795</v>
      </c>
      <c r="C3737" s="15" t="s">
        <v>795</v>
      </c>
      <c r="D3737" s="15" t="s">
        <v>795</v>
      </c>
      <c r="F3737" s="42"/>
    </row>
    <row r="3738" spans="1:6" x14ac:dyDescent="0.3">
      <c r="A3738" s="15" t="s">
        <v>33499</v>
      </c>
      <c r="B3738" s="15" t="s">
        <v>795</v>
      </c>
      <c r="C3738" s="15" t="s">
        <v>795</v>
      </c>
      <c r="D3738" s="15" t="s">
        <v>795</v>
      </c>
      <c r="F3738" s="42"/>
    </row>
    <row r="3739" spans="1:6" x14ac:dyDescent="0.3">
      <c r="A3739" s="15" t="s">
        <v>44087</v>
      </c>
      <c r="B3739" s="15" t="s">
        <v>7515</v>
      </c>
      <c r="C3739" s="15" t="s">
        <v>800</v>
      </c>
      <c r="D3739" s="15" t="s">
        <v>7516</v>
      </c>
      <c r="E3739" s="15">
        <v>33.5792</v>
      </c>
      <c r="F3739" s="42">
        <v>46198</v>
      </c>
    </row>
    <row r="3740" spans="1:6" x14ac:dyDescent="0.3">
      <c r="A3740" s="15" t="s">
        <v>44086</v>
      </c>
      <c r="B3740" s="15" t="s">
        <v>7517</v>
      </c>
      <c r="C3740" s="15" t="s">
        <v>800</v>
      </c>
      <c r="D3740" s="15" t="s">
        <v>7518</v>
      </c>
      <c r="E3740" s="15">
        <v>10.491400000000001</v>
      </c>
      <c r="F3740" s="42">
        <v>46198</v>
      </c>
    </row>
    <row r="3741" spans="1:6" x14ac:dyDescent="0.3">
      <c r="A3741" s="15" t="s">
        <v>44085</v>
      </c>
      <c r="B3741" s="15" t="s">
        <v>7519</v>
      </c>
      <c r="C3741" s="15" t="s">
        <v>800</v>
      </c>
      <c r="D3741" s="15" t="s">
        <v>7520</v>
      </c>
      <c r="E3741" s="15">
        <v>11.3028</v>
      </c>
      <c r="F3741" s="42">
        <v>46198</v>
      </c>
    </row>
    <row r="3742" spans="1:6" x14ac:dyDescent="0.3">
      <c r="A3742" s="15" t="s">
        <v>44084</v>
      </c>
      <c r="B3742" s="15" t="s">
        <v>7521</v>
      </c>
      <c r="C3742" s="15" t="s">
        <v>800</v>
      </c>
      <c r="D3742" s="15" t="s">
        <v>7522</v>
      </c>
      <c r="E3742" s="15">
        <v>30.747399999999999</v>
      </c>
      <c r="F3742" s="42">
        <v>46198</v>
      </c>
    </row>
    <row r="3743" spans="1:6" x14ac:dyDescent="0.3">
      <c r="A3743" s="15" t="s">
        <v>44083</v>
      </c>
      <c r="B3743" s="15" t="s">
        <v>7523</v>
      </c>
      <c r="C3743" s="15" t="s">
        <v>7524</v>
      </c>
      <c r="D3743" s="15" t="s">
        <v>7525</v>
      </c>
      <c r="E3743" s="15">
        <v>10.206799999999999</v>
      </c>
      <c r="F3743" s="42">
        <v>46198</v>
      </c>
    </row>
    <row r="3744" spans="1:6" x14ac:dyDescent="0.3">
      <c r="A3744" s="15" t="s">
        <v>44082</v>
      </c>
      <c r="B3744" s="15" t="s">
        <v>7526</v>
      </c>
      <c r="C3744" s="15" t="s">
        <v>800</v>
      </c>
      <c r="D3744" s="15" t="s">
        <v>7527</v>
      </c>
      <c r="E3744" s="15">
        <v>10.6884</v>
      </c>
      <c r="F3744" s="42">
        <v>46198</v>
      </c>
    </row>
    <row r="3745" spans="1:6" x14ac:dyDescent="0.3">
      <c r="A3745" s="15" t="s">
        <v>33499</v>
      </c>
      <c r="B3745" s="15" t="s">
        <v>795</v>
      </c>
      <c r="C3745" s="15" t="s">
        <v>795</v>
      </c>
      <c r="D3745" s="15" t="s">
        <v>795</v>
      </c>
      <c r="F3745" s="42"/>
    </row>
    <row r="3746" spans="1:6" x14ac:dyDescent="0.3">
      <c r="A3746" s="15" t="s">
        <v>40284</v>
      </c>
      <c r="B3746" s="15" t="s">
        <v>795</v>
      </c>
      <c r="C3746" s="15" t="s">
        <v>795</v>
      </c>
      <c r="D3746" s="15" t="s">
        <v>795</v>
      </c>
      <c r="F3746" s="42"/>
    </row>
    <row r="3747" spans="1:6" x14ac:dyDescent="0.3">
      <c r="A3747" s="15" t="s">
        <v>33499</v>
      </c>
      <c r="B3747" s="15" t="s">
        <v>795</v>
      </c>
      <c r="C3747" s="15" t="s">
        <v>795</v>
      </c>
      <c r="D3747" s="15" t="s">
        <v>795</v>
      </c>
      <c r="F3747" s="42"/>
    </row>
    <row r="3748" spans="1:6" x14ac:dyDescent="0.3">
      <c r="A3748" s="15" t="s">
        <v>44081</v>
      </c>
      <c r="B3748" s="15" t="s">
        <v>7528</v>
      </c>
      <c r="C3748" s="15" t="s">
        <v>800</v>
      </c>
      <c r="D3748" s="15" t="s">
        <v>7529</v>
      </c>
      <c r="E3748" s="15">
        <v>29.262</v>
      </c>
      <c r="F3748" s="42">
        <v>46198</v>
      </c>
    </row>
    <row r="3749" spans="1:6" x14ac:dyDescent="0.3">
      <c r="A3749" s="15" t="s">
        <v>44080</v>
      </c>
      <c r="B3749" s="15" t="s">
        <v>7530</v>
      </c>
      <c r="C3749" s="15" t="s">
        <v>7531</v>
      </c>
      <c r="D3749" s="15" t="s">
        <v>7532</v>
      </c>
      <c r="E3749" s="15">
        <v>18.458600000000001</v>
      </c>
      <c r="F3749" s="42">
        <v>46198</v>
      </c>
    </row>
    <row r="3750" spans="1:6" x14ac:dyDescent="0.3">
      <c r="A3750" s="15" t="s">
        <v>44079</v>
      </c>
      <c r="B3750" s="15" t="s">
        <v>7533</v>
      </c>
      <c r="C3750" s="15" t="s">
        <v>7534</v>
      </c>
      <c r="D3750" s="15" t="s">
        <v>7535</v>
      </c>
      <c r="E3750" s="15">
        <v>17.3872</v>
      </c>
      <c r="F3750" s="42">
        <v>46198</v>
      </c>
    </row>
    <row r="3751" spans="1:6" x14ac:dyDescent="0.3">
      <c r="A3751" s="15" t="s">
        <v>44078</v>
      </c>
      <c r="B3751" s="15" t="s">
        <v>7536</v>
      </c>
      <c r="C3751" s="15" t="s">
        <v>800</v>
      </c>
      <c r="D3751" s="15" t="s">
        <v>7537</v>
      </c>
      <c r="E3751" s="15">
        <v>26.657599999999999</v>
      </c>
      <c r="F3751" s="42">
        <v>46198</v>
      </c>
    </row>
    <row r="3752" spans="1:6" x14ac:dyDescent="0.3">
      <c r="A3752" s="15" t="s">
        <v>44077</v>
      </c>
      <c r="B3752" s="15" t="s">
        <v>7538</v>
      </c>
      <c r="C3752" s="15" t="s">
        <v>7539</v>
      </c>
      <c r="D3752" s="15" t="s">
        <v>7540</v>
      </c>
      <c r="E3752" s="15">
        <v>15.8103</v>
      </c>
      <c r="F3752" s="42">
        <v>46198</v>
      </c>
    </row>
    <row r="3753" spans="1:6" x14ac:dyDescent="0.3">
      <c r="A3753" s="15" t="s">
        <v>44076</v>
      </c>
      <c r="B3753" s="15" t="s">
        <v>7541</v>
      </c>
      <c r="C3753" s="15" t="s">
        <v>7542</v>
      </c>
      <c r="D3753" s="15" t="s">
        <v>7543</v>
      </c>
      <c r="E3753" s="15">
        <v>15.5496</v>
      </c>
      <c r="F3753" s="42">
        <v>46198</v>
      </c>
    </row>
    <row r="3754" spans="1:6" x14ac:dyDescent="0.3">
      <c r="A3754" s="15" t="s">
        <v>33499</v>
      </c>
      <c r="B3754" s="15" t="s">
        <v>795</v>
      </c>
      <c r="C3754" s="15" t="s">
        <v>795</v>
      </c>
      <c r="D3754" s="15" t="s">
        <v>795</v>
      </c>
      <c r="F3754" s="42"/>
    </row>
    <row r="3755" spans="1:6" x14ac:dyDescent="0.3">
      <c r="A3755" s="15" t="s">
        <v>37061</v>
      </c>
      <c r="B3755" s="15" t="s">
        <v>795</v>
      </c>
      <c r="C3755" s="15" t="s">
        <v>795</v>
      </c>
      <c r="D3755" s="15" t="s">
        <v>795</v>
      </c>
      <c r="F3755" s="42"/>
    </row>
    <row r="3756" spans="1:6" x14ac:dyDescent="0.3">
      <c r="A3756" s="15" t="s">
        <v>33499</v>
      </c>
      <c r="B3756" s="15" t="s">
        <v>795</v>
      </c>
      <c r="C3756" s="15" t="s">
        <v>795</v>
      </c>
      <c r="D3756" s="15" t="s">
        <v>795</v>
      </c>
      <c r="F3756" s="42"/>
    </row>
    <row r="3757" spans="1:6" x14ac:dyDescent="0.3">
      <c r="A3757" s="15" t="s">
        <v>44075</v>
      </c>
      <c r="B3757" s="15" t="s">
        <v>7544</v>
      </c>
      <c r="C3757" s="15" t="s">
        <v>800</v>
      </c>
      <c r="D3757" s="15" t="s">
        <v>7545</v>
      </c>
      <c r="E3757" s="15">
        <v>53.589300000000001</v>
      </c>
      <c r="F3757" s="42">
        <v>46198</v>
      </c>
    </row>
    <row r="3758" spans="1:6" x14ac:dyDescent="0.3">
      <c r="A3758" s="15" t="s">
        <v>44074</v>
      </c>
      <c r="B3758" s="15" t="s">
        <v>7546</v>
      </c>
      <c r="C3758" s="15" t="s">
        <v>7547</v>
      </c>
      <c r="D3758" s="15" t="s">
        <v>7548</v>
      </c>
      <c r="E3758" s="15">
        <v>12.235799999999999</v>
      </c>
      <c r="F3758" s="42">
        <v>46198</v>
      </c>
    </row>
    <row r="3759" spans="1:6" x14ac:dyDescent="0.3">
      <c r="A3759" s="15" t="s">
        <v>44073</v>
      </c>
      <c r="B3759" s="15" t="s">
        <v>7549</v>
      </c>
      <c r="C3759" s="15" t="s">
        <v>7550</v>
      </c>
      <c r="D3759" s="15" t="s">
        <v>7551</v>
      </c>
      <c r="E3759" s="15">
        <v>11.895</v>
      </c>
      <c r="F3759" s="42">
        <v>46198</v>
      </c>
    </row>
    <row r="3760" spans="1:6" x14ac:dyDescent="0.3">
      <c r="A3760" s="15" t="s">
        <v>44072</v>
      </c>
      <c r="B3760" s="15" t="s">
        <v>7552</v>
      </c>
      <c r="C3760" s="15" t="s">
        <v>7553</v>
      </c>
      <c r="D3760" s="15" t="s">
        <v>7554</v>
      </c>
      <c r="E3760" s="15">
        <v>10.191000000000001</v>
      </c>
      <c r="F3760" s="42">
        <v>46198</v>
      </c>
    </row>
    <row r="3761" spans="1:6" x14ac:dyDescent="0.3">
      <c r="A3761" s="15" t="s">
        <v>44071</v>
      </c>
      <c r="B3761" s="15" t="s">
        <v>7555</v>
      </c>
      <c r="C3761" s="15" t="s">
        <v>7556</v>
      </c>
      <c r="D3761" s="15" t="s">
        <v>7557</v>
      </c>
      <c r="E3761" s="15">
        <v>11.7942</v>
      </c>
      <c r="F3761" s="42">
        <v>46198</v>
      </c>
    </row>
    <row r="3762" spans="1:6" x14ac:dyDescent="0.3">
      <c r="A3762" s="15" t="s">
        <v>44070</v>
      </c>
      <c r="B3762" s="15" t="s">
        <v>7558</v>
      </c>
      <c r="C3762" s="15" t="s">
        <v>800</v>
      </c>
      <c r="D3762" s="15" t="s">
        <v>7559</v>
      </c>
      <c r="E3762" s="15">
        <v>49.024999999999999</v>
      </c>
      <c r="F3762" s="42">
        <v>46198</v>
      </c>
    </row>
    <row r="3763" spans="1:6" x14ac:dyDescent="0.3">
      <c r="A3763" s="15" t="s">
        <v>44069</v>
      </c>
      <c r="B3763" s="15" t="s">
        <v>7560</v>
      </c>
      <c r="C3763" s="15" t="s">
        <v>7561</v>
      </c>
      <c r="D3763" s="15" t="s">
        <v>7562</v>
      </c>
      <c r="E3763" s="15">
        <v>12.263500000000001</v>
      </c>
      <c r="F3763" s="42">
        <v>46198</v>
      </c>
    </row>
    <row r="3764" spans="1:6" x14ac:dyDescent="0.3">
      <c r="A3764" s="15" t="s">
        <v>44068</v>
      </c>
      <c r="B3764" s="15" t="s">
        <v>7563</v>
      </c>
      <c r="C3764" s="15" t="s">
        <v>800</v>
      </c>
      <c r="D3764" s="15" t="s">
        <v>7564</v>
      </c>
      <c r="E3764" s="15">
        <v>10.191000000000001</v>
      </c>
      <c r="F3764" s="42">
        <v>46198</v>
      </c>
    </row>
    <row r="3765" spans="1:6" x14ac:dyDescent="0.3">
      <c r="A3765" s="15" t="s">
        <v>33499</v>
      </c>
      <c r="B3765" s="15" t="s">
        <v>795</v>
      </c>
      <c r="C3765" s="15" t="s">
        <v>795</v>
      </c>
      <c r="D3765" s="15" t="s">
        <v>795</v>
      </c>
      <c r="F3765" s="42"/>
    </row>
    <row r="3766" spans="1:6" x14ac:dyDescent="0.3">
      <c r="A3766" s="15" t="s">
        <v>37044</v>
      </c>
      <c r="B3766" s="15" t="s">
        <v>795</v>
      </c>
      <c r="C3766" s="15" t="s">
        <v>795</v>
      </c>
      <c r="D3766" s="15" t="s">
        <v>795</v>
      </c>
      <c r="F3766" s="42"/>
    </row>
    <row r="3767" spans="1:6" x14ac:dyDescent="0.3">
      <c r="A3767" s="15" t="s">
        <v>33499</v>
      </c>
      <c r="B3767" s="15" t="s">
        <v>795</v>
      </c>
      <c r="C3767" s="15" t="s">
        <v>795</v>
      </c>
      <c r="D3767" s="15" t="s">
        <v>795</v>
      </c>
      <c r="F3767" s="42"/>
    </row>
    <row r="3768" spans="1:6" x14ac:dyDescent="0.3">
      <c r="A3768" s="15" t="s">
        <v>44067</v>
      </c>
      <c r="B3768" s="15" t="s">
        <v>7565</v>
      </c>
      <c r="C3768" s="15" t="s">
        <v>800</v>
      </c>
      <c r="D3768" s="15" t="s">
        <v>7566</v>
      </c>
      <c r="E3768" s="15">
        <v>0</v>
      </c>
      <c r="F3768" s="42">
        <v>46198</v>
      </c>
    </row>
    <row r="3769" spans="1:6" x14ac:dyDescent="0.3">
      <c r="A3769" s="15" t="s">
        <v>44066</v>
      </c>
      <c r="B3769" s="15" t="s">
        <v>7567</v>
      </c>
      <c r="C3769" s="15" t="s">
        <v>7568</v>
      </c>
      <c r="D3769" s="15" t="s">
        <v>7569</v>
      </c>
      <c r="E3769" s="15">
        <v>4281.4139999999998</v>
      </c>
      <c r="F3769" s="42">
        <v>45779</v>
      </c>
    </row>
    <row r="3770" spans="1:6" x14ac:dyDescent="0.3">
      <c r="A3770" s="15" t="s">
        <v>44065</v>
      </c>
      <c r="B3770" s="15" t="s">
        <v>7570</v>
      </c>
      <c r="C3770" s="15" t="s">
        <v>7571</v>
      </c>
      <c r="D3770" s="15" t="s">
        <v>7572</v>
      </c>
      <c r="E3770" s="15">
        <v>4460.0425999999998</v>
      </c>
      <c r="F3770" s="42">
        <v>45779</v>
      </c>
    </row>
    <row r="3771" spans="1:6" x14ac:dyDescent="0.3">
      <c r="A3771" s="15" t="s">
        <v>44064</v>
      </c>
      <c r="B3771" s="15" t="s">
        <v>7573</v>
      </c>
      <c r="C3771" s="15" t="s">
        <v>800</v>
      </c>
      <c r="D3771" s="15" t="s">
        <v>7574</v>
      </c>
      <c r="E3771" s="15">
        <v>3622.9807999999998</v>
      </c>
      <c r="F3771" s="42">
        <v>45779</v>
      </c>
    </row>
    <row r="3772" spans="1:6" x14ac:dyDescent="0.3">
      <c r="A3772" s="15" t="s">
        <v>44063</v>
      </c>
      <c r="B3772" s="15" t="s">
        <v>7575</v>
      </c>
      <c r="C3772" s="15" t="s">
        <v>7576</v>
      </c>
      <c r="D3772" s="15" t="s">
        <v>7577</v>
      </c>
      <c r="E3772" s="15">
        <v>4197.152</v>
      </c>
      <c r="F3772" s="42">
        <v>45779</v>
      </c>
    </row>
    <row r="3773" spans="1:6" x14ac:dyDescent="0.3">
      <c r="A3773" s="15" t="s">
        <v>44062</v>
      </c>
      <c r="B3773" s="15" t="s">
        <v>7578</v>
      </c>
      <c r="C3773" s="15" t="s">
        <v>7579</v>
      </c>
      <c r="D3773" s="15" t="s">
        <v>7580</v>
      </c>
      <c r="E3773" s="15">
        <v>4366.3353999999999</v>
      </c>
      <c r="F3773" s="42">
        <v>45779</v>
      </c>
    </row>
    <row r="3774" spans="1:6" x14ac:dyDescent="0.3">
      <c r="A3774" s="15" t="s">
        <v>44061</v>
      </c>
      <c r="B3774" s="15" t="s">
        <v>7581</v>
      </c>
      <c r="C3774" s="15" t="s">
        <v>800</v>
      </c>
      <c r="D3774" s="15" t="s">
        <v>7582</v>
      </c>
      <c r="E3774" s="15">
        <v>3801.5971</v>
      </c>
      <c r="F3774" s="42">
        <v>45779</v>
      </c>
    </row>
    <row r="3775" spans="1:6" x14ac:dyDescent="0.3">
      <c r="A3775" s="15" t="s">
        <v>44060</v>
      </c>
      <c r="B3775" s="15" t="s">
        <v>7583</v>
      </c>
      <c r="C3775" s="15" t="s">
        <v>800</v>
      </c>
      <c r="D3775" s="15" t="s">
        <v>7584</v>
      </c>
      <c r="E3775" s="15">
        <v>15097.536</v>
      </c>
      <c r="F3775" s="42">
        <v>45779</v>
      </c>
    </row>
    <row r="3776" spans="1:6" x14ac:dyDescent="0.3">
      <c r="A3776" s="15" t="s">
        <v>44059</v>
      </c>
      <c r="B3776" s="15" t="s">
        <v>7585</v>
      </c>
      <c r="C3776" s="15" t="s">
        <v>800</v>
      </c>
      <c r="D3776" s="15" t="s">
        <v>7586</v>
      </c>
      <c r="E3776" s="15">
        <v>0</v>
      </c>
      <c r="F3776" s="42">
        <v>46198</v>
      </c>
    </row>
    <row r="3777" spans="1:6" x14ac:dyDescent="0.3">
      <c r="A3777" s="15" t="s">
        <v>44058</v>
      </c>
      <c r="B3777" s="15" t="s">
        <v>7587</v>
      </c>
      <c r="C3777" s="15" t="s">
        <v>800</v>
      </c>
      <c r="D3777" s="15" t="s">
        <v>7588</v>
      </c>
      <c r="E3777" s="15">
        <v>0</v>
      </c>
      <c r="F3777" s="42">
        <v>46198</v>
      </c>
    </row>
    <row r="3778" spans="1:6" x14ac:dyDescent="0.3">
      <c r="A3778" s="15" t="s">
        <v>44057</v>
      </c>
      <c r="B3778" s="15" t="s">
        <v>7589</v>
      </c>
      <c r="C3778" s="15" t="s">
        <v>800</v>
      </c>
      <c r="D3778" s="15" t="s">
        <v>7590</v>
      </c>
      <c r="E3778" s="15">
        <v>0</v>
      </c>
      <c r="F3778" s="42">
        <v>45173</v>
      </c>
    </row>
    <row r="3779" spans="1:6" x14ac:dyDescent="0.3">
      <c r="A3779" s="15" t="s">
        <v>44056</v>
      </c>
      <c r="B3779" s="15" t="s">
        <v>7591</v>
      </c>
      <c r="C3779" s="15" t="s">
        <v>800</v>
      </c>
      <c r="D3779" s="15" t="s">
        <v>7592</v>
      </c>
      <c r="E3779" s="15">
        <v>0</v>
      </c>
      <c r="F3779" s="42">
        <v>45180</v>
      </c>
    </row>
    <row r="3780" spans="1:6" x14ac:dyDescent="0.3">
      <c r="A3780" s="15" t="s">
        <v>44055</v>
      </c>
      <c r="B3780" s="15" t="s">
        <v>7593</v>
      </c>
      <c r="C3780" s="15" t="s">
        <v>800</v>
      </c>
      <c r="D3780" s="15" t="s">
        <v>7594</v>
      </c>
      <c r="E3780" s="15">
        <v>0</v>
      </c>
      <c r="F3780" s="42">
        <v>45180</v>
      </c>
    </row>
    <row r="3781" spans="1:6" x14ac:dyDescent="0.3">
      <c r="A3781" s="15" t="s">
        <v>44054</v>
      </c>
      <c r="B3781" s="15" t="s">
        <v>7595</v>
      </c>
      <c r="C3781" s="15" t="s">
        <v>800</v>
      </c>
      <c r="D3781" s="15" t="s">
        <v>7596</v>
      </c>
      <c r="E3781" s="15">
        <v>0</v>
      </c>
      <c r="F3781" s="42">
        <v>44032</v>
      </c>
    </row>
    <row r="3782" spans="1:6" x14ac:dyDescent="0.3">
      <c r="A3782" s="15" t="s">
        <v>44053</v>
      </c>
      <c r="B3782" s="15" t="s">
        <v>7597</v>
      </c>
      <c r="C3782" s="15" t="s">
        <v>800</v>
      </c>
      <c r="D3782" s="15" t="s">
        <v>7598</v>
      </c>
      <c r="E3782" s="15">
        <v>0</v>
      </c>
      <c r="F3782" s="42">
        <v>44032</v>
      </c>
    </row>
    <row r="3783" spans="1:6" x14ac:dyDescent="0.3">
      <c r="A3783" s="15" t="s">
        <v>44052</v>
      </c>
      <c r="B3783" s="15" t="s">
        <v>7599</v>
      </c>
      <c r="C3783" s="15" t="s">
        <v>800</v>
      </c>
      <c r="D3783" s="15" t="s">
        <v>7600</v>
      </c>
      <c r="E3783" s="15">
        <v>0</v>
      </c>
      <c r="F3783" s="42">
        <v>44032</v>
      </c>
    </row>
    <row r="3784" spans="1:6" x14ac:dyDescent="0.3">
      <c r="A3784" s="15" t="s">
        <v>44051</v>
      </c>
      <c r="B3784" s="15" t="s">
        <v>7601</v>
      </c>
      <c r="C3784" s="15" t="s">
        <v>800</v>
      </c>
      <c r="D3784" s="15" t="s">
        <v>7602</v>
      </c>
      <c r="E3784" s="15">
        <v>0</v>
      </c>
      <c r="F3784" s="42">
        <v>44032</v>
      </c>
    </row>
    <row r="3785" spans="1:6" x14ac:dyDescent="0.3">
      <c r="A3785" s="15" t="s">
        <v>44050</v>
      </c>
      <c r="B3785" s="15" t="s">
        <v>7603</v>
      </c>
      <c r="C3785" s="15" t="s">
        <v>800</v>
      </c>
      <c r="D3785" s="15" t="s">
        <v>7604</v>
      </c>
      <c r="E3785" s="15">
        <v>0</v>
      </c>
      <c r="F3785" s="42">
        <v>45180</v>
      </c>
    </row>
    <row r="3786" spans="1:6" x14ac:dyDescent="0.3">
      <c r="A3786" s="15" t="s">
        <v>44049</v>
      </c>
      <c r="B3786" s="15" t="s">
        <v>7605</v>
      </c>
      <c r="C3786" s="15" t="s">
        <v>800</v>
      </c>
      <c r="D3786" s="15" t="s">
        <v>7606</v>
      </c>
      <c r="E3786" s="15">
        <v>0</v>
      </c>
      <c r="F3786" s="42">
        <v>45180</v>
      </c>
    </row>
    <row r="3787" spans="1:6" x14ac:dyDescent="0.3">
      <c r="A3787" s="15" t="s">
        <v>44048</v>
      </c>
      <c r="B3787" s="15" t="s">
        <v>7607</v>
      </c>
      <c r="C3787" s="15" t="s">
        <v>800</v>
      </c>
      <c r="D3787" s="15" t="s">
        <v>7608</v>
      </c>
      <c r="E3787" s="15">
        <v>0</v>
      </c>
      <c r="F3787" s="42">
        <v>45173</v>
      </c>
    </row>
    <row r="3788" spans="1:6" x14ac:dyDescent="0.3">
      <c r="A3788" s="15" t="s">
        <v>44047</v>
      </c>
      <c r="B3788" s="15" t="s">
        <v>7609</v>
      </c>
      <c r="C3788" s="15" t="s">
        <v>800</v>
      </c>
      <c r="D3788" s="15" t="s">
        <v>7610</v>
      </c>
      <c r="E3788" s="15">
        <v>0</v>
      </c>
      <c r="F3788" s="42">
        <v>45180</v>
      </c>
    </row>
    <row r="3789" spans="1:6" x14ac:dyDescent="0.3">
      <c r="A3789" s="15" t="s">
        <v>44046</v>
      </c>
      <c r="B3789" s="15" t="s">
        <v>7611</v>
      </c>
      <c r="C3789" s="15" t="s">
        <v>800</v>
      </c>
      <c r="D3789" s="15" t="s">
        <v>7612</v>
      </c>
      <c r="E3789" s="15">
        <v>0</v>
      </c>
      <c r="F3789" s="42">
        <v>45180</v>
      </c>
    </row>
    <row r="3790" spans="1:6" x14ac:dyDescent="0.3">
      <c r="A3790" s="15" t="s">
        <v>44045</v>
      </c>
      <c r="B3790" s="15" t="s">
        <v>7613</v>
      </c>
      <c r="C3790" s="15" t="s">
        <v>800</v>
      </c>
      <c r="D3790" s="15" t="s">
        <v>7614</v>
      </c>
      <c r="E3790" s="15">
        <v>0</v>
      </c>
      <c r="F3790" s="42">
        <v>45180</v>
      </c>
    </row>
    <row r="3791" spans="1:6" x14ac:dyDescent="0.3">
      <c r="A3791" s="15" t="s">
        <v>44044</v>
      </c>
      <c r="B3791" s="15" t="s">
        <v>7615</v>
      </c>
      <c r="C3791" s="15" t="s">
        <v>800</v>
      </c>
      <c r="D3791" s="15" t="s">
        <v>7616</v>
      </c>
      <c r="E3791" s="15">
        <v>0</v>
      </c>
      <c r="F3791" s="42">
        <v>46198</v>
      </c>
    </row>
    <row r="3792" spans="1:6" x14ac:dyDescent="0.3">
      <c r="A3792" s="15" t="s">
        <v>44043</v>
      </c>
      <c r="B3792" s="15" t="s">
        <v>7617</v>
      </c>
      <c r="C3792" s="15" t="s">
        <v>800</v>
      </c>
      <c r="D3792" s="15" t="s">
        <v>7618</v>
      </c>
      <c r="E3792" s="15">
        <v>0</v>
      </c>
      <c r="F3792" s="42">
        <v>46198</v>
      </c>
    </row>
    <row r="3793" spans="1:6" x14ac:dyDescent="0.3">
      <c r="A3793" s="15" t="s">
        <v>44042</v>
      </c>
      <c r="B3793" s="15" t="s">
        <v>7619</v>
      </c>
      <c r="C3793" s="15" t="s">
        <v>800</v>
      </c>
      <c r="D3793" s="15" t="s">
        <v>7620</v>
      </c>
      <c r="E3793" s="15">
        <v>0</v>
      </c>
      <c r="F3793" s="42">
        <v>46198</v>
      </c>
    </row>
    <row r="3794" spans="1:6" x14ac:dyDescent="0.3">
      <c r="A3794" s="15" t="s">
        <v>44041</v>
      </c>
      <c r="B3794" s="15" t="s">
        <v>7621</v>
      </c>
      <c r="C3794" s="15" t="s">
        <v>800</v>
      </c>
      <c r="D3794" s="15" t="s">
        <v>7622</v>
      </c>
      <c r="E3794" s="15">
        <v>0</v>
      </c>
      <c r="F3794" s="42">
        <v>46198</v>
      </c>
    </row>
    <row r="3795" spans="1:6" x14ac:dyDescent="0.3">
      <c r="A3795" s="15" t="s">
        <v>44040</v>
      </c>
      <c r="B3795" s="15" t="s">
        <v>7623</v>
      </c>
      <c r="C3795" s="15" t="s">
        <v>800</v>
      </c>
      <c r="D3795" s="15" t="s">
        <v>7624</v>
      </c>
      <c r="E3795" s="15">
        <v>0</v>
      </c>
      <c r="F3795" s="42">
        <v>44025</v>
      </c>
    </row>
    <row r="3796" spans="1:6" x14ac:dyDescent="0.3">
      <c r="A3796" s="15" t="s">
        <v>44039</v>
      </c>
      <c r="B3796" s="15" t="s">
        <v>7625</v>
      </c>
      <c r="C3796" s="15" t="s">
        <v>800</v>
      </c>
      <c r="D3796" s="15" t="s">
        <v>7626</v>
      </c>
      <c r="E3796" s="15">
        <v>0</v>
      </c>
      <c r="F3796" s="42">
        <v>44032</v>
      </c>
    </row>
    <row r="3797" spans="1:6" x14ac:dyDescent="0.3">
      <c r="A3797" s="15" t="s">
        <v>44038</v>
      </c>
      <c r="B3797" s="15" t="s">
        <v>7627</v>
      </c>
      <c r="C3797" s="15" t="s">
        <v>800</v>
      </c>
      <c r="D3797" s="15" t="s">
        <v>7628</v>
      </c>
      <c r="E3797" s="15">
        <v>0</v>
      </c>
      <c r="F3797" s="42">
        <v>44032</v>
      </c>
    </row>
    <row r="3798" spans="1:6" x14ac:dyDescent="0.3">
      <c r="A3798" s="15" t="s">
        <v>44037</v>
      </c>
      <c r="B3798" s="15" t="s">
        <v>7629</v>
      </c>
      <c r="C3798" s="15" t="s">
        <v>800</v>
      </c>
      <c r="D3798" s="15" t="s">
        <v>7630</v>
      </c>
      <c r="E3798" s="15">
        <v>0</v>
      </c>
      <c r="F3798" s="42">
        <v>44032</v>
      </c>
    </row>
    <row r="3799" spans="1:6" x14ac:dyDescent="0.3">
      <c r="A3799" s="15" t="s">
        <v>44036</v>
      </c>
      <c r="B3799" s="15" t="s">
        <v>7631</v>
      </c>
      <c r="C3799" s="15" t="s">
        <v>800</v>
      </c>
      <c r="D3799" s="15" t="s">
        <v>7632</v>
      </c>
      <c r="E3799" s="15">
        <v>0</v>
      </c>
      <c r="F3799" s="42">
        <v>46198</v>
      </c>
    </row>
    <row r="3800" spans="1:6" x14ac:dyDescent="0.3">
      <c r="A3800" s="15" t="s">
        <v>44035</v>
      </c>
      <c r="B3800" s="15" t="s">
        <v>7633</v>
      </c>
      <c r="C3800" s="15" t="s">
        <v>800</v>
      </c>
      <c r="D3800" s="15" t="s">
        <v>7634</v>
      </c>
      <c r="E3800" s="15">
        <v>15041.278399999999</v>
      </c>
      <c r="F3800" s="42">
        <v>45779</v>
      </c>
    </row>
    <row r="3801" spans="1:6" x14ac:dyDescent="0.3">
      <c r="A3801" s="15" t="s">
        <v>44034</v>
      </c>
      <c r="B3801" s="15" t="s">
        <v>7635</v>
      </c>
      <c r="C3801" s="15" t="s">
        <v>800</v>
      </c>
      <c r="D3801" s="15" t="s">
        <v>7636</v>
      </c>
      <c r="E3801" s="15">
        <v>12430</v>
      </c>
      <c r="F3801" s="42">
        <v>45779</v>
      </c>
    </row>
    <row r="3802" spans="1:6" x14ac:dyDescent="0.3">
      <c r="A3802" s="15" t="s">
        <v>44033</v>
      </c>
      <c r="B3802" s="15" t="s">
        <v>7637</v>
      </c>
      <c r="C3802" s="15" t="s">
        <v>7638</v>
      </c>
      <c r="D3802" s="15" t="s">
        <v>7639</v>
      </c>
      <c r="E3802" s="15">
        <v>0</v>
      </c>
      <c r="F3802" s="42">
        <v>43217</v>
      </c>
    </row>
    <row r="3803" spans="1:6" x14ac:dyDescent="0.3">
      <c r="A3803" s="15" t="s">
        <v>44032</v>
      </c>
      <c r="B3803" s="15" t="s">
        <v>7640</v>
      </c>
      <c r="C3803" s="15" t="s">
        <v>800</v>
      </c>
      <c r="D3803" s="15" t="s">
        <v>7641</v>
      </c>
      <c r="E3803" s="15">
        <v>0</v>
      </c>
      <c r="F3803" s="42">
        <v>44025</v>
      </c>
    </row>
    <row r="3804" spans="1:6" x14ac:dyDescent="0.3">
      <c r="A3804" s="15" t="s">
        <v>44031</v>
      </c>
      <c r="B3804" s="15" t="s">
        <v>7642</v>
      </c>
      <c r="C3804" s="15" t="s">
        <v>800</v>
      </c>
      <c r="D3804" s="15" t="s">
        <v>7643</v>
      </c>
      <c r="E3804" s="15">
        <v>0</v>
      </c>
      <c r="F3804" s="42">
        <v>46198</v>
      </c>
    </row>
    <row r="3805" spans="1:6" x14ac:dyDescent="0.3">
      <c r="A3805" s="15" t="s">
        <v>44030</v>
      </c>
      <c r="B3805" s="15" t="s">
        <v>7644</v>
      </c>
      <c r="C3805" s="15" t="s">
        <v>800</v>
      </c>
      <c r="D3805" s="15" t="s">
        <v>7645</v>
      </c>
      <c r="E3805" s="15">
        <v>0</v>
      </c>
      <c r="F3805" s="42">
        <v>42163</v>
      </c>
    </row>
    <row r="3806" spans="1:6" x14ac:dyDescent="0.3">
      <c r="A3806" s="15" t="s">
        <v>33499</v>
      </c>
      <c r="B3806" s="15" t="s">
        <v>795</v>
      </c>
      <c r="C3806" s="15" t="s">
        <v>795</v>
      </c>
      <c r="D3806" s="15" t="s">
        <v>795</v>
      </c>
      <c r="F3806" s="42"/>
    </row>
    <row r="3807" spans="1:6" x14ac:dyDescent="0.3">
      <c r="A3807" s="15" t="s">
        <v>37881</v>
      </c>
      <c r="B3807" s="15" t="s">
        <v>795</v>
      </c>
      <c r="C3807" s="15" t="s">
        <v>795</v>
      </c>
      <c r="D3807" s="15" t="s">
        <v>795</v>
      </c>
      <c r="F3807" s="42"/>
    </row>
    <row r="3808" spans="1:6" x14ac:dyDescent="0.3">
      <c r="A3808" s="15" t="s">
        <v>33499</v>
      </c>
      <c r="B3808" s="15" t="s">
        <v>795</v>
      </c>
      <c r="C3808" s="15" t="s">
        <v>795</v>
      </c>
      <c r="D3808" s="15" t="s">
        <v>795</v>
      </c>
      <c r="F3808" s="42"/>
    </row>
    <row r="3809" spans="1:6" x14ac:dyDescent="0.3">
      <c r="A3809" s="15" t="s">
        <v>44029</v>
      </c>
      <c r="B3809" s="15" t="s">
        <v>7646</v>
      </c>
      <c r="C3809" s="15" t="s">
        <v>800</v>
      </c>
      <c r="D3809" s="15" t="s">
        <v>7647</v>
      </c>
      <c r="E3809" s="15">
        <v>2190.66</v>
      </c>
      <c r="F3809" s="42">
        <v>46198</v>
      </c>
    </row>
    <row r="3810" spans="1:6" x14ac:dyDescent="0.3">
      <c r="A3810" s="15" t="s">
        <v>44028</v>
      </c>
      <c r="B3810" s="15" t="s">
        <v>7648</v>
      </c>
      <c r="C3810" s="15" t="s">
        <v>800</v>
      </c>
      <c r="D3810" s="15" t="s">
        <v>7649</v>
      </c>
      <c r="E3810" s="15">
        <v>2532.8027000000002</v>
      </c>
      <c r="F3810" s="42">
        <v>46198</v>
      </c>
    </row>
    <row r="3811" spans="1:6" x14ac:dyDescent="0.3">
      <c r="A3811" s="15" t="s">
        <v>44027</v>
      </c>
      <c r="B3811" s="15" t="s">
        <v>7650</v>
      </c>
      <c r="C3811" s="15" t="s">
        <v>7651</v>
      </c>
      <c r="D3811" s="15" t="s">
        <v>7652</v>
      </c>
      <c r="E3811" s="15">
        <v>1025.6568</v>
      </c>
      <c r="F3811" s="42">
        <v>46198</v>
      </c>
    </row>
    <row r="3812" spans="1:6" x14ac:dyDescent="0.3">
      <c r="A3812" s="15" t="s">
        <v>44026</v>
      </c>
      <c r="B3812" s="15" t="s">
        <v>7653</v>
      </c>
      <c r="C3812" s="15" t="s">
        <v>7654</v>
      </c>
      <c r="D3812" s="15" t="s">
        <v>7655</v>
      </c>
      <c r="E3812" s="15">
        <v>1034.1161</v>
      </c>
      <c r="F3812" s="42">
        <v>46198</v>
      </c>
    </row>
    <row r="3813" spans="1:6" x14ac:dyDescent="0.3">
      <c r="A3813" s="15" t="s">
        <v>44025</v>
      </c>
      <c r="B3813" s="15" t="s">
        <v>7656</v>
      </c>
      <c r="C3813" s="15" t="s">
        <v>7657</v>
      </c>
      <c r="D3813" s="15" t="s">
        <v>7658</v>
      </c>
      <c r="E3813" s="15">
        <v>1022.5335</v>
      </c>
      <c r="F3813" s="42">
        <v>46198</v>
      </c>
    </row>
    <row r="3814" spans="1:6" x14ac:dyDescent="0.3">
      <c r="A3814" s="15" t="s">
        <v>44024</v>
      </c>
      <c r="B3814" s="15" t="s">
        <v>7659</v>
      </c>
      <c r="C3814" s="15" t="s">
        <v>7660</v>
      </c>
      <c r="D3814" s="15" t="s">
        <v>7661</v>
      </c>
      <c r="E3814" s="15">
        <v>1025.3068000000001</v>
      </c>
      <c r="F3814" s="42">
        <v>46198</v>
      </c>
    </row>
    <row r="3815" spans="1:6" x14ac:dyDescent="0.3">
      <c r="A3815" s="15" t="s">
        <v>44023</v>
      </c>
      <c r="B3815" s="15" t="s">
        <v>7662</v>
      </c>
      <c r="C3815" s="15" t="s">
        <v>7663</v>
      </c>
      <c r="D3815" s="15" t="s">
        <v>7664</v>
      </c>
      <c r="E3815" s="15">
        <v>1039.741</v>
      </c>
      <c r="F3815" s="42">
        <v>46198</v>
      </c>
    </row>
    <row r="3816" spans="1:6" x14ac:dyDescent="0.3">
      <c r="A3816" s="15" t="s">
        <v>44022</v>
      </c>
      <c r="B3816" s="15" t="s">
        <v>7665</v>
      </c>
      <c r="C3816" s="15" t="s">
        <v>7666</v>
      </c>
      <c r="D3816" s="15" t="s">
        <v>7667</v>
      </c>
      <c r="E3816" s="15">
        <v>1022.479</v>
      </c>
      <c r="F3816" s="42">
        <v>46198</v>
      </c>
    </row>
    <row r="3817" spans="1:6" x14ac:dyDescent="0.3">
      <c r="A3817" s="15" t="s">
        <v>33499</v>
      </c>
      <c r="B3817" s="15" t="s">
        <v>795</v>
      </c>
      <c r="C3817" s="15" t="s">
        <v>795</v>
      </c>
      <c r="D3817" s="15" t="s">
        <v>795</v>
      </c>
      <c r="F3817" s="42"/>
    </row>
    <row r="3818" spans="1:6" x14ac:dyDescent="0.3">
      <c r="A3818" s="15" t="s">
        <v>37043</v>
      </c>
      <c r="B3818" s="15" t="s">
        <v>795</v>
      </c>
      <c r="C3818" s="15" t="s">
        <v>795</v>
      </c>
      <c r="D3818" s="15" t="s">
        <v>795</v>
      </c>
      <c r="F3818" s="42"/>
    </row>
    <row r="3819" spans="1:6" x14ac:dyDescent="0.3">
      <c r="A3819" s="15" t="s">
        <v>33499</v>
      </c>
      <c r="B3819" s="15" t="s">
        <v>795</v>
      </c>
      <c r="C3819" s="15" t="s">
        <v>795</v>
      </c>
      <c r="D3819" s="15" t="s">
        <v>795</v>
      </c>
      <c r="F3819" s="42"/>
    </row>
    <row r="3820" spans="1:6" x14ac:dyDescent="0.3">
      <c r="A3820" s="15" t="s">
        <v>44021</v>
      </c>
      <c r="B3820" s="15" t="s">
        <v>800</v>
      </c>
      <c r="C3820" s="15" t="s">
        <v>800</v>
      </c>
      <c r="D3820" s="15" t="s">
        <v>7668</v>
      </c>
      <c r="E3820" s="15">
        <v>10.363200000000001</v>
      </c>
      <c r="F3820" s="42">
        <v>46198</v>
      </c>
    </row>
    <row r="3821" spans="1:6" x14ac:dyDescent="0.3">
      <c r="A3821" s="15" t="s">
        <v>44020</v>
      </c>
      <c r="B3821" s="15" t="s">
        <v>7669</v>
      </c>
      <c r="C3821" s="15" t="s">
        <v>7670</v>
      </c>
      <c r="D3821" s="15" t="s">
        <v>7671</v>
      </c>
      <c r="E3821" s="15">
        <v>10.255000000000001</v>
      </c>
      <c r="F3821" s="42">
        <v>46198</v>
      </c>
    </row>
    <row r="3822" spans="1:6" x14ac:dyDescent="0.3">
      <c r="A3822" s="15" t="s">
        <v>44019</v>
      </c>
      <c r="B3822" s="15" t="s">
        <v>7672</v>
      </c>
      <c r="C3822" s="15" t="s">
        <v>800</v>
      </c>
      <c r="D3822" s="15" t="s">
        <v>7673</v>
      </c>
      <c r="E3822" s="15">
        <v>33.9178</v>
      </c>
      <c r="F3822" s="42">
        <v>46198</v>
      </c>
    </row>
    <row r="3823" spans="1:6" x14ac:dyDescent="0.3">
      <c r="A3823" s="15" t="s">
        <v>44018</v>
      </c>
      <c r="B3823" s="15" t="s">
        <v>7674</v>
      </c>
      <c r="C3823" s="15" t="s">
        <v>800</v>
      </c>
      <c r="D3823" s="15" t="s">
        <v>7675</v>
      </c>
      <c r="E3823" s="15">
        <v>35.115400000000001</v>
      </c>
      <c r="F3823" s="42">
        <v>46198</v>
      </c>
    </row>
    <row r="3824" spans="1:6" x14ac:dyDescent="0.3">
      <c r="A3824" s="15" t="s">
        <v>44017</v>
      </c>
      <c r="B3824" s="15" t="s">
        <v>7676</v>
      </c>
      <c r="C3824" s="15" t="s">
        <v>800</v>
      </c>
      <c r="D3824" s="15" t="s">
        <v>7677</v>
      </c>
      <c r="E3824" s="15">
        <v>20.805499999999999</v>
      </c>
      <c r="F3824" s="42">
        <v>46198</v>
      </c>
    </row>
    <row r="3825" spans="1:6" x14ac:dyDescent="0.3">
      <c r="A3825" s="15" t="s">
        <v>44016</v>
      </c>
      <c r="B3825" s="15" t="s">
        <v>7678</v>
      </c>
      <c r="C3825" s="15" t="s">
        <v>800</v>
      </c>
      <c r="D3825" s="15" t="s">
        <v>7679</v>
      </c>
      <c r="E3825" s="15">
        <v>20.1553</v>
      </c>
      <c r="F3825" s="42">
        <v>46198</v>
      </c>
    </row>
    <row r="3826" spans="1:6" x14ac:dyDescent="0.3">
      <c r="A3826" s="15" t="s">
        <v>33499</v>
      </c>
      <c r="B3826" s="15" t="s">
        <v>795</v>
      </c>
      <c r="C3826" s="15" t="s">
        <v>795</v>
      </c>
      <c r="D3826" s="15" t="s">
        <v>795</v>
      </c>
      <c r="F3826" s="42"/>
    </row>
    <row r="3827" spans="1:6" x14ac:dyDescent="0.3">
      <c r="A3827" s="15" t="s">
        <v>36815</v>
      </c>
      <c r="B3827" s="15" t="s">
        <v>795</v>
      </c>
      <c r="C3827" s="15" t="s">
        <v>795</v>
      </c>
      <c r="D3827" s="15" t="s">
        <v>795</v>
      </c>
      <c r="F3827" s="42"/>
    </row>
    <row r="3828" spans="1:6" x14ac:dyDescent="0.3">
      <c r="A3828" s="15" t="s">
        <v>33499</v>
      </c>
      <c r="B3828" s="15" t="s">
        <v>795</v>
      </c>
      <c r="C3828" s="15" t="s">
        <v>795</v>
      </c>
      <c r="D3828" s="15" t="s">
        <v>795</v>
      </c>
      <c r="F3828" s="42"/>
    </row>
    <row r="3829" spans="1:6" x14ac:dyDescent="0.3">
      <c r="A3829" s="15" t="s">
        <v>44015</v>
      </c>
      <c r="B3829" s="15" t="s">
        <v>7680</v>
      </c>
      <c r="C3829" s="15" t="s">
        <v>7681</v>
      </c>
      <c r="D3829" s="15" t="s">
        <v>7682</v>
      </c>
      <c r="E3829" s="15">
        <v>11.2058</v>
      </c>
      <c r="F3829" s="42">
        <v>46198</v>
      </c>
    </row>
    <row r="3830" spans="1:6" x14ac:dyDescent="0.3">
      <c r="A3830" s="15" t="s">
        <v>44014</v>
      </c>
      <c r="B3830" s="15" t="s">
        <v>7683</v>
      </c>
      <c r="C3830" s="15" t="s">
        <v>800</v>
      </c>
      <c r="D3830" s="15" t="s">
        <v>7684</v>
      </c>
      <c r="E3830" s="15">
        <v>27.931100000000001</v>
      </c>
      <c r="F3830" s="42">
        <v>46198</v>
      </c>
    </row>
    <row r="3831" spans="1:6" x14ac:dyDescent="0.3">
      <c r="A3831" s="15" t="s">
        <v>44013</v>
      </c>
      <c r="B3831" s="15" t="s">
        <v>7685</v>
      </c>
      <c r="C3831" s="15" t="s">
        <v>7686</v>
      </c>
      <c r="D3831" s="15" t="s">
        <v>7687</v>
      </c>
      <c r="E3831" s="15">
        <v>12.144600000000001</v>
      </c>
      <c r="F3831" s="42">
        <v>46198</v>
      </c>
    </row>
    <row r="3832" spans="1:6" x14ac:dyDescent="0.3">
      <c r="A3832" s="15" t="s">
        <v>44012</v>
      </c>
      <c r="B3832" s="15" t="s">
        <v>7688</v>
      </c>
      <c r="C3832" s="15" t="s">
        <v>800</v>
      </c>
      <c r="D3832" s="15" t="s">
        <v>7689</v>
      </c>
      <c r="E3832" s="15">
        <v>29.704699999999999</v>
      </c>
      <c r="F3832" s="42">
        <v>46198</v>
      </c>
    </row>
    <row r="3833" spans="1:6" x14ac:dyDescent="0.3">
      <c r="A3833" s="15" t="s">
        <v>44011</v>
      </c>
      <c r="B3833" s="15" t="s">
        <v>7690</v>
      </c>
      <c r="C3833" s="15" t="s">
        <v>7691</v>
      </c>
      <c r="D3833" s="15" t="s">
        <v>7692</v>
      </c>
      <c r="E3833" s="15">
        <v>11.8916</v>
      </c>
      <c r="F3833" s="42">
        <v>46198</v>
      </c>
    </row>
    <row r="3834" spans="1:6" x14ac:dyDescent="0.3">
      <c r="A3834" s="15" t="s">
        <v>44010</v>
      </c>
      <c r="B3834" s="15" t="s">
        <v>7693</v>
      </c>
      <c r="C3834" s="15" t="s">
        <v>7694</v>
      </c>
      <c r="D3834" s="15" t="s">
        <v>7695</v>
      </c>
      <c r="E3834" s="15">
        <v>11.3939</v>
      </c>
      <c r="F3834" s="42">
        <v>46198</v>
      </c>
    </row>
    <row r="3835" spans="1:6" x14ac:dyDescent="0.3">
      <c r="A3835" s="15" t="s">
        <v>44009</v>
      </c>
      <c r="B3835" s="15" t="s">
        <v>7696</v>
      </c>
      <c r="C3835" s="15" t="s">
        <v>7697</v>
      </c>
      <c r="D3835" s="15" t="s">
        <v>7698</v>
      </c>
      <c r="E3835" s="15">
        <v>11.5672</v>
      </c>
      <c r="F3835" s="42">
        <v>46198</v>
      </c>
    </row>
    <row r="3836" spans="1:6" x14ac:dyDescent="0.3">
      <c r="A3836" s="15" t="s">
        <v>44008</v>
      </c>
      <c r="B3836" s="15" t="s">
        <v>7699</v>
      </c>
      <c r="C3836" s="15" t="s">
        <v>800</v>
      </c>
      <c r="D3836" s="15" t="s">
        <v>7700</v>
      </c>
      <c r="E3836" s="15">
        <v>27.932200000000002</v>
      </c>
      <c r="F3836" s="42">
        <v>46198</v>
      </c>
    </row>
    <row r="3837" spans="1:6" x14ac:dyDescent="0.3">
      <c r="A3837" s="15" t="s">
        <v>44007</v>
      </c>
      <c r="B3837" s="15" t="s">
        <v>7701</v>
      </c>
      <c r="C3837" s="15" t="s">
        <v>7702</v>
      </c>
      <c r="D3837" s="15" t="s">
        <v>7703</v>
      </c>
      <c r="E3837" s="15">
        <v>10.524800000000001</v>
      </c>
      <c r="F3837" s="42">
        <v>46198</v>
      </c>
    </row>
    <row r="3838" spans="1:6" x14ac:dyDescent="0.3">
      <c r="A3838" s="15" t="s">
        <v>33499</v>
      </c>
      <c r="B3838" s="15" t="s">
        <v>795</v>
      </c>
      <c r="C3838" s="15" t="s">
        <v>795</v>
      </c>
      <c r="D3838" s="15" t="s">
        <v>795</v>
      </c>
      <c r="F3838" s="42"/>
    </row>
    <row r="3839" spans="1:6" x14ac:dyDescent="0.3">
      <c r="A3839" s="15" t="s">
        <v>36764</v>
      </c>
      <c r="B3839" s="15" t="s">
        <v>795</v>
      </c>
      <c r="C3839" s="15" t="s">
        <v>795</v>
      </c>
      <c r="D3839" s="15" t="s">
        <v>795</v>
      </c>
      <c r="F3839" s="42"/>
    </row>
    <row r="3840" spans="1:6" x14ac:dyDescent="0.3">
      <c r="A3840" s="15" t="s">
        <v>33499</v>
      </c>
      <c r="B3840" s="15" t="s">
        <v>795</v>
      </c>
      <c r="C3840" s="15" t="s">
        <v>795</v>
      </c>
      <c r="D3840" s="15" t="s">
        <v>795</v>
      </c>
      <c r="F3840" s="42"/>
    </row>
    <row r="3841" spans="1:6" x14ac:dyDescent="0.3">
      <c r="A3841" s="15" t="s">
        <v>44006</v>
      </c>
      <c r="B3841" s="15" t="s">
        <v>7704</v>
      </c>
      <c r="C3841" s="15" t="s">
        <v>800</v>
      </c>
      <c r="D3841" s="15" t="s">
        <v>7705</v>
      </c>
      <c r="E3841" s="15">
        <v>42.335500000000003</v>
      </c>
      <c r="F3841" s="42">
        <v>43945</v>
      </c>
    </row>
    <row r="3842" spans="1:6" x14ac:dyDescent="0.3">
      <c r="A3842" s="15" t="s">
        <v>44005</v>
      </c>
      <c r="B3842" s="15" t="s">
        <v>7706</v>
      </c>
      <c r="C3842" s="15" t="s">
        <v>800</v>
      </c>
      <c r="D3842" s="15" t="s">
        <v>7707</v>
      </c>
      <c r="E3842" s="15">
        <v>40.962000000000003</v>
      </c>
      <c r="F3842" s="42">
        <v>43613</v>
      </c>
    </row>
    <row r="3843" spans="1:6" x14ac:dyDescent="0.3">
      <c r="A3843" s="15" t="s">
        <v>44004</v>
      </c>
      <c r="B3843" s="15" t="s">
        <v>7708</v>
      </c>
      <c r="C3843" s="15" t="s">
        <v>800</v>
      </c>
      <c r="D3843" s="15" t="s">
        <v>7709</v>
      </c>
      <c r="E3843" s="15">
        <v>70.097899999999996</v>
      </c>
      <c r="F3843" s="42">
        <v>46198</v>
      </c>
    </row>
    <row r="3844" spans="1:6" x14ac:dyDescent="0.3">
      <c r="A3844" s="15" t="s">
        <v>44003</v>
      </c>
      <c r="B3844" s="15" t="s">
        <v>7710</v>
      </c>
      <c r="C3844" s="15" t="s">
        <v>7711</v>
      </c>
      <c r="D3844" s="15" t="s">
        <v>7712</v>
      </c>
      <c r="E3844" s="15">
        <v>13.774100000000001</v>
      </c>
      <c r="F3844" s="42">
        <v>44820</v>
      </c>
    </row>
    <row r="3845" spans="1:6" x14ac:dyDescent="0.3">
      <c r="A3845" s="15" t="s">
        <v>44002</v>
      </c>
      <c r="B3845" s="15" t="s">
        <v>7713</v>
      </c>
      <c r="C3845" s="15" t="s">
        <v>7714</v>
      </c>
      <c r="D3845" s="15" t="s">
        <v>7715</v>
      </c>
      <c r="E3845" s="15">
        <v>12.8683</v>
      </c>
      <c r="F3845" s="42">
        <v>46198</v>
      </c>
    </row>
    <row r="3846" spans="1:6" x14ac:dyDescent="0.3">
      <c r="A3846" s="15" t="s">
        <v>44001</v>
      </c>
      <c r="B3846" s="15" t="s">
        <v>7716</v>
      </c>
      <c r="C3846" s="15" t="s">
        <v>800</v>
      </c>
      <c r="D3846" s="15" t="s">
        <v>7717</v>
      </c>
      <c r="E3846" s="15">
        <v>12.823</v>
      </c>
      <c r="F3846" s="42">
        <v>44820</v>
      </c>
    </row>
    <row r="3847" spans="1:6" x14ac:dyDescent="0.3">
      <c r="A3847" s="15" t="s">
        <v>44000</v>
      </c>
      <c r="B3847" s="15" t="s">
        <v>7718</v>
      </c>
      <c r="C3847" s="15" t="s">
        <v>800</v>
      </c>
      <c r="D3847" s="15" t="s">
        <v>7719</v>
      </c>
      <c r="E3847" s="15">
        <v>63.895699999999998</v>
      </c>
      <c r="F3847" s="42">
        <v>46198</v>
      </c>
    </row>
    <row r="3848" spans="1:6" x14ac:dyDescent="0.3">
      <c r="A3848" s="15" t="s">
        <v>43999</v>
      </c>
      <c r="B3848" s="15" t="s">
        <v>7720</v>
      </c>
      <c r="C3848" s="15" t="s">
        <v>7721</v>
      </c>
      <c r="D3848" s="15" t="s">
        <v>7722</v>
      </c>
      <c r="E3848" s="15">
        <v>13.495799999999999</v>
      </c>
      <c r="F3848" s="42">
        <v>44820</v>
      </c>
    </row>
    <row r="3849" spans="1:6" x14ac:dyDescent="0.3">
      <c r="A3849" s="15" t="s">
        <v>43998</v>
      </c>
      <c r="B3849" s="15" t="s">
        <v>7723</v>
      </c>
      <c r="C3849" s="15" t="s">
        <v>7724</v>
      </c>
      <c r="D3849" s="15" t="s">
        <v>7725</v>
      </c>
      <c r="E3849" s="15">
        <v>12.2409</v>
      </c>
      <c r="F3849" s="42">
        <v>44820</v>
      </c>
    </row>
    <row r="3850" spans="1:6" x14ac:dyDescent="0.3">
      <c r="A3850" s="15" t="s">
        <v>43997</v>
      </c>
      <c r="B3850" s="15" t="s">
        <v>7726</v>
      </c>
      <c r="C3850" s="15" t="s">
        <v>7727</v>
      </c>
      <c r="D3850" s="15" t="s">
        <v>7728</v>
      </c>
      <c r="E3850" s="15">
        <v>12.2416</v>
      </c>
      <c r="F3850" s="42">
        <v>46198</v>
      </c>
    </row>
    <row r="3851" spans="1:6" x14ac:dyDescent="0.3">
      <c r="A3851" s="15" t="s">
        <v>43996</v>
      </c>
      <c r="B3851" s="15" t="s">
        <v>7729</v>
      </c>
      <c r="C3851" s="15" t="s">
        <v>7730</v>
      </c>
      <c r="D3851" s="15" t="s">
        <v>7731</v>
      </c>
      <c r="E3851" s="15">
        <v>12.6927</v>
      </c>
      <c r="F3851" s="42">
        <v>43649</v>
      </c>
    </row>
    <row r="3852" spans="1:6" x14ac:dyDescent="0.3">
      <c r="A3852" s="15" t="s">
        <v>43995</v>
      </c>
      <c r="B3852" s="15" t="s">
        <v>7732</v>
      </c>
      <c r="C3852" s="15" t="s">
        <v>800</v>
      </c>
      <c r="D3852" s="15" t="s">
        <v>7733</v>
      </c>
      <c r="E3852" s="15">
        <v>43.807099999999998</v>
      </c>
      <c r="F3852" s="42">
        <v>43945</v>
      </c>
    </row>
    <row r="3853" spans="1:6" x14ac:dyDescent="0.3">
      <c r="A3853" s="15" t="s">
        <v>43994</v>
      </c>
      <c r="B3853" s="15" t="s">
        <v>7734</v>
      </c>
      <c r="C3853" s="15" t="s">
        <v>800</v>
      </c>
      <c r="D3853" s="15" t="s">
        <v>7735</v>
      </c>
      <c r="E3853" s="15">
        <v>12.880699999999999</v>
      </c>
      <c r="F3853" s="42">
        <v>43945</v>
      </c>
    </row>
    <row r="3854" spans="1:6" x14ac:dyDescent="0.3">
      <c r="A3854" s="15" t="s">
        <v>33499</v>
      </c>
      <c r="B3854" s="15" t="s">
        <v>795</v>
      </c>
      <c r="C3854" s="15" t="s">
        <v>795</v>
      </c>
      <c r="D3854" s="15" t="s">
        <v>795</v>
      </c>
      <c r="F3854" s="42"/>
    </row>
    <row r="3855" spans="1:6" x14ac:dyDescent="0.3">
      <c r="A3855" s="15" t="s">
        <v>37807</v>
      </c>
      <c r="B3855" s="15" t="s">
        <v>795</v>
      </c>
      <c r="C3855" s="15" t="s">
        <v>795</v>
      </c>
      <c r="D3855" s="15" t="s">
        <v>795</v>
      </c>
      <c r="F3855" s="42"/>
    </row>
    <row r="3856" spans="1:6" x14ac:dyDescent="0.3">
      <c r="A3856" s="15" t="s">
        <v>33499</v>
      </c>
      <c r="B3856" s="15" t="s">
        <v>795</v>
      </c>
      <c r="C3856" s="15" t="s">
        <v>795</v>
      </c>
      <c r="D3856" s="15" t="s">
        <v>795</v>
      </c>
      <c r="F3856" s="42"/>
    </row>
    <row r="3857" spans="1:6" x14ac:dyDescent="0.3">
      <c r="A3857" s="15" t="s">
        <v>43993</v>
      </c>
      <c r="B3857" s="15" t="s">
        <v>800</v>
      </c>
      <c r="C3857" s="15" t="s">
        <v>7736</v>
      </c>
      <c r="D3857" s="15" t="s">
        <v>7737</v>
      </c>
      <c r="E3857" s="15">
        <v>1023.552</v>
      </c>
      <c r="F3857" s="42">
        <v>46198</v>
      </c>
    </row>
    <row r="3858" spans="1:6" x14ac:dyDescent="0.3">
      <c r="A3858" s="15" t="s">
        <v>43992</v>
      </c>
      <c r="B3858" s="15" t="s">
        <v>7738</v>
      </c>
      <c r="C3858" s="15" t="s">
        <v>800</v>
      </c>
      <c r="D3858" s="15" t="s">
        <v>7739</v>
      </c>
      <c r="E3858" s="15">
        <v>4171.1755999999996</v>
      </c>
      <c r="F3858" s="42">
        <v>46198</v>
      </c>
    </row>
    <row r="3859" spans="1:6" x14ac:dyDescent="0.3">
      <c r="A3859" s="15" t="s">
        <v>43991</v>
      </c>
      <c r="B3859" s="15" t="s">
        <v>7740</v>
      </c>
      <c r="C3859" s="15" t="s">
        <v>7741</v>
      </c>
      <c r="D3859" s="15" t="s">
        <v>7742</v>
      </c>
      <c r="E3859" s="15">
        <v>2744.7844</v>
      </c>
      <c r="F3859" s="42">
        <v>46198</v>
      </c>
    </row>
    <row r="3860" spans="1:6" x14ac:dyDescent="0.3">
      <c r="A3860" s="15" t="s">
        <v>43990</v>
      </c>
      <c r="B3860" s="15" t="s">
        <v>7743</v>
      </c>
      <c r="C3860" s="15" t="s">
        <v>7744</v>
      </c>
      <c r="D3860" s="15" t="s">
        <v>7745</v>
      </c>
      <c r="E3860" s="15">
        <v>2942.7683999999999</v>
      </c>
      <c r="F3860" s="42">
        <v>46198</v>
      </c>
    </row>
    <row r="3861" spans="1:6" x14ac:dyDescent="0.3">
      <c r="A3861" s="15" t="s">
        <v>43989</v>
      </c>
      <c r="B3861" s="15" t="s">
        <v>800</v>
      </c>
      <c r="C3861" s="15" t="s">
        <v>7746</v>
      </c>
      <c r="D3861" s="15" t="s">
        <v>7747</v>
      </c>
      <c r="E3861" s="15">
        <v>1025.2698</v>
      </c>
      <c r="F3861" s="42">
        <v>46198</v>
      </c>
    </row>
    <row r="3862" spans="1:6" x14ac:dyDescent="0.3">
      <c r="A3862" s="15" t="s">
        <v>43988</v>
      </c>
      <c r="B3862" s="15" t="s">
        <v>7748</v>
      </c>
      <c r="C3862" s="15" t="s">
        <v>800</v>
      </c>
      <c r="D3862" s="15" t="s">
        <v>7749</v>
      </c>
      <c r="E3862" s="15">
        <v>3729.1763000000001</v>
      </c>
      <c r="F3862" s="42">
        <v>46198</v>
      </c>
    </row>
    <row r="3863" spans="1:6" x14ac:dyDescent="0.3">
      <c r="A3863" s="15" t="s">
        <v>43987</v>
      </c>
      <c r="B3863" s="15" t="s">
        <v>7750</v>
      </c>
      <c r="C3863" s="15" t="s">
        <v>7751</v>
      </c>
      <c r="D3863" s="15" t="s">
        <v>7752</v>
      </c>
      <c r="E3863" s="15">
        <v>2445.2874000000002</v>
      </c>
      <c r="F3863" s="42">
        <v>46198</v>
      </c>
    </row>
    <row r="3864" spans="1:6" x14ac:dyDescent="0.3">
      <c r="A3864" s="15" t="s">
        <v>43986</v>
      </c>
      <c r="B3864" s="15" t="s">
        <v>800</v>
      </c>
      <c r="C3864" s="15" t="s">
        <v>7753</v>
      </c>
      <c r="D3864" s="15" t="s">
        <v>7754</v>
      </c>
      <c r="E3864" s="15">
        <v>1018.4016</v>
      </c>
      <c r="F3864" s="42">
        <v>46198</v>
      </c>
    </row>
    <row r="3865" spans="1:6" x14ac:dyDescent="0.3">
      <c r="A3865" s="15" t="s">
        <v>43985</v>
      </c>
      <c r="B3865" s="15" t="s">
        <v>800</v>
      </c>
      <c r="C3865" s="15" t="s">
        <v>7755</v>
      </c>
      <c r="D3865" s="15" t="s">
        <v>7756</v>
      </c>
      <c r="E3865" s="15">
        <v>1036.8661</v>
      </c>
      <c r="F3865" s="42">
        <v>46198</v>
      </c>
    </row>
    <row r="3866" spans="1:6" x14ac:dyDescent="0.3">
      <c r="A3866" s="15" t="s">
        <v>43984</v>
      </c>
      <c r="B3866" s="15" t="s">
        <v>7757</v>
      </c>
      <c r="C3866" s="15" t="s">
        <v>800</v>
      </c>
      <c r="D3866" s="15" t="s">
        <v>7758</v>
      </c>
      <c r="E3866" s="15">
        <v>3753.4850999999999</v>
      </c>
      <c r="F3866" s="42">
        <v>46198</v>
      </c>
    </row>
    <row r="3867" spans="1:6" x14ac:dyDescent="0.3">
      <c r="A3867" s="15" t="s">
        <v>43983</v>
      </c>
      <c r="B3867" s="15" t="s">
        <v>7759</v>
      </c>
      <c r="C3867" s="15" t="s">
        <v>7760</v>
      </c>
      <c r="D3867" s="15" t="s">
        <v>7761</v>
      </c>
      <c r="E3867" s="15">
        <v>1065.0782999999999</v>
      </c>
      <c r="F3867" s="42">
        <v>46198</v>
      </c>
    </row>
    <row r="3868" spans="1:6" x14ac:dyDescent="0.3">
      <c r="A3868" s="15" t="s">
        <v>43982</v>
      </c>
      <c r="B3868" s="15" t="s">
        <v>800</v>
      </c>
      <c r="C3868" s="15" t="s">
        <v>7762</v>
      </c>
      <c r="D3868" s="15" t="s">
        <v>7763</v>
      </c>
      <c r="E3868" s="15">
        <v>1021.9113</v>
      </c>
      <c r="F3868" s="42">
        <v>46198</v>
      </c>
    </row>
    <row r="3869" spans="1:6" x14ac:dyDescent="0.3">
      <c r="A3869" s="15" t="s">
        <v>43981</v>
      </c>
      <c r="B3869" s="15" t="s">
        <v>7764</v>
      </c>
      <c r="C3869" s="15" t="s">
        <v>7765</v>
      </c>
      <c r="D3869" s="15" t="s">
        <v>7766</v>
      </c>
      <c r="E3869" s="15">
        <v>2799.9387000000002</v>
      </c>
      <c r="F3869" s="42">
        <v>46198</v>
      </c>
    </row>
    <row r="3870" spans="1:6" x14ac:dyDescent="0.3">
      <c r="A3870" s="15" t="s">
        <v>33499</v>
      </c>
      <c r="B3870" s="15" t="s">
        <v>795</v>
      </c>
      <c r="C3870" s="15" t="s">
        <v>795</v>
      </c>
      <c r="D3870" s="15" t="s">
        <v>795</v>
      </c>
      <c r="F3870" s="42"/>
    </row>
    <row r="3871" spans="1:6" x14ac:dyDescent="0.3">
      <c r="A3871" s="15" t="s">
        <v>38568</v>
      </c>
      <c r="B3871" s="15" t="s">
        <v>795</v>
      </c>
      <c r="C3871" s="15" t="s">
        <v>795</v>
      </c>
      <c r="D3871" s="15" t="s">
        <v>795</v>
      </c>
      <c r="F3871" s="42"/>
    </row>
    <row r="3872" spans="1:6" x14ac:dyDescent="0.3">
      <c r="A3872" s="15" t="s">
        <v>33499</v>
      </c>
      <c r="B3872" s="15" t="s">
        <v>795</v>
      </c>
      <c r="C3872" s="15" t="s">
        <v>795</v>
      </c>
      <c r="D3872" s="15" t="s">
        <v>795</v>
      </c>
      <c r="F3872" s="42"/>
    </row>
    <row r="3873" spans="1:6" x14ac:dyDescent="0.3">
      <c r="A3873" s="15" t="s">
        <v>43980</v>
      </c>
      <c r="B3873" s="15" t="s">
        <v>7767</v>
      </c>
      <c r="C3873" s="15" t="s">
        <v>800</v>
      </c>
      <c r="D3873" s="15" t="s">
        <v>7768</v>
      </c>
      <c r="E3873" s="15">
        <v>1028.7833000000001</v>
      </c>
      <c r="F3873" s="42">
        <v>46198</v>
      </c>
    </row>
    <row r="3874" spans="1:6" x14ac:dyDescent="0.3">
      <c r="A3874" s="15" t="s">
        <v>33499</v>
      </c>
      <c r="B3874" s="15" t="s">
        <v>795</v>
      </c>
      <c r="C3874" s="15" t="s">
        <v>795</v>
      </c>
      <c r="D3874" s="15" t="s">
        <v>795</v>
      </c>
      <c r="F3874" s="42"/>
    </row>
    <row r="3875" spans="1:6" x14ac:dyDescent="0.3">
      <c r="A3875" s="15" t="s">
        <v>40894</v>
      </c>
      <c r="B3875" s="15" t="s">
        <v>795</v>
      </c>
      <c r="C3875" s="15" t="s">
        <v>795</v>
      </c>
      <c r="D3875" s="15" t="s">
        <v>795</v>
      </c>
      <c r="F3875" s="42"/>
    </row>
    <row r="3876" spans="1:6" x14ac:dyDescent="0.3">
      <c r="A3876" s="15" t="s">
        <v>33499</v>
      </c>
      <c r="B3876" s="15" t="s">
        <v>795</v>
      </c>
      <c r="C3876" s="15" t="s">
        <v>795</v>
      </c>
      <c r="D3876" s="15" t="s">
        <v>795</v>
      </c>
      <c r="F3876" s="42"/>
    </row>
    <row r="3877" spans="1:6" x14ac:dyDescent="0.3">
      <c r="A3877" s="15" t="s">
        <v>43979</v>
      </c>
      <c r="B3877" s="15" t="s">
        <v>7769</v>
      </c>
      <c r="C3877" s="15" t="s">
        <v>800</v>
      </c>
      <c r="D3877" s="15" t="s">
        <v>7770</v>
      </c>
      <c r="E3877" s="15">
        <v>13.008100000000001</v>
      </c>
      <c r="F3877" s="42">
        <v>46198</v>
      </c>
    </row>
    <row r="3878" spans="1:6" x14ac:dyDescent="0.3">
      <c r="A3878" s="15" t="s">
        <v>43978</v>
      </c>
      <c r="B3878" s="15" t="s">
        <v>7771</v>
      </c>
      <c r="C3878" s="15" t="s">
        <v>7772</v>
      </c>
      <c r="D3878" s="15" t="s">
        <v>7773</v>
      </c>
      <c r="E3878" s="15">
        <v>13.0084</v>
      </c>
      <c r="F3878" s="42">
        <v>46198</v>
      </c>
    </row>
    <row r="3879" spans="1:6" x14ac:dyDescent="0.3">
      <c r="A3879" s="15" t="s">
        <v>43977</v>
      </c>
      <c r="B3879" s="15" t="s">
        <v>7774</v>
      </c>
      <c r="C3879" s="15" t="s">
        <v>800</v>
      </c>
      <c r="D3879" s="15" t="s">
        <v>7775</v>
      </c>
      <c r="E3879" s="15">
        <v>12.623100000000001</v>
      </c>
      <c r="F3879" s="42">
        <v>46198</v>
      </c>
    </row>
    <row r="3880" spans="1:6" x14ac:dyDescent="0.3">
      <c r="A3880" s="15" t="s">
        <v>43976</v>
      </c>
      <c r="B3880" s="15" t="s">
        <v>7776</v>
      </c>
      <c r="C3880" s="15" t="s">
        <v>7777</v>
      </c>
      <c r="D3880" s="15" t="s">
        <v>7778</v>
      </c>
      <c r="E3880" s="15">
        <v>12.623699999999999</v>
      </c>
      <c r="F3880" s="42">
        <v>46198</v>
      </c>
    </row>
    <row r="3881" spans="1:6" x14ac:dyDescent="0.3">
      <c r="A3881" s="15" t="s">
        <v>43975</v>
      </c>
      <c r="B3881" s="15" t="s">
        <v>800</v>
      </c>
      <c r="C3881" s="15" t="s">
        <v>7779</v>
      </c>
      <c r="D3881" s="15" t="s">
        <v>7780</v>
      </c>
      <c r="E3881" s="15">
        <v>14.6036</v>
      </c>
      <c r="F3881" s="42">
        <v>44099</v>
      </c>
    </row>
    <row r="3882" spans="1:6" x14ac:dyDescent="0.3">
      <c r="A3882" s="15" t="s">
        <v>43974</v>
      </c>
      <c r="B3882" s="15" t="s">
        <v>7781</v>
      </c>
      <c r="C3882" s="15" t="s">
        <v>7782</v>
      </c>
      <c r="D3882" s="15" t="s">
        <v>7783</v>
      </c>
      <c r="E3882" s="15">
        <v>10.675700000000001</v>
      </c>
      <c r="F3882" s="42">
        <v>44099</v>
      </c>
    </row>
    <row r="3883" spans="1:6" x14ac:dyDescent="0.3">
      <c r="A3883" s="15" t="s">
        <v>43973</v>
      </c>
      <c r="B3883" s="15" t="s">
        <v>7784</v>
      </c>
      <c r="C3883" s="15" t="s">
        <v>800</v>
      </c>
      <c r="D3883" s="15" t="s">
        <v>7785</v>
      </c>
      <c r="E3883" s="15">
        <v>26.962900000000001</v>
      </c>
      <c r="F3883" s="42">
        <v>44099</v>
      </c>
    </row>
    <row r="3884" spans="1:6" x14ac:dyDescent="0.3">
      <c r="A3884" s="15" t="s">
        <v>43972</v>
      </c>
      <c r="B3884" s="15" t="s">
        <v>800</v>
      </c>
      <c r="C3884" s="15" t="s">
        <v>7786</v>
      </c>
      <c r="D3884" s="15" t="s">
        <v>7787</v>
      </c>
      <c r="E3884" s="15">
        <v>14.0738</v>
      </c>
      <c r="F3884" s="42">
        <v>44099</v>
      </c>
    </row>
    <row r="3885" spans="1:6" x14ac:dyDescent="0.3">
      <c r="A3885" s="15" t="s">
        <v>43971</v>
      </c>
      <c r="B3885" s="15" t="s">
        <v>7788</v>
      </c>
      <c r="C3885" s="15" t="s">
        <v>7789</v>
      </c>
      <c r="D3885" s="15" t="s">
        <v>7790</v>
      </c>
      <c r="E3885" s="15">
        <v>10.6037</v>
      </c>
      <c r="F3885" s="42">
        <v>44099</v>
      </c>
    </row>
    <row r="3886" spans="1:6" x14ac:dyDescent="0.3">
      <c r="A3886" s="15" t="s">
        <v>43970</v>
      </c>
      <c r="B3886" s="15" t="s">
        <v>7791</v>
      </c>
      <c r="C3886" s="15" t="s">
        <v>800</v>
      </c>
      <c r="D3886" s="15" t="s">
        <v>7792</v>
      </c>
      <c r="E3886" s="15">
        <v>26.442499999999999</v>
      </c>
      <c r="F3886" s="42">
        <v>44099</v>
      </c>
    </row>
    <row r="3887" spans="1:6" x14ac:dyDescent="0.3">
      <c r="A3887" s="15" t="s">
        <v>43969</v>
      </c>
      <c r="B3887" s="15" t="s">
        <v>800</v>
      </c>
      <c r="C3887" s="15" t="s">
        <v>7793</v>
      </c>
      <c r="D3887" s="15" t="s">
        <v>7794</v>
      </c>
      <c r="E3887" s="15">
        <v>13.9335</v>
      </c>
      <c r="F3887" s="42">
        <v>44099</v>
      </c>
    </row>
    <row r="3888" spans="1:6" x14ac:dyDescent="0.3">
      <c r="A3888" s="15" t="s">
        <v>43968</v>
      </c>
      <c r="B3888" s="15" t="s">
        <v>7795</v>
      </c>
      <c r="C3888" s="15" t="s">
        <v>7796</v>
      </c>
      <c r="D3888" s="15" t="s">
        <v>7797</v>
      </c>
      <c r="E3888" s="15">
        <v>11.6715</v>
      </c>
      <c r="F3888" s="42">
        <v>44099</v>
      </c>
    </row>
    <row r="3889" spans="1:6" x14ac:dyDescent="0.3">
      <c r="A3889" s="15" t="s">
        <v>43967</v>
      </c>
      <c r="B3889" s="15" t="s">
        <v>7798</v>
      </c>
      <c r="C3889" s="15" t="s">
        <v>800</v>
      </c>
      <c r="D3889" s="15" t="s">
        <v>7799</v>
      </c>
      <c r="E3889" s="15">
        <v>36.076300000000003</v>
      </c>
      <c r="F3889" s="42">
        <v>44099</v>
      </c>
    </row>
    <row r="3890" spans="1:6" x14ac:dyDescent="0.3">
      <c r="A3890" s="15" t="s">
        <v>33499</v>
      </c>
      <c r="B3890" s="15" t="s">
        <v>795</v>
      </c>
      <c r="C3890" s="15" t="s">
        <v>795</v>
      </c>
      <c r="D3890" s="15" t="s">
        <v>795</v>
      </c>
      <c r="F3890" s="42"/>
    </row>
    <row r="3891" spans="1:6" x14ac:dyDescent="0.3">
      <c r="A3891" s="15" t="s">
        <v>139</v>
      </c>
      <c r="B3891" s="15" t="s">
        <v>795</v>
      </c>
      <c r="C3891" s="15" t="s">
        <v>795</v>
      </c>
      <c r="D3891" s="15" t="s">
        <v>795</v>
      </c>
      <c r="F3891" s="42"/>
    </row>
    <row r="3892" spans="1:6" x14ac:dyDescent="0.3">
      <c r="A3892" s="15" t="s">
        <v>33499</v>
      </c>
      <c r="B3892" s="15" t="s">
        <v>795</v>
      </c>
      <c r="C3892" s="15" t="s">
        <v>795</v>
      </c>
      <c r="D3892" s="15" t="s">
        <v>795</v>
      </c>
      <c r="F3892" s="42"/>
    </row>
    <row r="3893" spans="1:6" x14ac:dyDescent="0.3">
      <c r="A3893" s="15" t="s">
        <v>43966</v>
      </c>
      <c r="B3893" s="15" t="s">
        <v>7800</v>
      </c>
      <c r="C3893" s="15" t="s">
        <v>7801</v>
      </c>
      <c r="D3893" s="15" t="s">
        <v>7802</v>
      </c>
      <c r="E3893" s="15">
        <v>16.125900000000001</v>
      </c>
      <c r="F3893" s="42">
        <v>46198</v>
      </c>
    </row>
    <row r="3894" spans="1:6" x14ac:dyDescent="0.3">
      <c r="A3894" s="15" t="s">
        <v>43965</v>
      </c>
      <c r="B3894" s="15" t="s">
        <v>7803</v>
      </c>
      <c r="C3894" s="15" t="s">
        <v>7804</v>
      </c>
      <c r="D3894" s="15" t="s">
        <v>7805</v>
      </c>
      <c r="E3894" s="15">
        <v>12.169499999999999</v>
      </c>
      <c r="F3894" s="42">
        <v>46198</v>
      </c>
    </row>
    <row r="3895" spans="1:6" x14ac:dyDescent="0.3">
      <c r="A3895" s="15" t="s">
        <v>43964</v>
      </c>
      <c r="B3895" s="15" t="s">
        <v>7806</v>
      </c>
      <c r="C3895" s="15" t="s">
        <v>800</v>
      </c>
      <c r="D3895" s="15" t="s">
        <v>7807</v>
      </c>
      <c r="E3895" s="15">
        <v>54.814599999999999</v>
      </c>
      <c r="F3895" s="42">
        <v>46198</v>
      </c>
    </row>
    <row r="3896" spans="1:6" x14ac:dyDescent="0.3">
      <c r="A3896" s="15" t="s">
        <v>43963</v>
      </c>
      <c r="B3896" s="15" t="s">
        <v>7808</v>
      </c>
      <c r="C3896" s="15" t="s">
        <v>800</v>
      </c>
      <c r="D3896" s="15" t="s">
        <v>7809</v>
      </c>
      <c r="E3896" s="15">
        <v>60.7714</v>
      </c>
      <c r="F3896" s="42">
        <v>46198</v>
      </c>
    </row>
    <row r="3897" spans="1:6" x14ac:dyDescent="0.3">
      <c r="A3897" s="15" t="s">
        <v>43962</v>
      </c>
      <c r="B3897" s="15" t="s">
        <v>7810</v>
      </c>
      <c r="C3897" s="15" t="s">
        <v>7811</v>
      </c>
      <c r="D3897" s="15" t="s">
        <v>7812</v>
      </c>
      <c r="E3897" s="15">
        <v>10.054500000000001</v>
      </c>
      <c r="F3897" s="42">
        <v>44456</v>
      </c>
    </row>
    <row r="3898" spans="1:6" x14ac:dyDescent="0.3">
      <c r="A3898" s="15" t="s">
        <v>33499</v>
      </c>
      <c r="B3898" s="15" t="s">
        <v>795</v>
      </c>
      <c r="C3898" s="15" t="s">
        <v>795</v>
      </c>
      <c r="D3898" s="15" t="s">
        <v>795</v>
      </c>
      <c r="F3898" s="42"/>
    </row>
    <row r="3899" spans="1:6" x14ac:dyDescent="0.3">
      <c r="A3899" s="15" t="s">
        <v>37618</v>
      </c>
      <c r="B3899" s="15" t="s">
        <v>795</v>
      </c>
      <c r="C3899" s="15" t="s">
        <v>795</v>
      </c>
      <c r="D3899" s="15" t="s">
        <v>795</v>
      </c>
      <c r="F3899" s="42"/>
    </row>
    <row r="3900" spans="1:6" x14ac:dyDescent="0.3">
      <c r="A3900" s="15" t="s">
        <v>33499</v>
      </c>
      <c r="B3900" s="15" t="s">
        <v>795</v>
      </c>
      <c r="C3900" s="15" t="s">
        <v>795</v>
      </c>
      <c r="D3900" s="15" t="s">
        <v>795</v>
      </c>
      <c r="F3900" s="42"/>
    </row>
    <row r="3901" spans="1:6" x14ac:dyDescent="0.3">
      <c r="A3901" s="15" t="s">
        <v>43961</v>
      </c>
      <c r="B3901" s="15" t="s">
        <v>7813</v>
      </c>
      <c r="C3901" s="15" t="s">
        <v>800</v>
      </c>
      <c r="D3901" s="15" t="s">
        <v>7814</v>
      </c>
      <c r="E3901" s="15">
        <v>16.5242</v>
      </c>
      <c r="F3901" s="42">
        <v>46198</v>
      </c>
    </row>
    <row r="3902" spans="1:6" x14ac:dyDescent="0.3">
      <c r="A3902" s="15" t="s">
        <v>43960</v>
      </c>
      <c r="B3902" s="15" t="s">
        <v>7815</v>
      </c>
      <c r="C3902" s="15" t="s">
        <v>7816</v>
      </c>
      <c r="D3902" s="15" t="s">
        <v>7817</v>
      </c>
      <c r="E3902" s="15">
        <v>16.5242</v>
      </c>
      <c r="F3902" s="42">
        <v>46198</v>
      </c>
    </row>
    <row r="3903" spans="1:6" x14ac:dyDescent="0.3">
      <c r="A3903" s="15" t="s">
        <v>43959</v>
      </c>
      <c r="B3903" s="15" t="s">
        <v>7818</v>
      </c>
      <c r="C3903" s="15" t="s">
        <v>7819</v>
      </c>
      <c r="D3903" s="15" t="s">
        <v>7820</v>
      </c>
      <c r="E3903" s="15">
        <v>16.521899999999999</v>
      </c>
      <c r="F3903" s="42">
        <v>46198</v>
      </c>
    </row>
    <row r="3904" spans="1:6" x14ac:dyDescent="0.3">
      <c r="A3904" s="15" t="s">
        <v>43958</v>
      </c>
      <c r="B3904" s="15" t="s">
        <v>7821</v>
      </c>
      <c r="C3904" s="15" t="s">
        <v>7822</v>
      </c>
      <c r="D3904" s="15" t="s">
        <v>7823</v>
      </c>
      <c r="E3904" s="15">
        <v>16.522099999999998</v>
      </c>
      <c r="F3904" s="42">
        <v>46198</v>
      </c>
    </row>
    <row r="3905" spans="1:6" x14ac:dyDescent="0.3">
      <c r="A3905" s="15" t="s">
        <v>43957</v>
      </c>
      <c r="B3905" s="15" t="s">
        <v>7824</v>
      </c>
      <c r="C3905" s="15" t="s">
        <v>800</v>
      </c>
      <c r="D3905" s="15" t="s">
        <v>7825</v>
      </c>
      <c r="E3905" s="15">
        <v>15.335000000000001</v>
      </c>
      <c r="F3905" s="42">
        <v>46198</v>
      </c>
    </row>
    <row r="3906" spans="1:6" x14ac:dyDescent="0.3">
      <c r="A3906" s="15" t="s">
        <v>43956</v>
      </c>
      <c r="B3906" s="15" t="s">
        <v>7826</v>
      </c>
      <c r="C3906" s="15" t="s">
        <v>7827</v>
      </c>
      <c r="D3906" s="15" t="s">
        <v>7828</v>
      </c>
      <c r="E3906" s="15">
        <v>15.335000000000001</v>
      </c>
      <c r="F3906" s="42">
        <v>46198</v>
      </c>
    </row>
    <row r="3907" spans="1:6" x14ac:dyDescent="0.3">
      <c r="A3907" s="15" t="s">
        <v>43955</v>
      </c>
      <c r="B3907" s="15" t="s">
        <v>7829</v>
      </c>
      <c r="C3907" s="15" t="s">
        <v>7830</v>
      </c>
      <c r="D3907" s="15" t="s">
        <v>7831</v>
      </c>
      <c r="E3907" s="15">
        <v>15.3355</v>
      </c>
      <c r="F3907" s="42">
        <v>46198</v>
      </c>
    </row>
    <row r="3908" spans="1:6" x14ac:dyDescent="0.3">
      <c r="A3908" s="15" t="s">
        <v>43954</v>
      </c>
      <c r="B3908" s="15" t="s">
        <v>7832</v>
      </c>
      <c r="C3908" s="15" t="s">
        <v>7833</v>
      </c>
      <c r="D3908" s="15" t="s">
        <v>7834</v>
      </c>
      <c r="E3908" s="15">
        <v>12.8299</v>
      </c>
      <c r="F3908" s="42">
        <v>46198</v>
      </c>
    </row>
    <row r="3909" spans="1:6" x14ac:dyDescent="0.3">
      <c r="A3909" s="15" t="s">
        <v>33499</v>
      </c>
      <c r="B3909" s="15" t="s">
        <v>795</v>
      </c>
      <c r="C3909" s="15" t="s">
        <v>795</v>
      </c>
      <c r="D3909" s="15" t="s">
        <v>795</v>
      </c>
      <c r="F3909" s="42"/>
    </row>
    <row r="3910" spans="1:6" x14ac:dyDescent="0.3">
      <c r="A3910" s="15" t="s">
        <v>39301</v>
      </c>
      <c r="B3910" s="15" t="s">
        <v>795</v>
      </c>
      <c r="C3910" s="15" t="s">
        <v>795</v>
      </c>
      <c r="D3910" s="15" t="s">
        <v>795</v>
      </c>
      <c r="F3910" s="42"/>
    </row>
    <row r="3911" spans="1:6" x14ac:dyDescent="0.3">
      <c r="A3911" s="15" t="s">
        <v>33499</v>
      </c>
      <c r="B3911" s="15" t="s">
        <v>795</v>
      </c>
      <c r="C3911" s="15" t="s">
        <v>795</v>
      </c>
      <c r="D3911" s="15" t="s">
        <v>795</v>
      </c>
      <c r="F3911" s="42"/>
    </row>
    <row r="3912" spans="1:6" x14ac:dyDescent="0.3">
      <c r="A3912" s="15" t="s">
        <v>43953</v>
      </c>
      <c r="B3912" s="15" t="s">
        <v>7835</v>
      </c>
      <c r="C3912" s="15" t="s">
        <v>7836</v>
      </c>
      <c r="D3912" s="15" t="s">
        <v>7837</v>
      </c>
      <c r="E3912" s="15">
        <v>12.113</v>
      </c>
      <c r="F3912" s="42">
        <v>46198</v>
      </c>
    </row>
    <row r="3913" spans="1:6" x14ac:dyDescent="0.3">
      <c r="A3913" s="15" t="s">
        <v>43952</v>
      </c>
      <c r="B3913" s="15" t="s">
        <v>7838</v>
      </c>
      <c r="C3913" s="15" t="s">
        <v>800</v>
      </c>
      <c r="D3913" s="15" t="s">
        <v>7839</v>
      </c>
      <c r="E3913" s="15">
        <v>14.17</v>
      </c>
      <c r="F3913" s="42">
        <v>46198</v>
      </c>
    </row>
    <row r="3914" spans="1:6" x14ac:dyDescent="0.3">
      <c r="A3914" s="15" t="s">
        <v>43951</v>
      </c>
      <c r="B3914" s="15" t="s">
        <v>7840</v>
      </c>
      <c r="C3914" s="15" t="s">
        <v>800</v>
      </c>
      <c r="D3914" s="15" t="s">
        <v>7841</v>
      </c>
      <c r="E3914" s="15">
        <v>13.462300000000001</v>
      </c>
      <c r="F3914" s="42">
        <v>46198</v>
      </c>
    </row>
    <row r="3915" spans="1:6" x14ac:dyDescent="0.3">
      <c r="A3915" s="15" t="s">
        <v>43950</v>
      </c>
      <c r="B3915" s="15" t="s">
        <v>7842</v>
      </c>
      <c r="C3915" s="15" t="s">
        <v>7843</v>
      </c>
      <c r="D3915" s="15" t="s">
        <v>7844</v>
      </c>
      <c r="E3915" s="15">
        <v>11.4399</v>
      </c>
      <c r="F3915" s="42">
        <v>46198</v>
      </c>
    </row>
    <row r="3916" spans="1:6" x14ac:dyDescent="0.3">
      <c r="A3916" s="15" t="s">
        <v>33499</v>
      </c>
      <c r="B3916" s="15" t="s">
        <v>795</v>
      </c>
      <c r="C3916" s="15" t="s">
        <v>795</v>
      </c>
      <c r="D3916" s="15" t="s">
        <v>795</v>
      </c>
      <c r="F3916" s="42"/>
    </row>
    <row r="3917" spans="1:6" x14ac:dyDescent="0.3">
      <c r="A3917" s="15" t="s">
        <v>37780</v>
      </c>
      <c r="B3917" s="15" t="s">
        <v>795</v>
      </c>
      <c r="C3917" s="15" t="s">
        <v>795</v>
      </c>
      <c r="D3917" s="15" t="s">
        <v>795</v>
      </c>
      <c r="F3917" s="42"/>
    </row>
    <row r="3918" spans="1:6" x14ac:dyDescent="0.3">
      <c r="A3918" s="15" t="s">
        <v>33499</v>
      </c>
      <c r="B3918" s="15" t="s">
        <v>795</v>
      </c>
      <c r="C3918" s="15" t="s">
        <v>795</v>
      </c>
      <c r="D3918" s="15" t="s">
        <v>795</v>
      </c>
      <c r="F3918" s="42"/>
    </row>
    <row r="3919" spans="1:6" x14ac:dyDescent="0.3">
      <c r="A3919" s="15" t="s">
        <v>43949</v>
      </c>
      <c r="B3919" s="15" t="s">
        <v>7845</v>
      </c>
      <c r="C3919" s="15" t="s">
        <v>800</v>
      </c>
      <c r="D3919" s="15" t="s">
        <v>7846</v>
      </c>
      <c r="E3919" s="15">
        <v>17.669799999999999</v>
      </c>
      <c r="F3919" s="42">
        <v>46198</v>
      </c>
    </row>
    <row r="3920" spans="1:6" x14ac:dyDescent="0.3">
      <c r="A3920" s="15" t="s">
        <v>43948</v>
      </c>
      <c r="B3920" s="15" t="s">
        <v>7847</v>
      </c>
      <c r="C3920" s="15" t="s">
        <v>7848</v>
      </c>
      <c r="D3920" s="15" t="s">
        <v>7849</v>
      </c>
      <c r="E3920" s="15">
        <v>17.620799999999999</v>
      </c>
      <c r="F3920" s="42">
        <v>46198</v>
      </c>
    </row>
    <row r="3921" spans="1:6" x14ac:dyDescent="0.3">
      <c r="A3921" s="15" t="s">
        <v>43947</v>
      </c>
      <c r="B3921" s="15" t="s">
        <v>7850</v>
      </c>
      <c r="C3921" s="15" t="s">
        <v>800</v>
      </c>
      <c r="D3921" s="15" t="s">
        <v>7851</v>
      </c>
      <c r="E3921" s="15">
        <v>16.519400000000001</v>
      </c>
      <c r="F3921" s="42">
        <v>46198</v>
      </c>
    </row>
    <row r="3922" spans="1:6" x14ac:dyDescent="0.3">
      <c r="A3922" s="15" t="s">
        <v>43946</v>
      </c>
      <c r="B3922" s="15" t="s">
        <v>7852</v>
      </c>
      <c r="C3922" s="15" t="s">
        <v>7853</v>
      </c>
      <c r="D3922" s="15" t="s">
        <v>7854</v>
      </c>
      <c r="E3922" s="15">
        <v>16.523</v>
      </c>
      <c r="F3922" s="42">
        <v>46198</v>
      </c>
    </row>
    <row r="3923" spans="1:6" x14ac:dyDescent="0.3">
      <c r="A3923" s="15" t="s">
        <v>33499</v>
      </c>
      <c r="B3923" s="15" t="s">
        <v>795</v>
      </c>
      <c r="C3923" s="15" t="s">
        <v>795</v>
      </c>
      <c r="D3923" s="15" t="s">
        <v>795</v>
      </c>
      <c r="F3923" s="42"/>
    </row>
    <row r="3924" spans="1:6" x14ac:dyDescent="0.3">
      <c r="A3924" s="15" t="s">
        <v>208</v>
      </c>
      <c r="B3924" s="15" t="s">
        <v>795</v>
      </c>
      <c r="C3924" s="15" t="s">
        <v>795</v>
      </c>
      <c r="D3924" s="15" t="s">
        <v>795</v>
      </c>
      <c r="F3924" s="42"/>
    </row>
    <row r="3925" spans="1:6" x14ac:dyDescent="0.3">
      <c r="A3925" s="15" t="s">
        <v>33499</v>
      </c>
      <c r="B3925" s="15" t="s">
        <v>795</v>
      </c>
      <c r="C3925" s="15" t="s">
        <v>795</v>
      </c>
      <c r="D3925" s="15" t="s">
        <v>795</v>
      </c>
      <c r="F3925" s="42"/>
    </row>
    <row r="3926" spans="1:6" x14ac:dyDescent="0.3">
      <c r="A3926" s="15" t="s">
        <v>43945</v>
      </c>
      <c r="B3926" s="15" t="s">
        <v>7855</v>
      </c>
      <c r="C3926" s="15" t="s">
        <v>800</v>
      </c>
      <c r="D3926" s="15" t="s">
        <v>7856</v>
      </c>
      <c r="E3926" s="15">
        <v>55.837800000000001</v>
      </c>
      <c r="F3926" s="42">
        <v>46198</v>
      </c>
    </row>
    <row r="3927" spans="1:6" x14ac:dyDescent="0.3">
      <c r="A3927" s="15" t="s">
        <v>43944</v>
      </c>
      <c r="B3927" s="15" t="s">
        <v>7857</v>
      </c>
      <c r="C3927" s="15" t="s">
        <v>7858</v>
      </c>
      <c r="D3927" s="15" t="s">
        <v>7859</v>
      </c>
      <c r="E3927" s="15">
        <v>24.793800000000001</v>
      </c>
      <c r="F3927" s="42">
        <v>46198</v>
      </c>
    </row>
    <row r="3928" spans="1:6" x14ac:dyDescent="0.3">
      <c r="A3928" s="15" t="s">
        <v>43943</v>
      </c>
      <c r="B3928" s="15" t="s">
        <v>7860</v>
      </c>
      <c r="C3928" s="15" t="s">
        <v>800</v>
      </c>
      <c r="D3928" s="15" t="s">
        <v>7861</v>
      </c>
      <c r="E3928" s="15">
        <v>11.9093</v>
      </c>
      <c r="F3928" s="42">
        <v>46198</v>
      </c>
    </row>
    <row r="3929" spans="1:6" x14ac:dyDescent="0.3">
      <c r="A3929" s="15" t="s">
        <v>43942</v>
      </c>
      <c r="B3929" s="15" t="s">
        <v>7862</v>
      </c>
      <c r="C3929" s="15" t="s">
        <v>7863</v>
      </c>
      <c r="D3929" s="15" t="s">
        <v>7864</v>
      </c>
      <c r="E3929" s="15">
        <v>15.259399999999999</v>
      </c>
      <c r="F3929" s="42">
        <v>46198</v>
      </c>
    </row>
    <row r="3930" spans="1:6" x14ac:dyDescent="0.3">
      <c r="A3930" s="15" t="s">
        <v>43941</v>
      </c>
      <c r="B3930" s="15" t="s">
        <v>7865</v>
      </c>
      <c r="C3930" s="15" t="s">
        <v>800</v>
      </c>
      <c r="D3930" s="15" t="s">
        <v>7866</v>
      </c>
      <c r="E3930" s="15">
        <v>61.007599999999996</v>
      </c>
      <c r="F3930" s="42">
        <v>46198</v>
      </c>
    </row>
    <row r="3931" spans="1:6" x14ac:dyDescent="0.3">
      <c r="A3931" s="15" t="s">
        <v>43940</v>
      </c>
      <c r="B3931" s="15" t="s">
        <v>7867</v>
      </c>
      <c r="C3931" s="15" t="s">
        <v>7868</v>
      </c>
      <c r="D3931" s="15" t="s">
        <v>7869</v>
      </c>
      <c r="E3931" s="15">
        <v>22.711500000000001</v>
      </c>
      <c r="F3931" s="42">
        <v>46198</v>
      </c>
    </row>
    <row r="3932" spans="1:6" x14ac:dyDescent="0.3">
      <c r="A3932" s="15" t="s">
        <v>43939</v>
      </c>
      <c r="B3932" s="15" t="s">
        <v>7870</v>
      </c>
      <c r="C3932" s="15" t="s">
        <v>7871</v>
      </c>
      <c r="D3932" s="15" t="s">
        <v>7872</v>
      </c>
      <c r="E3932" s="15">
        <v>11.6782</v>
      </c>
      <c r="F3932" s="42">
        <v>46198</v>
      </c>
    </row>
    <row r="3933" spans="1:6" x14ac:dyDescent="0.3">
      <c r="A3933" s="15" t="s">
        <v>43938</v>
      </c>
      <c r="B3933" s="15" t="s">
        <v>7873</v>
      </c>
      <c r="C3933" s="15" t="s">
        <v>7874</v>
      </c>
      <c r="D3933" s="15" t="s">
        <v>7875</v>
      </c>
      <c r="E3933" s="15">
        <v>14.900399999999999</v>
      </c>
      <c r="F3933" s="42">
        <v>46198</v>
      </c>
    </row>
    <row r="3934" spans="1:6" x14ac:dyDescent="0.3">
      <c r="A3934" s="15" t="s">
        <v>33499</v>
      </c>
      <c r="B3934" s="15" t="s">
        <v>795</v>
      </c>
      <c r="C3934" s="15" t="s">
        <v>795</v>
      </c>
      <c r="D3934" s="15" t="s">
        <v>795</v>
      </c>
      <c r="F3934" s="42"/>
    </row>
    <row r="3935" spans="1:6" x14ac:dyDescent="0.3">
      <c r="A3935" s="15" t="s">
        <v>33636</v>
      </c>
      <c r="B3935" s="15" t="s">
        <v>795</v>
      </c>
      <c r="C3935" s="15" t="s">
        <v>795</v>
      </c>
      <c r="D3935" s="15" t="s">
        <v>795</v>
      </c>
      <c r="F3935" s="42"/>
    </row>
    <row r="3936" spans="1:6" x14ac:dyDescent="0.3">
      <c r="A3936" s="15" t="s">
        <v>33499</v>
      </c>
      <c r="B3936" s="15" t="s">
        <v>795</v>
      </c>
      <c r="C3936" s="15" t="s">
        <v>795</v>
      </c>
      <c r="D3936" s="15" t="s">
        <v>795</v>
      </c>
      <c r="F3936" s="42"/>
    </row>
    <row r="3937" spans="1:6" x14ac:dyDescent="0.3">
      <c r="A3937" s="15" t="s">
        <v>43937</v>
      </c>
      <c r="B3937" s="15" t="s">
        <v>7876</v>
      </c>
      <c r="C3937" s="15" t="s">
        <v>7877</v>
      </c>
      <c r="D3937" s="15" t="s">
        <v>7878</v>
      </c>
      <c r="E3937" s="15">
        <v>15.9277</v>
      </c>
      <c r="F3937" s="42">
        <v>46198</v>
      </c>
    </row>
    <row r="3938" spans="1:6" x14ac:dyDescent="0.3">
      <c r="A3938" s="15" t="s">
        <v>43936</v>
      </c>
      <c r="B3938" s="15" t="s">
        <v>7879</v>
      </c>
      <c r="C3938" s="15" t="s">
        <v>7880</v>
      </c>
      <c r="D3938" s="15" t="s">
        <v>7881</v>
      </c>
      <c r="E3938" s="15">
        <v>17.560400000000001</v>
      </c>
      <c r="F3938" s="42">
        <v>46198</v>
      </c>
    </row>
    <row r="3939" spans="1:6" x14ac:dyDescent="0.3">
      <c r="A3939" s="15" t="s">
        <v>43935</v>
      </c>
      <c r="B3939" s="15" t="s">
        <v>7882</v>
      </c>
      <c r="C3939" s="15" t="s">
        <v>7883</v>
      </c>
      <c r="D3939" s="15" t="s">
        <v>7884</v>
      </c>
      <c r="E3939" s="15">
        <v>15.903700000000001</v>
      </c>
      <c r="F3939" s="42">
        <v>46198</v>
      </c>
    </row>
    <row r="3940" spans="1:6" x14ac:dyDescent="0.3">
      <c r="A3940" s="15" t="s">
        <v>43934</v>
      </c>
      <c r="B3940" s="15" t="s">
        <v>7885</v>
      </c>
      <c r="C3940" s="15" t="s">
        <v>800</v>
      </c>
      <c r="D3940" s="15" t="s">
        <v>7886</v>
      </c>
      <c r="E3940" s="15">
        <v>38.339100000000002</v>
      </c>
      <c r="F3940" s="42">
        <v>46198</v>
      </c>
    </row>
    <row r="3941" spans="1:6" x14ac:dyDescent="0.3">
      <c r="A3941" s="15" t="s">
        <v>43933</v>
      </c>
      <c r="B3941" s="15" t="s">
        <v>7887</v>
      </c>
      <c r="C3941" s="15" t="s">
        <v>7888</v>
      </c>
      <c r="D3941" s="15" t="s">
        <v>7889</v>
      </c>
      <c r="E3941" s="15">
        <v>20.159500000000001</v>
      </c>
      <c r="F3941" s="42">
        <v>46198</v>
      </c>
    </row>
    <row r="3942" spans="1:6" x14ac:dyDescent="0.3">
      <c r="A3942" s="15" t="s">
        <v>43932</v>
      </c>
      <c r="B3942" s="15" t="s">
        <v>7890</v>
      </c>
      <c r="C3942" s="15" t="s">
        <v>800</v>
      </c>
      <c r="D3942" s="15" t="s">
        <v>7891</v>
      </c>
      <c r="E3942" s="15">
        <v>36.152900000000002</v>
      </c>
      <c r="F3942" s="42">
        <v>46198</v>
      </c>
    </row>
    <row r="3943" spans="1:6" x14ac:dyDescent="0.3">
      <c r="A3943" s="15" t="s">
        <v>43931</v>
      </c>
      <c r="B3943" s="15" t="s">
        <v>7892</v>
      </c>
      <c r="C3943" s="15" t="s">
        <v>7893</v>
      </c>
      <c r="D3943" s="15" t="s">
        <v>7894</v>
      </c>
      <c r="E3943" s="15">
        <v>24.3505</v>
      </c>
      <c r="F3943" s="42">
        <v>46198</v>
      </c>
    </row>
    <row r="3944" spans="1:6" x14ac:dyDescent="0.3">
      <c r="A3944" s="15" t="s">
        <v>43930</v>
      </c>
      <c r="B3944" s="15" t="s">
        <v>7895</v>
      </c>
      <c r="C3944" s="15" t="s">
        <v>7896</v>
      </c>
      <c r="D3944" s="15" t="s">
        <v>7897</v>
      </c>
      <c r="E3944" s="15">
        <v>15.836</v>
      </c>
      <c r="F3944" s="42">
        <v>46198</v>
      </c>
    </row>
    <row r="3945" spans="1:6" x14ac:dyDescent="0.3">
      <c r="A3945" s="15" t="s">
        <v>43929</v>
      </c>
      <c r="B3945" s="15" t="s">
        <v>7898</v>
      </c>
      <c r="C3945" s="15" t="s">
        <v>7899</v>
      </c>
      <c r="D3945" s="15" t="s">
        <v>7900</v>
      </c>
      <c r="E3945" s="15">
        <v>18.734100000000002</v>
      </c>
      <c r="F3945" s="42">
        <v>46198</v>
      </c>
    </row>
    <row r="3946" spans="1:6" x14ac:dyDescent="0.3">
      <c r="A3946" s="15" t="s">
        <v>43928</v>
      </c>
      <c r="B3946" s="15" t="s">
        <v>7901</v>
      </c>
      <c r="C3946" s="15" t="s">
        <v>800</v>
      </c>
      <c r="D3946" s="15" t="s">
        <v>7902</v>
      </c>
      <c r="E3946" s="15">
        <v>33.885899999999999</v>
      </c>
      <c r="F3946" s="42">
        <v>46198</v>
      </c>
    </row>
    <row r="3947" spans="1:6" x14ac:dyDescent="0.3">
      <c r="A3947" s="15" t="s">
        <v>43927</v>
      </c>
      <c r="B3947" s="15" t="s">
        <v>7903</v>
      </c>
      <c r="C3947" s="15" t="s">
        <v>7904</v>
      </c>
      <c r="D3947" s="15" t="s">
        <v>7905</v>
      </c>
      <c r="E3947" s="15">
        <v>15.349</v>
      </c>
      <c r="F3947" s="42">
        <v>46198</v>
      </c>
    </row>
    <row r="3948" spans="1:6" x14ac:dyDescent="0.3">
      <c r="A3948" s="15" t="s">
        <v>43926</v>
      </c>
      <c r="B3948" s="15" t="s">
        <v>7906</v>
      </c>
      <c r="C3948" s="15" t="s">
        <v>7907</v>
      </c>
      <c r="D3948" s="15" t="s">
        <v>7908</v>
      </c>
      <c r="E3948" s="15">
        <v>15.3642</v>
      </c>
      <c r="F3948" s="42">
        <v>46198</v>
      </c>
    </row>
    <row r="3949" spans="1:6" x14ac:dyDescent="0.3">
      <c r="A3949" s="15" t="s">
        <v>33499</v>
      </c>
      <c r="B3949" s="15" t="s">
        <v>795</v>
      </c>
      <c r="C3949" s="15" t="s">
        <v>795</v>
      </c>
      <c r="D3949" s="15" t="s">
        <v>795</v>
      </c>
      <c r="F3949" s="42"/>
    </row>
    <row r="3950" spans="1:6" x14ac:dyDescent="0.3">
      <c r="A3950" s="15" t="s">
        <v>37414</v>
      </c>
      <c r="B3950" s="15" t="s">
        <v>795</v>
      </c>
      <c r="C3950" s="15" t="s">
        <v>795</v>
      </c>
      <c r="D3950" s="15" t="s">
        <v>795</v>
      </c>
      <c r="F3950" s="42"/>
    </row>
    <row r="3951" spans="1:6" x14ac:dyDescent="0.3">
      <c r="A3951" s="15" t="s">
        <v>33499</v>
      </c>
      <c r="B3951" s="15" t="s">
        <v>795</v>
      </c>
      <c r="C3951" s="15" t="s">
        <v>795</v>
      </c>
      <c r="D3951" s="15" t="s">
        <v>795</v>
      </c>
      <c r="F3951" s="42"/>
    </row>
    <row r="3952" spans="1:6" x14ac:dyDescent="0.3">
      <c r="A3952" s="15" t="s">
        <v>43925</v>
      </c>
      <c r="B3952" s="15" t="s">
        <v>7909</v>
      </c>
      <c r="C3952" s="15" t="s">
        <v>800</v>
      </c>
      <c r="D3952" s="15" t="s">
        <v>7910</v>
      </c>
      <c r="E3952" s="15">
        <v>15.108499999999999</v>
      </c>
      <c r="F3952" s="42">
        <v>45835</v>
      </c>
    </row>
    <row r="3953" spans="1:6" x14ac:dyDescent="0.3">
      <c r="A3953" s="15" t="s">
        <v>43924</v>
      </c>
      <c r="B3953" s="15" t="s">
        <v>7911</v>
      </c>
      <c r="C3953" s="15" t="s">
        <v>7912</v>
      </c>
      <c r="D3953" s="15" t="s">
        <v>7913</v>
      </c>
      <c r="E3953" s="15">
        <v>13.2241</v>
      </c>
      <c r="F3953" s="42">
        <v>46198</v>
      </c>
    </row>
    <row r="3954" spans="1:6" x14ac:dyDescent="0.3">
      <c r="A3954" s="15" t="s">
        <v>43923</v>
      </c>
      <c r="B3954" s="15" t="s">
        <v>7914</v>
      </c>
      <c r="C3954" s="15" t="s">
        <v>800</v>
      </c>
      <c r="D3954" s="15" t="s">
        <v>7915</v>
      </c>
      <c r="E3954" s="15">
        <v>14.753500000000001</v>
      </c>
      <c r="F3954" s="42">
        <v>45835</v>
      </c>
    </row>
    <row r="3955" spans="1:6" x14ac:dyDescent="0.3">
      <c r="A3955" s="15" t="s">
        <v>43922</v>
      </c>
      <c r="B3955" s="15" t="s">
        <v>7916</v>
      </c>
      <c r="C3955" s="15" t="s">
        <v>800</v>
      </c>
      <c r="D3955" s="15" t="s">
        <v>7917</v>
      </c>
      <c r="E3955" s="15">
        <v>14.812900000000001</v>
      </c>
      <c r="F3955" s="42">
        <v>45835</v>
      </c>
    </row>
    <row r="3956" spans="1:6" x14ac:dyDescent="0.3">
      <c r="A3956" s="15" t="s">
        <v>43921</v>
      </c>
      <c r="B3956" s="15" t="s">
        <v>7918</v>
      </c>
      <c r="C3956" s="15" t="s">
        <v>7919</v>
      </c>
      <c r="D3956" s="15" t="s">
        <v>7920</v>
      </c>
      <c r="E3956" s="15">
        <v>12.9214</v>
      </c>
      <c r="F3956" s="42">
        <v>45471</v>
      </c>
    </row>
    <row r="3957" spans="1:6" x14ac:dyDescent="0.3">
      <c r="A3957" s="15" t="s">
        <v>43920</v>
      </c>
      <c r="B3957" s="15" t="s">
        <v>7921</v>
      </c>
      <c r="C3957" s="15" t="s">
        <v>800</v>
      </c>
      <c r="D3957" s="15" t="s">
        <v>7922</v>
      </c>
      <c r="E3957" s="15">
        <v>15.3483</v>
      </c>
      <c r="F3957" s="42">
        <v>45835</v>
      </c>
    </row>
    <row r="3958" spans="1:6" x14ac:dyDescent="0.3">
      <c r="A3958" s="15" t="s">
        <v>43919</v>
      </c>
      <c r="B3958" s="15" t="s">
        <v>7923</v>
      </c>
      <c r="C3958" s="15" t="s">
        <v>7924</v>
      </c>
      <c r="D3958" s="15" t="s">
        <v>7925</v>
      </c>
      <c r="E3958" s="15">
        <v>12.8985</v>
      </c>
      <c r="F3958" s="42">
        <v>45471</v>
      </c>
    </row>
    <row r="3959" spans="1:6" x14ac:dyDescent="0.3">
      <c r="A3959" s="15" t="s">
        <v>43918</v>
      </c>
      <c r="B3959" s="15" t="s">
        <v>7926</v>
      </c>
      <c r="C3959" s="15" t="s">
        <v>800</v>
      </c>
      <c r="D3959" s="15" t="s">
        <v>7927</v>
      </c>
      <c r="E3959" s="15">
        <v>14.4651</v>
      </c>
      <c r="F3959" s="42">
        <v>45835</v>
      </c>
    </row>
    <row r="3960" spans="1:6" x14ac:dyDescent="0.3">
      <c r="A3960" s="15" t="s">
        <v>43917</v>
      </c>
      <c r="B3960" s="15" t="s">
        <v>7928</v>
      </c>
      <c r="C3960" s="15" t="s">
        <v>7929</v>
      </c>
      <c r="D3960" s="15" t="s">
        <v>7930</v>
      </c>
      <c r="E3960" s="15">
        <v>12.883800000000001</v>
      </c>
      <c r="F3960" s="42">
        <v>45471</v>
      </c>
    </row>
    <row r="3961" spans="1:6" x14ac:dyDescent="0.3">
      <c r="A3961" s="15" t="s">
        <v>43916</v>
      </c>
      <c r="B3961" s="15" t="s">
        <v>7931</v>
      </c>
      <c r="C3961" s="15" t="s">
        <v>800</v>
      </c>
      <c r="D3961" s="15" t="s">
        <v>7932</v>
      </c>
      <c r="E3961" s="15">
        <v>14.9869</v>
      </c>
      <c r="F3961" s="42">
        <v>45835</v>
      </c>
    </row>
    <row r="3962" spans="1:6" x14ac:dyDescent="0.3">
      <c r="A3962" s="15" t="s">
        <v>43915</v>
      </c>
      <c r="B3962" s="15" t="s">
        <v>800</v>
      </c>
      <c r="C3962" s="15" t="s">
        <v>7933</v>
      </c>
      <c r="D3962" s="15" t="s">
        <v>7934</v>
      </c>
      <c r="E3962" s="15">
        <v>16.0336</v>
      </c>
      <c r="F3962" s="42">
        <v>45835</v>
      </c>
    </row>
    <row r="3963" spans="1:6" x14ac:dyDescent="0.3">
      <c r="A3963" s="15" t="s">
        <v>43914</v>
      </c>
      <c r="B3963" s="15" t="s">
        <v>7935</v>
      </c>
      <c r="C3963" s="15" t="s">
        <v>7936</v>
      </c>
      <c r="D3963" s="15" t="s">
        <v>7937</v>
      </c>
      <c r="E3963" s="15">
        <v>12.862399999999999</v>
      </c>
      <c r="F3963" s="42">
        <v>45471</v>
      </c>
    </row>
    <row r="3964" spans="1:6" x14ac:dyDescent="0.3">
      <c r="A3964" s="15" t="s">
        <v>43913</v>
      </c>
      <c r="B3964" s="15" t="s">
        <v>7938</v>
      </c>
      <c r="C3964" s="15" t="s">
        <v>800</v>
      </c>
      <c r="D3964" s="15" t="s">
        <v>7939</v>
      </c>
      <c r="E3964" s="15">
        <v>50.768999999999998</v>
      </c>
      <c r="F3964" s="42">
        <v>46198</v>
      </c>
    </row>
    <row r="3965" spans="1:6" x14ac:dyDescent="0.3">
      <c r="A3965" s="15" t="s">
        <v>43912</v>
      </c>
      <c r="B3965" s="15" t="s">
        <v>7940</v>
      </c>
      <c r="C3965" s="15" t="s">
        <v>800</v>
      </c>
      <c r="D3965" s="15" t="s">
        <v>7941</v>
      </c>
      <c r="E3965" s="15">
        <v>46.673699999999997</v>
      </c>
      <c r="F3965" s="42">
        <v>46198</v>
      </c>
    </row>
    <row r="3966" spans="1:6" x14ac:dyDescent="0.3">
      <c r="A3966" s="15" t="s">
        <v>43911</v>
      </c>
      <c r="B3966" s="15" t="s">
        <v>7942</v>
      </c>
      <c r="C3966" s="15" t="s">
        <v>7943</v>
      </c>
      <c r="D3966" s="15" t="s">
        <v>7944</v>
      </c>
      <c r="E3966" s="15">
        <v>13.087</v>
      </c>
      <c r="F3966" s="42">
        <v>46198</v>
      </c>
    </row>
    <row r="3967" spans="1:6" x14ac:dyDescent="0.3">
      <c r="A3967" s="15" t="s">
        <v>33499</v>
      </c>
      <c r="B3967" s="15" t="s">
        <v>795</v>
      </c>
      <c r="C3967" s="15" t="s">
        <v>795</v>
      </c>
      <c r="D3967" s="15" t="s">
        <v>795</v>
      </c>
      <c r="F3967" s="42"/>
    </row>
    <row r="3968" spans="1:6" x14ac:dyDescent="0.3">
      <c r="A3968" s="15" t="s">
        <v>33519</v>
      </c>
      <c r="B3968" s="15" t="s">
        <v>795</v>
      </c>
      <c r="C3968" s="15" t="s">
        <v>795</v>
      </c>
      <c r="D3968" s="15" t="s">
        <v>795</v>
      </c>
      <c r="F3968" s="42"/>
    </row>
    <row r="3969" spans="1:6" x14ac:dyDescent="0.3">
      <c r="A3969" s="15" t="s">
        <v>33499</v>
      </c>
      <c r="B3969" s="15" t="s">
        <v>795</v>
      </c>
      <c r="C3969" s="15" t="s">
        <v>795</v>
      </c>
      <c r="D3969" s="15" t="s">
        <v>795</v>
      </c>
      <c r="F3969" s="42"/>
    </row>
    <row r="3970" spans="1:6" x14ac:dyDescent="0.3">
      <c r="A3970" s="15" t="s">
        <v>43910</v>
      </c>
      <c r="B3970" s="15" t="s">
        <v>7945</v>
      </c>
      <c r="C3970" s="15" t="s">
        <v>800</v>
      </c>
      <c r="D3970" s="15" t="s">
        <v>7946</v>
      </c>
      <c r="E3970" s="15">
        <v>55.948700000000002</v>
      </c>
      <c r="F3970" s="42">
        <v>46198</v>
      </c>
    </row>
    <row r="3971" spans="1:6" x14ac:dyDescent="0.3">
      <c r="A3971" s="15" t="s">
        <v>43909</v>
      </c>
      <c r="B3971" s="15" t="s">
        <v>7947</v>
      </c>
      <c r="C3971" s="15" t="s">
        <v>800</v>
      </c>
      <c r="D3971" s="15" t="s">
        <v>7948</v>
      </c>
      <c r="E3971" s="15">
        <v>50.156599999999997</v>
      </c>
      <c r="F3971" s="42">
        <v>46198</v>
      </c>
    </row>
    <row r="3972" spans="1:6" x14ac:dyDescent="0.3">
      <c r="A3972" s="15" t="s">
        <v>43908</v>
      </c>
      <c r="B3972" s="15" t="s">
        <v>7949</v>
      </c>
      <c r="C3972" s="15" t="s">
        <v>7950</v>
      </c>
      <c r="D3972" s="15" t="s">
        <v>7951</v>
      </c>
      <c r="E3972" s="15">
        <v>25.412800000000001</v>
      </c>
      <c r="F3972" s="42">
        <v>46198</v>
      </c>
    </row>
    <row r="3973" spans="1:6" x14ac:dyDescent="0.3">
      <c r="A3973" s="15" t="s">
        <v>43907</v>
      </c>
      <c r="B3973" s="15" t="s">
        <v>7952</v>
      </c>
      <c r="C3973" s="15" t="s">
        <v>7953</v>
      </c>
      <c r="D3973" s="15" t="s">
        <v>7954</v>
      </c>
      <c r="E3973" s="15">
        <v>29.688600000000001</v>
      </c>
      <c r="F3973" s="42">
        <v>46198</v>
      </c>
    </row>
    <row r="3974" spans="1:6" x14ac:dyDescent="0.3">
      <c r="A3974" s="15" t="s">
        <v>43906</v>
      </c>
      <c r="B3974" s="15" t="s">
        <v>7955</v>
      </c>
      <c r="C3974" s="15" t="s">
        <v>7956</v>
      </c>
      <c r="D3974" s="15" t="s">
        <v>7957</v>
      </c>
      <c r="E3974" s="15">
        <v>22.651</v>
      </c>
      <c r="F3974" s="42">
        <v>46198</v>
      </c>
    </row>
    <row r="3975" spans="1:6" x14ac:dyDescent="0.3">
      <c r="A3975" s="15" t="s">
        <v>43905</v>
      </c>
      <c r="B3975" s="15" t="s">
        <v>7958</v>
      </c>
      <c r="C3975" s="15" t="s">
        <v>7959</v>
      </c>
      <c r="D3975" s="15" t="s">
        <v>7960</v>
      </c>
      <c r="E3975" s="15">
        <v>26.575900000000001</v>
      </c>
      <c r="F3975" s="42">
        <v>46198</v>
      </c>
    </row>
    <row r="3976" spans="1:6" x14ac:dyDescent="0.3">
      <c r="A3976" s="15" t="s">
        <v>33499</v>
      </c>
      <c r="B3976" s="15" t="s">
        <v>795</v>
      </c>
      <c r="C3976" s="15" t="s">
        <v>795</v>
      </c>
      <c r="D3976" s="15" t="s">
        <v>795</v>
      </c>
      <c r="F3976" s="42"/>
    </row>
    <row r="3977" spans="1:6" x14ac:dyDescent="0.3">
      <c r="A3977" s="15" t="s">
        <v>33508</v>
      </c>
      <c r="B3977" s="15" t="s">
        <v>795</v>
      </c>
      <c r="C3977" s="15" t="s">
        <v>795</v>
      </c>
      <c r="D3977" s="15" t="s">
        <v>795</v>
      </c>
      <c r="F3977" s="42"/>
    </row>
    <row r="3978" spans="1:6" x14ac:dyDescent="0.3">
      <c r="A3978" s="15" t="s">
        <v>33499</v>
      </c>
      <c r="B3978" s="15" t="s">
        <v>795</v>
      </c>
      <c r="C3978" s="15" t="s">
        <v>795</v>
      </c>
      <c r="D3978" s="15" t="s">
        <v>795</v>
      </c>
      <c r="F3978" s="42"/>
    </row>
    <row r="3979" spans="1:6" x14ac:dyDescent="0.3">
      <c r="A3979" s="15" t="s">
        <v>43904</v>
      </c>
      <c r="B3979" s="15" t="s">
        <v>7961</v>
      </c>
      <c r="C3979" s="15" t="s">
        <v>800</v>
      </c>
      <c r="D3979" s="15" t="s">
        <v>7962</v>
      </c>
      <c r="E3979" s="15">
        <v>1347.9177999999999</v>
      </c>
      <c r="F3979" s="42">
        <v>46198</v>
      </c>
    </row>
    <row r="3980" spans="1:6" x14ac:dyDescent="0.3">
      <c r="A3980" s="15" t="s">
        <v>43903</v>
      </c>
      <c r="B3980" s="15" t="s">
        <v>7963</v>
      </c>
      <c r="C3980" s="15" t="s">
        <v>7964</v>
      </c>
      <c r="D3980" s="15" t="s">
        <v>7965</v>
      </c>
      <c r="E3980" s="15">
        <v>1157.8751999999999</v>
      </c>
      <c r="F3980" s="42">
        <v>46198</v>
      </c>
    </row>
    <row r="3981" spans="1:6" x14ac:dyDescent="0.3">
      <c r="A3981" s="15" t="s">
        <v>43902</v>
      </c>
      <c r="B3981" s="15" t="s">
        <v>7966</v>
      </c>
      <c r="C3981" s="15" t="s">
        <v>7967</v>
      </c>
      <c r="D3981" s="15" t="s">
        <v>7968</v>
      </c>
      <c r="E3981" s="15">
        <v>1171.33</v>
      </c>
      <c r="F3981" s="42">
        <v>46198</v>
      </c>
    </row>
    <row r="3982" spans="1:6" x14ac:dyDescent="0.3">
      <c r="A3982" s="15" t="s">
        <v>43901</v>
      </c>
      <c r="B3982" s="15" t="s">
        <v>800</v>
      </c>
      <c r="C3982" s="15" t="s">
        <v>7969</v>
      </c>
      <c r="D3982" s="15" t="s">
        <v>7970</v>
      </c>
      <c r="E3982" s="15">
        <v>1134.8617999999999</v>
      </c>
      <c r="F3982" s="42">
        <v>46198</v>
      </c>
    </row>
    <row r="3983" spans="1:6" x14ac:dyDescent="0.3">
      <c r="A3983" s="15" t="s">
        <v>43900</v>
      </c>
      <c r="B3983" s="15" t="s">
        <v>7971</v>
      </c>
      <c r="C3983" s="15" t="s">
        <v>800</v>
      </c>
      <c r="D3983" s="15" t="s">
        <v>7972</v>
      </c>
      <c r="E3983" s="15">
        <v>1315.3494000000001</v>
      </c>
      <c r="F3983" s="42">
        <v>46198</v>
      </c>
    </row>
    <row r="3984" spans="1:6" x14ac:dyDescent="0.3">
      <c r="A3984" s="15" t="s">
        <v>43899</v>
      </c>
      <c r="B3984" s="15" t="s">
        <v>7973</v>
      </c>
      <c r="C3984" s="15" t="s">
        <v>7974</v>
      </c>
      <c r="D3984" s="15" t="s">
        <v>7975</v>
      </c>
      <c r="E3984" s="15">
        <v>1137.8996</v>
      </c>
      <c r="F3984" s="42">
        <v>46198</v>
      </c>
    </row>
    <row r="3985" spans="1:6" x14ac:dyDescent="0.3">
      <c r="A3985" s="15" t="s">
        <v>43898</v>
      </c>
      <c r="B3985" s="15" t="s">
        <v>7976</v>
      </c>
      <c r="C3985" s="15" t="s">
        <v>7977</v>
      </c>
      <c r="D3985" s="15" t="s">
        <v>7978</v>
      </c>
      <c r="E3985" s="15">
        <v>1140.8139000000001</v>
      </c>
      <c r="F3985" s="42">
        <v>46198</v>
      </c>
    </row>
    <row r="3986" spans="1:6" x14ac:dyDescent="0.3">
      <c r="A3986" s="15" t="s">
        <v>43897</v>
      </c>
      <c r="B3986" s="15" t="s">
        <v>800</v>
      </c>
      <c r="C3986" s="15" t="s">
        <v>7979</v>
      </c>
      <c r="D3986" s="15" t="s">
        <v>7980</v>
      </c>
      <c r="E3986" s="15">
        <v>1115.5310999999999</v>
      </c>
      <c r="F3986" s="42">
        <v>46198</v>
      </c>
    </row>
    <row r="3987" spans="1:6" x14ac:dyDescent="0.3">
      <c r="A3987" s="15" t="s">
        <v>33499</v>
      </c>
      <c r="B3987" s="15" t="s">
        <v>795</v>
      </c>
      <c r="C3987" s="15" t="s">
        <v>795</v>
      </c>
      <c r="D3987" s="15" t="s">
        <v>795</v>
      </c>
      <c r="F3987" s="42"/>
    </row>
    <row r="3988" spans="1:6" x14ac:dyDescent="0.3">
      <c r="A3988" s="15" t="s">
        <v>33504</v>
      </c>
      <c r="B3988" s="15" t="s">
        <v>795</v>
      </c>
      <c r="C3988" s="15" t="s">
        <v>795</v>
      </c>
      <c r="D3988" s="15" t="s">
        <v>795</v>
      </c>
      <c r="F3988" s="42"/>
    </row>
    <row r="3989" spans="1:6" x14ac:dyDescent="0.3">
      <c r="A3989" s="15" t="s">
        <v>33499</v>
      </c>
      <c r="B3989" s="15" t="s">
        <v>795</v>
      </c>
      <c r="C3989" s="15" t="s">
        <v>795</v>
      </c>
      <c r="D3989" s="15" t="s">
        <v>795</v>
      </c>
      <c r="F3989" s="42"/>
    </row>
    <row r="3990" spans="1:6" x14ac:dyDescent="0.3">
      <c r="A3990" s="15" t="s">
        <v>43896</v>
      </c>
      <c r="B3990" s="15" t="s">
        <v>7981</v>
      </c>
      <c r="C3990" s="15" t="s">
        <v>800</v>
      </c>
      <c r="D3990" s="15" t="s">
        <v>7982</v>
      </c>
      <c r="E3990" s="15">
        <v>10.993399999999999</v>
      </c>
      <c r="F3990" s="42">
        <v>46198</v>
      </c>
    </row>
    <row r="3991" spans="1:6" x14ac:dyDescent="0.3">
      <c r="A3991" s="15" t="s">
        <v>43895</v>
      </c>
      <c r="B3991" s="15" t="s">
        <v>7983</v>
      </c>
      <c r="C3991" s="15" t="s">
        <v>7984</v>
      </c>
      <c r="D3991" s="15" t="s">
        <v>7985</v>
      </c>
      <c r="E3991" s="15">
        <v>10.993399999999999</v>
      </c>
      <c r="F3991" s="42">
        <v>46198</v>
      </c>
    </row>
    <row r="3992" spans="1:6" x14ac:dyDescent="0.3">
      <c r="A3992" s="15" t="s">
        <v>43894</v>
      </c>
      <c r="B3992" s="15" t="s">
        <v>7986</v>
      </c>
      <c r="C3992" s="15" t="s">
        <v>800</v>
      </c>
      <c r="D3992" s="15" t="s">
        <v>7987</v>
      </c>
      <c r="E3992" s="15">
        <v>10.9352</v>
      </c>
      <c r="F3992" s="42">
        <v>46198</v>
      </c>
    </row>
    <row r="3993" spans="1:6" x14ac:dyDescent="0.3">
      <c r="A3993" s="15" t="s">
        <v>43893</v>
      </c>
      <c r="B3993" s="15" t="s">
        <v>7988</v>
      </c>
      <c r="C3993" s="15" t="s">
        <v>7989</v>
      </c>
      <c r="D3993" s="15" t="s">
        <v>7990</v>
      </c>
      <c r="E3993" s="15">
        <v>10.9352</v>
      </c>
      <c r="F3993" s="42">
        <v>46198</v>
      </c>
    </row>
    <row r="3994" spans="1:6" x14ac:dyDescent="0.3">
      <c r="A3994" s="15" t="s">
        <v>33499</v>
      </c>
      <c r="B3994" s="15" t="s">
        <v>795</v>
      </c>
      <c r="C3994" s="15" t="s">
        <v>795</v>
      </c>
      <c r="D3994" s="15" t="s">
        <v>795</v>
      </c>
      <c r="F3994" s="42"/>
    </row>
    <row r="3995" spans="1:6" x14ac:dyDescent="0.3">
      <c r="A3995" s="15" t="s">
        <v>33500</v>
      </c>
      <c r="B3995" s="15" t="s">
        <v>795</v>
      </c>
      <c r="C3995" s="15" t="s">
        <v>795</v>
      </c>
      <c r="D3995" s="15" t="s">
        <v>795</v>
      </c>
      <c r="F3995" s="42"/>
    </row>
    <row r="3996" spans="1:6" x14ac:dyDescent="0.3">
      <c r="A3996" s="15" t="s">
        <v>33499</v>
      </c>
      <c r="B3996" s="15" t="s">
        <v>795</v>
      </c>
      <c r="C3996" s="15" t="s">
        <v>795</v>
      </c>
      <c r="D3996" s="15" t="s">
        <v>795</v>
      </c>
      <c r="F3996" s="42"/>
    </row>
    <row r="3997" spans="1:6" x14ac:dyDescent="0.3">
      <c r="A3997" s="15" t="s">
        <v>43892</v>
      </c>
      <c r="B3997" s="15" t="s">
        <v>7991</v>
      </c>
      <c r="C3997" s="15" t="s">
        <v>7992</v>
      </c>
      <c r="D3997" s="15" t="s">
        <v>7993</v>
      </c>
      <c r="E3997" s="15">
        <v>13.5482</v>
      </c>
      <c r="F3997" s="42">
        <v>46198</v>
      </c>
    </row>
    <row r="3998" spans="1:6" x14ac:dyDescent="0.3">
      <c r="A3998" s="15" t="s">
        <v>43891</v>
      </c>
      <c r="B3998" s="15" t="s">
        <v>7994</v>
      </c>
      <c r="C3998" s="15" t="s">
        <v>7995</v>
      </c>
      <c r="D3998" s="15" t="s">
        <v>7996</v>
      </c>
      <c r="E3998" s="15">
        <v>19.7349</v>
      </c>
      <c r="F3998" s="42">
        <v>46198</v>
      </c>
    </row>
    <row r="3999" spans="1:6" x14ac:dyDescent="0.3">
      <c r="A3999" s="15" t="s">
        <v>43890</v>
      </c>
      <c r="B3999" s="15" t="s">
        <v>7997</v>
      </c>
      <c r="C3999" s="15" t="s">
        <v>800</v>
      </c>
      <c r="D3999" s="15" t="s">
        <v>7998</v>
      </c>
      <c r="E3999" s="15">
        <v>35.729700000000001</v>
      </c>
      <c r="F3999" s="42">
        <v>46198</v>
      </c>
    </row>
    <row r="4000" spans="1:6" x14ac:dyDescent="0.3">
      <c r="A4000" s="15" t="s">
        <v>43889</v>
      </c>
      <c r="B4000" s="15" t="s">
        <v>7999</v>
      </c>
      <c r="C4000" s="15" t="s">
        <v>8000</v>
      </c>
      <c r="D4000" s="15" t="s">
        <v>8001</v>
      </c>
      <c r="E4000" s="15">
        <v>14.6265</v>
      </c>
      <c r="F4000" s="42">
        <v>46198</v>
      </c>
    </row>
    <row r="4001" spans="1:6" x14ac:dyDescent="0.3">
      <c r="A4001" s="15" t="s">
        <v>43888</v>
      </c>
      <c r="B4001" s="15" t="s">
        <v>8002</v>
      </c>
      <c r="C4001" s="15" t="s">
        <v>8003</v>
      </c>
      <c r="D4001" s="15" t="s">
        <v>8004</v>
      </c>
      <c r="E4001" s="15">
        <v>10.671099999999999</v>
      </c>
      <c r="F4001" s="42">
        <v>46198</v>
      </c>
    </row>
    <row r="4002" spans="1:6" x14ac:dyDescent="0.3">
      <c r="A4002" s="15" t="s">
        <v>43887</v>
      </c>
      <c r="B4002" s="15" t="s">
        <v>8005</v>
      </c>
      <c r="C4002" s="15" t="s">
        <v>8006</v>
      </c>
      <c r="D4002" s="15" t="s">
        <v>8007</v>
      </c>
      <c r="E4002" s="15">
        <v>20.202500000000001</v>
      </c>
      <c r="F4002" s="42">
        <v>46198</v>
      </c>
    </row>
    <row r="4003" spans="1:6" x14ac:dyDescent="0.3">
      <c r="A4003" s="15" t="s">
        <v>43886</v>
      </c>
      <c r="B4003" s="15" t="s">
        <v>8008</v>
      </c>
      <c r="C4003" s="15" t="s">
        <v>8009</v>
      </c>
      <c r="D4003" s="15" t="s">
        <v>8010</v>
      </c>
      <c r="E4003" s="15">
        <v>24.878399999999999</v>
      </c>
      <c r="F4003" s="42">
        <v>46198</v>
      </c>
    </row>
    <row r="4004" spans="1:6" x14ac:dyDescent="0.3">
      <c r="A4004" s="15" t="s">
        <v>43885</v>
      </c>
      <c r="B4004" s="15" t="s">
        <v>8011</v>
      </c>
      <c r="C4004" s="15" t="s">
        <v>800</v>
      </c>
      <c r="D4004" s="15" t="s">
        <v>8012</v>
      </c>
      <c r="E4004" s="15">
        <v>47.060400000000001</v>
      </c>
      <c r="F4004" s="42">
        <v>46198</v>
      </c>
    </row>
    <row r="4005" spans="1:6" x14ac:dyDescent="0.3">
      <c r="A4005" s="15" t="s">
        <v>43884</v>
      </c>
      <c r="B4005" s="15" t="s">
        <v>8013</v>
      </c>
      <c r="C4005" s="15" t="s">
        <v>8014</v>
      </c>
      <c r="D4005" s="15" t="s">
        <v>8015</v>
      </c>
      <c r="E4005" s="15">
        <v>14.7844</v>
      </c>
      <c r="F4005" s="42">
        <v>46198</v>
      </c>
    </row>
    <row r="4006" spans="1:6" x14ac:dyDescent="0.3">
      <c r="A4006" s="15" t="s">
        <v>43883</v>
      </c>
      <c r="B4006" s="15" t="s">
        <v>8016</v>
      </c>
      <c r="C4006" s="15" t="s">
        <v>8017</v>
      </c>
      <c r="D4006" s="15" t="s">
        <v>8018</v>
      </c>
      <c r="E4006" s="15">
        <v>19.089600000000001</v>
      </c>
      <c r="F4006" s="42">
        <v>46198</v>
      </c>
    </row>
    <row r="4007" spans="1:6" x14ac:dyDescent="0.3">
      <c r="A4007" s="15" t="s">
        <v>43882</v>
      </c>
      <c r="B4007" s="15" t="s">
        <v>8019</v>
      </c>
      <c r="C4007" s="15" t="s">
        <v>800</v>
      </c>
      <c r="D4007" s="15" t="s">
        <v>8020</v>
      </c>
      <c r="E4007" s="15">
        <v>33.431600000000003</v>
      </c>
      <c r="F4007" s="42">
        <v>46198</v>
      </c>
    </row>
    <row r="4008" spans="1:6" x14ac:dyDescent="0.3">
      <c r="A4008" s="15" t="s">
        <v>43881</v>
      </c>
      <c r="B4008" s="15" t="s">
        <v>8021</v>
      </c>
      <c r="C4008" s="15" t="s">
        <v>8022</v>
      </c>
      <c r="D4008" s="15" t="s">
        <v>8023</v>
      </c>
      <c r="E4008" s="15">
        <v>14.320600000000001</v>
      </c>
      <c r="F4008" s="42">
        <v>46198</v>
      </c>
    </row>
    <row r="4009" spans="1:6" x14ac:dyDescent="0.3">
      <c r="A4009" s="15" t="s">
        <v>43880</v>
      </c>
      <c r="B4009" s="15" t="s">
        <v>8024</v>
      </c>
      <c r="C4009" s="15" t="s">
        <v>8025</v>
      </c>
      <c r="D4009" s="15" t="s">
        <v>8026</v>
      </c>
      <c r="E4009" s="15">
        <v>11.9917</v>
      </c>
      <c r="F4009" s="42">
        <v>46198</v>
      </c>
    </row>
    <row r="4010" spans="1:6" x14ac:dyDescent="0.3">
      <c r="A4010" s="15" t="s">
        <v>43879</v>
      </c>
      <c r="B4010" s="15" t="s">
        <v>8027</v>
      </c>
      <c r="C4010" s="15" t="s">
        <v>8028</v>
      </c>
      <c r="D4010" s="15" t="s">
        <v>8029</v>
      </c>
      <c r="E4010" s="15">
        <v>17.299800000000001</v>
      </c>
      <c r="F4010" s="42">
        <v>46198</v>
      </c>
    </row>
    <row r="4011" spans="1:6" x14ac:dyDescent="0.3">
      <c r="A4011" s="15" t="s">
        <v>33499</v>
      </c>
      <c r="B4011" s="15" t="s">
        <v>795</v>
      </c>
      <c r="C4011" s="15" t="s">
        <v>795</v>
      </c>
      <c r="D4011" s="15" t="s">
        <v>795</v>
      </c>
      <c r="F4011" s="42"/>
    </row>
    <row r="4012" spans="1:6" x14ac:dyDescent="0.3">
      <c r="A4012" s="15" t="s">
        <v>43878</v>
      </c>
      <c r="B4012" s="15" t="s">
        <v>795</v>
      </c>
      <c r="C4012" s="15" t="s">
        <v>795</v>
      </c>
      <c r="D4012" s="15" t="s">
        <v>795</v>
      </c>
      <c r="F4012" s="42"/>
    </row>
    <row r="4013" spans="1:6" x14ac:dyDescent="0.3">
      <c r="A4013" s="15" t="s">
        <v>33499</v>
      </c>
      <c r="B4013" s="15" t="s">
        <v>795</v>
      </c>
      <c r="C4013" s="15" t="s">
        <v>795</v>
      </c>
      <c r="D4013" s="15" t="s">
        <v>795</v>
      </c>
      <c r="F4013" s="42"/>
    </row>
    <row r="4014" spans="1:6" x14ac:dyDescent="0.3">
      <c r="A4014" s="15" t="s">
        <v>37122</v>
      </c>
      <c r="B4014" s="15" t="s">
        <v>795</v>
      </c>
      <c r="C4014" s="15" t="s">
        <v>795</v>
      </c>
      <c r="D4014" s="15" t="s">
        <v>795</v>
      </c>
      <c r="F4014" s="42"/>
    </row>
    <row r="4015" spans="1:6" x14ac:dyDescent="0.3">
      <c r="A4015" s="15" t="s">
        <v>33499</v>
      </c>
      <c r="B4015" s="15" t="s">
        <v>795</v>
      </c>
      <c r="C4015" s="15" t="s">
        <v>795</v>
      </c>
      <c r="D4015" s="15" t="s">
        <v>795</v>
      </c>
      <c r="F4015" s="42"/>
    </row>
    <row r="4016" spans="1:6" x14ac:dyDescent="0.3">
      <c r="A4016" s="15" t="s">
        <v>43877</v>
      </c>
      <c r="B4016" s="15" t="s">
        <v>8030</v>
      </c>
      <c r="C4016" s="15" t="s">
        <v>800</v>
      </c>
      <c r="D4016" s="15" t="s">
        <v>8031</v>
      </c>
      <c r="E4016" s="15">
        <v>332.73770000000002</v>
      </c>
      <c r="F4016" s="42">
        <v>46192</v>
      </c>
    </row>
    <row r="4017" spans="1:6" x14ac:dyDescent="0.3">
      <c r="A4017" s="15" t="s">
        <v>43876</v>
      </c>
      <c r="B4017" s="15" t="s">
        <v>8032</v>
      </c>
      <c r="C4017" s="15" t="s">
        <v>800</v>
      </c>
      <c r="D4017" s="15" t="s">
        <v>8033</v>
      </c>
      <c r="E4017" s="15">
        <v>594.71690000000001</v>
      </c>
      <c r="F4017" s="42">
        <v>46198</v>
      </c>
    </row>
    <row r="4018" spans="1:6" x14ac:dyDescent="0.3">
      <c r="A4018" s="15" t="s">
        <v>43875</v>
      </c>
      <c r="B4018" s="15" t="s">
        <v>8034</v>
      </c>
      <c r="C4018" s="15" t="s">
        <v>800</v>
      </c>
      <c r="D4018" s="15" t="s">
        <v>8035</v>
      </c>
      <c r="E4018" s="15">
        <v>582.79510000000005</v>
      </c>
      <c r="F4018" s="42">
        <v>46198</v>
      </c>
    </row>
    <row r="4019" spans="1:6" x14ac:dyDescent="0.3">
      <c r="A4019" s="15" t="s">
        <v>43874</v>
      </c>
      <c r="B4019" s="15" t="s">
        <v>8036</v>
      </c>
      <c r="C4019" s="15" t="s">
        <v>800</v>
      </c>
      <c r="D4019" s="15" t="s">
        <v>8037</v>
      </c>
      <c r="E4019" s="15">
        <v>100.0719</v>
      </c>
      <c r="F4019" s="42">
        <v>46198</v>
      </c>
    </row>
    <row r="4020" spans="1:6" x14ac:dyDescent="0.3">
      <c r="A4020" s="15" t="s">
        <v>43873</v>
      </c>
      <c r="B4020" s="15" t="s">
        <v>8038</v>
      </c>
      <c r="C4020" s="15" t="s">
        <v>800</v>
      </c>
      <c r="D4020" s="15" t="s">
        <v>8039</v>
      </c>
      <c r="E4020" s="15">
        <v>100.6848</v>
      </c>
      <c r="F4020" s="42">
        <v>46198</v>
      </c>
    </row>
    <row r="4021" spans="1:6" x14ac:dyDescent="0.3">
      <c r="A4021" s="15" t="s">
        <v>43872</v>
      </c>
      <c r="B4021" s="15" t="s">
        <v>8040</v>
      </c>
      <c r="C4021" s="15" t="s">
        <v>800</v>
      </c>
      <c r="D4021" s="15" t="s">
        <v>8041</v>
      </c>
      <c r="E4021" s="15">
        <v>100.02549999999999</v>
      </c>
      <c r="F4021" s="42">
        <v>46198</v>
      </c>
    </row>
    <row r="4022" spans="1:6" x14ac:dyDescent="0.3">
      <c r="A4022" s="15" t="s">
        <v>43871</v>
      </c>
      <c r="B4022" s="15" t="s">
        <v>8042</v>
      </c>
      <c r="C4022" s="15" t="s">
        <v>800</v>
      </c>
      <c r="D4022" s="15" t="s">
        <v>8043</v>
      </c>
      <c r="E4022" s="15">
        <v>100.61190000000001</v>
      </c>
      <c r="F4022" s="42">
        <v>46198</v>
      </c>
    </row>
    <row r="4023" spans="1:6" x14ac:dyDescent="0.3">
      <c r="A4023" s="15" t="s">
        <v>33499</v>
      </c>
      <c r="B4023" s="15" t="s">
        <v>795</v>
      </c>
      <c r="C4023" s="15" t="s">
        <v>795</v>
      </c>
      <c r="D4023" s="15" t="s">
        <v>795</v>
      </c>
      <c r="F4023" s="42"/>
    </row>
    <row r="4024" spans="1:6" x14ac:dyDescent="0.3">
      <c r="A4024" s="15" t="s">
        <v>37087</v>
      </c>
      <c r="B4024" s="15" t="s">
        <v>795</v>
      </c>
      <c r="C4024" s="15" t="s">
        <v>795</v>
      </c>
      <c r="D4024" s="15" t="s">
        <v>795</v>
      </c>
      <c r="F4024" s="42"/>
    </row>
    <row r="4025" spans="1:6" x14ac:dyDescent="0.3">
      <c r="A4025" s="15" t="s">
        <v>33499</v>
      </c>
      <c r="B4025" s="15" t="s">
        <v>795</v>
      </c>
      <c r="C4025" s="15" t="s">
        <v>795</v>
      </c>
      <c r="D4025" s="15" t="s">
        <v>795</v>
      </c>
      <c r="F4025" s="42"/>
    </row>
    <row r="4026" spans="1:6" x14ac:dyDescent="0.3">
      <c r="A4026" s="15" t="s">
        <v>43870</v>
      </c>
      <c r="B4026" s="15" t="s">
        <v>800</v>
      </c>
      <c r="C4026" s="15" t="s">
        <v>8044</v>
      </c>
      <c r="D4026" s="15" t="s">
        <v>8045</v>
      </c>
      <c r="E4026" s="15">
        <v>10.033799999999999</v>
      </c>
      <c r="F4026" s="42">
        <v>46198</v>
      </c>
    </row>
    <row r="4027" spans="1:6" x14ac:dyDescent="0.3">
      <c r="A4027" s="15" t="s">
        <v>43869</v>
      </c>
      <c r="B4027" s="15" t="s">
        <v>8046</v>
      </c>
      <c r="C4027" s="15" t="s">
        <v>8047</v>
      </c>
      <c r="D4027" s="15" t="s">
        <v>8048</v>
      </c>
      <c r="E4027" s="15">
        <v>10.020300000000001</v>
      </c>
      <c r="F4027" s="42">
        <v>46198</v>
      </c>
    </row>
    <row r="4028" spans="1:6" x14ac:dyDescent="0.3">
      <c r="A4028" s="15" t="s">
        <v>43868</v>
      </c>
      <c r="B4028" s="15" t="s">
        <v>8049</v>
      </c>
      <c r="C4028" s="15" t="s">
        <v>8050</v>
      </c>
      <c r="D4028" s="15" t="s">
        <v>8051</v>
      </c>
      <c r="E4028" s="15">
        <v>16.657399999999999</v>
      </c>
      <c r="F4028" s="42">
        <v>46198</v>
      </c>
    </row>
    <row r="4029" spans="1:6" x14ac:dyDescent="0.3">
      <c r="A4029" s="15" t="s">
        <v>43867</v>
      </c>
      <c r="B4029" s="15" t="s">
        <v>8052</v>
      </c>
      <c r="C4029" s="15" t="s">
        <v>8053</v>
      </c>
      <c r="D4029" s="15" t="s">
        <v>8054</v>
      </c>
      <c r="E4029" s="15">
        <v>10.062200000000001</v>
      </c>
      <c r="F4029" s="42">
        <v>46198</v>
      </c>
    </row>
    <row r="4030" spans="1:6" x14ac:dyDescent="0.3">
      <c r="A4030" s="15" t="s">
        <v>43866</v>
      </c>
      <c r="B4030" s="15" t="s">
        <v>8055</v>
      </c>
      <c r="C4030" s="15" t="s">
        <v>800</v>
      </c>
      <c r="D4030" s="15" t="s">
        <v>8056</v>
      </c>
      <c r="E4030" s="15">
        <v>16.656199999999998</v>
      </c>
      <c r="F4030" s="42">
        <v>46198</v>
      </c>
    </row>
    <row r="4031" spans="1:6" x14ac:dyDescent="0.3">
      <c r="A4031" s="15" t="s">
        <v>43865</v>
      </c>
      <c r="B4031" s="15" t="s">
        <v>800</v>
      </c>
      <c r="C4031" s="15" t="s">
        <v>8057</v>
      </c>
      <c r="D4031" s="15" t="s">
        <v>8058</v>
      </c>
      <c r="E4031" s="15">
        <v>10.068899999999999</v>
      </c>
      <c r="F4031" s="42">
        <v>46198</v>
      </c>
    </row>
    <row r="4032" spans="1:6" x14ac:dyDescent="0.3">
      <c r="A4032" s="15" t="s">
        <v>43864</v>
      </c>
      <c r="B4032" s="15" t="s">
        <v>8059</v>
      </c>
      <c r="C4032" s="15" t="s">
        <v>8060</v>
      </c>
      <c r="D4032" s="15" t="s">
        <v>8061</v>
      </c>
      <c r="E4032" s="15">
        <v>10.0307</v>
      </c>
      <c r="F4032" s="42">
        <v>46198</v>
      </c>
    </row>
    <row r="4033" spans="1:6" x14ac:dyDescent="0.3">
      <c r="A4033" s="15" t="s">
        <v>43863</v>
      </c>
      <c r="B4033" s="15" t="s">
        <v>8062</v>
      </c>
      <c r="C4033" s="15" t="s">
        <v>8063</v>
      </c>
      <c r="D4033" s="15" t="s">
        <v>8064</v>
      </c>
      <c r="E4033" s="15">
        <v>15.573</v>
      </c>
      <c r="F4033" s="42">
        <v>46198</v>
      </c>
    </row>
    <row r="4034" spans="1:6" x14ac:dyDescent="0.3">
      <c r="A4034" s="15" t="s">
        <v>43862</v>
      </c>
      <c r="B4034" s="15" t="s">
        <v>8065</v>
      </c>
      <c r="C4034" s="15" t="s">
        <v>8066</v>
      </c>
      <c r="D4034" s="15" t="s">
        <v>8067</v>
      </c>
      <c r="E4034" s="15">
        <v>10.0787</v>
      </c>
      <c r="F4034" s="42">
        <v>46198</v>
      </c>
    </row>
    <row r="4035" spans="1:6" x14ac:dyDescent="0.3">
      <c r="A4035" s="15" t="s">
        <v>43861</v>
      </c>
      <c r="B4035" s="15" t="s">
        <v>8068</v>
      </c>
      <c r="C4035" s="15" t="s">
        <v>800</v>
      </c>
      <c r="D4035" s="15" t="s">
        <v>8069</v>
      </c>
      <c r="E4035" s="15">
        <v>15.5731</v>
      </c>
      <c r="F4035" s="42">
        <v>46198</v>
      </c>
    </row>
    <row r="4036" spans="1:6" x14ac:dyDescent="0.3">
      <c r="A4036" s="15" t="s">
        <v>33499</v>
      </c>
      <c r="B4036" s="15" t="s">
        <v>795</v>
      </c>
      <c r="C4036" s="15" t="s">
        <v>795</v>
      </c>
      <c r="D4036" s="15" t="s">
        <v>795</v>
      </c>
      <c r="F4036" s="42"/>
    </row>
    <row r="4037" spans="1:6" x14ac:dyDescent="0.3">
      <c r="A4037" s="15" t="s">
        <v>37073</v>
      </c>
      <c r="B4037" s="15" t="s">
        <v>795</v>
      </c>
      <c r="C4037" s="15" t="s">
        <v>795</v>
      </c>
      <c r="D4037" s="15" t="s">
        <v>795</v>
      </c>
      <c r="F4037" s="42"/>
    </row>
    <row r="4038" spans="1:6" x14ac:dyDescent="0.3">
      <c r="A4038" s="15" t="s">
        <v>33499</v>
      </c>
      <c r="B4038" s="15" t="s">
        <v>795</v>
      </c>
      <c r="C4038" s="15" t="s">
        <v>795</v>
      </c>
      <c r="D4038" s="15" t="s">
        <v>795</v>
      </c>
      <c r="F4038" s="42"/>
    </row>
    <row r="4039" spans="1:6" x14ac:dyDescent="0.3">
      <c r="A4039" s="15" t="s">
        <v>43860</v>
      </c>
      <c r="B4039" s="15" t="s">
        <v>8070</v>
      </c>
      <c r="C4039" s="15" t="s">
        <v>8071</v>
      </c>
      <c r="D4039" s="15" t="s">
        <v>8072</v>
      </c>
      <c r="E4039" s="15">
        <v>10.1279</v>
      </c>
      <c r="F4039" s="42">
        <v>46198</v>
      </c>
    </row>
    <row r="4040" spans="1:6" x14ac:dyDescent="0.3">
      <c r="A4040" s="15" t="s">
        <v>43859</v>
      </c>
      <c r="B4040" s="15" t="s">
        <v>8073</v>
      </c>
      <c r="C4040" s="15" t="s">
        <v>800</v>
      </c>
      <c r="D4040" s="15" t="s">
        <v>8074</v>
      </c>
      <c r="E4040" s="15">
        <v>16.3871</v>
      </c>
      <c r="F4040" s="42">
        <v>46198</v>
      </c>
    </row>
    <row r="4041" spans="1:6" x14ac:dyDescent="0.3">
      <c r="A4041" s="15" t="s">
        <v>43858</v>
      </c>
      <c r="B4041" s="15" t="s">
        <v>8075</v>
      </c>
      <c r="C4041" s="15" t="s">
        <v>8076</v>
      </c>
      <c r="D4041" s="15" t="s">
        <v>8077</v>
      </c>
      <c r="E4041" s="15">
        <v>13.9313</v>
      </c>
      <c r="F4041" s="42">
        <v>46198</v>
      </c>
    </row>
    <row r="4042" spans="1:6" x14ac:dyDescent="0.3">
      <c r="A4042" s="15" t="s">
        <v>43857</v>
      </c>
      <c r="B4042" s="15" t="s">
        <v>8078</v>
      </c>
      <c r="C4042" s="15" t="s">
        <v>8079</v>
      </c>
      <c r="D4042" s="15" t="s">
        <v>8080</v>
      </c>
      <c r="E4042" s="15">
        <v>10.675800000000001</v>
      </c>
      <c r="F4042" s="42">
        <v>46198</v>
      </c>
    </row>
    <row r="4043" spans="1:6" x14ac:dyDescent="0.3">
      <c r="A4043" s="15" t="s">
        <v>43856</v>
      </c>
      <c r="B4043" s="15" t="s">
        <v>8081</v>
      </c>
      <c r="C4043" s="15" t="s">
        <v>8082</v>
      </c>
      <c r="D4043" s="15" t="s">
        <v>8083</v>
      </c>
      <c r="E4043" s="15">
        <v>10.0886</v>
      </c>
      <c r="F4043" s="42">
        <v>46198</v>
      </c>
    </row>
    <row r="4044" spans="1:6" x14ac:dyDescent="0.3">
      <c r="A4044" s="15" t="s">
        <v>43855</v>
      </c>
      <c r="B4044" s="15" t="s">
        <v>8084</v>
      </c>
      <c r="C4044" s="15" t="s">
        <v>8085</v>
      </c>
      <c r="D4044" s="15" t="s">
        <v>8086</v>
      </c>
      <c r="E4044" s="15">
        <v>10.0367</v>
      </c>
      <c r="F4044" s="42">
        <v>46198</v>
      </c>
    </row>
    <row r="4045" spans="1:6" x14ac:dyDescent="0.3">
      <c r="A4045" s="15" t="s">
        <v>43854</v>
      </c>
      <c r="B4045" s="15" t="s">
        <v>8087</v>
      </c>
      <c r="C4045" s="15" t="s">
        <v>8088</v>
      </c>
      <c r="D4045" s="15" t="s">
        <v>8089</v>
      </c>
      <c r="E4045" s="15">
        <v>10.0519</v>
      </c>
      <c r="F4045" s="42">
        <v>46198</v>
      </c>
    </row>
    <row r="4046" spans="1:6" x14ac:dyDescent="0.3">
      <c r="A4046" s="15" t="s">
        <v>43853</v>
      </c>
      <c r="B4046" s="15" t="s">
        <v>8090</v>
      </c>
      <c r="C4046" s="15" t="s">
        <v>800</v>
      </c>
      <c r="D4046" s="15" t="s">
        <v>8091</v>
      </c>
      <c r="E4046" s="15">
        <v>16.1586</v>
      </c>
      <c r="F4046" s="42">
        <v>46198</v>
      </c>
    </row>
    <row r="4047" spans="1:6" x14ac:dyDescent="0.3">
      <c r="A4047" s="15" t="s">
        <v>43852</v>
      </c>
      <c r="B4047" s="15" t="s">
        <v>8092</v>
      </c>
      <c r="C4047" s="15" t="s">
        <v>8093</v>
      </c>
      <c r="D4047" s="15" t="s">
        <v>8094</v>
      </c>
      <c r="E4047" s="15">
        <v>10.132099999999999</v>
      </c>
      <c r="F4047" s="42">
        <v>46198</v>
      </c>
    </row>
    <row r="4048" spans="1:6" x14ac:dyDescent="0.3">
      <c r="A4048" s="15" t="s">
        <v>43851</v>
      </c>
      <c r="B4048" s="15" t="s">
        <v>8095</v>
      </c>
      <c r="C4048" s="15" t="s">
        <v>8096</v>
      </c>
      <c r="D4048" s="15" t="s">
        <v>8097</v>
      </c>
      <c r="E4048" s="15">
        <v>13.5997</v>
      </c>
      <c r="F4048" s="42">
        <v>46198</v>
      </c>
    </row>
    <row r="4049" spans="1:6" x14ac:dyDescent="0.3">
      <c r="A4049" s="15" t="s">
        <v>43850</v>
      </c>
      <c r="B4049" s="15" t="s">
        <v>8098</v>
      </c>
      <c r="C4049" s="15" t="s">
        <v>8099</v>
      </c>
      <c r="D4049" s="15" t="s">
        <v>8100</v>
      </c>
      <c r="E4049" s="15">
        <v>10.6547</v>
      </c>
      <c r="F4049" s="42">
        <v>46198</v>
      </c>
    </row>
    <row r="4050" spans="1:6" x14ac:dyDescent="0.3">
      <c r="A4050" s="15" t="s">
        <v>43849</v>
      </c>
      <c r="B4050" s="15" t="s">
        <v>8101</v>
      </c>
      <c r="C4050" s="15" t="s">
        <v>8102</v>
      </c>
      <c r="D4050" s="15" t="s">
        <v>8103</v>
      </c>
      <c r="E4050" s="15">
        <v>10.0898</v>
      </c>
      <c r="F4050" s="42">
        <v>46198</v>
      </c>
    </row>
    <row r="4051" spans="1:6" x14ac:dyDescent="0.3">
      <c r="A4051" s="15" t="s">
        <v>33499</v>
      </c>
      <c r="B4051" s="15" t="s">
        <v>795</v>
      </c>
      <c r="C4051" s="15" t="s">
        <v>795</v>
      </c>
      <c r="D4051" s="15" t="s">
        <v>795</v>
      </c>
      <c r="F4051" s="42"/>
    </row>
    <row r="4052" spans="1:6" x14ac:dyDescent="0.3">
      <c r="A4052" s="15" t="s">
        <v>37447</v>
      </c>
      <c r="B4052" s="15" t="s">
        <v>795</v>
      </c>
      <c r="C4052" s="15" t="s">
        <v>795</v>
      </c>
      <c r="D4052" s="15" t="s">
        <v>795</v>
      </c>
      <c r="F4052" s="42"/>
    </row>
    <row r="4053" spans="1:6" x14ac:dyDescent="0.3">
      <c r="A4053" s="15" t="s">
        <v>33499</v>
      </c>
      <c r="B4053" s="15" t="s">
        <v>795</v>
      </c>
      <c r="C4053" s="15" t="s">
        <v>795</v>
      </c>
      <c r="D4053" s="15" t="s">
        <v>795</v>
      </c>
      <c r="F4053" s="42"/>
    </row>
    <row r="4054" spans="1:6" x14ac:dyDescent="0.3">
      <c r="A4054" s="15" t="s">
        <v>43848</v>
      </c>
      <c r="B4054" s="15" t="s">
        <v>800</v>
      </c>
      <c r="C4054" s="15" t="s">
        <v>8104</v>
      </c>
      <c r="D4054" s="15" t="s">
        <v>8105</v>
      </c>
      <c r="E4054" s="15">
        <v>1004.9999</v>
      </c>
      <c r="F4054" s="42">
        <v>46198</v>
      </c>
    </row>
    <row r="4055" spans="1:6" x14ac:dyDescent="0.3">
      <c r="A4055" s="15" t="s">
        <v>43847</v>
      </c>
      <c r="B4055" s="15" t="s">
        <v>8106</v>
      </c>
      <c r="C4055" s="15" t="s">
        <v>800</v>
      </c>
      <c r="D4055" s="15" t="s">
        <v>8107</v>
      </c>
      <c r="E4055" s="15">
        <v>3479.0886999999998</v>
      </c>
      <c r="F4055" s="42">
        <v>46198</v>
      </c>
    </row>
    <row r="4056" spans="1:6" x14ac:dyDescent="0.3">
      <c r="A4056" s="15" t="s">
        <v>43846</v>
      </c>
      <c r="B4056" s="15" t="s">
        <v>800</v>
      </c>
      <c r="C4056" s="15" t="s">
        <v>8108</v>
      </c>
      <c r="D4056" s="15" t="s">
        <v>8109</v>
      </c>
      <c r="E4056" s="15">
        <v>1006.2922</v>
      </c>
      <c r="F4056" s="42">
        <v>46198</v>
      </c>
    </row>
    <row r="4057" spans="1:6" x14ac:dyDescent="0.3">
      <c r="A4057" s="15" t="s">
        <v>43845</v>
      </c>
      <c r="B4057" s="15" t="s">
        <v>8110</v>
      </c>
      <c r="C4057" s="15" t="s">
        <v>800</v>
      </c>
      <c r="D4057" s="15" t="s">
        <v>8111</v>
      </c>
      <c r="E4057" s="15">
        <v>3463.5785999999998</v>
      </c>
      <c r="F4057" s="42">
        <v>46198</v>
      </c>
    </row>
    <row r="4058" spans="1:6" x14ac:dyDescent="0.3">
      <c r="A4058" s="15" t="s">
        <v>43844</v>
      </c>
      <c r="B4058" s="15" t="s">
        <v>800</v>
      </c>
      <c r="C4058" s="15" t="s">
        <v>8112</v>
      </c>
      <c r="D4058" s="15" t="s">
        <v>8113</v>
      </c>
      <c r="E4058" s="15">
        <v>1005</v>
      </c>
      <c r="F4058" s="42">
        <v>46198</v>
      </c>
    </row>
    <row r="4059" spans="1:6" x14ac:dyDescent="0.3">
      <c r="A4059" s="15" t="s">
        <v>43843</v>
      </c>
      <c r="B4059" s="15" t="s">
        <v>8114</v>
      </c>
      <c r="C4059" s="15" t="s">
        <v>800</v>
      </c>
      <c r="D4059" s="15" t="s">
        <v>8115</v>
      </c>
      <c r="E4059" s="15">
        <v>3345.7469000000001</v>
      </c>
      <c r="F4059" s="42">
        <v>46198</v>
      </c>
    </row>
    <row r="4060" spans="1:6" x14ac:dyDescent="0.3">
      <c r="A4060" s="15" t="s">
        <v>43842</v>
      </c>
      <c r="B4060" s="15" t="s">
        <v>800</v>
      </c>
      <c r="C4060" s="15" t="s">
        <v>8116</v>
      </c>
      <c r="D4060" s="15" t="s">
        <v>8117</v>
      </c>
      <c r="E4060" s="15">
        <v>1006.2524</v>
      </c>
      <c r="F4060" s="42">
        <v>46198</v>
      </c>
    </row>
    <row r="4061" spans="1:6" x14ac:dyDescent="0.3">
      <c r="A4061" s="15" t="s">
        <v>33499</v>
      </c>
      <c r="B4061" s="15" t="s">
        <v>795</v>
      </c>
      <c r="C4061" s="15" t="s">
        <v>795</v>
      </c>
      <c r="D4061" s="15" t="s">
        <v>795</v>
      </c>
      <c r="F4061" s="42"/>
    </row>
    <row r="4062" spans="1:6" x14ac:dyDescent="0.3">
      <c r="A4062" s="15" t="s">
        <v>37566</v>
      </c>
      <c r="B4062" s="15" t="s">
        <v>795</v>
      </c>
      <c r="C4062" s="15" t="s">
        <v>795</v>
      </c>
      <c r="D4062" s="15" t="s">
        <v>795</v>
      </c>
      <c r="F4062" s="42"/>
    </row>
    <row r="4063" spans="1:6" x14ac:dyDescent="0.3">
      <c r="A4063" s="15" t="s">
        <v>33499</v>
      </c>
      <c r="B4063" s="15" t="s">
        <v>795</v>
      </c>
      <c r="C4063" s="15" t="s">
        <v>795</v>
      </c>
      <c r="D4063" s="15" t="s">
        <v>795</v>
      </c>
      <c r="F4063" s="42"/>
    </row>
    <row r="4064" spans="1:6" x14ac:dyDescent="0.3">
      <c r="A4064" s="15" t="s">
        <v>43841</v>
      </c>
      <c r="B4064" s="15" t="s">
        <v>8118</v>
      </c>
      <c r="C4064" s="15" t="s">
        <v>8119</v>
      </c>
      <c r="D4064" s="15" t="s">
        <v>8120</v>
      </c>
      <c r="E4064" s="15">
        <v>1001.2967</v>
      </c>
      <c r="F4064" s="42">
        <v>46198</v>
      </c>
    </row>
    <row r="4065" spans="1:6" x14ac:dyDescent="0.3">
      <c r="A4065" s="15" t="s">
        <v>43840</v>
      </c>
      <c r="B4065" s="15" t="s">
        <v>800</v>
      </c>
      <c r="C4065" s="15" t="s">
        <v>8121</v>
      </c>
      <c r="D4065" s="15" t="s">
        <v>8122</v>
      </c>
      <c r="E4065" s="15">
        <v>1006.2583</v>
      </c>
      <c r="F4065" s="42">
        <v>46198</v>
      </c>
    </row>
    <row r="4066" spans="1:6" x14ac:dyDescent="0.3">
      <c r="A4066" s="15" t="s">
        <v>43839</v>
      </c>
      <c r="B4066" s="15" t="s">
        <v>8123</v>
      </c>
      <c r="C4066" s="15" t="s">
        <v>800</v>
      </c>
      <c r="D4066" s="15" t="s">
        <v>8124</v>
      </c>
      <c r="E4066" s="15">
        <v>1638.4249</v>
      </c>
      <c r="F4066" s="42">
        <v>46198</v>
      </c>
    </row>
    <row r="4067" spans="1:6" x14ac:dyDescent="0.3">
      <c r="A4067" s="15" t="s">
        <v>43838</v>
      </c>
      <c r="B4067" s="15" t="s">
        <v>800</v>
      </c>
      <c r="C4067" s="15" t="s">
        <v>8125</v>
      </c>
      <c r="D4067" s="15" t="s">
        <v>8126</v>
      </c>
      <c r="E4067" s="15">
        <v>1007.0751</v>
      </c>
      <c r="F4067" s="42">
        <v>46198</v>
      </c>
    </row>
    <row r="4068" spans="1:6" x14ac:dyDescent="0.3">
      <c r="A4068" s="15" t="s">
        <v>43837</v>
      </c>
      <c r="B4068" s="15" t="s">
        <v>8127</v>
      </c>
      <c r="C4068" s="15" t="s">
        <v>800</v>
      </c>
      <c r="D4068" s="15" t="s">
        <v>8128</v>
      </c>
      <c r="E4068" s="15">
        <v>1662.5744</v>
      </c>
      <c r="F4068" s="42">
        <v>46198</v>
      </c>
    </row>
    <row r="4069" spans="1:6" x14ac:dyDescent="0.3">
      <c r="A4069" s="15" t="s">
        <v>43836</v>
      </c>
      <c r="B4069" s="15" t="s">
        <v>8129</v>
      </c>
      <c r="C4069" s="15" t="s">
        <v>8130</v>
      </c>
      <c r="D4069" s="15" t="s">
        <v>8131</v>
      </c>
      <c r="E4069" s="15">
        <v>1000.6274</v>
      </c>
      <c r="F4069" s="42">
        <v>46105</v>
      </c>
    </row>
    <row r="4070" spans="1:6" x14ac:dyDescent="0.3">
      <c r="A4070" s="15" t="s">
        <v>33499</v>
      </c>
      <c r="B4070" s="15" t="s">
        <v>795</v>
      </c>
      <c r="C4070" s="15" t="s">
        <v>795</v>
      </c>
      <c r="D4070" s="15" t="s">
        <v>795</v>
      </c>
      <c r="F4070" s="42"/>
    </row>
    <row r="4071" spans="1:6" x14ac:dyDescent="0.3">
      <c r="A4071" s="15" t="s">
        <v>40284</v>
      </c>
      <c r="B4071" s="15" t="s">
        <v>795</v>
      </c>
      <c r="C4071" s="15" t="s">
        <v>795</v>
      </c>
      <c r="D4071" s="15" t="s">
        <v>795</v>
      </c>
      <c r="F4071" s="42"/>
    </row>
    <row r="4072" spans="1:6" x14ac:dyDescent="0.3">
      <c r="A4072" s="15" t="s">
        <v>33499</v>
      </c>
      <c r="B4072" s="15" t="s">
        <v>795</v>
      </c>
      <c r="C4072" s="15" t="s">
        <v>795</v>
      </c>
      <c r="D4072" s="15" t="s">
        <v>795</v>
      </c>
      <c r="F4072" s="42"/>
    </row>
    <row r="4073" spans="1:6" x14ac:dyDescent="0.3">
      <c r="A4073" s="15" t="s">
        <v>43835</v>
      </c>
      <c r="B4073" s="15" t="s">
        <v>800</v>
      </c>
      <c r="C4073" s="15" t="s">
        <v>8132</v>
      </c>
      <c r="D4073" s="15" t="s">
        <v>8133</v>
      </c>
      <c r="E4073" s="15">
        <v>1240.71</v>
      </c>
      <c r="F4073" s="42">
        <v>46198</v>
      </c>
    </row>
    <row r="4074" spans="1:6" x14ac:dyDescent="0.3">
      <c r="A4074" s="15" t="s">
        <v>43834</v>
      </c>
      <c r="B4074" s="15" t="s">
        <v>8134</v>
      </c>
      <c r="C4074" s="15" t="s">
        <v>800</v>
      </c>
      <c r="D4074" s="15" t="s">
        <v>8135</v>
      </c>
      <c r="E4074" s="15">
        <v>4297.3676999999998</v>
      </c>
      <c r="F4074" s="42">
        <v>46198</v>
      </c>
    </row>
    <row r="4075" spans="1:6" x14ac:dyDescent="0.3">
      <c r="A4075" s="15" t="s">
        <v>43833</v>
      </c>
      <c r="B4075" s="15" t="s">
        <v>8136</v>
      </c>
      <c r="C4075" s="15" t="s">
        <v>800</v>
      </c>
      <c r="D4075" s="15" t="s">
        <v>8137</v>
      </c>
      <c r="E4075" s="15">
        <v>2459.4454000000001</v>
      </c>
      <c r="F4075" s="42">
        <v>46198</v>
      </c>
    </row>
    <row r="4076" spans="1:6" x14ac:dyDescent="0.3">
      <c r="A4076" s="15" t="s">
        <v>43832</v>
      </c>
      <c r="B4076" s="15" t="s">
        <v>8138</v>
      </c>
      <c r="C4076" s="15" t="s">
        <v>8139</v>
      </c>
      <c r="D4076" s="15" t="s">
        <v>8140</v>
      </c>
      <c r="E4076" s="15">
        <v>1000.9656</v>
      </c>
      <c r="F4076" s="42">
        <v>46198</v>
      </c>
    </row>
    <row r="4077" spans="1:6" x14ac:dyDescent="0.3">
      <c r="A4077" s="15" t="s">
        <v>43831</v>
      </c>
      <c r="B4077" s="15" t="s">
        <v>8141</v>
      </c>
      <c r="C4077" s="15" t="s">
        <v>8142</v>
      </c>
      <c r="D4077" s="15" t="s">
        <v>8143</v>
      </c>
      <c r="E4077" s="15">
        <v>1241.4630999999999</v>
      </c>
      <c r="F4077" s="42">
        <v>46198</v>
      </c>
    </row>
    <row r="4078" spans="1:6" x14ac:dyDescent="0.3">
      <c r="A4078" s="15" t="s">
        <v>43830</v>
      </c>
      <c r="B4078" s="15" t="s">
        <v>800</v>
      </c>
      <c r="C4078" s="15" t="s">
        <v>8144</v>
      </c>
      <c r="D4078" s="15" t="s">
        <v>8145</v>
      </c>
      <c r="E4078" s="15">
        <v>1240.71</v>
      </c>
      <c r="F4078" s="42">
        <v>46198</v>
      </c>
    </row>
    <row r="4079" spans="1:6" x14ac:dyDescent="0.3">
      <c r="A4079" s="15" t="s">
        <v>43829</v>
      </c>
      <c r="B4079" s="15" t="s">
        <v>8146</v>
      </c>
      <c r="C4079" s="15" t="s">
        <v>800</v>
      </c>
      <c r="D4079" s="15" t="s">
        <v>8147</v>
      </c>
      <c r="E4079" s="15">
        <v>4016.9866999999999</v>
      </c>
      <c r="F4079" s="42">
        <v>46198</v>
      </c>
    </row>
    <row r="4080" spans="1:6" x14ac:dyDescent="0.3">
      <c r="A4080" s="15" t="s">
        <v>43828</v>
      </c>
      <c r="B4080" s="15" t="s">
        <v>8148</v>
      </c>
      <c r="C4080" s="15" t="s">
        <v>8149</v>
      </c>
      <c r="D4080" s="15" t="s">
        <v>8150</v>
      </c>
      <c r="E4080" s="15">
        <v>1000.9499</v>
      </c>
      <c r="F4080" s="42">
        <v>46198</v>
      </c>
    </row>
    <row r="4081" spans="1:6" x14ac:dyDescent="0.3">
      <c r="A4081" s="15" t="s">
        <v>43827</v>
      </c>
      <c r="B4081" s="15" t="s">
        <v>8151</v>
      </c>
      <c r="C4081" s="15" t="s">
        <v>8152</v>
      </c>
      <c r="D4081" s="15" t="s">
        <v>8153</v>
      </c>
      <c r="E4081" s="15">
        <v>1241.4439</v>
      </c>
      <c r="F4081" s="42">
        <v>46198</v>
      </c>
    </row>
    <row r="4082" spans="1:6" x14ac:dyDescent="0.3">
      <c r="A4082" s="15" t="s">
        <v>43826</v>
      </c>
      <c r="B4082" s="15" t="s">
        <v>8154</v>
      </c>
      <c r="C4082" s="15" t="s">
        <v>800</v>
      </c>
      <c r="D4082" s="15" t="s">
        <v>8155</v>
      </c>
      <c r="E4082" s="15">
        <v>1650.2245</v>
      </c>
      <c r="F4082" s="42">
        <v>46198</v>
      </c>
    </row>
    <row r="4083" spans="1:6" x14ac:dyDescent="0.3">
      <c r="A4083" s="15" t="s">
        <v>33499</v>
      </c>
      <c r="B4083" s="15" t="s">
        <v>795</v>
      </c>
      <c r="C4083" s="15" t="s">
        <v>795</v>
      </c>
      <c r="D4083" s="15" t="s">
        <v>795</v>
      </c>
      <c r="F4083" s="42"/>
    </row>
    <row r="4084" spans="1:6" x14ac:dyDescent="0.3">
      <c r="A4084" s="15" t="s">
        <v>37061</v>
      </c>
      <c r="B4084" s="15" t="s">
        <v>795</v>
      </c>
      <c r="C4084" s="15" t="s">
        <v>795</v>
      </c>
      <c r="D4084" s="15" t="s">
        <v>795</v>
      </c>
      <c r="F4084" s="42"/>
    </row>
    <row r="4085" spans="1:6" x14ac:dyDescent="0.3">
      <c r="A4085" s="15" t="s">
        <v>33499</v>
      </c>
      <c r="B4085" s="15" t="s">
        <v>795</v>
      </c>
      <c r="C4085" s="15" t="s">
        <v>795</v>
      </c>
      <c r="D4085" s="15" t="s">
        <v>795</v>
      </c>
      <c r="F4085" s="42"/>
    </row>
    <row r="4086" spans="1:6" x14ac:dyDescent="0.3">
      <c r="A4086" s="15" t="s">
        <v>43825</v>
      </c>
      <c r="B4086" s="15" t="s">
        <v>8156</v>
      </c>
      <c r="C4086" s="15" t="s">
        <v>800</v>
      </c>
      <c r="D4086" s="15" t="s">
        <v>8157</v>
      </c>
      <c r="E4086" s="15">
        <v>3945.2244999999998</v>
      </c>
      <c r="F4086" s="42">
        <v>46198</v>
      </c>
    </row>
    <row r="4087" spans="1:6" x14ac:dyDescent="0.3">
      <c r="A4087" s="15" t="s">
        <v>43824</v>
      </c>
      <c r="B4087" s="15" t="s">
        <v>8158</v>
      </c>
      <c r="C4087" s="15" t="s">
        <v>8159</v>
      </c>
      <c r="D4087" s="15" t="s">
        <v>8160</v>
      </c>
      <c r="E4087" s="15">
        <v>1151.3720000000001</v>
      </c>
      <c r="F4087" s="42">
        <v>46198</v>
      </c>
    </row>
    <row r="4088" spans="1:6" x14ac:dyDescent="0.3">
      <c r="A4088" s="15" t="s">
        <v>43823</v>
      </c>
      <c r="B4088" s="15" t="s">
        <v>800</v>
      </c>
      <c r="C4088" s="15" t="s">
        <v>8161</v>
      </c>
      <c r="D4088" s="15" t="s">
        <v>8162</v>
      </c>
      <c r="E4088" s="15">
        <v>1005.3951</v>
      </c>
      <c r="F4088" s="42">
        <v>46198</v>
      </c>
    </row>
    <row r="4089" spans="1:6" x14ac:dyDescent="0.3">
      <c r="A4089" s="15" t="s">
        <v>43822</v>
      </c>
      <c r="B4089" s="15" t="s">
        <v>8163</v>
      </c>
      <c r="C4089" s="15" t="s">
        <v>8164</v>
      </c>
      <c r="D4089" s="15" t="s">
        <v>8165</v>
      </c>
      <c r="E4089" s="15">
        <v>1095.7991</v>
      </c>
      <c r="F4089" s="42">
        <v>46198</v>
      </c>
    </row>
    <row r="4090" spans="1:6" x14ac:dyDescent="0.3">
      <c r="A4090" s="15" t="s">
        <v>43821</v>
      </c>
      <c r="B4090" s="15" t="s">
        <v>8166</v>
      </c>
      <c r="C4090" s="15" t="s">
        <v>8167</v>
      </c>
      <c r="D4090" s="15" t="s">
        <v>8168</v>
      </c>
      <c r="E4090" s="15">
        <v>1005.046</v>
      </c>
      <c r="F4090" s="42">
        <v>46198</v>
      </c>
    </row>
    <row r="4091" spans="1:6" x14ac:dyDescent="0.3">
      <c r="A4091" s="15" t="s">
        <v>43820</v>
      </c>
      <c r="B4091" s="15" t="s">
        <v>8169</v>
      </c>
      <c r="C4091" s="15" t="s">
        <v>800</v>
      </c>
      <c r="D4091" s="15" t="s">
        <v>8170</v>
      </c>
      <c r="E4091" s="15">
        <v>3602.8607000000002</v>
      </c>
      <c r="F4091" s="42">
        <v>46198</v>
      </c>
    </row>
    <row r="4092" spans="1:6" x14ac:dyDescent="0.3">
      <c r="A4092" s="15" t="s">
        <v>43819</v>
      </c>
      <c r="B4092" s="15" t="s">
        <v>800</v>
      </c>
      <c r="C4092" s="15" t="s">
        <v>8171</v>
      </c>
      <c r="D4092" s="15" t="s">
        <v>8172</v>
      </c>
      <c r="E4092" s="15">
        <v>1005.4914</v>
      </c>
      <c r="F4092" s="42">
        <v>46198</v>
      </c>
    </row>
    <row r="4093" spans="1:6" x14ac:dyDescent="0.3">
      <c r="A4093" s="15" t="s">
        <v>43818</v>
      </c>
      <c r="B4093" s="15" t="s">
        <v>8173</v>
      </c>
      <c r="C4093" s="15" t="s">
        <v>8174</v>
      </c>
      <c r="D4093" s="15" t="s">
        <v>8175</v>
      </c>
      <c r="E4093" s="15">
        <v>1087.0848000000001</v>
      </c>
      <c r="F4093" s="42">
        <v>46198</v>
      </c>
    </row>
    <row r="4094" spans="1:6" x14ac:dyDescent="0.3">
      <c r="A4094" s="15" t="s">
        <v>43817</v>
      </c>
      <c r="B4094" s="15" t="s">
        <v>8176</v>
      </c>
      <c r="C4094" s="15" t="s">
        <v>800</v>
      </c>
      <c r="D4094" s="15" t="s">
        <v>8177</v>
      </c>
      <c r="E4094" s="15">
        <v>1137.4662000000001</v>
      </c>
      <c r="F4094" s="42">
        <v>46198</v>
      </c>
    </row>
    <row r="4095" spans="1:6" x14ac:dyDescent="0.3">
      <c r="A4095" s="15" t="s">
        <v>43816</v>
      </c>
      <c r="B4095" s="15" t="s">
        <v>800</v>
      </c>
      <c r="C4095" s="15" t="s">
        <v>800</v>
      </c>
      <c r="D4095" s="15" t="s">
        <v>8178</v>
      </c>
      <c r="E4095" s="15">
        <v>1005.0453</v>
      </c>
      <c r="F4095" s="42">
        <v>46198</v>
      </c>
    </row>
    <row r="4096" spans="1:6" x14ac:dyDescent="0.3">
      <c r="A4096" s="15" t="s">
        <v>33499</v>
      </c>
      <c r="B4096" s="15" t="s">
        <v>795</v>
      </c>
      <c r="C4096" s="15" t="s">
        <v>795</v>
      </c>
      <c r="D4096" s="15" t="s">
        <v>795</v>
      </c>
      <c r="F4096" s="42"/>
    </row>
    <row r="4097" spans="1:6" x14ac:dyDescent="0.3">
      <c r="A4097" s="15" t="s">
        <v>37044</v>
      </c>
      <c r="B4097" s="15" t="s">
        <v>795</v>
      </c>
      <c r="C4097" s="15" t="s">
        <v>795</v>
      </c>
      <c r="D4097" s="15" t="s">
        <v>795</v>
      </c>
      <c r="F4097" s="42"/>
    </row>
    <row r="4098" spans="1:6" x14ac:dyDescent="0.3">
      <c r="A4098" s="15" t="s">
        <v>33499</v>
      </c>
      <c r="B4098" s="15" t="s">
        <v>795</v>
      </c>
      <c r="C4098" s="15" t="s">
        <v>795</v>
      </c>
      <c r="D4098" s="15" t="s">
        <v>795</v>
      </c>
      <c r="F4098" s="42"/>
    </row>
    <row r="4099" spans="1:6" x14ac:dyDescent="0.3">
      <c r="A4099" s="15" t="s">
        <v>43815</v>
      </c>
      <c r="B4099" s="15" t="s">
        <v>8179</v>
      </c>
      <c r="C4099" s="15" t="s">
        <v>800</v>
      </c>
      <c r="D4099" s="15" t="s">
        <v>8180</v>
      </c>
      <c r="E4099" s="15">
        <v>33.775700000000001</v>
      </c>
      <c r="F4099" s="42">
        <v>44780</v>
      </c>
    </row>
    <row r="4100" spans="1:6" x14ac:dyDescent="0.3">
      <c r="A4100" s="15" t="s">
        <v>43814</v>
      </c>
      <c r="B4100" s="15" t="s">
        <v>8181</v>
      </c>
      <c r="C4100" s="15" t="s">
        <v>8182</v>
      </c>
      <c r="D4100" s="15" t="s">
        <v>8183</v>
      </c>
      <c r="E4100" s="15">
        <v>0</v>
      </c>
      <c r="F4100" s="42">
        <v>42248</v>
      </c>
    </row>
    <row r="4101" spans="1:6" x14ac:dyDescent="0.3">
      <c r="A4101" s="15" t="s">
        <v>43813</v>
      </c>
      <c r="B4101" s="15" t="s">
        <v>800</v>
      </c>
      <c r="C4101" s="15" t="s">
        <v>8184</v>
      </c>
      <c r="D4101" s="15" t="s">
        <v>8185</v>
      </c>
      <c r="E4101" s="15">
        <v>12.37</v>
      </c>
      <c r="F4101" s="42">
        <v>44780</v>
      </c>
    </row>
    <row r="4102" spans="1:6" x14ac:dyDescent="0.3">
      <c r="A4102" s="15" t="s">
        <v>43812</v>
      </c>
      <c r="B4102" s="15" t="s">
        <v>8186</v>
      </c>
      <c r="C4102" s="15" t="s">
        <v>800</v>
      </c>
      <c r="D4102" s="15" t="s">
        <v>8187</v>
      </c>
      <c r="E4102" s="15">
        <v>32.926200000000001</v>
      </c>
      <c r="F4102" s="42">
        <v>44780</v>
      </c>
    </row>
    <row r="4103" spans="1:6" x14ac:dyDescent="0.3">
      <c r="A4103" s="15" t="s">
        <v>43811</v>
      </c>
      <c r="B4103" s="15" t="s">
        <v>800</v>
      </c>
      <c r="C4103" s="15" t="s">
        <v>8188</v>
      </c>
      <c r="D4103" s="15" t="s">
        <v>8189</v>
      </c>
      <c r="E4103" s="15">
        <v>12.4137</v>
      </c>
      <c r="F4103" s="42">
        <v>44780</v>
      </c>
    </row>
    <row r="4104" spans="1:6" x14ac:dyDescent="0.3">
      <c r="A4104" s="15" t="s">
        <v>43810</v>
      </c>
      <c r="B4104" s="15" t="s">
        <v>8190</v>
      </c>
      <c r="C4104" s="15" t="s">
        <v>8191</v>
      </c>
      <c r="D4104" s="15" t="s">
        <v>8192</v>
      </c>
      <c r="E4104" s="15">
        <v>12.516299999999999</v>
      </c>
      <c r="F4104" s="42">
        <v>44780</v>
      </c>
    </row>
    <row r="4105" spans="1:6" x14ac:dyDescent="0.3">
      <c r="A4105" s="15" t="s">
        <v>43809</v>
      </c>
      <c r="B4105" s="15" t="s">
        <v>8193</v>
      </c>
      <c r="C4105" s="15" t="s">
        <v>800</v>
      </c>
      <c r="D4105" s="15" t="s">
        <v>8194</v>
      </c>
      <c r="E4105" s="15">
        <v>34.9131</v>
      </c>
      <c r="F4105" s="42">
        <v>44780</v>
      </c>
    </row>
    <row r="4106" spans="1:6" x14ac:dyDescent="0.3">
      <c r="A4106" s="15" t="s">
        <v>43808</v>
      </c>
      <c r="B4106" s="15" t="s">
        <v>800</v>
      </c>
      <c r="C4106" s="15" t="s">
        <v>8195</v>
      </c>
      <c r="D4106" s="15" t="s">
        <v>8196</v>
      </c>
      <c r="E4106" s="15">
        <v>12.4788</v>
      </c>
      <c r="F4106" s="42">
        <v>44780</v>
      </c>
    </row>
    <row r="4107" spans="1:6" x14ac:dyDescent="0.3">
      <c r="A4107" s="15" t="s">
        <v>43807</v>
      </c>
      <c r="B4107" s="15" t="s">
        <v>8197</v>
      </c>
      <c r="C4107" s="15" t="s">
        <v>800</v>
      </c>
      <c r="D4107" s="15" t="s">
        <v>8198</v>
      </c>
      <c r="E4107" s="15">
        <v>34.235500000000002</v>
      </c>
      <c r="F4107" s="42">
        <v>44780</v>
      </c>
    </row>
    <row r="4108" spans="1:6" x14ac:dyDescent="0.3">
      <c r="A4108" s="15" t="s">
        <v>43806</v>
      </c>
      <c r="B4108" s="15" t="s">
        <v>8199</v>
      </c>
      <c r="C4108" s="15" t="s">
        <v>800</v>
      </c>
      <c r="D4108" s="15" t="s">
        <v>8200</v>
      </c>
      <c r="E4108" s="15">
        <v>12.511100000000001</v>
      </c>
      <c r="F4108" s="42">
        <v>44780</v>
      </c>
    </row>
    <row r="4109" spans="1:6" x14ac:dyDescent="0.3">
      <c r="A4109" s="15" t="s">
        <v>43805</v>
      </c>
      <c r="B4109" s="15" t="s">
        <v>8201</v>
      </c>
      <c r="C4109" s="15" t="s">
        <v>800</v>
      </c>
      <c r="D4109" s="15" t="s">
        <v>8202</v>
      </c>
      <c r="E4109" s="15">
        <v>12.151199999999999</v>
      </c>
      <c r="F4109" s="42">
        <v>44780</v>
      </c>
    </row>
    <row r="4110" spans="1:6" x14ac:dyDescent="0.3">
      <c r="A4110" s="15" t="s">
        <v>43804</v>
      </c>
      <c r="B4110" s="15" t="s">
        <v>8203</v>
      </c>
      <c r="C4110" s="15" t="s">
        <v>800</v>
      </c>
      <c r="D4110" s="15" t="s">
        <v>8204</v>
      </c>
      <c r="E4110" s="15">
        <v>12.196</v>
      </c>
      <c r="F4110" s="42">
        <v>44780</v>
      </c>
    </row>
    <row r="4111" spans="1:6" x14ac:dyDescent="0.3">
      <c r="A4111" s="15" t="s">
        <v>43803</v>
      </c>
      <c r="B4111" s="15" t="s">
        <v>8205</v>
      </c>
      <c r="C4111" s="15" t="s">
        <v>800</v>
      </c>
      <c r="D4111" s="15" t="s">
        <v>8206</v>
      </c>
      <c r="E4111" s="15">
        <v>0</v>
      </c>
      <c r="F4111" s="42">
        <v>44025</v>
      </c>
    </row>
    <row r="4112" spans="1:6" x14ac:dyDescent="0.3">
      <c r="A4112" s="15" t="s">
        <v>43802</v>
      </c>
      <c r="B4112" s="15" t="s">
        <v>8207</v>
      </c>
      <c r="C4112" s="15" t="s">
        <v>800</v>
      </c>
      <c r="D4112" s="15" t="s">
        <v>8208</v>
      </c>
      <c r="E4112" s="15">
        <v>0</v>
      </c>
      <c r="F4112" s="42">
        <v>44025</v>
      </c>
    </row>
    <row r="4113" spans="1:6" x14ac:dyDescent="0.3">
      <c r="A4113" s="15" t="s">
        <v>43801</v>
      </c>
      <c r="B4113" s="15" t="s">
        <v>8209</v>
      </c>
      <c r="C4113" s="15" t="s">
        <v>800</v>
      </c>
      <c r="D4113" s="15" t="s">
        <v>8210</v>
      </c>
      <c r="E4113" s="15">
        <v>0</v>
      </c>
      <c r="F4113" s="42">
        <v>44032</v>
      </c>
    </row>
    <row r="4114" spans="1:6" x14ac:dyDescent="0.3">
      <c r="A4114" s="15" t="s">
        <v>43800</v>
      </c>
      <c r="B4114" s="15" t="s">
        <v>8211</v>
      </c>
      <c r="C4114" s="15" t="s">
        <v>800</v>
      </c>
      <c r="D4114" s="15" t="s">
        <v>8212</v>
      </c>
      <c r="E4114" s="15">
        <v>0</v>
      </c>
      <c r="F4114" s="42">
        <v>44032</v>
      </c>
    </row>
    <row r="4115" spans="1:6" x14ac:dyDescent="0.3">
      <c r="A4115" s="15" t="s">
        <v>43799</v>
      </c>
      <c r="B4115" s="15" t="s">
        <v>8213</v>
      </c>
      <c r="C4115" s="15" t="s">
        <v>800</v>
      </c>
      <c r="D4115" s="15" t="s">
        <v>8214</v>
      </c>
      <c r="E4115" s="15">
        <v>0</v>
      </c>
      <c r="F4115" s="42">
        <v>44025</v>
      </c>
    </row>
    <row r="4116" spans="1:6" x14ac:dyDescent="0.3">
      <c r="A4116" s="15" t="s">
        <v>43798</v>
      </c>
      <c r="B4116" s="15" t="s">
        <v>8215</v>
      </c>
      <c r="C4116" s="15" t="s">
        <v>800</v>
      </c>
      <c r="D4116" s="15" t="s">
        <v>8216</v>
      </c>
      <c r="E4116" s="15">
        <v>0</v>
      </c>
      <c r="F4116" s="42">
        <v>44032</v>
      </c>
    </row>
    <row r="4117" spans="1:6" x14ac:dyDescent="0.3">
      <c r="A4117" s="15" t="s">
        <v>43797</v>
      </c>
      <c r="B4117" s="15" t="s">
        <v>8217</v>
      </c>
      <c r="C4117" s="15" t="s">
        <v>800</v>
      </c>
      <c r="D4117" s="15" t="s">
        <v>8218</v>
      </c>
      <c r="E4117" s="15">
        <v>0</v>
      </c>
      <c r="F4117" s="42">
        <v>44032</v>
      </c>
    </row>
    <row r="4118" spans="1:6" x14ac:dyDescent="0.3">
      <c r="A4118" s="15" t="s">
        <v>43796</v>
      </c>
      <c r="B4118" s="15" t="s">
        <v>8219</v>
      </c>
      <c r="C4118" s="15" t="s">
        <v>800</v>
      </c>
      <c r="D4118" s="15" t="s">
        <v>8220</v>
      </c>
      <c r="E4118" s="15">
        <v>0</v>
      </c>
      <c r="F4118" s="42">
        <v>44032</v>
      </c>
    </row>
    <row r="4119" spans="1:6" x14ac:dyDescent="0.3">
      <c r="A4119" s="15" t="s">
        <v>43795</v>
      </c>
      <c r="B4119" s="15" t="s">
        <v>8221</v>
      </c>
      <c r="C4119" s="15" t="s">
        <v>800</v>
      </c>
      <c r="D4119" s="15" t="s">
        <v>8222</v>
      </c>
      <c r="E4119" s="15">
        <v>0</v>
      </c>
      <c r="F4119" s="42">
        <v>44032</v>
      </c>
    </row>
    <row r="4120" spans="1:6" x14ac:dyDescent="0.3">
      <c r="A4120" s="15" t="s">
        <v>43794</v>
      </c>
      <c r="B4120" s="15" t="s">
        <v>8223</v>
      </c>
      <c r="C4120" s="15" t="s">
        <v>800</v>
      </c>
      <c r="D4120" s="15" t="s">
        <v>8224</v>
      </c>
      <c r="E4120" s="15">
        <v>0</v>
      </c>
      <c r="F4120" s="42">
        <v>44032</v>
      </c>
    </row>
    <row r="4121" spans="1:6" x14ac:dyDescent="0.3">
      <c r="A4121" s="15" t="s">
        <v>43793</v>
      </c>
      <c r="B4121" s="15" t="s">
        <v>8225</v>
      </c>
      <c r="C4121" s="15" t="s">
        <v>800</v>
      </c>
      <c r="D4121" s="15" t="s">
        <v>8226</v>
      </c>
      <c r="E4121" s="15">
        <v>0</v>
      </c>
      <c r="F4121" s="42">
        <v>44032</v>
      </c>
    </row>
    <row r="4122" spans="1:6" x14ac:dyDescent="0.3">
      <c r="A4122" s="15" t="s">
        <v>43792</v>
      </c>
      <c r="B4122" s="15" t="s">
        <v>8227</v>
      </c>
      <c r="C4122" s="15" t="s">
        <v>800</v>
      </c>
      <c r="D4122" s="15" t="s">
        <v>8228</v>
      </c>
      <c r="E4122" s="15">
        <v>11.361000000000001</v>
      </c>
      <c r="F4122" s="42">
        <v>46198</v>
      </c>
    </row>
    <row r="4123" spans="1:6" x14ac:dyDescent="0.3">
      <c r="A4123" s="15" t="s">
        <v>43791</v>
      </c>
      <c r="B4123" s="15" t="s">
        <v>8229</v>
      </c>
      <c r="C4123" s="15" t="s">
        <v>8230</v>
      </c>
      <c r="D4123" s="15" t="s">
        <v>8231</v>
      </c>
      <c r="E4123" s="15">
        <v>10.6952</v>
      </c>
      <c r="F4123" s="42">
        <v>46198</v>
      </c>
    </row>
    <row r="4124" spans="1:6" x14ac:dyDescent="0.3">
      <c r="A4124" s="15" t="s">
        <v>43790</v>
      </c>
      <c r="B4124" s="15" t="s">
        <v>8232</v>
      </c>
      <c r="C4124" s="15" t="s">
        <v>800</v>
      </c>
      <c r="D4124" s="15" t="s">
        <v>8233</v>
      </c>
      <c r="E4124" s="15">
        <v>11.2682</v>
      </c>
      <c r="F4124" s="42">
        <v>46198</v>
      </c>
    </row>
    <row r="4125" spans="1:6" x14ac:dyDescent="0.3">
      <c r="A4125" s="15" t="s">
        <v>43789</v>
      </c>
      <c r="B4125" s="15" t="s">
        <v>8234</v>
      </c>
      <c r="C4125" s="15" t="s">
        <v>8235</v>
      </c>
      <c r="D4125" s="15" t="s">
        <v>8236</v>
      </c>
      <c r="E4125" s="15">
        <v>10.6243</v>
      </c>
      <c r="F4125" s="42">
        <v>46198</v>
      </c>
    </row>
    <row r="4126" spans="1:6" x14ac:dyDescent="0.3">
      <c r="A4126" s="15" t="s">
        <v>33499</v>
      </c>
      <c r="B4126" s="15" t="s">
        <v>795</v>
      </c>
      <c r="C4126" s="15" t="s">
        <v>795</v>
      </c>
      <c r="D4126" s="15" t="s">
        <v>795</v>
      </c>
      <c r="F4126" s="42"/>
    </row>
    <row r="4127" spans="1:6" x14ac:dyDescent="0.3">
      <c r="A4127" s="15" t="s">
        <v>37043</v>
      </c>
      <c r="B4127" s="15" t="s">
        <v>795</v>
      </c>
      <c r="C4127" s="15" t="s">
        <v>795</v>
      </c>
      <c r="D4127" s="15" t="s">
        <v>795</v>
      </c>
      <c r="F4127" s="42"/>
    </row>
    <row r="4128" spans="1:6" x14ac:dyDescent="0.3">
      <c r="A4128" s="15" t="s">
        <v>33499</v>
      </c>
      <c r="B4128" s="15" t="s">
        <v>795</v>
      </c>
      <c r="C4128" s="15" t="s">
        <v>795</v>
      </c>
      <c r="D4128" s="15" t="s">
        <v>795</v>
      </c>
      <c r="F4128" s="42"/>
    </row>
    <row r="4129" spans="1:6" x14ac:dyDescent="0.3">
      <c r="A4129" s="15" t="s">
        <v>43788</v>
      </c>
      <c r="B4129" s="15" t="s">
        <v>800</v>
      </c>
      <c r="C4129" s="15" t="s">
        <v>8237</v>
      </c>
      <c r="D4129" s="15" t="s">
        <v>8238</v>
      </c>
      <c r="E4129" s="15">
        <v>10.103</v>
      </c>
      <c r="F4129" s="42">
        <v>46198</v>
      </c>
    </row>
    <row r="4130" spans="1:6" x14ac:dyDescent="0.3">
      <c r="A4130" s="15" t="s">
        <v>43787</v>
      </c>
      <c r="B4130" s="15" t="s">
        <v>800</v>
      </c>
      <c r="C4130" s="15" t="s">
        <v>8239</v>
      </c>
      <c r="D4130" s="15" t="s">
        <v>8240</v>
      </c>
      <c r="E4130" s="15">
        <v>10.092000000000001</v>
      </c>
      <c r="F4130" s="42">
        <v>46198</v>
      </c>
    </row>
    <row r="4131" spans="1:6" x14ac:dyDescent="0.3">
      <c r="A4131" s="15" t="s">
        <v>43786</v>
      </c>
      <c r="B4131" s="15" t="s">
        <v>8241</v>
      </c>
      <c r="C4131" s="15" t="s">
        <v>800</v>
      </c>
      <c r="D4131" s="15" t="s">
        <v>8242</v>
      </c>
      <c r="E4131" s="15">
        <v>16.451000000000001</v>
      </c>
      <c r="F4131" s="42">
        <v>46198</v>
      </c>
    </row>
    <row r="4132" spans="1:6" x14ac:dyDescent="0.3">
      <c r="A4132" s="15" t="s">
        <v>43785</v>
      </c>
      <c r="B4132" s="15" t="s">
        <v>8243</v>
      </c>
      <c r="C4132" s="15" t="s">
        <v>8244</v>
      </c>
      <c r="D4132" s="15" t="s">
        <v>8245</v>
      </c>
      <c r="E4132" s="15">
        <v>10.145099999999999</v>
      </c>
      <c r="F4132" s="42">
        <v>46198</v>
      </c>
    </row>
    <row r="4133" spans="1:6" x14ac:dyDescent="0.3">
      <c r="A4133" s="15" t="s">
        <v>43784</v>
      </c>
      <c r="B4133" s="15" t="s">
        <v>8246</v>
      </c>
      <c r="C4133" s="15" t="s">
        <v>8247</v>
      </c>
      <c r="D4133" s="15" t="s">
        <v>8248</v>
      </c>
      <c r="E4133" s="15">
        <v>10.0633</v>
      </c>
      <c r="F4133" s="42">
        <v>46198</v>
      </c>
    </row>
    <row r="4134" spans="1:6" x14ac:dyDescent="0.3">
      <c r="A4134" s="15" t="s">
        <v>43783</v>
      </c>
      <c r="B4134" s="15" t="s">
        <v>8249</v>
      </c>
      <c r="C4134" s="15" t="s">
        <v>800</v>
      </c>
      <c r="D4134" s="15" t="s">
        <v>8250</v>
      </c>
      <c r="E4134" s="15">
        <v>16.049299999999999</v>
      </c>
      <c r="F4134" s="42">
        <v>46198</v>
      </c>
    </row>
    <row r="4135" spans="1:6" x14ac:dyDescent="0.3">
      <c r="A4135" s="15" t="s">
        <v>43782</v>
      </c>
      <c r="B4135" s="15" t="s">
        <v>8251</v>
      </c>
      <c r="C4135" s="15" t="s">
        <v>8252</v>
      </c>
      <c r="D4135" s="15" t="s">
        <v>8253</v>
      </c>
      <c r="E4135" s="15">
        <v>10.2431</v>
      </c>
      <c r="F4135" s="42">
        <v>46198</v>
      </c>
    </row>
    <row r="4136" spans="1:6" x14ac:dyDescent="0.3">
      <c r="A4136" s="15" t="s">
        <v>43781</v>
      </c>
      <c r="B4136" s="15" t="s">
        <v>8254</v>
      </c>
      <c r="C4136" s="15" t="s">
        <v>8255</v>
      </c>
      <c r="D4136" s="15" t="s">
        <v>8256</v>
      </c>
      <c r="E4136" s="15">
        <v>10.063000000000001</v>
      </c>
      <c r="F4136" s="42">
        <v>46198</v>
      </c>
    </row>
    <row r="4137" spans="1:6" x14ac:dyDescent="0.3">
      <c r="A4137" s="15" t="s">
        <v>33499</v>
      </c>
      <c r="B4137" s="15" t="s">
        <v>795</v>
      </c>
      <c r="C4137" s="15" t="s">
        <v>795</v>
      </c>
      <c r="D4137" s="15" t="s">
        <v>795</v>
      </c>
      <c r="F4137" s="42"/>
    </row>
    <row r="4138" spans="1:6" x14ac:dyDescent="0.3">
      <c r="A4138" s="15" t="s">
        <v>36815</v>
      </c>
      <c r="B4138" s="15" t="s">
        <v>795</v>
      </c>
      <c r="C4138" s="15" t="s">
        <v>795</v>
      </c>
      <c r="D4138" s="15" t="s">
        <v>795</v>
      </c>
      <c r="F4138" s="42"/>
    </row>
    <row r="4139" spans="1:6" x14ac:dyDescent="0.3">
      <c r="A4139" s="15" t="s">
        <v>33499</v>
      </c>
      <c r="B4139" s="15" t="s">
        <v>795</v>
      </c>
      <c r="C4139" s="15" t="s">
        <v>795</v>
      </c>
      <c r="D4139" s="15" t="s">
        <v>795</v>
      </c>
      <c r="F4139" s="42"/>
    </row>
    <row r="4140" spans="1:6" x14ac:dyDescent="0.3">
      <c r="A4140" s="15" t="s">
        <v>43780</v>
      </c>
      <c r="B4140" s="15" t="s">
        <v>800</v>
      </c>
      <c r="C4140" s="15" t="s">
        <v>8257</v>
      </c>
      <c r="D4140" s="15" t="s">
        <v>8258</v>
      </c>
      <c r="E4140" s="15">
        <v>1079.9409000000001</v>
      </c>
      <c r="F4140" s="42">
        <v>46198</v>
      </c>
    </row>
    <row r="4141" spans="1:6" x14ac:dyDescent="0.3">
      <c r="A4141" s="15" t="s">
        <v>43779</v>
      </c>
      <c r="B4141" s="15" t="s">
        <v>8259</v>
      </c>
      <c r="C4141" s="15" t="s">
        <v>800</v>
      </c>
      <c r="D4141" s="15" t="s">
        <v>8260</v>
      </c>
      <c r="E4141" s="15">
        <v>1460.5949000000001</v>
      </c>
      <c r="F4141" s="42">
        <v>46198</v>
      </c>
    </row>
    <row r="4142" spans="1:6" x14ac:dyDescent="0.3">
      <c r="A4142" s="15" t="s">
        <v>43778</v>
      </c>
      <c r="B4142" s="15" t="s">
        <v>8261</v>
      </c>
      <c r="C4142" s="15" t="s">
        <v>8262</v>
      </c>
      <c r="D4142" s="15" t="s">
        <v>8263</v>
      </c>
      <c r="E4142" s="15">
        <v>1021.1632</v>
      </c>
      <c r="F4142" s="42">
        <v>46198</v>
      </c>
    </row>
    <row r="4143" spans="1:6" x14ac:dyDescent="0.3">
      <c r="A4143" s="15" t="s">
        <v>43777</v>
      </c>
      <c r="B4143" s="15" t="s">
        <v>800</v>
      </c>
      <c r="C4143" s="15" t="s">
        <v>8264</v>
      </c>
      <c r="D4143" s="15" t="s">
        <v>8265</v>
      </c>
      <c r="E4143" s="15">
        <v>1008.2785</v>
      </c>
      <c r="F4143" s="42">
        <v>46198</v>
      </c>
    </row>
    <row r="4144" spans="1:6" x14ac:dyDescent="0.3">
      <c r="A4144" s="15" t="s">
        <v>43776</v>
      </c>
      <c r="B4144" s="15" t="s">
        <v>800</v>
      </c>
      <c r="C4144" s="15" t="s">
        <v>8266</v>
      </c>
      <c r="D4144" s="15" t="s">
        <v>8267</v>
      </c>
      <c r="E4144" s="15">
        <v>1031.7277999999999</v>
      </c>
      <c r="F4144" s="42">
        <v>46198</v>
      </c>
    </row>
    <row r="4145" spans="1:6" x14ac:dyDescent="0.3">
      <c r="A4145" s="15" t="s">
        <v>43775</v>
      </c>
      <c r="B4145" s="15" t="s">
        <v>8268</v>
      </c>
      <c r="C4145" s="15" t="s">
        <v>800</v>
      </c>
      <c r="D4145" s="15" t="s">
        <v>8269</v>
      </c>
      <c r="E4145" s="15">
        <v>1438.6244999999999</v>
      </c>
      <c r="F4145" s="42">
        <v>46198</v>
      </c>
    </row>
    <row r="4146" spans="1:6" x14ac:dyDescent="0.3">
      <c r="A4146" s="15" t="s">
        <v>43774</v>
      </c>
      <c r="B4146" s="15" t="s">
        <v>8270</v>
      </c>
      <c r="C4146" s="15" t="s">
        <v>8271</v>
      </c>
      <c r="D4146" s="15" t="s">
        <v>8272</v>
      </c>
      <c r="E4146" s="15">
        <v>1036.7384</v>
      </c>
      <c r="F4146" s="42">
        <v>46198</v>
      </c>
    </row>
    <row r="4147" spans="1:6" x14ac:dyDescent="0.3">
      <c r="A4147" s="15" t="s">
        <v>43773</v>
      </c>
      <c r="B4147" s="15" t="s">
        <v>800</v>
      </c>
      <c r="C4147" s="15" t="s">
        <v>8273</v>
      </c>
      <c r="D4147" s="15" t="s">
        <v>8274</v>
      </c>
      <c r="E4147" s="15">
        <v>1042.3976</v>
      </c>
      <c r="F4147" s="42">
        <v>46198</v>
      </c>
    </row>
    <row r="4148" spans="1:6" x14ac:dyDescent="0.3">
      <c r="A4148" s="15" t="s">
        <v>33499</v>
      </c>
      <c r="B4148" s="15" t="s">
        <v>795</v>
      </c>
      <c r="C4148" s="15" t="s">
        <v>795</v>
      </c>
      <c r="D4148" s="15" t="s">
        <v>795</v>
      </c>
      <c r="F4148" s="42"/>
    </row>
    <row r="4149" spans="1:6" x14ac:dyDescent="0.3">
      <c r="A4149" s="15" t="s">
        <v>36764</v>
      </c>
      <c r="B4149" s="15" t="s">
        <v>795</v>
      </c>
      <c r="C4149" s="15" t="s">
        <v>795</v>
      </c>
      <c r="D4149" s="15" t="s">
        <v>795</v>
      </c>
      <c r="F4149" s="42"/>
    </row>
    <row r="4150" spans="1:6" x14ac:dyDescent="0.3">
      <c r="A4150" s="15" t="s">
        <v>33499</v>
      </c>
      <c r="B4150" s="15" t="s">
        <v>795</v>
      </c>
      <c r="C4150" s="15" t="s">
        <v>795</v>
      </c>
      <c r="D4150" s="15" t="s">
        <v>795</v>
      </c>
      <c r="F4150" s="42"/>
    </row>
    <row r="4151" spans="1:6" x14ac:dyDescent="0.3">
      <c r="A4151" s="15" t="s">
        <v>43772</v>
      </c>
      <c r="B4151" s="15" t="s">
        <v>800</v>
      </c>
      <c r="C4151" s="15" t="s">
        <v>8275</v>
      </c>
      <c r="D4151" s="15" t="s">
        <v>8276</v>
      </c>
      <c r="E4151" s="15">
        <v>10.0732</v>
      </c>
      <c r="F4151" s="42">
        <v>46198</v>
      </c>
    </row>
    <row r="4152" spans="1:6" x14ac:dyDescent="0.3">
      <c r="A4152" s="15" t="s">
        <v>43771</v>
      </c>
      <c r="B4152" s="15" t="s">
        <v>8277</v>
      </c>
      <c r="C4152" s="15" t="s">
        <v>800</v>
      </c>
      <c r="D4152" s="15" t="s">
        <v>8278</v>
      </c>
      <c r="E4152" s="15">
        <v>31.939399999999999</v>
      </c>
      <c r="F4152" s="42">
        <v>46198</v>
      </c>
    </row>
    <row r="4153" spans="1:6" x14ac:dyDescent="0.3">
      <c r="A4153" s="15" t="s">
        <v>43770</v>
      </c>
      <c r="B4153" s="15" t="s">
        <v>8279</v>
      </c>
      <c r="C4153" s="15" t="s">
        <v>8280</v>
      </c>
      <c r="D4153" s="15" t="s">
        <v>8281</v>
      </c>
      <c r="E4153" s="15">
        <v>10.754200000000001</v>
      </c>
      <c r="F4153" s="42">
        <v>44820</v>
      </c>
    </row>
    <row r="4154" spans="1:6" x14ac:dyDescent="0.3">
      <c r="A4154" s="15" t="s">
        <v>43769</v>
      </c>
      <c r="B4154" s="15" t="s">
        <v>8282</v>
      </c>
      <c r="C4154" s="15" t="s">
        <v>8283</v>
      </c>
      <c r="D4154" s="15" t="s">
        <v>8284</v>
      </c>
      <c r="E4154" s="15">
        <v>10.871499999999999</v>
      </c>
      <c r="F4154" s="42">
        <v>46198</v>
      </c>
    </row>
    <row r="4155" spans="1:6" x14ac:dyDescent="0.3">
      <c r="A4155" s="15" t="s">
        <v>43768</v>
      </c>
      <c r="B4155" s="15" t="s">
        <v>8285</v>
      </c>
      <c r="C4155" s="15" t="s">
        <v>8286</v>
      </c>
      <c r="D4155" s="15" t="s">
        <v>8287</v>
      </c>
      <c r="E4155" s="15">
        <v>11.1882</v>
      </c>
      <c r="F4155" s="42">
        <v>46198</v>
      </c>
    </row>
    <row r="4156" spans="1:6" x14ac:dyDescent="0.3">
      <c r="A4156" s="15" t="s">
        <v>43767</v>
      </c>
      <c r="B4156" s="15" t="s">
        <v>800</v>
      </c>
      <c r="C4156" s="15" t="s">
        <v>8288</v>
      </c>
      <c r="D4156" s="15" t="s">
        <v>8289</v>
      </c>
      <c r="E4156" s="15">
        <v>10.0062</v>
      </c>
      <c r="F4156" s="42">
        <v>46198</v>
      </c>
    </row>
    <row r="4157" spans="1:6" x14ac:dyDescent="0.3">
      <c r="A4157" s="15" t="s">
        <v>43766</v>
      </c>
      <c r="B4157" s="15" t="s">
        <v>8290</v>
      </c>
      <c r="C4157" s="15" t="s">
        <v>8291</v>
      </c>
      <c r="D4157" s="15" t="s">
        <v>8292</v>
      </c>
      <c r="E4157" s="15">
        <v>10.087899999999999</v>
      </c>
      <c r="F4157" s="42">
        <v>44820</v>
      </c>
    </row>
    <row r="4158" spans="1:6" x14ac:dyDescent="0.3">
      <c r="A4158" s="15" t="s">
        <v>43765</v>
      </c>
      <c r="B4158" s="15" t="s">
        <v>8293</v>
      </c>
      <c r="C4158" s="15" t="s">
        <v>8294</v>
      </c>
      <c r="D4158" s="15" t="s">
        <v>8295</v>
      </c>
      <c r="E4158" s="15">
        <v>10.097</v>
      </c>
      <c r="F4158" s="42">
        <v>46198</v>
      </c>
    </row>
    <row r="4159" spans="1:6" x14ac:dyDescent="0.3">
      <c r="A4159" s="15" t="s">
        <v>43764</v>
      </c>
      <c r="B4159" s="15" t="s">
        <v>8296</v>
      </c>
      <c r="C4159" s="15" t="s">
        <v>800</v>
      </c>
      <c r="D4159" s="15" t="s">
        <v>8297</v>
      </c>
      <c r="E4159" s="15">
        <v>16.099599999999999</v>
      </c>
      <c r="F4159" s="42">
        <v>43945</v>
      </c>
    </row>
    <row r="4160" spans="1:6" x14ac:dyDescent="0.3">
      <c r="A4160" s="15" t="s">
        <v>43763</v>
      </c>
      <c r="B4160" s="15" t="s">
        <v>8298</v>
      </c>
      <c r="C4160" s="15" t="s">
        <v>8299</v>
      </c>
      <c r="D4160" s="15" t="s">
        <v>8300</v>
      </c>
      <c r="E4160" s="15">
        <v>10.0649</v>
      </c>
      <c r="F4160" s="42">
        <v>44820</v>
      </c>
    </row>
    <row r="4161" spans="1:6" x14ac:dyDescent="0.3">
      <c r="A4161" s="15" t="s">
        <v>43762</v>
      </c>
      <c r="B4161" s="15" t="s">
        <v>8301</v>
      </c>
      <c r="C4161" s="15" t="s">
        <v>800</v>
      </c>
      <c r="D4161" s="15" t="s">
        <v>8302</v>
      </c>
      <c r="E4161" s="15">
        <v>29.421299999999999</v>
      </c>
      <c r="F4161" s="42">
        <v>46198</v>
      </c>
    </row>
    <row r="4162" spans="1:6" x14ac:dyDescent="0.3">
      <c r="A4162" s="15" t="s">
        <v>43761</v>
      </c>
      <c r="B4162" s="15" t="s">
        <v>8303</v>
      </c>
      <c r="C4162" s="15" t="s">
        <v>8304</v>
      </c>
      <c r="D4162" s="15" t="s">
        <v>8305</v>
      </c>
      <c r="E4162" s="15">
        <v>10.6114</v>
      </c>
      <c r="F4162" s="42">
        <v>44820</v>
      </c>
    </row>
    <row r="4163" spans="1:6" x14ac:dyDescent="0.3">
      <c r="A4163" s="15" t="s">
        <v>43760</v>
      </c>
      <c r="B4163" s="15" t="s">
        <v>8306</v>
      </c>
      <c r="C4163" s="15" t="s">
        <v>8307</v>
      </c>
      <c r="D4163" s="15" t="s">
        <v>8308</v>
      </c>
      <c r="E4163" s="15">
        <v>10.738099999999999</v>
      </c>
      <c r="F4163" s="42">
        <v>46198</v>
      </c>
    </row>
    <row r="4164" spans="1:6" x14ac:dyDescent="0.3">
      <c r="A4164" s="15" t="s">
        <v>43759</v>
      </c>
      <c r="B4164" s="15" t="s">
        <v>8309</v>
      </c>
      <c r="C4164" s="15" t="s">
        <v>8310</v>
      </c>
      <c r="D4164" s="15" t="s">
        <v>8311</v>
      </c>
      <c r="E4164" s="15">
        <v>10.9785</v>
      </c>
      <c r="F4164" s="42">
        <v>46198</v>
      </c>
    </row>
    <row r="4165" spans="1:6" x14ac:dyDescent="0.3">
      <c r="A4165" s="15" t="s">
        <v>43758</v>
      </c>
      <c r="B4165" s="15" t="s">
        <v>8312</v>
      </c>
      <c r="C4165" s="15" t="s">
        <v>8313</v>
      </c>
      <c r="D4165" s="15" t="s">
        <v>8314</v>
      </c>
      <c r="E4165" s="15">
        <v>10.0807</v>
      </c>
      <c r="F4165" s="42">
        <v>46198</v>
      </c>
    </row>
    <row r="4166" spans="1:6" x14ac:dyDescent="0.3">
      <c r="A4166" s="15" t="s">
        <v>33499</v>
      </c>
      <c r="B4166" s="15" t="s">
        <v>795</v>
      </c>
      <c r="C4166" s="15" t="s">
        <v>795</v>
      </c>
      <c r="D4166" s="15" t="s">
        <v>795</v>
      </c>
      <c r="F4166" s="42"/>
    </row>
    <row r="4167" spans="1:6" x14ac:dyDescent="0.3">
      <c r="A4167" s="15" t="s">
        <v>37807</v>
      </c>
      <c r="B4167" s="15" t="s">
        <v>795</v>
      </c>
      <c r="C4167" s="15" t="s">
        <v>795</v>
      </c>
      <c r="D4167" s="15" t="s">
        <v>795</v>
      </c>
      <c r="F4167" s="42"/>
    </row>
    <row r="4168" spans="1:6" x14ac:dyDescent="0.3">
      <c r="A4168" s="15" t="s">
        <v>33499</v>
      </c>
      <c r="B4168" s="15" t="s">
        <v>795</v>
      </c>
      <c r="C4168" s="15" t="s">
        <v>795</v>
      </c>
      <c r="D4168" s="15" t="s">
        <v>795</v>
      </c>
      <c r="F4168" s="42"/>
    </row>
    <row r="4169" spans="1:6" x14ac:dyDescent="0.3">
      <c r="A4169" s="15" t="s">
        <v>43757</v>
      </c>
      <c r="B4169" s="15" t="s">
        <v>8315</v>
      </c>
      <c r="C4169" s="15" t="s">
        <v>8316</v>
      </c>
      <c r="D4169" s="15" t="s">
        <v>8317</v>
      </c>
      <c r="E4169" s="15">
        <v>2184.0032999999999</v>
      </c>
      <c r="F4169" s="42">
        <v>46198</v>
      </c>
    </row>
    <row r="4170" spans="1:6" x14ac:dyDescent="0.3">
      <c r="A4170" s="15" t="s">
        <v>43756</v>
      </c>
      <c r="B4170" s="15" t="s">
        <v>800</v>
      </c>
      <c r="C4170" s="15" t="s">
        <v>8318</v>
      </c>
      <c r="D4170" s="15" t="s">
        <v>8319</v>
      </c>
      <c r="E4170" s="15">
        <v>1554.6773000000001</v>
      </c>
      <c r="F4170" s="42">
        <v>46198</v>
      </c>
    </row>
    <row r="4171" spans="1:6" x14ac:dyDescent="0.3">
      <c r="A4171" s="15" t="s">
        <v>43755</v>
      </c>
      <c r="B4171" s="15" t="s">
        <v>8320</v>
      </c>
      <c r="C4171" s="15" t="s">
        <v>800</v>
      </c>
      <c r="D4171" s="15" t="s">
        <v>8321</v>
      </c>
      <c r="E4171" s="15">
        <v>3067.1158999999998</v>
      </c>
      <c r="F4171" s="42">
        <v>46198</v>
      </c>
    </row>
    <row r="4172" spans="1:6" x14ac:dyDescent="0.3">
      <c r="A4172" s="15" t="s">
        <v>43754</v>
      </c>
      <c r="B4172" s="15" t="s">
        <v>8322</v>
      </c>
      <c r="C4172" s="15" t="s">
        <v>8323</v>
      </c>
      <c r="D4172" s="15" t="s">
        <v>8324</v>
      </c>
      <c r="E4172" s="15">
        <v>2078.3307</v>
      </c>
      <c r="F4172" s="42">
        <v>46198</v>
      </c>
    </row>
    <row r="4173" spans="1:6" x14ac:dyDescent="0.3">
      <c r="A4173" s="15" t="s">
        <v>43753</v>
      </c>
      <c r="B4173" s="15" t="s">
        <v>8325</v>
      </c>
      <c r="C4173" s="15" t="s">
        <v>8326</v>
      </c>
      <c r="D4173" s="15" t="s">
        <v>8327</v>
      </c>
      <c r="E4173" s="15">
        <v>1030.0410999999999</v>
      </c>
      <c r="F4173" s="42">
        <v>46198</v>
      </c>
    </row>
    <row r="4174" spans="1:6" x14ac:dyDescent="0.3">
      <c r="A4174" s="15" t="s">
        <v>43752</v>
      </c>
      <c r="B4174" s="15" t="s">
        <v>8328</v>
      </c>
      <c r="C4174" s="15" t="s">
        <v>8329</v>
      </c>
      <c r="D4174" s="15" t="s">
        <v>8330</v>
      </c>
      <c r="E4174" s="15">
        <v>1142.7561000000001</v>
      </c>
      <c r="F4174" s="42">
        <v>46198</v>
      </c>
    </row>
    <row r="4175" spans="1:6" x14ac:dyDescent="0.3">
      <c r="A4175" s="15" t="s">
        <v>43751</v>
      </c>
      <c r="B4175" s="15" t="s">
        <v>800</v>
      </c>
      <c r="C4175" s="15" t="s">
        <v>8331</v>
      </c>
      <c r="D4175" s="15" t="s">
        <v>8332</v>
      </c>
      <c r="E4175" s="15">
        <v>1452.7697000000001</v>
      </c>
      <c r="F4175" s="42">
        <v>46198</v>
      </c>
    </row>
    <row r="4176" spans="1:6" x14ac:dyDescent="0.3">
      <c r="A4176" s="15" t="s">
        <v>43750</v>
      </c>
      <c r="B4176" s="15" t="s">
        <v>8333</v>
      </c>
      <c r="C4176" s="15" t="s">
        <v>800</v>
      </c>
      <c r="D4176" s="15" t="s">
        <v>8334</v>
      </c>
      <c r="E4176" s="15">
        <v>2859.1415000000002</v>
      </c>
      <c r="F4176" s="42">
        <v>46198</v>
      </c>
    </row>
    <row r="4177" spans="1:6" x14ac:dyDescent="0.3">
      <c r="A4177" s="15" t="s">
        <v>43749</v>
      </c>
      <c r="B4177" s="15" t="s">
        <v>8335</v>
      </c>
      <c r="C4177" s="15" t="s">
        <v>8336</v>
      </c>
      <c r="D4177" s="15" t="s">
        <v>8337</v>
      </c>
      <c r="E4177" s="15">
        <v>1019.7352</v>
      </c>
      <c r="F4177" s="42">
        <v>46198</v>
      </c>
    </row>
    <row r="4178" spans="1:6" x14ac:dyDescent="0.3">
      <c r="A4178" s="15" t="s">
        <v>43748</v>
      </c>
      <c r="B4178" s="15" t="s">
        <v>8338</v>
      </c>
      <c r="C4178" s="15" t="s">
        <v>8339</v>
      </c>
      <c r="D4178" s="15" t="s">
        <v>8340</v>
      </c>
      <c r="E4178" s="15">
        <v>1109.8782000000001</v>
      </c>
      <c r="F4178" s="42">
        <v>46198</v>
      </c>
    </row>
    <row r="4179" spans="1:6" x14ac:dyDescent="0.3">
      <c r="A4179" s="15" t="s">
        <v>33499</v>
      </c>
      <c r="B4179" s="15" t="s">
        <v>795</v>
      </c>
      <c r="C4179" s="15" t="s">
        <v>795</v>
      </c>
      <c r="D4179" s="15" t="s">
        <v>795</v>
      </c>
      <c r="F4179" s="42"/>
    </row>
    <row r="4180" spans="1:6" x14ac:dyDescent="0.3">
      <c r="A4180" s="15" t="s">
        <v>40577</v>
      </c>
      <c r="B4180" s="15" t="s">
        <v>795</v>
      </c>
      <c r="C4180" s="15" t="s">
        <v>795</v>
      </c>
      <c r="D4180" s="15" t="s">
        <v>795</v>
      </c>
      <c r="F4180" s="42"/>
    </row>
    <row r="4181" spans="1:6" x14ac:dyDescent="0.3">
      <c r="A4181" s="15" t="s">
        <v>33499</v>
      </c>
      <c r="B4181" s="15" t="s">
        <v>795</v>
      </c>
      <c r="C4181" s="15" t="s">
        <v>795</v>
      </c>
      <c r="D4181" s="15" t="s">
        <v>795</v>
      </c>
      <c r="F4181" s="42"/>
    </row>
    <row r="4182" spans="1:6" x14ac:dyDescent="0.3">
      <c r="A4182" s="15" t="s">
        <v>43747</v>
      </c>
      <c r="B4182" s="15" t="s">
        <v>8341</v>
      </c>
      <c r="C4182" s="15" t="s">
        <v>8342</v>
      </c>
      <c r="D4182" s="15" t="s">
        <v>8343</v>
      </c>
      <c r="E4182" s="15">
        <v>1362.5916</v>
      </c>
      <c r="F4182" s="42">
        <v>46198</v>
      </c>
    </row>
    <row r="4183" spans="1:6" x14ac:dyDescent="0.3">
      <c r="A4183" s="15" t="s">
        <v>43746</v>
      </c>
      <c r="B4183" s="15" t="s">
        <v>800</v>
      </c>
      <c r="C4183" s="15" t="s">
        <v>8344</v>
      </c>
      <c r="D4183" s="15" t="s">
        <v>8345</v>
      </c>
      <c r="E4183" s="15">
        <v>1001</v>
      </c>
      <c r="F4183" s="42">
        <v>46139</v>
      </c>
    </row>
    <row r="4184" spans="1:6" x14ac:dyDescent="0.3">
      <c r="A4184" s="15" t="s">
        <v>43745</v>
      </c>
      <c r="B4184" s="15" t="s">
        <v>8346</v>
      </c>
      <c r="C4184" s="15" t="s">
        <v>8347</v>
      </c>
      <c r="D4184" s="15" t="s">
        <v>8348</v>
      </c>
      <c r="E4184" s="15">
        <v>1004.7169</v>
      </c>
      <c r="F4184" s="42">
        <v>46198</v>
      </c>
    </row>
    <row r="4185" spans="1:6" x14ac:dyDescent="0.3">
      <c r="A4185" s="15" t="s">
        <v>43744</v>
      </c>
      <c r="B4185" s="15" t="s">
        <v>8349</v>
      </c>
      <c r="C4185" s="15" t="s">
        <v>800</v>
      </c>
      <c r="D4185" s="15" t="s">
        <v>8350</v>
      </c>
      <c r="E4185" s="15">
        <v>1360.8625</v>
      </c>
      <c r="F4185" s="42">
        <v>46198</v>
      </c>
    </row>
    <row r="4186" spans="1:6" x14ac:dyDescent="0.3">
      <c r="A4186" s="15" t="s">
        <v>43743</v>
      </c>
      <c r="B4186" s="15" t="s">
        <v>8351</v>
      </c>
      <c r="C4186" s="15" t="s">
        <v>8352</v>
      </c>
      <c r="D4186" s="15" t="s">
        <v>8353</v>
      </c>
      <c r="E4186" s="15">
        <v>1009.0254</v>
      </c>
      <c r="F4186" s="42">
        <v>46198</v>
      </c>
    </row>
    <row r="4187" spans="1:6" x14ac:dyDescent="0.3">
      <c r="A4187" s="15" t="s">
        <v>43742</v>
      </c>
      <c r="B4187" s="15" t="s">
        <v>800</v>
      </c>
      <c r="C4187" s="15" t="s">
        <v>8354</v>
      </c>
      <c r="D4187" s="15" t="s">
        <v>8355</v>
      </c>
      <c r="E4187" s="15">
        <v>1001.9155</v>
      </c>
      <c r="F4187" s="42">
        <v>46198</v>
      </c>
    </row>
    <row r="4188" spans="1:6" x14ac:dyDescent="0.3">
      <c r="A4188" s="15" t="s">
        <v>43741</v>
      </c>
      <c r="B4188" s="15" t="s">
        <v>8356</v>
      </c>
      <c r="C4188" s="15" t="s">
        <v>8357</v>
      </c>
      <c r="D4188" s="15" t="s">
        <v>8358</v>
      </c>
      <c r="E4188" s="15">
        <v>1304.9988000000001</v>
      </c>
      <c r="F4188" s="42">
        <v>46198</v>
      </c>
    </row>
    <row r="4189" spans="1:6" x14ac:dyDescent="0.3">
      <c r="A4189" s="15" t="s">
        <v>43740</v>
      </c>
      <c r="B4189" s="15" t="s">
        <v>800</v>
      </c>
      <c r="C4189" s="15" t="s">
        <v>8359</v>
      </c>
      <c r="D4189" s="15" t="s">
        <v>8360</v>
      </c>
      <c r="E4189" s="15">
        <v>1001</v>
      </c>
      <c r="F4189" s="42">
        <v>46198</v>
      </c>
    </row>
    <row r="4190" spans="1:6" x14ac:dyDescent="0.3">
      <c r="A4190" s="15" t="s">
        <v>43739</v>
      </c>
      <c r="B4190" s="15" t="s">
        <v>8361</v>
      </c>
      <c r="C4190" s="15" t="s">
        <v>8362</v>
      </c>
      <c r="D4190" s="15" t="s">
        <v>8363</v>
      </c>
      <c r="E4190" s="15">
        <v>1004.443</v>
      </c>
      <c r="F4190" s="42">
        <v>46198</v>
      </c>
    </row>
    <row r="4191" spans="1:6" x14ac:dyDescent="0.3">
      <c r="A4191" s="15" t="s">
        <v>43738</v>
      </c>
      <c r="B4191" s="15" t="s">
        <v>8364</v>
      </c>
      <c r="C4191" s="15" t="s">
        <v>800</v>
      </c>
      <c r="D4191" s="15" t="s">
        <v>8365</v>
      </c>
      <c r="E4191" s="15">
        <v>1304.9447</v>
      </c>
      <c r="F4191" s="42">
        <v>46198</v>
      </c>
    </row>
    <row r="4192" spans="1:6" x14ac:dyDescent="0.3">
      <c r="A4192" s="15" t="s">
        <v>43737</v>
      </c>
      <c r="B4192" s="15" t="s">
        <v>8366</v>
      </c>
      <c r="C4192" s="15" t="s">
        <v>8367</v>
      </c>
      <c r="D4192" s="15" t="s">
        <v>8368</v>
      </c>
      <c r="E4192" s="15">
        <v>1008.4853000000001</v>
      </c>
      <c r="F4192" s="42">
        <v>46198</v>
      </c>
    </row>
    <row r="4193" spans="1:6" x14ac:dyDescent="0.3">
      <c r="A4193" s="15" t="s">
        <v>43736</v>
      </c>
      <c r="B4193" s="15" t="s">
        <v>800</v>
      </c>
      <c r="C4193" s="15" t="s">
        <v>8369</v>
      </c>
      <c r="D4193" s="15" t="s">
        <v>8370</v>
      </c>
      <c r="E4193" s="15">
        <v>1001.8742999999999</v>
      </c>
      <c r="F4193" s="42">
        <v>46198</v>
      </c>
    </row>
    <row r="4194" spans="1:6" x14ac:dyDescent="0.3">
      <c r="A4194" s="15" t="s">
        <v>33499</v>
      </c>
      <c r="B4194" s="15" t="s">
        <v>795</v>
      </c>
      <c r="C4194" s="15" t="s">
        <v>795</v>
      </c>
      <c r="D4194" s="15" t="s">
        <v>795</v>
      </c>
      <c r="F4194" s="42"/>
    </row>
    <row r="4195" spans="1:6" x14ac:dyDescent="0.3">
      <c r="A4195" s="15" t="s">
        <v>40894</v>
      </c>
      <c r="B4195" s="15" t="s">
        <v>795</v>
      </c>
      <c r="C4195" s="15" t="s">
        <v>795</v>
      </c>
      <c r="D4195" s="15" t="s">
        <v>795</v>
      </c>
      <c r="F4195" s="42"/>
    </row>
    <row r="4196" spans="1:6" x14ac:dyDescent="0.3">
      <c r="A4196" s="15" t="s">
        <v>33499</v>
      </c>
      <c r="B4196" s="15" t="s">
        <v>795</v>
      </c>
      <c r="C4196" s="15" t="s">
        <v>795</v>
      </c>
      <c r="D4196" s="15" t="s">
        <v>795</v>
      </c>
      <c r="F4196" s="42"/>
    </row>
    <row r="4197" spans="1:6" x14ac:dyDescent="0.3">
      <c r="A4197" s="15" t="s">
        <v>43735</v>
      </c>
      <c r="B4197" s="15" t="s">
        <v>8371</v>
      </c>
      <c r="C4197" s="15" t="s">
        <v>800</v>
      </c>
      <c r="D4197" s="15" t="s">
        <v>8372</v>
      </c>
      <c r="E4197" s="15">
        <v>27.843699999999998</v>
      </c>
      <c r="F4197" s="42">
        <v>44099</v>
      </c>
    </row>
    <row r="4198" spans="1:6" x14ac:dyDescent="0.3">
      <c r="A4198" s="15" t="s">
        <v>43734</v>
      </c>
      <c r="B4198" s="15" t="s">
        <v>800</v>
      </c>
      <c r="C4198" s="15" t="s">
        <v>8373</v>
      </c>
      <c r="D4198" s="15" t="s">
        <v>8374</v>
      </c>
      <c r="E4198" s="15">
        <v>10.516500000000001</v>
      </c>
      <c r="F4198" s="42">
        <v>44099</v>
      </c>
    </row>
    <row r="4199" spans="1:6" x14ac:dyDescent="0.3">
      <c r="A4199" s="15" t="s">
        <v>43733</v>
      </c>
      <c r="B4199" s="15" t="s">
        <v>8375</v>
      </c>
      <c r="C4199" s="15" t="s">
        <v>800</v>
      </c>
      <c r="D4199" s="15" t="s">
        <v>8376</v>
      </c>
      <c r="E4199" s="15">
        <v>27.593800000000002</v>
      </c>
      <c r="F4199" s="42">
        <v>44099</v>
      </c>
    </row>
    <row r="4200" spans="1:6" x14ac:dyDescent="0.3">
      <c r="A4200" s="15" t="s">
        <v>43732</v>
      </c>
      <c r="B4200" s="15" t="s">
        <v>800</v>
      </c>
      <c r="C4200" s="15" t="s">
        <v>8377</v>
      </c>
      <c r="D4200" s="15" t="s">
        <v>8378</v>
      </c>
      <c r="E4200" s="15">
        <v>10.3437</v>
      </c>
      <c r="F4200" s="42">
        <v>44099</v>
      </c>
    </row>
    <row r="4201" spans="1:6" x14ac:dyDescent="0.3">
      <c r="A4201" s="15" t="s">
        <v>43731</v>
      </c>
      <c r="B4201" s="15" t="s">
        <v>800</v>
      </c>
      <c r="C4201" s="15" t="s">
        <v>8379</v>
      </c>
      <c r="D4201" s="15" t="s">
        <v>8380</v>
      </c>
      <c r="E4201" s="15">
        <v>10.8856</v>
      </c>
      <c r="F4201" s="42">
        <v>44099</v>
      </c>
    </row>
    <row r="4202" spans="1:6" x14ac:dyDescent="0.3">
      <c r="A4202" s="15" t="s">
        <v>43730</v>
      </c>
      <c r="B4202" s="15" t="s">
        <v>8381</v>
      </c>
      <c r="C4202" s="15" t="s">
        <v>800</v>
      </c>
      <c r="D4202" s="15" t="s">
        <v>8382</v>
      </c>
      <c r="E4202" s="15">
        <v>26.95</v>
      </c>
      <c r="F4202" s="42">
        <v>44099</v>
      </c>
    </row>
    <row r="4203" spans="1:6" x14ac:dyDescent="0.3">
      <c r="A4203" s="15" t="s">
        <v>43729</v>
      </c>
      <c r="B4203" s="15" t="s">
        <v>800</v>
      </c>
      <c r="C4203" s="15" t="s">
        <v>8383</v>
      </c>
      <c r="D4203" s="15" t="s">
        <v>8384</v>
      </c>
      <c r="E4203" s="15">
        <v>10.2477</v>
      </c>
      <c r="F4203" s="42">
        <v>44099</v>
      </c>
    </row>
    <row r="4204" spans="1:6" x14ac:dyDescent="0.3">
      <c r="A4204" s="15" t="s">
        <v>43728</v>
      </c>
      <c r="B4204" s="15" t="s">
        <v>800</v>
      </c>
      <c r="C4204" s="15" t="s">
        <v>8385</v>
      </c>
      <c r="D4204" s="15" t="s">
        <v>8386</v>
      </c>
      <c r="E4204" s="15">
        <v>10.4216</v>
      </c>
      <c r="F4204" s="42">
        <v>44099</v>
      </c>
    </row>
    <row r="4205" spans="1:6" x14ac:dyDescent="0.3">
      <c r="A4205" s="15" t="s">
        <v>43727</v>
      </c>
      <c r="B4205" s="15" t="s">
        <v>8387</v>
      </c>
      <c r="C4205" s="15" t="s">
        <v>800</v>
      </c>
      <c r="D4205" s="15" t="s">
        <v>8388</v>
      </c>
      <c r="E4205" s="15">
        <v>26.7195</v>
      </c>
      <c r="F4205" s="42">
        <v>44099</v>
      </c>
    </row>
    <row r="4206" spans="1:6" x14ac:dyDescent="0.3">
      <c r="A4206" s="15" t="s">
        <v>43726</v>
      </c>
      <c r="B4206" s="15" t="s">
        <v>800</v>
      </c>
      <c r="C4206" s="15" t="s">
        <v>8389</v>
      </c>
      <c r="D4206" s="15" t="s">
        <v>8390</v>
      </c>
      <c r="E4206" s="15">
        <v>10.8027</v>
      </c>
      <c r="F4206" s="42">
        <v>44099</v>
      </c>
    </row>
    <row r="4207" spans="1:6" x14ac:dyDescent="0.3">
      <c r="A4207" s="15" t="s">
        <v>33499</v>
      </c>
      <c r="B4207" s="15" t="s">
        <v>795</v>
      </c>
      <c r="C4207" s="15" t="s">
        <v>795</v>
      </c>
      <c r="D4207" s="15" t="s">
        <v>795</v>
      </c>
      <c r="F4207" s="42"/>
    </row>
    <row r="4208" spans="1:6" x14ac:dyDescent="0.3">
      <c r="A4208" s="15" t="s">
        <v>139</v>
      </c>
      <c r="B4208" s="15" t="s">
        <v>795</v>
      </c>
      <c r="C4208" s="15" t="s">
        <v>795</v>
      </c>
      <c r="D4208" s="15" t="s">
        <v>795</v>
      </c>
      <c r="F4208" s="42"/>
    </row>
    <row r="4209" spans="1:6" x14ac:dyDescent="0.3">
      <c r="A4209" s="15" t="s">
        <v>33499</v>
      </c>
      <c r="B4209" s="15" t="s">
        <v>795</v>
      </c>
      <c r="C4209" s="15" t="s">
        <v>795</v>
      </c>
      <c r="D4209" s="15" t="s">
        <v>795</v>
      </c>
      <c r="F4209" s="42"/>
    </row>
    <row r="4210" spans="1:6" x14ac:dyDescent="0.3">
      <c r="A4210" s="15" t="s">
        <v>43725</v>
      </c>
      <c r="B4210" s="15" t="s">
        <v>8391</v>
      </c>
      <c r="C4210" s="15" t="s">
        <v>800</v>
      </c>
      <c r="D4210" s="15" t="s">
        <v>8392</v>
      </c>
      <c r="E4210" s="15">
        <v>45.408299999999997</v>
      </c>
      <c r="F4210" s="42">
        <v>46198</v>
      </c>
    </row>
    <row r="4211" spans="1:6" x14ac:dyDescent="0.3">
      <c r="A4211" s="15" t="s">
        <v>43724</v>
      </c>
      <c r="B4211" s="15" t="s">
        <v>8393</v>
      </c>
      <c r="C4211" s="15" t="s">
        <v>800</v>
      </c>
      <c r="D4211" s="15" t="s">
        <v>8394</v>
      </c>
      <c r="E4211" s="15">
        <v>10.746700000000001</v>
      </c>
      <c r="F4211" s="42">
        <v>46198</v>
      </c>
    </row>
    <row r="4212" spans="1:6" x14ac:dyDescent="0.3">
      <c r="A4212" s="15" t="s">
        <v>43723</v>
      </c>
      <c r="B4212" s="15" t="s">
        <v>8395</v>
      </c>
      <c r="C4212" s="15" t="s">
        <v>800</v>
      </c>
      <c r="D4212" s="15" t="s">
        <v>8396</v>
      </c>
      <c r="E4212" s="15">
        <v>47.784999999999997</v>
      </c>
      <c r="F4212" s="42">
        <v>46198</v>
      </c>
    </row>
    <row r="4213" spans="1:6" x14ac:dyDescent="0.3">
      <c r="A4213" s="15" t="s">
        <v>43722</v>
      </c>
      <c r="B4213" s="15" t="s">
        <v>8397</v>
      </c>
      <c r="C4213" s="15" t="s">
        <v>800</v>
      </c>
      <c r="D4213" s="15" t="s">
        <v>8398</v>
      </c>
      <c r="E4213" s="15">
        <v>20.603000000000002</v>
      </c>
      <c r="F4213" s="42">
        <v>46198</v>
      </c>
    </row>
    <row r="4214" spans="1:6" x14ac:dyDescent="0.3">
      <c r="A4214" s="15" t="s">
        <v>43721</v>
      </c>
      <c r="B4214" s="15" t="s">
        <v>8399</v>
      </c>
      <c r="C4214" s="15" t="s">
        <v>800</v>
      </c>
      <c r="D4214" s="15" t="s">
        <v>8400</v>
      </c>
      <c r="E4214" s="15">
        <v>10.079800000000001</v>
      </c>
      <c r="F4214" s="42">
        <v>44456</v>
      </c>
    </row>
    <row r="4215" spans="1:6" x14ac:dyDescent="0.3">
      <c r="A4215" s="15" t="s">
        <v>43720</v>
      </c>
      <c r="B4215" s="15" t="s">
        <v>8401</v>
      </c>
      <c r="C4215" s="15" t="s">
        <v>800</v>
      </c>
      <c r="D4215" s="15" t="s">
        <v>8402</v>
      </c>
      <c r="E4215" s="15">
        <v>10.8186</v>
      </c>
      <c r="F4215" s="42">
        <v>44456</v>
      </c>
    </row>
    <row r="4216" spans="1:6" x14ac:dyDescent="0.3">
      <c r="A4216" s="15" t="s">
        <v>33499</v>
      </c>
      <c r="B4216" s="15" t="s">
        <v>795</v>
      </c>
      <c r="C4216" s="15" t="s">
        <v>795</v>
      </c>
      <c r="D4216" s="15" t="s">
        <v>795</v>
      </c>
      <c r="F4216" s="42"/>
    </row>
    <row r="4217" spans="1:6" x14ac:dyDescent="0.3">
      <c r="A4217" s="15" t="s">
        <v>37618</v>
      </c>
      <c r="B4217" s="15" t="s">
        <v>795</v>
      </c>
      <c r="C4217" s="15" t="s">
        <v>795</v>
      </c>
      <c r="D4217" s="15" t="s">
        <v>795</v>
      </c>
      <c r="F4217" s="42"/>
    </row>
    <row r="4218" spans="1:6" x14ac:dyDescent="0.3">
      <c r="A4218" s="15" t="s">
        <v>33499</v>
      </c>
      <c r="B4218" s="15" t="s">
        <v>795</v>
      </c>
      <c r="C4218" s="15" t="s">
        <v>795</v>
      </c>
      <c r="D4218" s="15" t="s">
        <v>795</v>
      </c>
      <c r="F4218" s="42"/>
    </row>
    <row r="4219" spans="1:6" x14ac:dyDescent="0.3">
      <c r="A4219" s="15" t="s">
        <v>43719</v>
      </c>
      <c r="B4219" s="15" t="s">
        <v>800</v>
      </c>
      <c r="C4219" s="15" t="s">
        <v>8403</v>
      </c>
      <c r="D4219" s="15" t="s">
        <v>8404</v>
      </c>
      <c r="E4219" s="15">
        <v>1102.1316999999999</v>
      </c>
      <c r="F4219" s="42">
        <v>46198</v>
      </c>
    </row>
    <row r="4220" spans="1:6" x14ac:dyDescent="0.3">
      <c r="A4220" s="15" t="s">
        <v>43718</v>
      </c>
      <c r="B4220" s="15" t="s">
        <v>8405</v>
      </c>
      <c r="C4220" s="15" t="s">
        <v>800</v>
      </c>
      <c r="D4220" s="15" t="s">
        <v>8406</v>
      </c>
      <c r="E4220" s="15">
        <v>1438.2692999999999</v>
      </c>
      <c r="F4220" s="42">
        <v>46198</v>
      </c>
    </row>
    <row r="4221" spans="1:6" x14ac:dyDescent="0.3">
      <c r="A4221" s="15" t="s">
        <v>43717</v>
      </c>
      <c r="B4221" s="15" t="s">
        <v>8407</v>
      </c>
      <c r="C4221" s="15" t="s">
        <v>8408</v>
      </c>
      <c r="D4221" s="15" t="s">
        <v>8409</v>
      </c>
      <c r="E4221" s="15">
        <v>1437.9983</v>
      </c>
      <c r="F4221" s="42">
        <v>46198</v>
      </c>
    </row>
    <row r="4222" spans="1:6" x14ac:dyDescent="0.3">
      <c r="A4222" s="15" t="s">
        <v>43716</v>
      </c>
      <c r="B4222" s="15" t="s">
        <v>8410</v>
      </c>
      <c r="C4222" s="15" t="s">
        <v>8411</v>
      </c>
      <c r="D4222" s="15" t="s">
        <v>8412</v>
      </c>
      <c r="E4222" s="15">
        <v>1102.6686</v>
      </c>
      <c r="F4222" s="42">
        <v>46198</v>
      </c>
    </row>
    <row r="4223" spans="1:6" x14ac:dyDescent="0.3">
      <c r="A4223" s="15" t="s">
        <v>43715</v>
      </c>
      <c r="B4223" s="15" t="s">
        <v>800</v>
      </c>
      <c r="C4223" s="15" t="s">
        <v>8413</v>
      </c>
      <c r="D4223" s="15" t="s">
        <v>8414</v>
      </c>
      <c r="E4223" s="15">
        <v>1093.4115999999999</v>
      </c>
      <c r="F4223" s="42">
        <v>46198</v>
      </c>
    </row>
    <row r="4224" spans="1:6" x14ac:dyDescent="0.3">
      <c r="A4224" s="15" t="s">
        <v>43714</v>
      </c>
      <c r="B4224" s="15" t="s">
        <v>8415</v>
      </c>
      <c r="C4224" s="15" t="s">
        <v>800</v>
      </c>
      <c r="D4224" s="15" t="s">
        <v>8416</v>
      </c>
      <c r="E4224" s="15">
        <v>1396.6011000000001</v>
      </c>
      <c r="F4224" s="42">
        <v>46198</v>
      </c>
    </row>
    <row r="4225" spans="1:6" x14ac:dyDescent="0.3">
      <c r="A4225" s="15" t="s">
        <v>43713</v>
      </c>
      <c r="B4225" s="15" t="s">
        <v>8417</v>
      </c>
      <c r="C4225" s="15" t="s">
        <v>8418</v>
      </c>
      <c r="D4225" s="15" t="s">
        <v>8419</v>
      </c>
      <c r="E4225" s="15">
        <v>1396.8140000000001</v>
      </c>
      <c r="F4225" s="42">
        <v>46198</v>
      </c>
    </row>
    <row r="4226" spans="1:6" x14ac:dyDescent="0.3">
      <c r="A4226" s="15" t="s">
        <v>43712</v>
      </c>
      <c r="B4226" s="15" t="s">
        <v>8420</v>
      </c>
      <c r="C4226" s="15" t="s">
        <v>8421</v>
      </c>
      <c r="D4226" s="15" t="s">
        <v>8422</v>
      </c>
      <c r="E4226" s="15">
        <v>1030.8816999999999</v>
      </c>
      <c r="F4226" s="42">
        <v>46198</v>
      </c>
    </row>
    <row r="4227" spans="1:6" x14ac:dyDescent="0.3">
      <c r="A4227" s="15" t="s">
        <v>33499</v>
      </c>
      <c r="B4227" s="15" t="s">
        <v>795</v>
      </c>
      <c r="C4227" s="15" t="s">
        <v>795</v>
      </c>
      <c r="D4227" s="15" t="s">
        <v>795</v>
      </c>
      <c r="F4227" s="42"/>
    </row>
    <row r="4228" spans="1:6" x14ac:dyDescent="0.3">
      <c r="A4228" s="15" t="s">
        <v>39301</v>
      </c>
      <c r="B4228" s="15" t="s">
        <v>795</v>
      </c>
      <c r="C4228" s="15" t="s">
        <v>795</v>
      </c>
      <c r="D4228" s="15" t="s">
        <v>795</v>
      </c>
      <c r="F4228" s="42"/>
    </row>
    <row r="4229" spans="1:6" x14ac:dyDescent="0.3">
      <c r="A4229" s="15" t="s">
        <v>33499</v>
      </c>
      <c r="B4229" s="15" t="s">
        <v>795</v>
      </c>
      <c r="C4229" s="15" t="s">
        <v>795</v>
      </c>
      <c r="D4229" s="15" t="s">
        <v>795</v>
      </c>
      <c r="F4229" s="42"/>
    </row>
    <row r="4230" spans="1:6" x14ac:dyDescent="0.3">
      <c r="A4230" s="15" t="s">
        <v>43711</v>
      </c>
      <c r="B4230" s="15" t="s">
        <v>800</v>
      </c>
      <c r="C4230" s="15" t="s">
        <v>8423</v>
      </c>
      <c r="D4230" s="15" t="s">
        <v>8424</v>
      </c>
      <c r="E4230" s="15">
        <v>1247.7298000000001</v>
      </c>
      <c r="F4230" s="42">
        <v>46198</v>
      </c>
    </row>
    <row r="4231" spans="1:6" x14ac:dyDescent="0.3">
      <c r="A4231" s="15" t="s">
        <v>43710</v>
      </c>
      <c r="B4231" s="15" t="s">
        <v>800</v>
      </c>
      <c r="C4231" s="15" t="s">
        <v>8425</v>
      </c>
      <c r="D4231" s="15" t="s">
        <v>8426</v>
      </c>
      <c r="E4231" s="15">
        <v>1001.7987000000001</v>
      </c>
      <c r="F4231" s="42">
        <v>46198</v>
      </c>
    </row>
    <row r="4232" spans="1:6" x14ac:dyDescent="0.3">
      <c r="A4232" s="15" t="s">
        <v>43709</v>
      </c>
      <c r="B4232" s="15" t="s">
        <v>8427</v>
      </c>
      <c r="C4232" s="15" t="s">
        <v>800</v>
      </c>
      <c r="D4232" s="15" t="s">
        <v>8428</v>
      </c>
      <c r="E4232" s="15">
        <v>1500.8726999999999</v>
      </c>
      <c r="F4232" s="42">
        <v>46198</v>
      </c>
    </row>
    <row r="4233" spans="1:6" x14ac:dyDescent="0.3">
      <c r="A4233" s="15" t="s">
        <v>43708</v>
      </c>
      <c r="B4233" s="15" t="s">
        <v>800</v>
      </c>
      <c r="C4233" s="15" t="s">
        <v>8429</v>
      </c>
      <c r="D4233" s="15" t="s">
        <v>8430</v>
      </c>
      <c r="E4233" s="15">
        <v>1105.4820999999999</v>
      </c>
      <c r="F4233" s="42">
        <v>46198</v>
      </c>
    </row>
    <row r="4234" spans="1:6" x14ac:dyDescent="0.3">
      <c r="A4234" s="15" t="s">
        <v>43707</v>
      </c>
      <c r="B4234" s="15" t="s">
        <v>8431</v>
      </c>
      <c r="C4234" s="15" t="s">
        <v>800</v>
      </c>
      <c r="D4234" s="15" t="s">
        <v>8432</v>
      </c>
      <c r="E4234" s="15">
        <v>1459.248</v>
      </c>
      <c r="F4234" s="42">
        <v>46198</v>
      </c>
    </row>
    <row r="4235" spans="1:6" x14ac:dyDescent="0.3">
      <c r="A4235" s="15" t="s">
        <v>43706</v>
      </c>
      <c r="B4235" s="15" t="s">
        <v>800</v>
      </c>
      <c r="C4235" s="15" t="s">
        <v>8433</v>
      </c>
      <c r="D4235" s="15" t="s">
        <v>8434</v>
      </c>
      <c r="E4235" s="15">
        <v>1001.6892</v>
      </c>
      <c r="F4235" s="42">
        <v>46198</v>
      </c>
    </row>
    <row r="4236" spans="1:6" x14ac:dyDescent="0.3">
      <c r="A4236" s="15" t="s">
        <v>33499</v>
      </c>
      <c r="B4236" s="15" t="s">
        <v>795</v>
      </c>
      <c r="C4236" s="15" t="s">
        <v>795</v>
      </c>
      <c r="D4236" s="15" t="s">
        <v>795</v>
      </c>
      <c r="F4236" s="42"/>
    </row>
    <row r="4237" spans="1:6" x14ac:dyDescent="0.3">
      <c r="A4237" s="15" t="s">
        <v>37780</v>
      </c>
      <c r="B4237" s="15" t="s">
        <v>795</v>
      </c>
      <c r="C4237" s="15" t="s">
        <v>795</v>
      </c>
      <c r="D4237" s="15" t="s">
        <v>795</v>
      </c>
      <c r="F4237" s="42"/>
    </row>
    <row r="4238" spans="1:6" x14ac:dyDescent="0.3">
      <c r="A4238" s="15" t="s">
        <v>33499</v>
      </c>
      <c r="B4238" s="15" t="s">
        <v>795</v>
      </c>
      <c r="C4238" s="15" t="s">
        <v>795</v>
      </c>
      <c r="D4238" s="15" t="s">
        <v>795</v>
      </c>
      <c r="F4238" s="42"/>
    </row>
    <row r="4239" spans="1:6" x14ac:dyDescent="0.3">
      <c r="A4239" s="15" t="s">
        <v>43705</v>
      </c>
      <c r="B4239" s="15" t="s">
        <v>8435</v>
      </c>
      <c r="C4239" s="15" t="s">
        <v>800</v>
      </c>
      <c r="D4239" s="15" t="s">
        <v>8436</v>
      </c>
      <c r="E4239" s="15">
        <v>1409.9464</v>
      </c>
      <c r="F4239" s="42">
        <v>46198</v>
      </c>
    </row>
    <row r="4240" spans="1:6" x14ac:dyDescent="0.3">
      <c r="A4240" s="15" t="s">
        <v>43704</v>
      </c>
      <c r="B4240" s="15" t="s">
        <v>8437</v>
      </c>
      <c r="C4240" s="15" t="s">
        <v>8438</v>
      </c>
      <c r="D4240" s="15" t="s">
        <v>8439</v>
      </c>
      <c r="E4240" s="15">
        <v>1409.5065999999999</v>
      </c>
      <c r="F4240" s="42">
        <v>46198</v>
      </c>
    </row>
    <row r="4241" spans="1:6" x14ac:dyDescent="0.3">
      <c r="A4241" s="15" t="s">
        <v>43703</v>
      </c>
      <c r="B4241" s="15" t="s">
        <v>8440</v>
      </c>
      <c r="C4241" s="15" t="s">
        <v>800</v>
      </c>
      <c r="D4241" s="15" t="s">
        <v>8441</v>
      </c>
      <c r="E4241" s="15">
        <v>1391.4269999999999</v>
      </c>
      <c r="F4241" s="42">
        <v>46198</v>
      </c>
    </row>
    <row r="4242" spans="1:6" x14ac:dyDescent="0.3">
      <c r="A4242" s="15" t="s">
        <v>43702</v>
      </c>
      <c r="B4242" s="15" t="s">
        <v>8442</v>
      </c>
      <c r="C4242" s="15" t="s">
        <v>8443</v>
      </c>
      <c r="D4242" s="15" t="s">
        <v>8444</v>
      </c>
      <c r="E4242" s="15">
        <v>1390.9229</v>
      </c>
      <c r="F4242" s="42">
        <v>46198</v>
      </c>
    </row>
    <row r="4243" spans="1:6" x14ac:dyDescent="0.3">
      <c r="A4243" s="15" t="s">
        <v>33499</v>
      </c>
      <c r="B4243" s="15" t="s">
        <v>795</v>
      </c>
      <c r="C4243" s="15" t="s">
        <v>795</v>
      </c>
      <c r="D4243" s="15" t="s">
        <v>795</v>
      </c>
      <c r="F4243" s="42"/>
    </row>
    <row r="4244" spans="1:6" x14ac:dyDescent="0.3">
      <c r="A4244" s="15" t="s">
        <v>37742</v>
      </c>
      <c r="B4244" s="15" t="s">
        <v>795</v>
      </c>
      <c r="C4244" s="15" t="s">
        <v>795</v>
      </c>
      <c r="D4244" s="15" t="s">
        <v>795</v>
      </c>
      <c r="F4244" s="42"/>
    </row>
    <row r="4245" spans="1:6" x14ac:dyDescent="0.3">
      <c r="A4245" s="15" t="s">
        <v>33499</v>
      </c>
      <c r="B4245" s="15" t="s">
        <v>795</v>
      </c>
      <c r="C4245" s="15" t="s">
        <v>795</v>
      </c>
      <c r="D4245" s="15" t="s">
        <v>795</v>
      </c>
      <c r="F4245" s="42"/>
    </row>
    <row r="4246" spans="1:6" x14ac:dyDescent="0.3">
      <c r="A4246" s="15" t="s">
        <v>43701</v>
      </c>
      <c r="B4246" s="15" t="s">
        <v>8445</v>
      </c>
      <c r="C4246" s="15" t="s">
        <v>800</v>
      </c>
      <c r="D4246" s="15" t="s">
        <v>8446</v>
      </c>
      <c r="E4246" s="15">
        <v>18.4925</v>
      </c>
      <c r="F4246" s="42">
        <v>46198</v>
      </c>
    </row>
    <row r="4247" spans="1:6" x14ac:dyDescent="0.3">
      <c r="A4247" s="15" t="s">
        <v>43700</v>
      </c>
      <c r="B4247" s="15" t="s">
        <v>8447</v>
      </c>
      <c r="C4247" s="15" t="s">
        <v>800</v>
      </c>
      <c r="D4247" s="15" t="s">
        <v>8448</v>
      </c>
      <c r="E4247" s="15">
        <v>17.322800000000001</v>
      </c>
      <c r="F4247" s="42">
        <v>46198</v>
      </c>
    </row>
    <row r="4248" spans="1:6" x14ac:dyDescent="0.3">
      <c r="A4248" s="15" t="s">
        <v>43699</v>
      </c>
      <c r="B4248" s="15" t="s">
        <v>800</v>
      </c>
      <c r="C4248" s="15" t="s">
        <v>8449</v>
      </c>
      <c r="D4248" s="15" t="s">
        <v>8450</v>
      </c>
      <c r="E4248" s="15">
        <v>11.7326</v>
      </c>
      <c r="F4248" s="42">
        <v>46198</v>
      </c>
    </row>
    <row r="4249" spans="1:6" x14ac:dyDescent="0.3">
      <c r="A4249" s="15" t="s">
        <v>43698</v>
      </c>
      <c r="B4249" s="15" t="s">
        <v>800</v>
      </c>
      <c r="C4249" s="15" t="s">
        <v>8451</v>
      </c>
      <c r="D4249" s="15" t="s">
        <v>8452</v>
      </c>
      <c r="E4249" s="15">
        <v>11.828799999999999</v>
      </c>
      <c r="F4249" s="42">
        <v>46198</v>
      </c>
    </row>
    <row r="4250" spans="1:6" x14ac:dyDescent="0.3">
      <c r="A4250" s="15" t="s">
        <v>43697</v>
      </c>
      <c r="B4250" s="15" t="s">
        <v>8453</v>
      </c>
      <c r="C4250" s="15" t="s">
        <v>8454</v>
      </c>
      <c r="D4250" s="15" t="s">
        <v>8455</v>
      </c>
      <c r="E4250" s="15">
        <v>12.1652</v>
      </c>
      <c r="F4250" s="42">
        <v>46198</v>
      </c>
    </row>
    <row r="4251" spans="1:6" x14ac:dyDescent="0.3">
      <c r="A4251" s="15" t="s">
        <v>43696</v>
      </c>
      <c r="B4251" s="15" t="s">
        <v>800</v>
      </c>
      <c r="C4251" s="15" t="s">
        <v>8456</v>
      </c>
      <c r="D4251" s="15" t="s">
        <v>8457</v>
      </c>
      <c r="E4251" s="15">
        <v>11.7423</v>
      </c>
      <c r="F4251" s="42">
        <v>46198</v>
      </c>
    </row>
    <row r="4252" spans="1:6" x14ac:dyDescent="0.3">
      <c r="A4252" s="15" t="s">
        <v>43695</v>
      </c>
      <c r="B4252" s="15" t="s">
        <v>8458</v>
      </c>
      <c r="C4252" s="15" t="s">
        <v>8459</v>
      </c>
      <c r="D4252" s="15" t="s">
        <v>8460</v>
      </c>
      <c r="E4252" s="15">
        <v>11.8194</v>
      </c>
      <c r="F4252" s="42">
        <v>46198</v>
      </c>
    </row>
    <row r="4253" spans="1:6" x14ac:dyDescent="0.3">
      <c r="A4253" s="15" t="s">
        <v>43694</v>
      </c>
      <c r="B4253" s="15" t="s">
        <v>800</v>
      </c>
      <c r="C4253" s="15" t="s">
        <v>8461</v>
      </c>
      <c r="D4253" s="15" t="s">
        <v>8462</v>
      </c>
      <c r="E4253" s="15">
        <v>11.4495</v>
      </c>
      <c r="F4253" s="42">
        <v>46198</v>
      </c>
    </row>
    <row r="4254" spans="1:6" x14ac:dyDescent="0.3">
      <c r="A4254" s="15" t="s">
        <v>43693</v>
      </c>
      <c r="B4254" s="15" t="s">
        <v>800</v>
      </c>
      <c r="C4254" s="15" t="s">
        <v>8463</v>
      </c>
      <c r="D4254" s="15" t="s">
        <v>8464</v>
      </c>
      <c r="E4254" s="15">
        <v>11.529</v>
      </c>
      <c r="F4254" s="42">
        <v>46198</v>
      </c>
    </row>
    <row r="4255" spans="1:6" x14ac:dyDescent="0.3">
      <c r="A4255" s="15" t="s">
        <v>43692</v>
      </c>
      <c r="B4255" s="15" t="s">
        <v>8465</v>
      </c>
      <c r="C4255" s="15" t="s">
        <v>8466</v>
      </c>
      <c r="D4255" s="15" t="s">
        <v>8467</v>
      </c>
      <c r="E4255" s="15">
        <v>11.538500000000001</v>
      </c>
      <c r="F4255" s="42">
        <v>46198</v>
      </c>
    </row>
    <row r="4256" spans="1:6" x14ac:dyDescent="0.3">
      <c r="A4256" s="15" t="s">
        <v>43691</v>
      </c>
      <c r="B4256" s="15" t="s">
        <v>8468</v>
      </c>
      <c r="C4256" s="15" t="s">
        <v>8469</v>
      </c>
      <c r="D4256" s="15" t="s">
        <v>8470</v>
      </c>
      <c r="E4256" s="15">
        <v>11.812099999999999</v>
      </c>
      <c r="F4256" s="42">
        <v>46198</v>
      </c>
    </row>
    <row r="4257" spans="1:6" x14ac:dyDescent="0.3">
      <c r="A4257" s="15" t="s">
        <v>43690</v>
      </c>
      <c r="B4257" s="15" t="s">
        <v>800</v>
      </c>
      <c r="C4257" s="15" t="s">
        <v>8471</v>
      </c>
      <c r="D4257" s="15" t="s">
        <v>8472</v>
      </c>
      <c r="E4257" s="15">
        <v>11.4772</v>
      </c>
      <c r="F4257" s="42">
        <v>46198</v>
      </c>
    </row>
    <row r="4258" spans="1:6" x14ac:dyDescent="0.3">
      <c r="A4258" s="15" t="s">
        <v>33499</v>
      </c>
      <c r="B4258" s="15" t="s">
        <v>795</v>
      </c>
      <c r="C4258" s="15" t="s">
        <v>795</v>
      </c>
      <c r="D4258" s="15" t="s">
        <v>795</v>
      </c>
      <c r="F4258" s="42"/>
    </row>
    <row r="4259" spans="1:6" x14ac:dyDescent="0.3">
      <c r="A4259" s="15" t="s">
        <v>208</v>
      </c>
      <c r="B4259" s="15" t="s">
        <v>795</v>
      </c>
      <c r="C4259" s="15" t="s">
        <v>795</v>
      </c>
      <c r="D4259" s="15" t="s">
        <v>795</v>
      </c>
      <c r="F4259" s="42"/>
    </row>
    <row r="4260" spans="1:6" x14ac:dyDescent="0.3">
      <c r="A4260" s="15" t="s">
        <v>33499</v>
      </c>
      <c r="B4260" s="15" t="s">
        <v>795</v>
      </c>
      <c r="C4260" s="15" t="s">
        <v>795</v>
      </c>
      <c r="D4260" s="15" t="s">
        <v>795</v>
      </c>
      <c r="F4260" s="42"/>
    </row>
    <row r="4261" spans="1:6" x14ac:dyDescent="0.3">
      <c r="A4261" s="15" t="s">
        <v>43689</v>
      </c>
      <c r="B4261" s="15" t="s">
        <v>800</v>
      </c>
      <c r="C4261" s="15" t="s">
        <v>8473</v>
      </c>
      <c r="D4261" s="15" t="s">
        <v>8474</v>
      </c>
      <c r="E4261" s="15">
        <v>1114.1500000000001</v>
      </c>
      <c r="F4261" s="42">
        <v>46198</v>
      </c>
    </row>
    <row r="4262" spans="1:6" x14ac:dyDescent="0.3">
      <c r="A4262" s="15" t="s">
        <v>43688</v>
      </c>
      <c r="B4262" s="15" t="s">
        <v>800</v>
      </c>
      <c r="C4262" s="15" t="s">
        <v>8475</v>
      </c>
      <c r="D4262" s="15" t="s">
        <v>8476</v>
      </c>
      <c r="E4262" s="15">
        <v>1114.1500000000001</v>
      </c>
      <c r="F4262" s="42">
        <v>46198</v>
      </c>
    </row>
    <row r="4263" spans="1:6" x14ac:dyDescent="0.3">
      <c r="A4263" s="15" t="s">
        <v>43687</v>
      </c>
      <c r="B4263" s="15" t="s">
        <v>8477</v>
      </c>
      <c r="C4263" s="15" t="s">
        <v>8478</v>
      </c>
      <c r="D4263" s="15" t="s">
        <v>8479</v>
      </c>
      <c r="E4263" s="15">
        <v>1041.3506</v>
      </c>
      <c r="F4263" s="42">
        <v>46198</v>
      </c>
    </row>
    <row r="4264" spans="1:6" x14ac:dyDescent="0.3">
      <c r="A4264" s="15" t="s">
        <v>43686</v>
      </c>
      <c r="B4264" s="15" t="s">
        <v>8480</v>
      </c>
      <c r="C4264" s="15" t="s">
        <v>8481</v>
      </c>
      <c r="D4264" s="15" t="s">
        <v>8482</v>
      </c>
      <c r="E4264" s="15">
        <v>1016.5513999999999</v>
      </c>
      <c r="F4264" s="42">
        <v>46198</v>
      </c>
    </row>
    <row r="4265" spans="1:6" x14ac:dyDescent="0.3">
      <c r="A4265" s="15" t="s">
        <v>43685</v>
      </c>
      <c r="B4265" s="15" t="s">
        <v>800</v>
      </c>
      <c r="C4265" s="15" t="s">
        <v>8483</v>
      </c>
      <c r="D4265" s="15" t="s">
        <v>8484</v>
      </c>
      <c r="E4265" s="15">
        <v>1093.8106</v>
      </c>
      <c r="F4265" s="42">
        <v>46198</v>
      </c>
    </row>
    <row r="4266" spans="1:6" x14ac:dyDescent="0.3">
      <c r="A4266" s="15" t="s">
        <v>43684</v>
      </c>
      <c r="B4266" s="15" t="s">
        <v>8485</v>
      </c>
      <c r="C4266" s="15" t="s">
        <v>8486</v>
      </c>
      <c r="D4266" s="15" t="s">
        <v>8487</v>
      </c>
      <c r="E4266" s="15">
        <v>1030.4958999999999</v>
      </c>
      <c r="F4266" s="42">
        <v>46198</v>
      </c>
    </row>
    <row r="4267" spans="1:6" x14ac:dyDescent="0.3">
      <c r="A4267" s="15" t="s">
        <v>43683</v>
      </c>
      <c r="B4267" s="15" t="s">
        <v>8488</v>
      </c>
      <c r="C4267" s="15" t="s">
        <v>8489</v>
      </c>
      <c r="D4267" s="15" t="s">
        <v>8490</v>
      </c>
      <c r="E4267" s="15">
        <v>1010.107</v>
      </c>
      <c r="F4267" s="42">
        <v>46198</v>
      </c>
    </row>
    <row r="4268" spans="1:6" x14ac:dyDescent="0.3">
      <c r="A4268" s="15" t="s">
        <v>43682</v>
      </c>
      <c r="B4268" s="15" t="s">
        <v>800</v>
      </c>
      <c r="C4268" s="15" t="s">
        <v>8491</v>
      </c>
      <c r="D4268" s="15" t="s">
        <v>8492</v>
      </c>
      <c r="E4268" s="15">
        <v>0</v>
      </c>
      <c r="F4268" s="42">
        <v>44630</v>
      </c>
    </row>
    <row r="4269" spans="1:6" x14ac:dyDescent="0.3">
      <c r="A4269" s="15" t="s">
        <v>43681</v>
      </c>
      <c r="B4269" s="15" t="s">
        <v>800</v>
      </c>
      <c r="C4269" s="15" t="s">
        <v>8493</v>
      </c>
      <c r="D4269" s="15" t="s">
        <v>8494</v>
      </c>
      <c r="E4269" s="15">
        <v>0</v>
      </c>
      <c r="F4269" s="42">
        <v>44630</v>
      </c>
    </row>
    <row r="4270" spans="1:6" x14ac:dyDescent="0.3">
      <c r="A4270" s="15" t="s">
        <v>43680</v>
      </c>
      <c r="B4270" s="15" t="s">
        <v>8495</v>
      </c>
      <c r="C4270" s="15" t="s">
        <v>800</v>
      </c>
      <c r="D4270" s="15" t="s">
        <v>8496</v>
      </c>
      <c r="E4270" s="15">
        <v>0</v>
      </c>
      <c r="F4270" s="42">
        <v>44630</v>
      </c>
    </row>
    <row r="4271" spans="1:6" x14ac:dyDescent="0.3">
      <c r="A4271" s="15" t="s">
        <v>43679</v>
      </c>
      <c r="B4271" s="15" t="s">
        <v>8497</v>
      </c>
      <c r="C4271" s="15" t="s">
        <v>8498</v>
      </c>
      <c r="D4271" s="15" t="s">
        <v>8499</v>
      </c>
      <c r="E4271" s="15">
        <v>0</v>
      </c>
      <c r="F4271" s="42">
        <v>44630</v>
      </c>
    </row>
    <row r="4272" spans="1:6" x14ac:dyDescent="0.3">
      <c r="A4272" s="15" t="s">
        <v>43678</v>
      </c>
      <c r="B4272" s="15" t="s">
        <v>8500</v>
      </c>
      <c r="C4272" s="15" t="s">
        <v>8501</v>
      </c>
      <c r="D4272" s="15" t="s">
        <v>8502</v>
      </c>
      <c r="E4272" s="15">
        <v>0</v>
      </c>
      <c r="F4272" s="42">
        <v>44630</v>
      </c>
    </row>
    <row r="4273" spans="1:6" x14ac:dyDescent="0.3">
      <c r="A4273" s="15" t="s">
        <v>43677</v>
      </c>
      <c r="B4273" s="15" t="s">
        <v>800</v>
      </c>
      <c r="C4273" s="15" t="s">
        <v>8503</v>
      </c>
      <c r="D4273" s="15" t="s">
        <v>8504</v>
      </c>
      <c r="E4273" s="15">
        <v>0</v>
      </c>
      <c r="F4273" s="42">
        <v>44630</v>
      </c>
    </row>
    <row r="4274" spans="1:6" x14ac:dyDescent="0.3">
      <c r="A4274" s="15" t="s">
        <v>43676</v>
      </c>
      <c r="B4274" s="15" t="s">
        <v>8505</v>
      </c>
      <c r="C4274" s="15" t="s">
        <v>800</v>
      </c>
      <c r="D4274" s="15" t="s">
        <v>8506</v>
      </c>
      <c r="E4274" s="15">
        <v>0</v>
      </c>
      <c r="F4274" s="42">
        <v>44630</v>
      </c>
    </row>
    <row r="4275" spans="1:6" x14ac:dyDescent="0.3">
      <c r="A4275" s="15" t="s">
        <v>43675</v>
      </c>
      <c r="B4275" s="15" t="s">
        <v>8507</v>
      </c>
      <c r="C4275" s="15" t="s">
        <v>8508</v>
      </c>
      <c r="D4275" s="15" t="s">
        <v>8509</v>
      </c>
      <c r="E4275" s="15">
        <v>0</v>
      </c>
      <c r="F4275" s="42">
        <v>44630</v>
      </c>
    </row>
    <row r="4276" spans="1:6" x14ac:dyDescent="0.3">
      <c r="A4276" s="15" t="s">
        <v>43674</v>
      </c>
      <c r="B4276" s="15" t="s">
        <v>8510</v>
      </c>
      <c r="C4276" s="15" t="s">
        <v>8511</v>
      </c>
      <c r="D4276" s="15" t="s">
        <v>8512</v>
      </c>
      <c r="E4276" s="15">
        <v>0</v>
      </c>
      <c r="F4276" s="42">
        <v>44630</v>
      </c>
    </row>
    <row r="4277" spans="1:6" x14ac:dyDescent="0.3">
      <c r="A4277" s="15" t="s">
        <v>43673</v>
      </c>
      <c r="B4277" s="15" t="s">
        <v>800</v>
      </c>
      <c r="C4277" s="15" t="s">
        <v>8513</v>
      </c>
      <c r="D4277" s="15" t="s">
        <v>8514</v>
      </c>
      <c r="E4277" s="15">
        <v>0</v>
      </c>
      <c r="F4277" s="42">
        <v>44630</v>
      </c>
    </row>
    <row r="4278" spans="1:6" x14ac:dyDescent="0.3">
      <c r="A4278" s="15" t="s">
        <v>43672</v>
      </c>
      <c r="B4278" s="15" t="s">
        <v>800</v>
      </c>
      <c r="C4278" s="15" t="s">
        <v>8515</v>
      </c>
      <c r="D4278" s="15" t="s">
        <v>8516</v>
      </c>
      <c r="E4278" s="15">
        <v>1093.6790000000001</v>
      </c>
      <c r="F4278" s="42">
        <v>46198</v>
      </c>
    </row>
    <row r="4279" spans="1:6" x14ac:dyDescent="0.3">
      <c r="A4279" s="15" t="s">
        <v>43671</v>
      </c>
      <c r="B4279" s="15" t="s">
        <v>8517</v>
      </c>
      <c r="C4279" s="15" t="s">
        <v>800</v>
      </c>
      <c r="D4279" s="15" t="s">
        <v>8518</v>
      </c>
      <c r="E4279" s="15">
        <v>4747.3137999999999</v>
      </c>
      <c r="F4279" s="42">
        <v>46198</v>
      </c>
    </row>
    <row r="4280" spans="1:6" x14ac:dyDescent="0.3">
      <c r="A4280" s="15" t="s">
        <v>43670</v>
      </c>
      <c r="B4280" s="15" t="s">
        <v>8519</v>
      </c>
      <c r="C4280" s="15" t="s">
        <v>800</v>
      </c>
      <c r="D4280" s="15" t="s">
        <v>8520</v>
      </c>
      <c r="E4280" s="15">
        <v>4274.3652000000002</v>
      </c>
      <c r="F4280" s="42">
        <v>46198</v>
      </c>
    </row>
    <row r="4281" spans="1:6" x14ac:dyDescent="0.3">
      <c r="A4281" s="15" t="s">
        <v>33499</v>
      </c>
      <c r="B4281" s="15" t="s">
        <v>795</v>
      </c>
      <c r="C4281" s="15" t="s">
        <v>795</v>
      </c>
      <c r="D4281" s="15" t="s">
        <v>795</v>
      </c>
      <c r="F4281" s="42"/>
    </row>
    <row r="4282" spans="1:6" x14ac:dyDescent="0.3">
      <c r="A4282" s="15" t="s">
        <v>37523</v>
      </c>
      <c r="B4282" s="15" t="s">
        <v>795</v>
      </c>
      <c r="C4282" s="15" t="s">
        <v>795</v>
      </c>
      <c r="D4282" s="15" t="s">
        <v>795</v>
      </c>
      <c r="F4282" s="42"/>
    </row>
    <row r="4283" spans="1:6" x14ac:dyDescent="0.3">
      <c r="A4283" s="15" t="s">
        <v>33499</v>
      </c>
      <c r="B4283" s="15" t="s">
        <v>795</v>
      </c>
      <c r="C4283" s="15" t="s">
        <v>795</v>
      </c>
      <c r="D4283" s="15" t="s">
        <v>795</v>
      </c>
      <c r="F4283" s="42"/>
    </row>
    <row r="4284" spans="1:6" x14ac:dyDescent="0.3">
      <c r="A4284" s="15" t="s">
        <v>43669</v>
      </c>
      <c r="B4284" s="15" t="s">
        <v>8521</v>
      </c>
      <c r="C4284" s="15" t="s">
        <v>800</v>
      </c>
      <c r="D4284" s="15" t="s">
        <v>8522</v>
      </c>
      <c r="E4284" s="15">
        <v>10.020300000000001</v>
      </c>
      <c r="F4284" s="42">
        <v>46198</v>
      </c>
    </row>
    <row r="4285" spans="1:6" x14ac:dyDescent="0.3">
      <c r="A4285" s="15" t="s">
        <v>43668</v>
      </c>
      <c r="B4285" s="15" t="s">
        <v>800</v>
      </c>
      <c r="C4285" s="15" t="s">
        <v>8523</v>
      </c>
      <c r="D4285" s="15" t="s">
        <v>8524</v>
      </c>
      <c r="E4285" s="15">
        <v>10.024100000000001</v>
      </c>
      <c r="F4285" s="42">
        <v>46198</v>
      </c>
    </row>
    <row r="4286" spans="1:6" x14ac:dyDescent="0.3">
      <c r="A4286" s="15" t="s">
        <v>43667</v>
      </c>
      <c r="B4286" s="15" t="s">
        <v>8525</v>
      </c>
      <c r="C4286" s="15" t="s">
        <v>800</v>
      </c>
      <c r="D4286" s="15" t="s">
        <v>8526</v>
      </c>
      <c r="E4286" s="15">
        <v>37.820300000000003</v>
      </c>
      <c r="F4286" s="42">
        <v>46198</v>
      </c>
    </row>
    <row r="4287" spans="1:6" x14ac:dyDescent="0.3">
      <c r="A4287" s="15" t="s">
        <v>43666</v>
      </c>
      <c r="B4287" s="15" t="s">
        <v>8527</v>
      </c>
      <c r="C4287" s="15" t="s">
        <v>800</v>
      </c>
      <c r="D4287" s="15" t="s">
        <v>8528</v>
      </c>
      <c r="E4287" s="15">
        <v>12.4032</v>
      </c>
      <c r="F4287" s="42">
        <v>46198</v>
      </c>
    </row>
    <row r="4288" spans="1:6" x14ac:dyDescent="0.3">
      <c r="A4288" s="15" t="s">
        <v>43665</v>
      </c>
      <c r="B4288" s="15" t="s">
        <v>8529</v>
      </c>
      <c r="C4288" s="15" t="s">
        <v>8530</v>
      </c>
      <c r="D4288" s="15" t="s">
        <v>8531</v>
      </c>
      <c r="E4288" s="15">
        <v>10.2827</v>
      </c>
      <c r="F4288" s="42">
        <v>46198</v>
      </c>
    </row>
    <row r="4289" spans="1:6" x14ac:dyDescent="0.3">
      <c r="A4289" s="15" t="s">
        <v>43664</v>
      </c>
      <c r="B4289" s="15" t="s">
        <v>8532</v>
      </c>
      <c r="C4289" s="15" t="s">
        <v>800</v>
      </c>
      <c r="D4289" s="15" t="s">
        <v>8533</v>
      </c>
      <c r="E4289" s="15">
        <v>35.9467</v>
      </c>
      <c r="F4289" s="42">
        <v>46198</v>
      </c>
    </row>
    <row r="4290" spans="1:6" x14ac:dyDescent="0.3">
      <c r="A4290" s="15" t="s">
        <v>43663</v>
      </c>
      <c r="B4290" s="15" t="s">
        <v>8534</v>
      </c>
      <c r="C4290" s="15" t="s">
        <v>8535</v>
      </c>
      <c r="D4290" s="15" t="s">
        <v>8536</v>
      </c>
      <c r="E4290" s="15">
        <v>15.5245</v>
      </c>
      <c r="F4290" s="42">
        <v>46198</v>
      </c>
    </row>
    <row r="4291" spans="1:6" x14ac:dyDescent="0.3">
      <c r="A4291" s="15" t="s">
        <v>43662</v>
      </c>
      <c r="B4291" s="15" t="s">
        <v>8537</v>
      </c>
      <c r="C4291" s="15" t="s">
        <v>800</v>
      </c>
      <c r="D4291" s="15" t="s">
        <v>8538</v>
      </c>
      <c r="E4291" s="15">
        <v>10.0215</v>
      </c>
      <c r="F4291" s="42">
        <v>43674</v>
      </c>
    </row>
    <row r="4292" spans="1:6" x14ac:dyDescent="0.3">
      <c r="A4292" s="15" t="s">
        <v>43661</v>
      </c>
      <c r="B4292" s="15" t="s">
        <v>8539</v>
      </c>
      <c r="C4292" s="15" t="s">
        <v>800</v>
      </c>
      <c r="D4292" s="15" t="s">
        <v>8540</v>
      </c>
      <c r="E4292" s="15">
        <v>34.245199999999997</v>
      </c>
      <c r="F4292" s="42">
        <v>44582</v>
      </c>
    </row>
    <row r="4293" spans="1:6" x14ac:dyDescent="0.3">
      <c r="A4293" s="15" t="s">
        <v>43660</v>
      </c>
      <c r="B4293" s="15" t="s">
        <v>8541</v>
      </c>
      <c r="C4293" s="15" t="s">
        <v>8542</v>
      </c>
      <c r="D4293" s="15" t="s">
        <v>8543</v>
      </c>
      <c r="E4293" s="15">
        <v>10.5275</v>
      </c>
      <c r="F4293" s="42">
        <v>43674</v>
      </c>
    </row>
    <row r="4294" spans="1:6" x14ac:dyDescent="0.3">
      <c r="A4294" s="15" t="s">
        <v>43659</v>
      </c>
      <c r="B4294" s="15" t="s">
        <v>8544</v>
      </c>
      <c r="C4294" s="15" t="s">
        <v>800</v>
      </c>
      <c r="D4294" s="15" t="s">
        <v>8545</v>
      </c>
      <c r="E4294" s="15">
        <v>10.5017</v>
      </c>
      <c r="F4294" s="42">
        <v>44582</v>
      </c>
    </row>
    <row r="4295" spans="1:6" x14ac:dyDescent="0.3">
      <c r="A4295" s="15" t="s">
        <v>43658</v>
      </c>
      <c r="B4295" s="15" t="s">
        <v>8546</v>
      </c>
      <c r="C4295" s="15" t="s">
        <v>8547</v>
      </c>
      <c r="D4295" s="15" t="s">
        <v>8548</v>
      </c>
      <c r="E4295" s="15">
        <v>10.0939</v>
      </c>
      <c r="F4295" s="42">
        <v>46198</v>
      </c>
    </row>
    <row r="4296" spans="1:6" x14ac:dyDescent="0.3">
      <c r="A4296" s="15" t="s">
        <v>43657</v>
      </c>
      <c r="B4296" s="15" t="s">
        <v>8549</v>
      </c>
      <c r="C4296" s="15" t="s">
        <v>800</v>
      </c>
      <c r="D4296" s="15" t="s">
        <v>8550</v>
      </c>
      <c r="E4296" s="15">
        <v>20.904499999999999</v>
      </c>
      <c r="F4296" s="42">
        <v>43157</v>
      </c>
    </row>
    <row r="4297" spans="1:6" x14ac:dyDescent="0.3">
      <c r="A4297" s="15" t="s">
        <v>43656</v>
      </c>
      <c r="B4297" s="15" t="s">
        <v>8551</v>
      </c>
      <c r="C4297" s="15" t="s">
        <v>800</v>
      </c>
      <c r="D4297" s="15" t="s">
        <v>8552</v>
      </c>
      <c r="E4297" s="15">
        <v>10.788500000000001</v>
      </c>
      <c r="F4297" s="42">
        <v>43633</v>
      </c>
    </row>
    <row r="4298" spans="1:6" x14ac:dyDescent="0.3">
      <c r="A4298" s="15" t="s">
        <v>43655</v>
      </c>
      <c r="B4298" s="15" t="s">
        <v>8553</v>
      </c>
      <c r="C4298" s="15" t="s">
        <v>800</v>
      </c>
      <c r="D4298" s="15" t="s">
        <v>8554</v>
      </c>
      <c r="E4298" s="15">
        <v>16.117100000000001</v>
      </c>
      <c r="F4298" s="42">
        <v>43290</v>
      </c>
    </row>
    <row r="4299" spans="1:6" x14ac:dyDescent="0.3">
      <c r="A4299" s="15" t="s">
        <v>43654</v>
      </c>
      <c r="B4299" s="15" t="s">
        <v>8555</v>
      </c>
      <c r="C4299" s="15" t="s">
        <v>800</v>
      </c>
      <c r="D4299" s="15" t="s">
        <v>8556</v>
      </c>
      <c r="E4299" s="15">
        <v>15.366199999999999</v>
      </c>
      <c r="F4299" s="42">
        <v>43566</v>
      </c>
    </row>
    <row r="4300" spans="1:6" x14ac:dyDescent="0.3">
      <c r="A4300" s="15" t="s">
        <v>43653</v>
      </c>
      <c r="B4300" s="15" t="s">
        <v>8557</v>
      </c>
      <c r="C4300" s="15" t="s">
        <v>8558</v>
      </c>
      <c r="D4300" s="15" t="s">
        <v>8559</v>
      </c>
      <c r="E4300" s="15">
        <v>11.11</v>
      </c>
      <c r="F4300" s="42">
        <v>43674</v>
      </c>
    </row>
    <row r="4301" spans="1:6" x14ac:dyDescent="0.3">
      <c r="A4301" s="15" t="s">
        <v>43652</v>
      </c>
      <c r="B4301" s="15" t="s">
        <v>8560</v>
      </c>
      <c r="C4301" s="15" t="s">
        <v>800</v>
      </c>
      <c r="D4301" s="15" t="s">
        <v>8561</v>
      </c>
      <c r="E4301" s="15">
        <v>18.2209</v>
      </c>
      <c r="F4301" s="42">
        <v>43674</v>
      </c>
    </row>
    <row r="4302" spans="1:6" x14ac:dyDescent="0.3">
      <c r="A4302" s="15" t="s">
        <v>43651</v>
      </c>
      <c r="B4302" s="15" t="s">
        <v>8562</v>
      </c>
      <c r="C4302" s="15" t="s">
        <v>8563</v>
      </c>
      <c r="D4302" s="15" t="s">
        <v>8564</v>
      </c>
      <c r="E4302" s="15">
        <v>15.25</v>
      </c>
      <c r="F4302" s="42">
        <v>43674</v>
      </c>
    </row>
    <row r="4303" spans="1:6" x14ac:dyDescent="0.3">
      <c r="A4303" s="15" t="s">
        <v>43650</v>
      </c>
      <c r="B4303" s="15" t="s">
        <v>8565</v>
      </c>
      <c r="C4303" s="15" t="s">
        <v>800</v>
      </c>
      <c r="D4303" s="15" t="s">
        <v>8566</v>
      </c>
      <c r="E4303" s="15">
        <v>12.7173</v>
      </c>
      <c r="F4303" s="42">
        <v>43193</v>
      </c>
    </row>
    <row r="4304" spans="1:6" x14ac:dyDescent="0.3">
      <c r="A4304" s="15" t="s">
        <v>43649</v>
      </c>
      <c r="B4304" s="15" t="s">
        <v>8567</v>
      </c>
      <c r="C4304" s="15" t="s">
        <v>8568</v>
      </c>
      <c r="D4304" s="15" t="s">
        <v>8569</v>
      </c>
      <c r="E4304" s="15">
        <v>11.297599999999999</v>
      </c>
      <c r="F4304" s="42">
        <v>43674</v>
      </c>
    </row>
    <row r="4305" spans="1:6" x14ac:dyDescent="0.3">
      <c r="A4305" s="15" t="s">
        <v>43648</v>
      </c>
      <c r="B4305" s="15" t="s">
        <v>8570</v>
      </c>
      <c r="C4305" s="15" t="s">
        <v>8571</v>
      </c>
      <c r="D4305" s="15" t="s">
        <v>8572</v>
      </c>
      <c r="E4305" s="15">
        <v>16.077000000000002</v>
      </c>
      <c r="F4305" s="42">
        <v>43674</v>
      </c>
    </row>
    <row r="4306" spans="1:6" x14ac:dyDescent="0.3">
      <c r="A4306" s="15" t="s">
        <v>43647</v>
      </c>
      <c r="B4306" s="15" t="s">
        <v>8573</v>
      </c>
      <c r="C4306" s="15" t="s">
        <v>800</v>
      </c>
      <c r="D4306" s="15" t="s">
        <v>8574</v>
      </c>
      <c r="E4306" s="15">
        <v>13.963699999999999</v>
      </c>
      <c r="F4306" s="42">
        <v>43557</v>
      </c>
    </row>
    <row r="4307" spans="1:6" x14ac:dyDescent="0.3">
      <c r="A4307" s="15" t="s">
        <v>43646</v>
      </c>
      <c r="B4307" s="15" t="s">
        <v>8575</v>
      </c>
      <c r="C4307" s="15" t="s">
        <v>800</v>
      </c>
      <c r="D4307" s="15" t="s">
        <v>8576</v>
      </c>
      <c r="E4307" s="15">
        <v>11.5762</v>
      </c>
      <c r="F4307" s="42">
        <v>43674</v>
      </c>
    </row>
    <row r="4308" spans="1:6" x14ac:dyDescent="0.3">
      <c r="A4308" s="15" t="s">
        <v>43645</v>
      </c>
      <c r="B4308" s="15" t="s">
        <v>8577</v>
      </c>
      <c r="C4308" s="15" t="s">
        <v>800</v>
      </c>
      <c r="D4308" s="15" t="s">
        <v>8578</v>
      </c>
      <c r="E4308" s="15">
        <v>16.668600000000001</v>
      </c>
      <c r="F4308" s="42">
        <v>43496</v>
      </c>
    </row>
    <row r="4309" spans="1:6" x14ac:dyDescent="0.3">
      <c r="A4309" s="15" t="s">
        <v>33499</v>
      </c>
      <c r="B4309" s="15" t="s">
        <v>795</v>
      </c>
      <c r="C4309" s="15" t="s">
        <v>795</v>
      </c>
      <c r="D4309" s="15" t="s">
        <v>795</v>
      </c>
      <c r="F4309" s="42"/>
    </row>
    <row r="4310" spans="1:6" x14ac:dyDescent="0.3">
      <c r="A4310" s="15" t="s">
        <v>33636</v>
      </c>
      <c r="B4310" s="15" t="s">
        <v>795</v>
      </c>
      <c r="C4310" s="15" t="s">
        <v>795</v>
      </c>
      <c r="D4310" s="15" t="s">
        <v>795</v>
      </c>
      <c r="F4310" s="42"/>
    </row>
    <row r="4311" spans="1:6" x14ac:dyDescent="0.3">
      <c r="A4311" s="15" t="s">
        <v>33499</v>
      </c>
      <c r="B4311" s="15" t="s">
        <v>795</v>
      </c>
      <c r="C4311" s="15" t="s">
        <v>795</v>
      </c>
      <c r="D4311" s="15" t="s">
        <v>795</v>
      </c>
      <c r="F4311" s="42"/>
    </row>
    <row r="4312" spans="1:6" x14ac:dyDescent="0.3">
      <c r="A4312" s="15" t="s">
        <v>43644</v>
      </c>
      <c r="B4312" s="15" t="s">
        <v>800</v>
      </c>
      <c r="C4312" s="15" t="s">
        <v>8579</v>
      </c>
      <c r="D4312" s="15" t="s">
        <v>8580</v>
      </c>
      <c r="E4312" s="15">
        <v>2417.3606</v>
      </c>
      <c r="F4312" s="42">
        <v>46198</v>
      </c>
    </row>
    <row r="4313" spans="1:6" x14ac:dyDescent="0.3">
      <c r="A4313" s="15" t="s">
        <v>43643</v>
      </c>
      <c r="B4313" s="15" t="s">
        <v>8581</v>
      </c>
      <c r="C4313" s="15" t="s">
        <v>800</v>
      </c>
      <c r="D4313" s="15" t="s">
        <v>8582</v>
      </c>
      <c r="E4313" s="15">
        <v>6464.7876999999999</v>
      </c>
      <c r="F4313" s="42">
        <v>46198</v>
      </c>
    </row>
    <row r="4314" spans="1:6" x14ac:dyDescent="0.3">
      <c r="A4314" s="15" t="s">
        <v>43642</v>
      </c>
      <c r="B4314" s="15" t="s">
        <v>8583</v>
      </c>
      <c r="C4314" s="15" t="s">
        <v>8584</v>
      </c>
      <c r="D4314" s="15" t="s">
        <v>8585</v>
      </c>
      <c r="E4314" s="15">
        <v>1272.5903000000001</v>
      </c>
      <c r="F4314" s="42">
        <v>46198</v>
      </c>
    </row>
    <row r="4315" spans="1:6" x14ac:dyDescent="0.3">
      <c r="A4315" s="15" t="s">
        <v>43641</v>
      </c>
      <c r="B4315" s="15" t="s">
        <v>800</v>
      </c>
      <c r="C4315" s="15" t="s">
        <v>8586</v>
      </c>
      <c r="D4315" s="15" t="s">
        <v>8587</v>
      </c>
      <c r="E4315" s="15">
        <v>2387.9739</v>
      </c>
      <c r="F4315" s="42">
        <v>46198</v>
      </c>
    </row>
    <row r="4316" spans="1:6" x14ac:dyDescent="0.3">
      <c r="A4316" s="15" t="s">
        <v>43640</v>
      </c>
      <c r="B4316" s="15" t="s">
        <v>8588</v>
      </c>
      <c r="C4316" s="15" t="s">
        <v>800</v>
      </c>
      <c r="D4316" s="15" t="s">
        <v>8589</v>
      </c>
      <c r="E4316" s="15">
        <v>6339.9395999999997</v>
      </c>
      <c r="F4316" s="42">
        <v>46198</v>
      </c>
    </row>
    <row r="4317" spans="1:6" x14ac:dyDescent="0.3">
      <c r="A4317" s="15" t="s">
        <v>43639</v>
      </c>
      <c r="B4317" s="15" t="s">
        <v>8590</v>
      </c>
      <c r="C4317" s="15" t="s">
        <v>8591</v>
      </c>
      <c r="D4317" s="15" t="s">
        <v>8592</v>
      </c>
      <c r="E4317" s="15">
        <v>1264.6352999999999</v>
      </c>
      <c r="F4317" s="42">
        <v>46198</v>
      </c>
    </row>
    <row r="4318" spans="1:6" x14ac:dyDescent="0.3">
      <c r="A4318" s="15" t="s">
        <v>33499</v>
      </c>
      <c r="B4318" s="15" t="s">
        <v>795</v>
      </c>
      <c r="C4318" s="15" t="s">
        <v>795</v>
      </c>
      <c r="D4318" s="15" t="s">
        <v>795</v>
      </c>
      <c r="F4318" s="42"/>
    </row>
    <row r="4319" spans="1:6" x14ac:dyDescent="0.3">
      <c r="A4319" s="15" t="s">
        <v>37414</v>
      </c>
      <c r="B4319" s="15" t="s">
        <v>795</v>
      </c>
      <c r="C4319" s="15" t="s">
        <v>795</v>
      </c>
      <c r="D4319" s="15" t="s">
        <v>795</v>
      </c>
      <c r="F4319" s="42"/>
    </row>
    <row r="4320" spans="1:6" x14ac:dyDescent="0.3">
      <c r="A4320" s="15" t="s">
        <v>33499</v>
      </c>
      <c r="B4320" s="15" t="s">
        <v>795</v>
      </c>
      <c r="C4320" s="15" t="s">
        <v>795</v>
      </c>
      <c r="D4320" s="15" t="s">
        <v>795</v>
      </c>
      <c r="F4320" s="42"/>
    </row>
    <row r="4321" spans="1:6" x14ac:dyDescent="0.3">
      <c r="A4321" s="15" t="s">
        <v>43638</v>
      </c>
      <c r="B4321" s="15" t="s">
        <v>8593</v>
      </c>
      <c r="C4321" s="15" t="s">
        <v>8594</v>
      </c>
      <c r="D4321" s="15" t="s">
        <v>8595</v>
      </c>
      <c r="E4321" s="15">
        <v>1072.914</v>
      </c>
      <c r="F4321" s="42">
        <v>46198</v>
      </c>
    </row>
    <row r="4322" spans="1:6" x14ac:dyDescent="0.3">
      <c r="A4322" s="15" t="s">
        <v>43637</v>
      </c>
      <c r="B4322" s="15" t="s">
        <v>8596</v>
      </c>
      <c r="C4322" s="15" t="s">
        <v>8597</v>
      </c>
      <c r="D4322" s="15" t="s">
        <v>8598</v>
      </c>
      <c r="E4322" s="15">
        <v>1209.0534</v>
      </c>
      <c r="F4322" s="42">
        <v>45835</v>
      </c>
    </row>
    <row r="4323" spans="1:6" x14ac:dyDescent="0.3">
      <c r="A4323" s="15" t="s">
        <v>43636</v>
      </c>
      <c r="B4323" s="15" t="s">
        <v>800</v>
      </c>
      <c r="C4323" s="15" t="s">
        <v>8599</v>
      </c>
      <c r="D4323" s="15" t="s">
        <v>8600</v>
      </c>
      <c r="E4323" s="15">
        <v>1064.1664000000001</v>
      </c>
      <c r="F4323" s="42">
        <v>45471</v>
      </c>
    </row>
    <row r="4324" spans="1:6" x14ac:dyDescent="0.3">
      <c r="A4324" s="15" t="s">
        <v>43635</v>
      </c>
      <c r="B4324" s="15" t="s">
        <v>800</v>
      </c>
      <c r="C4324" s="15" t="s">
        <v>8601</v>
      </c>
      <c r="D4324" s="15" t="s">
        <v>8602</v>
      </c>
      <c r="E4324" s="15">
        <v>1006.1763</v>
      </c>
      <c r="F4324" s="42">
        <v>45471</v>
      </c>
    </row>
    <row r="4325" spans="1:6" x14ac:dyDescent="0.3">
      <c r="A4325" s="15" t="s">
        <v>43634</v>
      </c>
      <c r="B4325" s="15" t="s">
        <v>8603</v>
      </c>
      <c r="C4325" s="15" t="s">
        <v>800</v>
      </c>
      <c r="D4325" s="15" t="s">
        <v>8604</v>
      </c>
      <c r="E4325" s="15">
        <v>3115.6869999999999</v>
      </c>
      <c r="F4325" s="42">
        <v>46198</v>
      </c>
    </row>
    <row r="4326" spans="1:6" x14ac:dyDescent="0.3">
      <c r="A4326" s="15" t="s">
        <v>43633</v>
      </c>
      <c r="B4326" s="15" t="s">
        <v>800</v>
      </c>
      <c r="C4326" s="15" t="s">
        <v>8605</v>
      </c>
      <c r="D4326" s="15" t="s">
        <v>8606</v>
      </c>
      <c r="E4326" s="15">
        <v>1020.1955</v>
      </c>
      <c r="F4326" s="42">
        <v>44707</v>
      </c>
    </row>
    <row r="4327" spans="1:6" x14ac:dyDescent="0.3">
      <c r="A4327" s="15" t="s">
        <v>43632</v>
      </c>
      <c r="B4327" s="15" t="s">
        <v>8607</v>
      </c>
      <c r="C4327" s="15" t="s">
        <v>8608</v>
      </c>
      <c r="D4327" s="15" t="s">
        <v>8609</v>
      </c>
      <c r="E4327" s="15">
        <v>1091.3968</v>
      </c>
      <c r="F4327" s="42">
        <v>46198</v>
      </c>
    </row>
    <row r="4328" spans="1:6" x14ac:dyDescent="0.3">
      <c r="A4328" s="15" t="s">
        <v>43631</v>
      </c>
      <c r="B4328" s="15" t="s">
        <v>800</v>
      </c>
      <c r="C4328" s="15" t="s">
        <v>8610</v>
      </c>
      <c r="D4328" s="15" t="s">
        <v>8611</v>
      </c>
      <c r="E4328" s="15">
        <v>1005.43</v>
      </c>
      <c r="F4328" s="42">
        <v>45471</v>
      </c>
    </row>
    <row r="4329" spans="1:6" x14ac:dyDescent="0.3">
      <c r="A4329" s="15" t="s">
        <v>43630</v>
      </c>
      <c r="B4329" s="15" t="s">
        <v>8612</v>
      </c>
      <c r="C4329" s="15" t="s">
        <v>800</v>
      </c>
      <c r="D4329" s="15" t="s">
        <v>8613</v>
      </c>
      <c r="E4329" s="15">
        <v>2822.6644999999999</v>
      </c>
      <c r="F4329" s="42">
        <v>46198</v>
      </c>
    </row>
    <row r="4330" spans="1:6" x14ac:dyDescent="0.3">
      <c r="A4330" s="15" t="s">
        <v>43629</v>
      </c>
      <c r="B4330" s="15" t="s">
        <v>800</v>
      </c>
      <c r="C4330" s="15" t="s">
        <v>8614</v>
      </c>
      <c r="D4330" s="15" t="s">
        <v>8615</v>
      </c>
      <c r="E4330" s="15">
        <v>1020.3674999999999</v>
      </c>
      <c r="F4330" s="42">
        <v>45471</v>
      </c>
    </row>
    <row r="4331" spans="1:6" x14ac:dyDescent="0.3">
      <c r="A4331" s="15" t="s">
        <v>43628</v>
      </c>
      <c r="B4331" s="15" t="s">
        <v>8616</v>
      </c>
      <c r="C4331" s="15" t="s">
        <v>8617</v>
      </c>
      <c r="D4331" s="15" t="s">
        <v>8618</v>
      </c>
      <c r="E4331" s="15">
        <v>1155.9152999999999</v>
      </c>
      <c r="F4331" s="42">
        <v>45835</v>
      </c>
    </row>
    <row r="4332" spans="1:6" x14ac:dyDescent="0.3">
      <c r="A4332" s="15" t="s">
        <v>43627</v>
      </c>
      <c r="B4332" s="15" t="s">
        <v>800</v>
      </c>
      <c r="C4332" s="15" t="s">
        <v>8619</v>
      </c>
      <c r="D4332" s="15" t="s">
        <v>8620</v>
      </c>
      <c r="E4332" s="15">
        <v>1062.5332000000001</v>
      </c>
      <c r="F4332" s="42">
        <v>45471</v>
      </c>
    </row>
    <row r="4333" spans="1:6" x14ac:dyDescent="0.3">
      <c r="A4333" s="15" t="s">
        <v>33499</v>
      </c>
      <c r="B4333" s="15" t="s">
        <v>795</v>
      </c>
      <c r="C4333" s="15" t="s">
        <v>795</v>
      </c>
      <c r="D4333" s="15" t="s">
        <v>795</v>
      </c>
      <c r="F4333" s="42"/>
    </row>
    <row r="4334" spans="1:6" x14ac:dyDescent="0.3">
      <c r="A4334" s="15" t="s">
        <v>33519</v>
      </c>
      <c r="B4334" s="15" t="s">
        <v>795</v>
      </c>
      <c r="C4334" s="15" t="s">
        <v>795</v>
      </c>
      <c r="D4334" s="15" t="s">
        <v>795</v>
      </c>
      <c r="F4334" s="42"/>
    </row>
    <row r="4335" spans="1:6" x14ac:dyDescent="0.3">
      <c r="A4335" s="15" t="s">
        <v>33499</v>
      </c>
      <c r="B4335" s="15" t="s">
        <v>795</v>
      </c>
      <c r="C4335" s="15" t="s">
        <v>795</v>
      </c>
      <c r="D4335" s="15" t="s">
        <v>795</v>
      </c>
      <c r="F4335" s="42"/>
    </row>
    <row r="4336" spans="1:6" x14ac:dyDescent="0.3">
      <c r="A4336" s="15" t="s">
        <v>43626</v>
      </c>
      <c r="B4336" s="15" t="s">
        <v>800</v>
      </c>
      <c r="C4336" s="15" t="s">
        <v>8621</v>
      </c>
      <c r="D4336" s="15" t="s">
        <v>8622</v>
      </c>
      <c r="E4336" s="15">
        <v>15.927099999999999</v>
      </c>
      <c r="F4336" s="42">
        <v>46198</v>
      </c>
    </row>
    <row r="4337" spans="1:6" x14ac:dyDescent="0.3">
      <c r="A4337" s="15" t="s">
        <v>43625</v>
      </c>
      <c r="B4337" s="15" t="s">
        <v>800</v>
      </c>
      <c r="C4337" s="15" t="s">
        <v>8623</v>
      </c>
      <c r="D4337" s="15" t="s">
        <v>8624</v>
      </c>
      <c r="E4337" s="15">
        <v>10.414400000000001</v>
      </c>
      <c r="F4337" s="42">
        <v>46198</v>
      </c>
    </row>
    <row r="4338" spans="1:6" x14ac:dyDescent="0.3">
      <c r="A4338" s="15" t="s">
        <v>43624</v>
      </c>
      <c r="B4338" s="15" t="s">
        <v>800</v>
      </c>
      <c r="C4338" s="15" t="s">
        <v>8625</v>
      </c>
      <c r="D4338" s="15" t="s">
        <v>8626</v>
      </c>
      <c r="E4338" s="15">
        <v>15.013999999999999</v>
      </c>
      <c r="F4338" s="42">
        <v>46198</v>
      </c>
    </row>
    <row r="4339" spans="1:6" x14ac:dyDescent="0.3">
      <c r="A4339" s="15" t="s">
        <v>43623</v>
      </c>
      <c r="B4339" s="15" t="s">
        <v>800</v>
      </c>
      <c r="C4339" s="15" t="s">
        <v>8627</v>
      </c>
      <c r="D4339" s="15" t="s">
        <v>8628</v>
      </c>
      <c r="E4339" s="15">
        <v>10.3874</v>
      </c>
      <c r="F4339" s="42">
        <v>46198</v>
      </c>
    </row>
    <row r="4340" spans="1:6" x14ac:dyDescent="0.3">
      <c r="A4340" s="15" t="s">
        <v>43622</v>
      </c>
      <c r="B4340" s="15" t="s">
        <v>8629</v>
      </c>
      <c r="C4340" s="15" t="s">
        <v>800</v>
      </c>
      <c r="D4340" s="15" t="s">
        <v>8630</v>
      </c>
      <c r="E4340" s="15">
        <v>15.927099999999999</v>
      </c>
      <c r="F4340" s="42">
        <v>46198</v>
      </c>
    </row>
    <row r="4341" spans="1:6" x14ac:dyDescent="0.3">
      <c r="A4341" s="15" t="s">
        <v>43621</v>
      </c>
      <c r="B4341" s="15" t="s">
        <v>8631</v>
      </c>
      <c r="C4341" s="15" t="s">
        <v>800</v>
      </c>
      <c r="D4341" s="15" t="s">
        <v>8632</v>
      </c>
      <c r="E4341" s="15">
        <v>10.414400000000001</v>
      </c>
      <c r="F4341" s="42">
        <v>46198</v>
      </c>
    </row>
    <row r="4342" spans="1:6" x14ac:dyDescent="0.3">
      <c r="A4342" s="15" t="s">
        <v>43620</v>
      </c>
      <c r="B4342" s="15" t="s">
        <v>8633</v>
      </c>
      <c r="C4342" s="15" t="s">
        <v>800</v>
      </c>
      <c r="D4342" s="15" t="s">
        <v>8634</v>
      </c>
      <c r="E4342" s="15">
        <v>15.9056</v>
      </c>
      <c r="F4342" s="42">
        <v>46198</v>
      </c>
    </row>
    <row r="4343" spans="1:6" x14ac:dyDescent="0.3">
      <c r="A4343" s="15" t="s">
        <v>43619</v>
      </c>
      <c r="B4343" s="15" t="s">
        <v>8635</v>
      </c>
      <c r="C4343" s="15" t="s">
        <v>800</v>
      </c>
      <c r="D4343" s="15" t="s">
        <v>8636</v>
      </c>
      <c r="E4343" s="15">
        <v>15.013999999999999</v>
      </c>
      <c r="F4343" s="42">
        <v>46198</v>
      </c>
    </row>
    <row r="4344" spans="1:6" x14ac:dyDescent="0.3">
      <c r="A4344" s="15" t="s">
        <v>43618</v>
      </c>
      <c r="B4344" s="15" t="s">
        <v>8637</v>
      </c>
      <c r="C4344" s="15" t="s">
        <v>800</v>
      </c>
      <c r="D4344" s="15" t="s">
        <v>8638</v>
      </c>
      <c r="E4344" s="15">
        <v>10.3874</v>
      </c>
      <c r="F4344" s="42">
        <v>46198</v>
      </c>
    </row>
    <row r="4345" spans="1:6" x14ac:dyDescent="0.3">
      <c r="A4345" s="15" t="s">
        <v>43617</v>
      </c>
      <c r="B4345" s="15" t="s">
        <v>8639</v>
      </c>
      <c r="C4345" s="15" t="s">
        <v>800</v>
      </c>
      <c r="D4345" s="15" t="s">
        <v>8640</v>
      </c>
      <c r="E4345" s="15">
        <v>15.0084</v>
      </c>
      <c r="F4345" s="42">
        <v>46198</v>
      </c>
    </row>
    <row r="4346" spans="1:6" x14ac:dyDescent="0.3">
      <c r="A4346" s="15" t="s">
        <v>33499</v>
      </c>
      <c r="B4346" s="15" t="s">
        <v>795</v>
      </c>
      <c r="C4346" s="15" t="s">
        <v>795</v>
      </c>
      <c r="D4346" s="15" t="s">
        <v>795</v>
      </c>
      <c r="F4346" s="42"/>
    </row>
    <row r="4347" spans="1:6" x14ac:dyDescent="0.3">
      <c r="A4347" s="15" t="s">
        <v>33500</v>
      </c>
      <c r="B4347" s="15" t="s">
        <v>795</v>
      </c>
      <c r="C4347" s="15" t="s">
        <v>795</v>
      </c>
      <c r="D4347" s="15" t="s">
        <v>795</v>
      </c>
      <c r="F4347" s="42"/>
    </row>
    <row r="4348" spans="1:6" x14ac:dyDescent="0.3">
      <c r="A4348" s="15" t="s">
        <v>33499</v>
      </c>
      <c r="B4348" s="15" t="s">
        <v>795</v>
      </c>
      <c r="C4348" s="15" t="s">
        <v>795</v>
      </c>
      <c r="D4348" s="15" t="s">
        <v>795</v>
      </c>
      <c r="F4348" s="42"/>
    </row>
    <row r="4349" spans="1:6" x14ac:dyDescent="0.3">
      <c r="A4349" s="15" t="s">
        <v>43616</v>
      </c>
      <c r="B4349" s="15" t="s">
        <v>8641</v>
      </c>
      <c r="C4349" s="15" t="s">
        <v>8642</v>
      </c>
      <c r="D4349" s="15" t="s">
        <v>8643</v>
      </c>
      <c r="E4349" s="15">
        <v>1523.1434999999999</v>
      </c>
      <c r="F4349" s="42">
        <v>46198</v>
      </c>
    </row>
    <row r="4350" spans="1:6" x14ac:dyDescent="0.3">
      <c r="A4350" s="15" t="s">
        <v>43615</v>
      </c>
      <c r="B4350" s="15" t="s">
        <v>8644</v>
      </c>
      <c r="C4350" s="15" t="s">
        <v>8645</v>
      </c>
      <c r="D4350" s="15" t="s">
        <v>8646</v>
      </c>
      <c r="E4350" s="15">
        <v>1610.9754</v>
      </c>
      <c r="F4350" s="42">
        <v>46198</v>
      </c>
    </row>
    <row r="4351" spans="1:6" x14ac:dyDescent="0.3">
      <c r="A4351" s="15" t="s">
        <v>43614</v>
      </c>
      <c r="B4351" s="15" t="s">
        <v>8647</v>
      </c>
      <c r="C4351" s="15" t="s">
        <v>8648</v>
      </c>
      <c r="D4351" s="15" t="s">
        <v>8649</v>
      </c>
      <c r="E4351" s="15">
        <v>2349.3975999999998</v>
      </c>
      <c r="F4351" s="42">
        <v>46198</v>
      </c>
    </row>
    <row r="4352" spans="1:6" x14ac:dyDescent="0.3">
      <c r="A4352" s="15" t="s">
        <v>43613</v>
      </c>
      <c r="B4352" s="15" t="s">
        <v>8650</v>
      </c>
      <c r="C4352" s="15" t="s">
        <v>8651</v>
      </c>
      <c r="D4352" s="15" t="s">
        <v>8652</v>
      </c>
      <c r="E4352" s="15">
        <v>1335.7284999999999</v>
      </c>
      <c r="F4352" s="42">
        <v>46198</v>
      </c>
    </row>
    <row r="4353" spans="1:6" x14ac:dyDescent="0.3">
      <c r="A4353" s="15" t="s">
        <v>43612</v>
      </c>
      <c r="B4353" s="15" t="s">
        <v>8653</v>
      </c>
      <c r="C4353" s="15" t="s">
        <v>800</v>
      </c>
      <c r="D4353" s="15" t="s">
        <v>8654</v>
      </c>
      <c r="E4353" s="15">
        <v>4842.3689999999997</v>
      </c>
      <c r="F4353" s="42">
        <v>46198</v>
      </c>
    </row>
    <row r="4354" spans="1:6" x14ac:dyDescent="0.3">
      <c r="A4354" s="15" t="s">
        <v>43611</v>
      </c>
      <c r="B4354" s="15" t="s">
        <v>8655</v>
      </c>
      <c r="C4354" s="15" t="s">
        <v>8656</v>
      </c>
      <c r="D4354" s="15" t="s">
        <v>8657</v>
      </c>
      <c r="E4354" s="15">
        <v>1535.3520000000001</v>
      </c>
      <c r="F4354" s="42">
        <v>46198</v>
      </c>
    </row>
    <row r="4355" spans="1:6" x14ac:dyDescent="0.3">
      <c r="A4355" s="15" t="s">
        <v>43610</v>
      </c>
      <c r="B4355" s="15" t="s">
        <v>8658</v>
      </c>
      <c r="C4355" s="15" t="s">
        <v>8659</v>
      </c>
      <c r="D4355" s="15" t="s">
        <v>8660</v>
      </c>
      <c r="E4355" s="15">
        <v>1171.8744999999999</v>
      </c>
      <c r="F4355" s="42">
        <v>46198</v>
      </c>
    </row>
    <row r="4356" spans="1:6" x14ac:dyDescent="0.3">
      <c r="A4356" s="15" t="s">
        <v>43609</v>
      </c>
      <c r="B4356" s="15" t="s">
        <v>8661</v>
      </c>
      <c r="C4356" s="15" t="s">
        <v>8662</v>
      </c>
      <c r="D4356" s="15" t="s">
        <v>8663</v>
      </c>
      <c r="E4356" s="15">
        <v>2010.5981999999999</v>
      </c>
      <c r="F4356" s="42">
        <v>46198</v>
      </c>
    </row>
    <row r="4357" spans="1:6" x14ac:dyDescent="0.3">
      <c r="A4357" s="15" t="s">
        <v>43608</v>
      </c>
      <c r="B4357" s="15" t="s">
        <v>8664</v>
      </c>
      <c r="C4357" s="15" t="s">
        <v>800</v>
      </c>
      <c r="D4357" s="15" t="s">
        <v>8665</v>
      </c>
      <c r="E4357" s="15">
        <v>1084.2217000000001</v>
      </c>
      <c r="F4357" s="42">
        <v>46198</v>
      </c>
    </row>
    <row r="4358" spans="1:6" x14ac:dyDescent="0.3">
      <c r="A4358" s="15" t="s">
        <v>43607</v>
      </c>
      <c r="B4358" s="15" t="s">
        <v>8666</v>
      </c>
      <c r="C4358" s="15" t="s">
        <v>800</v>
      </c>
      <c r="D4358" s="15" t="s">
        <v>8667</v>
      </c>
      <c r="E4358" s="15">
        <v>3214.2087000000001</v>
      </c>
      <c r="F4358" s="42">
        <v>46198</v>
      </c>
    </row>
    <row r="4359" spans="1:6" x14ac:dyDescent="0.3">
      <c r="A4359" s="15" t="s">
        <v>43606</v>
      </c>
      <c r="B4359" s="15" t="s">
        <v>800</v>
      </c>
      <c r="C4359" s="15" t="s">
        <v>8668</v>
      </c>
      <c r="D4359" s="15" t="s">
        <v>8669</v>
      </c>
      <c r="E4359" s="15">
        <v>1003.5556</v>
      </c>
      <c r="F4359" s="42">
        <v>44252</v>
      </c>
    </row>
    <row r="4360" spans="1:6" x14ac:dyDescent="0.3">
      <c r="A4360" s="15" t="s">
        <v>43605</v>
      </c>
      <c r="B4360" s="15" t="s">
        <v>8670</v>
      </c>
      <c r="C4360" s="15" t="s">
        <v>8671</v>
      </c>
      <c r="D4360" s="15" t="s">
        <v>8672</v>
      </c>
      <c r="E4360" s="15">
        <v>1467.9033999999999</v>
      </c>
      <c r="F4360" s="42">
        <v>46198</v>
      </c>
    </row>
    <row r="4361" spans="1:6" x14ac:dyDescent="0.3">
      <c r="A4361" s="15" t="s">
        <v>43604</v>
      </c>
      <c r="B4361" s="15" t="s">
        <v>800</v>
      </c>
      <c r="C4361" s="15" t="s">
        <v>8673</v>
      </c>
      <c r="D4361" s="15" t="s">
        <v>8674</v>
      </c>
      <c r="E4361" s="15">
        <v>1049.0105000000001</v>
      </c>
      <c r="F4361" s="42">
        <v>46198</v>
      </c>
    </row>
    <row r="4362" spans="1:6" x14ac:dyDescent="0.3">
      <c r="A4362" s="15" t="s">
        <v>43603</v>
      </c>
      <c r="B4362" s="15" t="s">
        <v>8675</v>
      </c>
      <c r="C4362" s="15" t="s">
        <v>8676</v>
      </c>
      <c r="D4362" s="15" t="s">
        <v>8677</v>
      </c>
      <c r="E4362" s="15">
        <v>1731.6567</v>
      </c>
      <c r="F4362" s="42">
        <v>46198</v>
      </c>
    </row>
    <row r="4363" spans="1:6" x14ac:dyDescent="0.3">
      <c r="A4363" s="15" t="s">
        <v>43602</v>
      </c>
      <c r="B4363" s="15" t="s">
        <v>8678</v>
      </c>
      <c r="C4363" s="15" t="s">
        <v>8679</v>
      </c>
      <c r="D4363" s="15" t="s">
        <v>8680</v>
      </c>
      <c r="E4363" s="15">
        <v>1324.1762000000001</v>
      </c>
      <c r="F4363" s="42">
        <v>46198</v>
      </c>
    </row>
    <row r="4364" spans="1:6" x14ac:dyDescent="0.3">
      <c r="A4364" s="15" t="s">
        <v>43601</v>
      </c>
      <c r="B4364" s="15" t="s">
        <v>8681</v>
      </c>
      <c r="C4364" s="15" t="s">
        <v>800</v>
      </c>
      <c r="D4364" s="15" t="s">
        <v>8682</v>
      </c>
      <c r="E4364" s="15">
        <v>4485.7655999999997</v>
      </c>
      <c r="F4364" s="42">
        <v>46198</v>
      </c>
    </row>
    <row r="4365" spans="1:6" x14ac:dyDescent="0.3">
      <c r="A4365" s="15" t="s">
        <v>43600</v>
      </c>
      <c r="B4365" s="15" t="s">
        <v>8683</v>
      </c>
      <c r="C4365" s="15" t="s">
        <v>8684</v>
      </c>
      <c r="D4365" s="15" t="s">
        <v>8685</v>
      </c>
      <c r="E4365" s="15">
        <v>1015.4624</v>
      </c>
      <c r="F4365" s="42">
        <v>46198</v>
      </c>
    </row>
    <row r="4366" spans="1:6" x14ac:dyDescent="0.3">
      <c r="A4366" s="15" t="s">
        <v>43599</v>
      </c>
      <c r="B4366" s="15" t="s">
        <v>8686</v>
      </c>
      <c r="C4366" s="15" t="s">
        <v>8687</v>
      </c>
      <c r="D4366" s="15" t="s">
        <v>8688</v>
      </c>
      <c r="E4366" s="15">
        <v>1117.0255</v>
      </c>
      <c r="F4366" s="42">
        <v>46198</v>
      </c>
    </row>
    <row r="4367" spans="1:6" x14ac:dyDescent="0.3">
      <c r="A4367" s="15" t="s">
        <v>43598</v>
      </c>
      <c r="B4367" s="15" t="s">
        <v>8689</v>
      </c>
      <c r="C4367" s="15" t="s">
        <v>8690</v>
      </c>
      <c r="D4367" s="15" t="s">
        <v>8691</v>
      </c>
      <c r="E4367" s="15">
        <v>1296.1723</v>
      </c>
      <c r="F4367" s="42">
        <v>46198</v>
      </c>
    </row>
    <row r="4368" spans="1:6" x14ac:dyDescent="0.3">
      <c r="A4368" s="15" t="s">
        <v>43597</v>
      </c>
      <c r="B4368" s="15" t="s">
        <v>800</v>
      </c>
      <c r="C4368" s="15" t="s">
        <v>8692</v>
      </c>
      <c r="D4368" s="15" t="s">
        <v>8693</v>
      </c>
      <c r="E4368" s="15">
        <v>1419.6011000000001</v>
      </c>
      <c r="F4368" s="42">
        <v>46198</v>
      </c>
    </row>
    <row r="4369" spans="1:6" x14ac:dyDescent="0.3">
      <c r="A4369" s="15" t="s">
        <v>33499</v>
      </c>
      <c r="B4369" s="15" t="s">
        <v>795</v>
      </c>
      <c r="C4369" s="15" t="s">
        <v>795</v>
      </c>
      <c r="D4369" s="15" t="s">
        <v>795</v>
      </c>
      <c r="F4369" s="42"/>
    </row>
    <row r="4370" spans="1:6" x14ac:dyDescent="0.3">
      <c r="A4370" s="15" t="s">
        <v>40172</v>
      </c>
      <c r="B4370" s="15" t="s">
        <v>795</v>
      </c>
      <c r="C4370" s="15" t="s">
        <v>795</v>
      </c>
      <c r="D4370" s="15" t="s">
        <v>795</v>
      </c>
      <c r="F4370" s="42"/>
    </row>
    <row r="4371" spans="1:6" x14ac:dyDescent="0.3">
      <c r="A4371" s="15" t="s">
        <v>33499</v>
      </c>
      <c r="B4371" s="15" t="s">
        <v>795</v>
      </c>
      <c r="C4371" s="15" t="s">
        <v>795</v>
      </c>
      <c r="D4371" s="15" t="s">
        <v>795</v>
      </c>
      <c r="F4371" s="42"/>
    </row>
    <row r="4372" spans="1:6" x14ac:dyDescent="0.3">
      <c r="A4372" s="15" t="s">
        <v>43596</v>
      </c>
      <c r="B4372" s="15" t="s">
        <v>800</v>
      </c>
      <c r="C4372" s="15" t="s">
        <v>8694</v>
      </c>
      <c r="D4372" s="15" t="s">
        <v>8695</v>
      </c>
      <c r="E4372" s="15">
        <v>1004.9897999999999</v>
      </c>
      <c r="F4372" s="42">
        <v>46198</v>
      </c>
    </row>
    <row r="4373" spans="1:6" x14ac:dyDescent="0.3">
      <c r="A4373" s="15" t="s">
        <v>43595</v>
      </c>
      <c r="B4373" s="15" t="s">
        <v>8696</v>
      </c>
      <c r="C4373" s="15" t="s">
        <v>8697</v>
      </c>
      <c r="D4373" s="15" t="s">
        <v>8698</v>
      </c>
      <c r="E4373" s="15">
        <v>1006.7944</v>
      </c>
      <c r="F4373" s="42">
        <v>46198</v>
      </c>
    </row>
    <row r="4374" spans="1:6" x14ac:dyDescent="0.3">
      <c r="A4374" s="15" t="s">
        <v>43594</v>
      </c>
      <c r="B4374" s="15" t="s">
        <v>8699</v>
      </c>
      <c r="C4374" s="15" t="s">
        <v>800</v>
      </c>
      <c r="D4374" s="15" t="s">
        <v>8700</v>
      </c>
      <c r="E4374" s="15">
        <v>1496.6741999999999</v>
      </c>
      <c r="F4374" s="42">
        <v>46198</v>
      </c>
    </row>
    <row r="4375" spans="1:6" x14ac:dyDescent="0.3">
      <c r="A4375" s="15" t="s">
        <v>43593</v>
      </c>
      <c r="B4375" s="15" t="s">
        <v>8701</v>
      </c>
      <c r="C4375" s="15" t="s">
        <v>8702</v>
      </c>
      <c r="D4375" s="15" t="s">
        <v>8703</v>
      </c>
      <c r="E4375" s="15">
        <v>1007.7751</v>
      </c>
      <c r="F4375" s="42">
        <v>46198</v>
      </c>
    </row>
    <row r="4376" spans="1:6" x14ac:dyDescent="0.3">
      <c r="A4376" s="15" t="s">
        <v>43592</v>
      </c>
      <c r="B4376" s="15" t="s">
        <v>8704</v>
      </c>
      <c r="C4376" s="15" t="s">
        <v>8705</v>
      </c>
      <c r="D4376" s="15" t="s">
        <v>8706</v>
      </c>
      <c r="E4376" s="15">
        <v>1005.7443</v>
      </c>
      <c r="F4376" s="42">
        <v>46198</v>
      </c>
    </row>
    <row r="4377" spans="1:6" x14ac:dyDescent="0.3">
      <c r="A4377" s="15" t="s">
        <v>43591</v>
      </c>
      <c r="B4377" s="15" t="s">
        <v>800</v>
      </c>
      <c r="C4377" s="15" t="s">
        <v>8707</v>
      </c>
      <c r="D4377" s="15" t="s">
        <v>8708</v>
      </c>
      <c r="E4377" s="15">
        <v>1004.9919</v>
      </c>
      <c r="F4377" s="42">
        <v>46198</v>
      </c>
    </row>
    <row r="4378" spans="1:6" x14ac:dyDescent="0.3">
      <c r="A4378" s="15" t="s">
        <v>43590</v>
      </c>
      <c r="B4378" s="15" t="s">
        <v>8709</v>
      </c>
      <c r="C4378" s="15" t="s">
        <v>8710</v>
      </c>
      <c r="D4378" s="15" t="s">
        <v>8711</v>
      </c>
      <c r="E4378" s="15">
        <v>1006.6151</v>
      </c>
      <c r="F4378" s="42">
        <v>46198</v>
      </c>
    </row>
    <row r="4379" spans="1:6" x14ac:dyDescent="0.3">
      <c r="A4379" s="15" t="s">
        <v>43589</v>
      </c>
      <c r="B4379" s="15" t="s">
        <v>8712</v>
      </c>
      <c r="C4379" s="15" t="s">
        <v>800</v>
      </c>
      <c r="D4379" s="15" t="s">
        <v>8713</v>
      </c>
      <c r="E4379" s="15">
        <v>1438.3018999999999</v>
      </c>
      <c r="F4379" s="42">
        <v>46198</v>
      </c>
    </row>
    <row r="4380" spans="1:6" x14ac:dyDescent="0.3">
      <c r="A4380" s="15" t="s">
        <v>43588</v>
      </c>
      <c r="B4380" s="15" t="s">
        <v>8714</v>
      </c>
      <c r="C4380" s="15" t="s">
        <v>8715</v>
      </c>
      <c r="D4380" s="15" t="s">
        <v>8716</v>
      </c>
      <c r="E4380" s="15">
        <v>1006.5321</v>
      </c>
      <c r="F4380" s="42">
        <v>46198</v>
      </c>
    </row>
    <row r="4381" spans="1:6" x14ac:dyDescent="0.3">
      <c r="A4381" s="15" t="s">
        <v>43587</v>
      </c>
      <c r="B4381" s="15" t="s">
        <v>8717</v>
      </c>
      <c r="C4381" s="15" t="s">
        <v>8718</v>
      </c>
      <c r="D4381" s="15" t="s">
        <v>8719</v>
      </c>
      <c r="E4381" s="15">
        <v>1007.1294</v>
      </c>
      <c r="F4381" s="42">
        <v>46198</v>
      </c>
    </row>
    <row r="4382" spans="1:6" x14ac:dyDescent="0.3">
      <c r="A4382" s="15" t="s">
        <v>33499</v>
      </c>
      <c r="B4382" s="15" t="s">
        <v>795</v>
      </c>
      <c r="C4382" s="15" t="s">
        <v>795</v>
      </c>
      <c r="D4382" s="15" t="s">
        <v>795</v>
      </c>
      <c r="F4382" s="42"/>
    </row>
    <row r="4383" spans="1:6" x14ac:dyDescent="0.3">
      <c r="A4383" s="15" t="s">
        <v>43586</v>
      </c>
      <c r="B4383" s="15" t="s">
        <v>795</v>
      </c>
      <c r="C4383" s="15" t="s">
        <v>795</v>
      </c>
      <c r="D4383" s="15" t="s">
        <v>795</v>
      </c>
      <c r="F4383" s="42"/>
    </row>
    <row r="4384" spans="1:6" x14ac:dyDescent="0.3">
      <c r="A4384" s="15" t="s">
        <v>33499</v>
      </c>
      <c r="B4384" s="15" t="s">
        <v>795</v>
      </c>
      <c r="C4384" s="15" t="s">
        <v>795</v>
      </c>
      <c r="D4384" s="15" t="s">
        <v>795</v>
      </c>
      <c r="F4384" s="42"/>
    </row>
    <row r="4385" spans="1:6" x14ac:dyDescent="0.3">
      <c r="A4385" s="15" t="s">
        <v>37807</v>
      </c>
      <c r="B4385" s="15" t="s">
        <v>795</v>
      </c>
      <c r="C4385" s="15" t="s">
        <v>795</v>
      </c>
      <c r="D4385" s="15" t="s">
        <v>795</v>
      </c>
      <c r="F4385" s="42"/>
    </row>
    <row r="4386" spans="1:6" x14ac:dyDescent="0.3">
      <c r="A4386" s="15" t="s">
        <v>33499</v>
      </c>
      <c r="B4386" s="15" t="s">
        <v>795</v>
      </c>
      <c r="C4386" s="15" t="s">
        <v>795</v>
      </c>
      <c r="D4386" s="15" t="s">
        <v>795</v>
      </c>
      <c r="F4386" s="42"/>
    </row>
    <row r="4387" spans="1:6" x14ac:dyDescent="0.3">
      <c r="A4387" s="15" t="s">
        <v>43585</v>
      </c>
      <c r="B4387" s="15" t="s">
        <v>765</v>
      </c>
      <c r="C4387" s="15" t="s">
        <v>800</v>
      </c>
      <c r="D4387" s="15" t="s">
        <v>8720</v>
      </c>
      <c r="E4387" s="15">
        <v>157.4</v>
      </c>
      <c r="F4387" s="42">
        <v>46198</v>
      </c>
    </row>
    <row r="4388" spans="1:6" x14ac:dyDescent="0.3">
      <c r="A4388" s="15" t="s">
        <v>43584</v>
      </c>
      <c r="B4388" s="15" t="s">
        <v>8721</v>
      </c>
      <c r="C4388" s="15" t="s">
        <v>8722</v>
      </c>
      <c r="D4388" s="15" t="s">
        <v>8723</v>
      </c>
      <c r="E4388" s="15">
        <v>65.540000000000006</v>
      </c>
      <c r="F4388" s="42">
        <v>46198</v>
      </c>
    </row>
    <row r="4389" spans="1:6" x14ac:dyDescent="0.3">
      <c r="A4389" s="15" t="s">
        <v>43583</v>
      </c>
      <c r="B4389" s="15" t="s">
        <v>8724</v>
      </c>
      <c r="C4389" s="15" t="s">
        <v>800</v>
      </c>
      <c r="D4389" s="15" t="s">
        <v>8725</v>
      </c>
      <c r="E4389" s="15">
        <v>132.91999999999999</v>
      </c>
      <c r="F4389" s="42">
        <v>46198</v>
      </c>
    </row>
    <row r="4390" spans="1:6" x14ac:dyDescent="0.3">
      <c r="A4390" s="15" t="s">
        <v>43582</v>
      </c>
      <c r="B4390" s="15" t="s">
        <v>8726</v>
      </c>
      <c r="C4390" s="15" t="s">
        <v>8727</v>
      </c>
      <c r="D4390" s="15" t="s">
        <v>8728</v>
      </c>
      <c r="E4390" s="15">
        <v>48.69</v>
      </c>
      <c r="F4390" s="42">
        <v>46198</v>
      </c>
    </row>
    <row r="4391" spans="1:6" x14ac:dyDescent="0.3">
      <c r="A4391" s="15" t="s">
        <v>33499</v>
      </c>
      <c r="B4391" s="15" t="s">
        <v>795</v>
      </c>
      <c r="C4391" s="15" t="s">
        <v>795</v>
      </c>
      <c r="D4391" s="15" t="s">
        <v>795</v>
      </c>
      <c r="F4391" s="42"/>
    </row>
    <row r="4392" spans="1:6" x14ac:dyDescent="0.3">
      <c r="A4392" s="15" t="s">
        <v>139</v>
      </c>
      <c r="B4392" s="15" t="s">
        <v>795</v>
      </c>
      <c r="C4392" s="15" t="s">
        <v>795</v>
      </c>
      <c r="D4392" s="15" t="s">
        <v>795</v>
      </c>
      <c r="F4392" s="42"/>
    </row>
    <row r="4393" spans="1:6" x14ac:dyDescent="0.3">
      <c r="A4393" s="15" t="s">
        <v>33499</v>
      </c>
      <c r="B4393" s="15" t="s">
        <v>795</v>
      </c>
      <c r="C4393" s="15" t="s">
        <v>795</v>
      </c>
      <c r="D4393" s="15" t="s">
        <v>795</v>
      </c>
      <c r="F4393" s="42"/>
    </row>
    <row r="4394" spans="1:6" x14ac:dyDescent="0.3">
      <c r="A4394" s="15" t="s">
        <v>43581</v>
      </c>
      <c r="B4394" s="15" t="s">
        <v>8729</v>
      </c>
      <c r="C4394" s="15" t="s">
        <v>800</v>
      </c>
      <c r="D4394" s="15" t="s">
        <v>8730</v>
      </c>
      <c r="E4394" s="15">
        <v>181.09399999999999</v>
      </c>
      <c r="F4394" s="42">
        <v>46198</v>
      </c>
    </row>
    <row r="4395" spans="1:6" x14ac:dyDescent="0.3">
      <c r="A4395" s="15" t="s">
        <v>43580</v>
      </c>
      <c r="B4395" s="15" t="s">
        <v>8731</v>
      </c>
      <c r="C4395" s="15" t="s">
        <v>8732</v>
      </c>
      <c r="D4395" s="15" t="s">
        <v>8733</v>
      </c>
      <c r="E4395" s="15">
        <v>64.441999999999993</v>
      </c>
      <c r="F4395" s="42">
        <v>46198</v>
      </c>
    </row>
    <row r="4396" spans="1:6" x14ac:dyDescent="0.3">
      <c r="A4396" s="15" t="s">
        <v>43579</v>
      </c>
      <c r="B4396" s="15" t="s">
        <v>8734</v>
      </c>
      <c r="C4396" s="15" t="s">
        <v>800</v>
      </c>
      <c r="D4396" s="15" t="s">
        <v>8735</v>
      </c>
      <c r="E4396" s="15">
        <v>151.745</v>
      </c>
      <c r="F4396" s="42">
        <v>46198</v>
      </c>
    </row>
    <row r="4397" spans="1:6" x14ac:dyDescent="0.3">
      <c r="A4397" s="15" t="s">
        <v>43578</v>
      </c>
      <c r="B4397" s="15" t="s">
        <v>8736</v>
      </c>
      <c r="C4397" s="15" t="s">
        <v>8737</v>
      </c>
      <c r="D4397" s="15" t="s">
        <v>8738</v>
      </c>
      <c r="E4397" s="15">
        <v>52.305999999999997</v>
      </c>
      <c r="F4397" s="42">
        <v>46198</v>
      </c>
    </row>
    <row r="4398" spans="1:6" x14ac:dyDescent="0.3">
      <c r="A4398" s="15" t="s">
        <v>33499</v>
      </c>
      <c r="B4398" s="15" t="s">
        <v>795</v>
      </c>
      <c r="C4398" s="15" t="s">
        <v>795</v>
      </c>
      <c r="D4398" s="15" t="s">
        <v>795</v>
      </c>
      <c r="F4398" s="42"/>
    </row>
    <row r="4399" spans="1:6" x14ac:dyDescent="0.3">
      <c r="A4399" s="15" t="s">
        <v>37742</v>
      </c>
      <c r="B4399" s="15" t="s">
        <v>795</v>
      </c>
      <c r="C4399" s="15" t="s">
        <v>795</v>
      </c>
      <c r="D4399" s="15" t="s">
        <v>795</v>
      </c>
      <c r="F4399" s="42"/>
    </row>
    <row r="4400" spans="1:6" x14ac:dyDescent="0.3">
      <c r="A4400" s="15" t="s">
        <v>33499</v>
      </c>
      <c r="B4400" s="15" t="s">
        <v>795</v>
      </c>
      <c r="C4400" s="15" t="s">
        <v>795</v>
      </c>
      <c r="D4400" s="15" t="s">
        <v>795</v>
      </c>
      <c r="F4400" s="42"/>
    </row>
    <row r="4401" spans="1:6" x14ac:dyDescent="0.3">
      <c r="A4401" s="15" t="s">
        <v>47105</v>
      </c>
      <c r="B4401" s="15" t="s">
        <v>47106</v>
      </c>
      <c r="C4401" s="15" t="s">
        <v>800</v>
      </c>
      <c r="D4401" s="15" t="s">
        <v>47107</v>
      </c>
      <c r="E4401" s="15">
        <v>10.3027</v>
      </c>
      <c r="F4401" s="42">
        <v>46198</v>
      </c>
    </row>
    <row r="4402" spans="1:6" x14ac:dyDescent="0.3">
      <c r="A4402" s="15" t="s">
        <v>47108</v>
      </c>
      <c r="B4402" s="15" t="s">
        <v>47109</v>
      </c>
      <c r="C4402" s="15" t="s">
        <v>47110</v>
      </c>
      <c r="D4402" s="15" t="s">
        <v>47111</v>
      </c>
      <c r="E4402" s="15">
        <v>10.2911</v>
      </c>
      <c r="F4402" s="42">
        <v>46198</v>
      </c>
    </row>
    <row r="4403" spans="1:6" x14ac:dyDescent="0.3">
      <c r="A4403" s="15" t="s">
        <v>47112</v>
      </c>
      <c r="B4403" s="15" t="s">
        <v>47113</v>
      </c>
      <c r="C4403" s="15" t="s">
        <v>800</v>
      </c>
      <c r="D4403" s="15" t="s">
        <v>47114</v>
      </c>
      <c r="E4403" s="15">
        <v>10.2911</v>
      </c>
      <c r="F4403" s="42">
        <v>46198</v>
      </c>
    </row>
    <row r="4404" spans="1:6" x14ac:dyDescent="0.3">
      <c r="A4404" s="15" t="s">
        <v>47115</v>
      </c>
      <c r="B4404" s="15" t="s">
        <v>47116</v>
      </c>
      <c r="C4404" s="15" t="s">
        <v>47117</v>
      </c>
      <c r="D4404" s="15" t="s">
        <v>47118</v>
      </c>
      <c r="E4404" s="15">
        <v>10.3027</v>
      </c>
      <c r="F4404" s="42">
        <v>46198</v>
      </c>
    </row>
    <row r="4405" spans="1:6" x14ac:dyDescent="0.3">
      <c r="A4405" s="15" t="s">
        <v>33499</v>
      </c>
      <c r="B4405" s="15" t="s">
        <v>795</v>
      </c>
      <c r="C4405" s="15" t="s">
        <v>795</v>
      </c>
      <c r="D4405" s="15" t="s">
        <v>795</v>
      </c>
      <c r="F4405" s="42"/>
    </row>
    <row r="4406" spans="1:6" x14ac:dyDescent="0.3">
      <c r="A4406" s="15" t="s">
        <v>33636</v>
      </c>
      <c r="B4406" s="15" t="s">
        <v>795</v>
      </c>
      <c r="C4406" s="15" t="s">
        <v>795</v>
      </c>
      <c r="D4406" s="15" t="s">
        <v>795</v>
      </c>
      <c r="F4406" s="42"/>
    </row>
    <row r="4407" spans="1:6" x14ac:dyDescent="0.3">
      <c r="A4407" s="15" t="s">
        <v>33499</v>
      </c>
      <c r="B4407" s="15" t="s">
        <v>795</v>
      </c>
      <c r="C4407" s="15" t="s">
        <v>795</v>
      </c>
      <c r="D4407" s="15" t="s">
        <v>795</v>
      </c>
      <c r="F4407" s="42"/>
    </row>
    <row r="4408" spans="1:6" x14ac:dyDescent="0.3">
      <c r="A4408" s="15" t="s">
        <v>43577</v>
      </c>
      <c r="B4408" s="15" t="s">
        <v>8739</v>
      </c>
      <c r="C4408" s="15" t="s">
        <v>800</v>
      </c>
      <c r="D4408" s="15" t="s">
        <v>8740</v>
      </c>
      <c r="E4408" s="15">
        <v>410.22280000000001</v>
      </c>
      <c r="F4408" s="42">
        <v>46198</v>
      </c>
    </row>
    <row r="4409" spans="1:6" x14ac:dyDescent="0.3">
      <c r="A4409" s="15" t="s">
        <v>43576</v>
      </c>
      <c r="B4409" s="15" t="s">
        <v>8741</v>
      </c>
      <c r="C4409" s="15" t="s">
        <v>8742</v>
      </c>
      <c r="D4409" s="15" t="s">
        <v>8743</v>
      </c>
      <c r="E4409" s="15">
        <v>86.574799999999996</v>
      </c>
      <c r="F4409" s="42">
        <v>46198</v>
      </c>
    </row>
    <row r="4410" spans="1:6" x14ac:dyDescent="0.3">
      <c r="A4410" s="15" t="s">
        <v>43575</v>
      </c>
      <c r="B4410" s="15" t="s">
        <v>8744</v>
      </c>
      <c r="C4410" s="15" t="s">
        <v>8745</v>
      </c>
      <c r="D4410" s="15" t="s">
        <v>8746</v>
      </c>
      <c r="E4410" s="15">
        <v>64.659800000000004</v>
      </c>
      <c r="F4410" s="42">
        <v>46198</v>
      </c>
    </row>
    <row r="4411" spans="1:6" x14ac:dyDescent="0.3">
      <c r="A4411" s="15" t="s">
        <v>43574</v>
      </c>
      <c r="B4411" s="15" t="s">
        <v>8747</v>
      </c>
      <c r="C4411" s="15" t="s">
        <v>800</v>
      </c>
      <c r="D4411" s="15" t="s">
        <v>8748</v>
      </c>
      <c r="E4411" s="15">
        <v>372.88240000000002</v>
      </c>
      <c r="F4411" s="42">
        <v>46198</v>
      </c>
    </row>
    <row r="4412" spans="1:6" x14ac:dyDescent="0.3">
      <c r="A4412" s="15" t="s">
        <v>33499</v>
      </c>
      <c r="B4412" s="15" t="s">
        <v>795</v>
      </c>
      <c r="C4412" s="15" t="s">
        <v>795</v>
      </c>
      <c r="D4412" s="15" t="s">
        <v>795</v>
      </c>
      <c r="F4412" s="42"/>
    </row>
    <row r="4413" spans="1:6" x14ac:dyDescent="0.3">
      <c r="A4413" s="15" t="s">
        <v>43573</v>
      </c>
      <c r="B4413" s="15" t="s">
        <v>795</v>
      </c>
      <c r="C4413" s="15" t="s">
        <v>795</v>
      </c>
      <c r="D4413" s="15" t="s">
        <v>795</v>
      </c>
      <c r="F4413" s="42"/>
    </row>
    <row r="4414" spans="1:6" x14ac:dyDescent="0.3">
      <c r="A4414" s="15" t="s">
        <v>33499</v>
      </c>
      <c r="B4414" s="15" t="s">
        <v>795</v>
      </c>
      <c r="C4414" s="15" t="s">
        <v>795</v>
      </c>
      <c r="D4414" s="15" t="s">
        <v>795</v>
      </c>
      <c r="F4414" s="42"/>
    </row>
    <row r="4415" spans="1:6" x14ac:dyDescent="0.3">
      <c r="A4415" s="15" t="s">
        <v>37122</v>
      </c>
      <c r="B4415" s="15" t="s">
        <v>795</v>
      </c>
      <c r="C4415" s="15" t="s">
        <v>795</v>
      </c>
      <c r="D4415" s="15" t="s">
        <v>795</v>
      </c>
      <c r="F4415" s="42"/>
    </row>
    <row r="4416" spans="1:6" x14ac:dyDescent="0.3">
      <c r="A4416" s="15" t="s">
        <v>33499</v>
      </c>
      <c r="B4416" s="15" t="s">
        <v>795</v>
      </c>
      <c r="C4416" s="15" t="s">
        <v>795</v>
      </c>
      <c r="D4416" s="15" t="s">
        <v>795</v>
      </c>
      <c r="F4416" s="42"/>
    </row>
    <row r="4417" spans="1:6" x14ac:dyDescent="0.3">
      <c r="A4417" s="15" t="s">
        <v>43572</v>
      </c>
      <c r="B4417" s="15" t="s">
        <v>8749</v>
      </c>
      <c r="C4417" s="15" t="s">
        <v>800</v>
      </c>
      <c r="D4417" s="15" t="s">
        <v>8750</v>
      </c>
      <c r="E4417" s="15">
        <v>495.13</v>
      </c>
      <c r="F4417" s="42">
        <v>46198</v>
      </c>
    </row>
    <row r="4418" spans="1:6" x14ac:dyDescent="0.3">
      <c r="A4418" s="15" t="s">
        <v>43571</v>
      </c>
      <c r="B4418" s="15" t="s">
        <v>8751</v>
      </c>
      <c r="C4418" s="15" t="s">
        <v>800</v>
      </c>
      <c r="D4418" s="15" t="s">
        <v>8752</v>
      </c>
      <c r="E4418" s="15">
        <v>447.33</v>
      </c>
      <c r="F4418" s="42">
        <v>46198</v>
      </c>
    </row>
    <row r="4419" spans="1:6" x14ac:dyDescent="0.3">
      <c r="A4419" s="15" t="s">
        <v>43570</v>
      </c>
      <c r="B4419" s="15" t="s">
        <v>8753</v>
      </c>
      <c r="C4419" s="15" t="s">
        <v>8754</v>
      </c>
      <c r="D4419" s="15" t="s">
        <v>8755</v>
      </c>
      <c r="E4419" s="15">
        <v>46.53</v>
      </c>
      <c r="F4419" s="42">
        <v>46198</v>
      </c>
    </row>
    <row r="4420" spans="1:6" x14ac:dyDescent="0.3">
      <c r="A4420" s="15" t="s">
        <v>43569</v>
      </c>
      <c r="B4420" s="15" t="s">
        <v>8756</v>
      </c>
      <c r="C4420" s="15" t="s">
        <v>8757</v>
      </c>
      <c r="D4420" s="15" t="s">
        <v>8758</v>
      </c>
      <c r="E4420" s="15">
        <v>25.45</v>
      </c>
      <c r="F4420" s="42">
        <v>46198</v>
      </c>
    </row>
    <row r="4421" spans="1:6" x14ac:dyDescent="0.3">
      <c r="A4421" s="15" t="s">
        <v>33499</v>
      </c>
      <c r="B4421" s="15" t="s">
        <v>795</v>
      </c>
      <c r="C4421" s="15" t="s">
        <v>795</v>
      </c>
      <c r="D4421" s="15" t="s">
        <v>795</v>
      </c>
      <c r="F4421" s="42"/>
    </row>
    <row r="4422" spans="1:6" x14ac:dyDescent="0.3">
      <c r="A4422" s="15" t="s">
        <v>37566</v>
      </c>
      <c r="B4422" s="15" t="s">
        <v>795</v>
      </c>
      <c r="C4422" s="15" t="s">
        <v>795</v>
      </c>
      <c r="D4422" s="15" t="s">
        <v>795</v>
      </c>
      <c r="F4422" s="42"/>
    </row>
    <row r="4423" spans="1:6" x14ac:dyDescent="0.3">
      <c r="A4423" s="15" t="s">
        <v>33499</v>
      </c>
      <c r="B4423" s="15" t="s">
        <v>795</v>
      </c>
      <c r="C4423" s="15" t="s">
        <v>795</v>
      </c>
      <c r="D4423" s="15" t="s">
        <v>795</v>
      </c>
      <c r="F4423" s="42"/>
    </row>
    <row r="4424" spans="1:6" x14ac:dyDescent="0.3">
      <c r="A4424" s="15" t="s">
        <v>43568</v>
      </c>
      <c r="B4424" s="15" t="s">
        <v>8759</v>
      </c>
      <c r="C4424" s="15" t="s">
        <v>800</v>
      </c>
      <c r="D4424" s="15" t="s">
        <v>8760</v>
      </c>
      <c r="E4424" s="15">
        <v>9.7879000000000005</v>
      </c>
      <c r="F4424" s="42">
        <v>46198</v>
      </c>
    </row>
    <row r="4425" spans="1:6" x14ac:dyDescent="0.3">
      <c r="A4425" s="15" t="s">
        <v>43567</v>
      </c>
      <c r="B4425" s="15" t="s">
        <v>8761</v>
      </c>
      <c r="C4425" s="15" t="s">
        <v>8762</v>
      </c>
      <c r="D4425" s="15" t="s">
        <v>8763</v>
      </c>
      <c r="E4425" s="15">
        <v>9.7879000000000005</v>
      </c>
      <c r="F4425" s="42">
        <v>46198</v>
      </c>
    </row>
    <row r="4426" spans="1:6" x14ac:dyDescent="0.3">
      <c r="A4426" s="15" t="s">
        <v>43566</v>
      </c>
      <c r="B4426" s="15" t="s">
        <v>8764</v>
      </c>
      <c r="C4426" s="15" t="s">
        <v>800</v>
      </c>
      <c r="D4426" s="15" t="s">
        <v>8765</v>
      </c>
      <c r="E4426" s="15">
        <v>9.5228999999999999</v>
      </c>
      <c r="F4426" s="42">
        <v>46198</v>
      </c>
    </row>
    <row r="4427" spans="1:6" x14ac:dyDescent="0.3">
      <c r="A4427" s="15" t="s">
        <v>43565</v>
      </c>
      <c r="B4427" s="15" t="s">
        <v>8766</v>
      </c>
      <c r="C4427" s="15" t="s">
        <v>8767</v>
      </c>
      <c r="D4427" s="15" t="s">
        <v>8768</v>
      </c>
      <c r="E4427" s="15">
        <v>9.5228999999999999</v>
      </c>
      <c r="F4427" s="42">
        <v>46198</v>
      </c>
    </row>
    <row r="4428" spans="1:6" x14ac:dyDescent="0.3">
      <c r="A4428" s="15" t="s">
        <v>33499</v>
      </c>
      <c r="B4428" s="15" t="s">
        <v>795</v>
      </c>
      <c r="C4428" s="15" t="s">
        <v>795</v>
      </c>
      <c r="D4428" s="15" t="s">
        <v>795</v>
      </c>
      <c r="F4428" s="42"/>
    </row>
    <row r="4429" spans="1:6" x14ac:dyDescent="0.3">
      <c r="A4429" s="15" t="s">
        <v>37044</v>
      </c>
      <c r="B4429" s="15" t="s">
        <v>795</v>
      </c>
      <c r="C4429" s="15" t="s">
        <v>795</v>
      </c>
      <c r="D4429" s="15" t="s">
        <v>795</v>
      </c>
      <c r="F4429" s="42"/>
    </row>
    <row r="4430" spans="1:6" x14ac:dyDescent="0.3">
      <c r="A4430" s="15" t="s">
        <v>33499</v>
      </c>
      <c r="B4430" s="15" t="s">
        <v>795</v>
      </c>
      <c r="C4430" s="15" t="s">
        <v>795</v>
      </c>
      <c r="D4430" s="15" t="s">
        <v>795</v>
      </c>
      <c r="F4430" s="42"/>
    </row>
    <row r="4431" spans="1:6" x14ac:dyDescent="0.3">
      <c r="A4431" s="15" t="s">
        <v>43564</v>
      </c>
      <c r="B4431" s="15" t="s">
        <v>8769</v>
      </c>
      <c r="C4431" s="15" t="s">
        <v>800</v>
      </c>
      <c r="D4431" s="15" t="s">
        <v>8770</v>
      </c>
      <c r="E4431" s="15">
        <v>149.74969999999999</v>
      </c>
      <c r="F4431" s="42">
        <v>46198</v>
      </c>
    </row>
    <row r="4432" spans="1:6" x14ac:dyDescent="0.3">
      <c r="A4432" s="15" t="s">
        <v>43563</v>
      </c>
      <c r="B4432" s="15" t="s">
        <v>8771</v>
      </c>
      <c r="C4432" s="15" t="s">
        <v>8772</v>
      </c>
      <c r="D4432" s="15" t="s">
        <v>8773</v>
      </c>
      <c r="E4432" s="15">
        <v>26.810099999999998</v>
      </c>
      <c r="F4432" s="42">
        <v>46198</v>
      </c>
    </row>
    <row r="4433" spans="1:6" x14ac:dyDescent="0.3">
      <c r="A4433" s="15" t="s">
        <v>43562</v>
      </c>
      <c r="B4433" s="15" t="s">
        <v>8774</v>
      </c>
      <c r="C4433" s="15" t="s">
        <v>8775</v>
      </c>
      <c r="D4433" s="15" t="s">
        <v>8776</v>
      </c>
      <c r="E4433" s="15">
        <v>23.561699999999998</v>
      </c>
      <c r="F4433" s="42">
        <v>46198</v>
      </c>
    </row>
    <row r="4434" spans="1:6" x14ac:dyDescent="0.3">
      <c r="A4434" s="15" t="s">
        <v>43561</v>
      </c>
      <c r="B4434" s="15" t="s">
        <v>8777</v>
      </c>
      <c r="C4434" s="15" t="s">
        <v>800</v>
      </c>
      <c r="D4434" s="15" t="s">
        <v>8778</v>
      </c>
      <c r="E4434" s="15">
        <v>135.77510000000001</v>
      </c>
      <c r="F4434" s="42">
        <v>46198</v>
      </c>
    </row>
    <row r="4435" spans="1:6" x14ac:dyDescent="0.3">
      <c r="A4435" s="15" t="s">
        <v>33499</v>
      </c>
      <c r="B4435" s="15" t="s">
        <v>795</v>
      </c>
      <c r="C4435" s="15" t="s">
        <v>795</v>
      </c>
      <c r="D4435" s="15" t="s">
        <v>795</v>
      </c>
      <c r="F4435" s="42"/>
    </row>
    <row r="4436" spans="1:6" x14ac:dyDescent="0.3">
      <c r="A4436" s="15" t="s">
        <v>37043</v>
      </c>
      <c r="B4436" s="15" t="s">
        <v>795</v>
      </c>
      <c r="C4436" s="15" t="s">
        <v>795</v>
      </c>
      <c r="D4436" s="15" t="s">
        <v>795</v>
      </c>
      <c r="F4436" s="42"/>
    </row>
    <row r="4437" spans="1:6" x14ac:dyDescent="0.3">
      <c r="A4437" s="15" t="s">
        <v>33499</v>
      </c>
      <c r="B4437" s="15" t="s">
        <v>795</v>
      </c>
      <c r="C4437" s="15" t="s">
        <v>795</v>
      </c>
      <c r="D4437" s="15" t="s">
        <v>795</v>
      </c>
      <c r="F4437" s="42"/>
    </row>
    <row r="4438" spans="1:6" x14ac:dyDescent="0.3">
      <c r="A4438" s="15" t="s">
        <v>43560</v>
      </c>
      <c r="B4438" s="15" t="s">
        <v>8779</v>
      </c>
      <c r="C4438" s="15" t="s">
        <v>800</v>
      </c>
      <c r="D4438" s="15" t="s">
        <v>8780</v>
      </c>
      <c r="E4438" s="15">
        <v>26.562000000000001</v>
      </c>
      <c r="F4438" s="42">
        <v>46198</v>
      </c>
    </row>
    <row r="4439" spans="1:6" x14ac:dyDescent="0.3">
      <c r="A4439" s="15" t="s">
        <v>43559</v>
      </c>
      <c r="B4439" s="15" t="s">
        <v>8781</v>
      </c>
      <c r="C4439" s="15" t="s">
        <v>800</v>
      </c>
      <c r="D4439" s="15" t="s">
        <v>8782</v>
      </c>
      <c r="E4439" s="15">
        <v>24.628</v>
      </c>
      <c r="F4439" s="42">
        <v>46198</v>
      </c>
    </row>
    <row r="4440" spans="1:6" x14ac:dyDescent="0.3">
      <c r="A4440" s="15" t="s">
        <v>43558</v>
      </c>
      <c r="B4440" s="15" t="s">
        <v>8783</v>
      </c>
      <c r="C4440" s="15" t="s">
        <v>8784</v>
      </c>
      <c r="D4440" s="15" t="s">
        <v>8785</v>
      </c>
      <c r="E4440" s="15">
        <v>21.524000000000001</v>
      </c>
      <c r="F4440" s="42">
        <v>46198</v>
      </c>
    </row>
    <row r="4441" spans="1:6" x14ac:dyDescent="0.3">
      <c r="A4441" s="15" t="s">
        <v>43557</v>
      </c>
      <c r="B4441" s="15" t="s">
        <v>8786</v>
      </c>
      <c r="C4441" s="15" t="s">
        <v>8787</v>
      </c>
      <c r="D4441" s="15" t="s">
        <v>8788</v>
      </c>
      <c r="E4441" s="15">
        <v>19.626999999999999</v>
      </c>
      <c r="F4441" s="42">
        <v>46198</v>
      </c>
    </row>
    <row r="4442" spans="1:6" x14ac:dyDescent="0.3">
      <c r="A4442" s="15" t="s">
        <v>33499</v>
      </c>
      <c r="B4442" s="15" t="s">
        <v>795</v>
      </c>
      <c r="C4442" s="15" t="s">
        <v>795</v>
      </c>
      <c r="D4442" s="15" t="s">
        <v>795</v>
      </c>
      <c r="F4442" s="42"/>
    </row>
    <row r="4443" spans="1:6" x14ac:dyDescent="0.3">
      <c r="A4443" s="15" t="s">
        <v>36764</v>
      </c>
      <c r="B4443" s="15" t="s">
        <v>795</v>
      </c>
      <c r="C4443" s="15" t="s">
        <v>795</v>
      </c>
      <c r="D4443" s="15" t="s">
        <v>795</v>
      </c>
      <c r="F4443" s="42"/>
    </row>
    <row r="4444" spans="1:6" x14ac:dyDescent="0.3">
      <c r="A4444" s="15" t="s">
        <v>33499</v>
      </c>
      <c r="B4444" s="15" t="s">
        <v>795</v>
      </c>
      <c r="C4444" s="15" t="s">
        <v>795</v>
      </c>
      <c r="D4444" s="15" t="s">
        <v>795</v>
      </c>
      <c r="F4444" s="42"/>
    </row>
    <row r="4445" spans="1:6" x14ac:dyDescent="0.3">
      <c r="A4445" s="15" t="s">
        <v>43556</v>
      </c>
      <c r="B4445" s="15" t="s">
        <v>8789</v>
      </c>
      <c r="C4445" s="15" t="s">
        <v>800</v>
      </c>
      <c r="D4445" s="15" t="s">
        <v>8790</v>
      </c>
      <c r="E4445" s="15">
        <v>60.15</v>
      </c>
      <c r="F4445" s="42">
        <v>46198</v>
      </c>
    </row>
    <row r="4446" spans="1:6" x14ac:dyDescent="0.3">
      <c r="A4446" s="15" t="s">
        <v>43555</v>
      </c>
      <c r="B4446" s="15" t="s">
        <v>8791</v>
      </c>
      <c r="C4446" s="15" t="s">
        <v>8792</v>
      </c>
      <c r="D4446" s="15" t="s">
        <v>8793</v>
      </c>
      <c r="E4446" s="15">
        <v>25.32</v>
      </c>
      <c r="F4446" s="42">
        <v>46198</v>
      </c>
    </row>
    <row r="4447" spans="1:6" x14ac:dyDescent="0.3">
      <c r="A4447" s="15" t="s">
        <v>43554</v>
      </c>
      <c r="B4447" s="15" t="s">
        <v>8794</v>
      </c>
      <c r="C4447" s="15" t="s">
        <v>800</v>
      </c>
      <c r="D4447" s="15" t="s">
        <v>8795</v>
      </c>
      <c r="E4447" s="15">
        <v>53.31</v>
      </c>
      <c r="F4447" s="42">
        <v>46198</v>
      </c>
    </row>
    <row r="4448" spans="1:6" x14ac:dyDescent="0.3">
      <c r="A4448" s="15" t="s">
        <v>43553</v>
      </c>
      <c r="B4448" s="15" t="s">
        <v>8796</v>
      </c>
      <c r="C4448" s="15" t="s">
        <v>8797</v>
      </c>
      <c r="D4448" s="15" t="s">
        <v>8798</v>
      </c>
      <c r="E4448" s="15">
        <v>18.95</v>
      </c>
      <c r="F4448" s="42">
        <v>46198</v>
      </c>
    </row>
    <row r="4449" spans="1:6" x14ac:dyDescent="0.3">
      <c r="A4449" s="15" t="s">
        <v>33499</v>
      </c>
      <c r="B4449" s="15" t="s">
        <v>795</v>
      </c>
      <c r="C4449" s="15" t="s">
        <v>795</v>
      </c>
      <c r="D4449" s="15" t="s">
        <v>795</v>
      </c>
      <c r="F4449" s="42"/>
    </row>
    <row r="4450" spans="1:6" x14ac:dyDescent="0.3">
      <c r="A4450" s="15" t="s">
        <v>139</v>
      </c>
      <c r="B4450" s="15" t="s">
        <v>795</v>
      </c>
      <c r="C4450" s="15" t="s">
        <v>795</v>
      </c>
      <c r="D4450" s="15" t="s">
        <v>795</v>
      </c>
      <c r="F4450" s="42"/>
    </row>
    <row r="4451" spans="1:6" x14ac:dyDescent="0.3">
      <c r="A4451" s="15" t="s">
        <v>33499</v>
      </c>
      <c r="B4451" s="15" t="s">
        <v>795</v>
      </c>
      <c r="C4451" s="15" t="s">
        <v>795</v>
      </c>
      <c r="D4451" s="15" t="s">
        <v>795</v>
      </c>
      <c r="F4451" s="42"/>
    </row>
    <row r="4452" spans="1:6" x14ac:dyDescent="0.3">
      <c r="A4452" s="15" t="s">
        <v>43552</v>
      </c>
      <c r="B4452" s="15" t="s">
        <v>8799</v>
      </c>
      <c r="C4452" s="15" t="s">
        <v>800</v>
      </c>
      <c r="D4452" s="15" t="s">
        <v>8800</v>
      </c>
      <c r="E4452" s="15">
        <v>9.7010000000000005</v>
      </c>
      <c r="F4452" s="42">
        <v>46198</v>
      </c>
    </row>
    <row r="4453" spans="1:6" x14ac:dyDescent="0.3">
      <c r="A4453" s="15" t="s">
        <v>43551</v>
      </c>
      <c r="B4453" s="15" t="s">
        <v>8801</v>
      </c>
      <c r="C4453" s="15" t="s">
        <v>8802</v>
      </c>
      <c r="D4453" s="15" t="s">
        <v>8803</v>
      </c>
      <c r="E4453" s="15">
        <v>9.7010000000000005</v>
      </c>
      <c r="F4453" s="42">
        <v>46198</v>
      </c>
    </row>
    <row r="4454" spans="1:6" x14ac:dyDescent="0.3">
      <c r="A4454" s="15" t="s">
        <v>43550</v>
      </c>
      <c r="B4454" s="15" t="s">
        <v>8804</v>
      </c>
      <c r="C4454" s="15" t="s">
        <v>800</v>
      </c>
      <c r="D4454" s="15" t="s">
        <v>8805</v>
      </c>
      <c r="E4454" s="15">
        <v>9.641</v>
      </c>
      <c r="F4454" s="42">
        <v>46198</v>
      </c>
    </row>
    <row r="4455" spans="1:6" x14ac:dyDescent="0.3">
      <c r="A4455" s="15" t="s">
        <v>43549</v>
      </c>
      <c r="B4455" s="15" t="s">
        <v>8806</v>
      </c>
      <c r="C4455" s="15" t="s">
        <v>8807</v>
      </c>
      <c r="D4455" s="15" t="s">
        <v>8808</v>
      </c>
      <c r="E4455" s="15">
        <v>9.641</v>
      </c>
      <c r="F4455" s="42">
        <v>46198</v>
      </c>
    </row>
    <row r="4456" spans="1:6" x14ac:dyDescent="0.3">
      <c r="A4456" s="15" t="s">
        <v>33499</v>
      </c>
      <c r="B4456" s="15" t="s">
        <v>795</v>
      </c>
      <c r="C4456" s="15" t="s">
        <v>795</v>
      </c>
      <c r="D4456" s="15" t="s">
        <v>795</v>
      </c>
      <c r="F4456" s="42"/>
    </row>
    <row r="4457" spans="1:6" x14ac:dyDescent="0.3">
      <c r="A4457" s="15" t="s">
        <v>37618</v>
      </c>
      <c r="B4457" s="15" t="s">
        <v>795</v>
      </c>
      <c r="C4457" s="15" t="s">
        <v>795</v>
      </c>
      <c r="D4457" s="15" t="s">
        <v>795</v>
      </c>
      <c r="F4457" s="42"/>
    </row>
    <row r="4458" spans="1:6" x14ac:dyDescent="0.3">
      <c r="A4458" s="15" t="s">
        <v>33499</v>
      </c>
      <c r="B4458" s="15" t="s">
        <v>795</v>
      </c>
      <c r="C4458" s="15" t="s">
        <v>795</v>
      </c>
      <c r="D4458" s="15" t="s">
        <v>795</v>
      </c>
      <c r="F4458" s="42"/>
    </row>
    <row r="4459" spans="1:6" x14ac:dyDescent="0.3">
      <c r="A4459" s="15" t="s">
        <v>43548</v>
      </c>
      <c r="B4459" s="15" t="s">
        <v>8809</v>
      </c>
      <c r="C4459" s="15" t="s">
        <v>800</v>
      </c>
      <c r="D4459" s="15" t="s">
        <v>8810</v>
      </c>
      <c r="E4459" s="15">
        <v>35.2744</v>
      </c>
      <c r="F4459" s="42">
        <v>46198</v>
      </c>
    </row>
    <row r="4460" spans="1:6" x14ac:dyDescent="0.3">
      <c r="A4460" s="15" t="s">
        <v>43547</v>
      </c>
      <c r="B4460" s="15" t="s">
        <v>8811</v>
      </c>
      <c r="C4460" s="15" t="s">
        <v>8812</v>
      </c>
      <c r="D4460" s="15" t="s">
        <v>8813</v>
      </c>
      <c r="E4460" s="15">
        <v>35.2562</v>
      </c>
      <c r="F4460" s="42">
        <v>46198</v>
      </c>
    </row>
    <row r="4461" spans="1:6" x14ac:dyDescent="0.3">
      <c r="A4461" s="15" t="s">
        <v>43546</v>
      </c>
      <c r="B4461" s="15" t="s">
        <v>8814</v>
      </c>
      <c r="C4461" s="15" t="s">
        <v>800</v>
      </c>
      <c r="D4461" s="15" t="s">
        <v>8815</v>
      </c>
      <c r="E4461" s="15">
        <v>32.048299999999998</v>
      </c>
      <c r="F4461" s="42">
        <v>46198</v>
      </c>
    </row>
    <row r="4462" spans="1:6" x14ac:dyDescent="0.3">
      <c r="A4462" s="15" t="s">
        <v>43545</v>
      </c>
      <c r="B4462" s="15" t="s">
        <v>8816</v>
      </c>
      <c r="C4462" s="15" t="s">
        <v>8817</v>
      </c>
      <c r="D4462" s="15" t="s">
        <v>8818</v>
      </c>
      <c r="E4462" s="15">
        <v>32.047600000000003</v>
      </c>
      <c r="F4462" s="42">
        <v>46198</v>
      </c>
    </row>
    <row r="4463" spans="1:6" x14ac:dyDescent="0.3">
      <c r="A4463" s="15" t="s">
        <v>33499</v>
      </c>
      <c r="B4463" s="15" t="s">
        <v>795</v>
      </c>
      <c r="C4463" s="15" t="s">
        <v>795</v>
      </c>
      <c r="D4463" s="15" t="s">
        <v>795</v>
      </c>
      <c r="F4463" s="42"/>
    </row>
    <row r="4464" spans="1:6" x14ac:dyDescent="0.3">
      <c r="A4464" s="15" t="s">
        <v>33636</v>
      </c>
      <c r="B4464" s="15" t="s">
        <v>795</v>
      </c>
      <c r="C4464" s="15" t="s">
        <v>795</v>
      </c>
      <c r="D4464" s="15" t="s">
        <v>795</v>
      </c>
      <c r="F4464" s="42"/>
    </row>
    <row r="4465" spans="1:6" x14ac:dyDescent="0.3">
      <c r="A4465" s="15" t="s">
        <v>33499</v>
      </c>
      <c r="B4465" s="15" t="s">
        <v>795</v>
      </c>
      <c r="C4465" s="15" t="s">
        <v>795</v>
      </c>
      <c r="D4465" s="15" t="s">
        <v>795</v>
      </c>
      <c r="F4465" s="42"/>
    </row>
    <row r="4466" spans="1:6" x14ac:dyDescent="0.3">
      <c r="A4466" s="15" t="s">
        <v>43544</v>
      </c>
      <c r="B4466" s="15" t="s">
        <v>8819</v>
      </c>
      <c r="C4466" s="15" t="s">
        <v>800</v>
      </c>
      <c r="D4466" s="15" t="s">
        <v>8820</v>
      </c>
      <c r="E4466" s="15">
        <v>15.8569</v>
      </c>
      <c r="F4466" s="42">
        <v>46198</v>
      </c>
    </row>
    <row r="4467" spans="1:6" x14ac:dyDescent="0.3">
      <c r="A4467" s="15" t="s">
        <v>43543</v>
      </c>
      <c r="B4467" s="15" t="s">
        <v>8821</v>
      </c>
      <c r="C4467" s="15" t="s">
        <v>8822</v>
      </c>
      <c r="D4467" s="15" t="s">
        <v>8823</v>
      </c>
      <c r="E4467" s="15">
        <v>15.858000000000001</v>
      </c>
      <c r="F4467" s="42">
        <v>46198</v>
      </c>
    </row>
    <row r="4468" spans="1:6" x14ac:dyDescent="0.3">
      <c r="A4468" s="15" t="s">
        <v>43542</v>
      </c>
      <c r="B4468" s="15" t="s">
        <v>8824</v>
      </c>
      <c r="C4468" s="15" t="s">
        <v>800</v>
      </c>
      <c r="D4468" s="15" t="s">
        <v>8825</v>
      </c>
      <c r="E4468" s="15">
        <v>15.335000000000001</v>
      </c>
      <c r="F4468" s="42">
        <v>46198</v>
      </c>
    </row>
    <row r="4469" spans="1:6" x14ac:dyDescent="0.3">
      <c r="A4469" s="15" t="s">
        <v>43541</v>
      </c>
      <c r="B4469" s="15" t="s">
        <v>8826</v>
      </c>
      <c r="C4469" s="15" t="s">
        <v>8827</v>
      </c>
      <c r="D4469" s="15" t="s">
        <v>8828</v>
      </c>
      <c r="E4469" s="15">
        <v>15.3348</v>
      </c>
      <c r="F4469" s="42">
        <v>46198</v>
      </c>
    </row>
    <row r="4470" spans="1:6" x14ac:dyDescent="0.3">
      <c r="A4470" s="15" t="s">
        <v>33499</v>
      </c>
      <c r="B4470" s="15" t="s">
        <v>795</v>
      </c>
      <c r="C4470" s="15" t="s">
        <v>795</v>
      </c>
      <c r="D4470" s="15" t="s">
        <v>795</v>
      </c>
      <c r="F4470" s="42"/>
    </row>
    <row r="4471" spans="1:6" x14ac:dyDescent="0.3">
      <c r="A4471" s="15" t="s">
        <v>37414</v>
      </c>
      <c r="B4471" s="15" t="s">
        <v>795</v>
      </c>
      <c r="C4471" s="15" t="s">
        <v>795</v>
      </c>
      <c r="D4471" s="15" t="s">
        <v>795</v>
      </c>
      <c r="F4471" s="42"/>
    </row>
    <row r="4472" spans="1:6" x14ac:dyDescent="0.3">
      <c r="A4472" s="15" t="s">
        <v>33499</v>
      </c>
      <c r="B4472" s="15" t="s">
        <v>795</v>
      </c>
      <c r="C4472" s="15" t="s">
        <v>795</v>
      </c>
      <c r="D4472" s="15" t="s">
        <v>795</v>
      </c>
      <c r="F4472" s="42"/>
    </row>
    <row r="4473" spans="1:6" x14ac:dyDescent="0.3">
      <c r="A4473" s="15" t="s">
        <v>43540</v>
      </c>
      <c r="B4473" s="15" t="s">
        <v>8829</v>
      </c>
      <c r="C4473" s="15" t="s">
        <v>800</v>
      </c>
      <c r="D4473" s="15" t="s">
        <v>8830</v>
      </c>
      <c r="E4473" s="15">
        <v>143.8091</v>
      </c>
      <c r="F4473" s="42">
        <v>46198</v>
      </c>
    </row>
    <row r="4474" spans="1:6" x14ac:dyDescent="0.3">
      <c r="A4474" s="15" t="s">
        <v>43539</v>
      </c>
      <c r="B4474" s="15" t="s">
        <v>8831</v>
      </c>
      <c r="C4474" s="15" t="s">
        <v>8832</v>
      </c>
      <c r="D4474" s="15" t="s">
        <v>8833</v>
      </c>
      <c r="E4474" s="15">
        <v>60.025300000000001</v>
      </c>
      <c r="F4474" s="42">
        <v>46198</v>
      </c>
    </row>
    <row r="4475" spans="1:6" x14ac:dyDescent="0.3">
      <c r="A4475" s="15" t="s">
        <v>43538</v>
      </c>
      <c r="B4475" s="15" t="s">
        <v>8834</v>
      </c>
      <c r="C4475" s="15" t="s">
        <v>8835</v>
      </c>
      <c r="D4475" s="15" t="s">
        <v>8836</v>
      </c>
      <c r="E4475" s="15">
        <v>35.4298</v>
      </c>
      <c r="F4475" s="42">
        <v>46198</v>
      </c>
    </row>
    <row r="4476" spans="1:6" x14ac:dyDescent="0.3">
      <c r="A4476" s="15" t="s">
        <v>43537</v>
      </c>
      <c r="B4476" s="15" t="s">
        <v>8837</v>
      </c>
      <c r="C4476" s="15" t="s">
        <v>800</v>
      </c>
      <c r="D4476" s="15" t="s">
        <v>8838</v>
      </c>
      <c r="E4476" s="15">
        <v>130.3013</v>
      </c>
      <c r="F4476" s="42">
        <v>46198</v>
      </c>
    </row>
    <row r="4477" spans="1:6" x14ac:dyDescent="0.3">
      <c r="A4477" s="15" t="s">
        <v>33499</v>
      </c>
      <c r="B4477" s="15" t="s">
        <v>795</v>
      </c>
      <c r="C4477" s="15" t="s">
        <v>795</v>
      </c>
      <c r="D4477" s="15" t="s">
        <v>795</v>
      </c>
      <c r="F4477" s="42"/>
    </row>
    <row r="4478" spans="1:6" x14ac:dyDescent="0.3">
      <c r="A4478" s="15" t="s">
        <v>33519</v>
      </c>
      <c r="B4478" s="15" t="s">
        <v>795</v>
      </c>
      <c r="C4478" s="15" t="s">
        <v>795</v>
      </c>
      <c r="D4478" s="15" t="s">
        <v>795</v>
      </c>
      <c r="F4478" s="42"/>
    </row>
    <row r="4479" spans="1:6" x14ac:dyDescent="0.3">
      <c r="A4479" s="15" t="s">
        <v>33499</v>
      </c>
      <c r="B4479" s="15" t="s">
        <v>795</v>
      </c>
      <c r="C4479" s="15" t="s">
        <v>795</v>
      </c>
      <c r="D4479" s="15" t="s">
        <v>795</v>
      </c>
      <c r="F4479" s="42"/>
    </row>
    <row r="4480" spans="1:6" x14ac:dyDescent="0.3">
      <c r="A4480" s="15" t="s">
        <v>43536</v>
      </c>
      <c r="B4480" s="15" t="s">
        <v>8839</v>
      </c>
      <c r="C4480" s="15" t="s">
        <v>800</v>
      </c>
      <c r="D4480" s="15" t="s">
        <v>8840</v>
      </c>
      <c r="E4480" s="15">
        <v>21.3581</v>
      </c>
      <c r="F4480" s="42">
        <v>46198</v>
      </c>
    </row>
    <row r="4481" spans="1:6" x14ac:dyDescent="0.3">
      <c r="A4481" s="15" t="s">
        <v>43535</v>
      </c>
      <c r="B4481" s="15" t="s">
        <v>8841</v>
      </c>
      <c r="C4481" s="15" t="s">
        <v>800</v>
      </c>
      <c r="D4481" s="15" t="s">
        <v>8842</v>
      </c>
      <c r="E4481" s="15">
        <v>21.3581</v>
      </c>
      <c r="F4481" s="42">
        <v>46198</v>
      </c>
    </row>
    <row r="4482" spans="1:6" x14ac:dyDescent="0.3">
      <c r="A4482" s="15" t="s">
        <v>43534</v>
      </c>
      <c r="B4482" s="15" t="s">
        <v>800</v>
      </c>
      <c r="C4482" s="15" t="s">
        <v>8843</v>
      </c>
      <c r="D4482" s="15" t="s">
        <v>8844</v>
      </c>
      <c r="E4482" s="15">
        <v>21.3581</v>
      </c>
      <c r="F4482" s="42">
        <v>46198</v>
      </c>
    </row>
    <row r="4483" spans="1:6" x14ac:dyDescent="0.3">
      <c r="A4483" s="15" t="s">
        <v>43533</v>
      </c>
      <c r="B4483" s="15" t="s">
        <v>8845</v>
      </c>
      <c r="C4483" s="15" t="s">
        <v>800</v>
      </c>
      <c r="D4483" s="15" t="s">
        <v>8846</v>
      </c>
      <c r="E4483" s="15">
        <v>19.548500000000001</v>
      </c>
      <c r="F4483" s="42">
        <v>46198</v>
      </c>
    </row>
    <row r="4484" spans="1:6" x14ac:dyDescent="0.3">
      <c r="A4484" s="15" t="s">
        <v>43532</v>
      </c>
      <c r="B4484" s="15" t="s">
        <v>8847</v>
      </c>
      <c r="C4484" s="15" t="s">
        <v>800</v>
      </c>
      <c r="D4484" s="15" t="s">
        <v>8848</v>
      </c>
      <c r="E4484" s="15">
        <v>19.548500000000001</v>
      </c>
      <c r="F4484" s="42">
        <v>46198</v>
      </c>
    </row>
    <row r="4485" spans="1:6" x14ac:dyDescent="0.3">
      <c r="A4485" s="15" t="s">
        <v>43531</v>
      </c>
      <c r="B4485" s="15" t="s">
        <v>800</v>
      </c>
      <c r="C4485" s="15" t="s">
        <v>8849</v>
      </c>
      <c r="D4485" s="15" t="s">
        <v>8850</v>
      </c>
      <c r="E4485" s="15">
        <v>19.548500000000001</v>
      </c>
      <c r="F4485" s="42">
        <v>46198</v>
      </c>
    </row>
    <row r="4486" spans="1:6" x14ac:dyDescent="0.3">
      <c r="A4486" s="15" t="s">
        <v>33499</v>
      </c>
      <c r="B4486" s="15" t="s">
        <v>795</v>
      </c>
      <c r="C4486" s="15" t="s">
        <v>795</v>
      </c>
      <c r="D4486" s="15" t="s">
        <v>795</v>
      </c>
      <c r="F4486" s="42"/>
    </row>
    <row r="4487" spans="1:6" x14ac:dyDescent="0.3">
      <c r="A4487" s="15" t="s">
        <v>33500</v>
      </c>
      <c r="B4487" s="15" t="s">
        <v>795</v>
      </c>
      <c r="C4487" s="15" t="s">
        <v>795</v>
      </c>
      <c r="D4487" s="15" t="s">
        <v>795</v>
      </c>
      <c r="F4487" s="42"/>
    </row>
    <row r="4488" spans="1:6" x14ac:dyDescent="0.3">
      <c r="A4488" s="15" t="s">
        <v>33499</v>
      </c>
      <c r="B4488" s="15" t="s">
        <v>795</v>
      </c>
      <c r="C4488" s="15" t="s">
        <v>795</v>
      </c>
      <c r="D4488" s="15" t="s">
        <v>795</v>
      </c>
      <c r="F4488" s="42"/>
    </row>
    <row r="4489" spans="1:6" x14ac:dyDescent="0.3">
      <c r="A4489" s="15" t="s">
        <v>43530</v>
      </c>
      <c r="B4489" s="15" t="s">
        <v>8851</v>
      </c>
      <c r="C4489" s="15" t="s">
        <v>8852</v>
      </c>
      <c r="D4489" s="15" t="s">
        <v>8853</v>
      </c>
      <c r="E4489" s="15">
        <v>40.019199999999998</v>
      </c>
      <c r="F4489" s="42">
        <v>46198</v>
      </c>
    </row>
    <row r="4490" spans="1:6" x14ac:dyDescent="0.3">
      <c r="A4490" s="15" t="s">
        <v>43529</v>
      </c>
      <c r="B4490" s="15" t="s">
        <v>8854</v>
      </c>
      <c r="C4490" s="15" t="s">
        <v>8855</v>
      </c>
      <c r="D4490" s="15" t="s">
        <v>8856</v>
      </c>
      <c r="E4490" s="15">
        <v>33.079000000000001</v>
      </c>
      <c r="F4490" s="42">
        <v>46198</v>
      </c>
    </row>
    <row r="4491" spans="1:6" x14ac:dyDescent="0.3">
      <c r="A4491" s="15" t="s">
        <v>43528</v>
      </c>
      <c r="B4491" s="15" t="s">
        <v>8857</v>
      </c>
      <c r="C4491" s="15" t="s">
        <v>800</v>
      </c>
      <c r="D4491" s="15" t="s">
        <v>8858</v>
      </c>
      <c r="E4491" s="15">
        <v>175.75219999999999</v>
      </c>
      <c r="F4491" s="42">
        <v>46198</v>
      </c>
    </row>
    <row r="4492" spans="1:6" x14ac:dyDescent="0.3">
      <c r="A4492" s="15" t="s">
        <v>43527</v>
      </c>
      <c r="B4492" s="15" t="s">
        <v>8859</v>
      </c>
      <c r="C4492" s="15" t="s">
        <v>800</v>
      </c>
      <c r="D4492" s="15" t="s">
        <v>8860</v>
      </c>
      <c r="E4492" s="15">
        <v>190.6618</v>
      </c>
      <c r="F4492" s="42">
        <v>46198</v>
      </c>
    </row>
    <row r="4493" spans="1:6" x14ac:dyDescent="0.3">
      <c r="A4493" s="15" t="s">
        <v>33499</v>
      </c>
      <c r="B4493" s="15" t="s">
        <v>795</v>
      </c>
      <c r="C4493" s="15" t="s">
        <v>795</v>
      </c>
      <c r="D4493" s="15" t="s">
        <v>795</v>
      </c>
      <c r="F4493" s="42"/>
    </row>
    <row r="4494" spans="1:6" x14ac:dyDescent="0.3">
      <c r="A4494" s="15" t="s">
        <v>43526</v>
      </c>
      <c r="B4494" s="15" t="s">
        <v>795</v>
      </c>
      <c r="C4494" s="15" t="s">
        <v>795</v>
      </c>
      <c r="D4494" s="15" t="s">
        <v>795</v>
      </c>
      <c r="F4494" s="42"/>
    </row>
    <row r="4495" spans="1:6" x14ac:dyDescent="0.3">
      <c r="A4495" s="15" t="s">
        <v>33499</v>
      </c>
      <c r="B4495" s="15" t="s">
        <v>795</v>
      </c>
      <c r="C4495" s="15" t="s">
        <v>795</v>
      </c>
      <c r="D4495" s="15" t="s">
        <v>795</v>
      </c>
      <c r="F4495" s="42"/>
    </row>
    <row r="4496" spans="1:6" x14ac:dyDescent="0.3">
      <c r="A4496" s="15" t="s">
        <v>37954</v>
      </c>
      <c r="B4496" s="15" t="s">
        <v>795</v>
      </c>
      <c r="C4496" s="15" t="s">
        <v>795</v>
      </c>
      <c r="D4496" s="15" t="s">
        <v>795</v>
      </c>
      <c r="F4496" s="42"/>
    </row>
    <row r="4497" spans="1:6" x14ac:dyDescent="0.3">
      <c r="A4497" s="15" t="s">
        <v>33499</v>
      </c>
      <c r="B4497" s="15" t="s">
        <v>795</v>
      </c>
      <c r="C4497" s="15" t="s">
        <v>795</v>
      </c>
      <c r="D4497" s="15" t="s">
        <v>795</v>
      </c>
      <c r="F4497" s="42"/>
    </row>
    <row r="4498" spans="1:6" x14ac:dyDescent="0.3">
      <c r="A4498" s="15" t="s">
        <v>43525</v>
      </c>
      <c r="B4498" s="15" t="s">
        <v>8861</v>
      </c>
      <c r="C4498" s="15" t="s">
        <v>800</v>
      </c>
      <c r="D4498" s="15" t="s">
        <v>8862</v>
      </c>
      <c r="E4498" s="15">
        <v>13.6516</v>
      </c>
      <c r="F4498" s="42">
        <v>46198</v>
      </c>
    </row>
    <row r="4499" spans="1:6" x14ac:dyDescent="0.3">
      <c r="A4499" s="15" t="s">
        <v>43524</v>
      </c>
      <c r="B4499" s="15" t="s">
        <v>8863</v>
      </c>
      <c r="C4499" s="15" t="s">
        <v>800</v>
      </c>
      <c r="D4499" s="15" t="s">
        <v>8864</v>
      </c>
      <c r="E4499" s="15">
        <v>13.6516</v>
      </c>
      <c r="F4499" s="42">
        <v>46198</v>
      </c>
    </row>
    <row r="4500" spans="1:6" x14ac:dyDescent="0.3">
      <c r="A4500" s="15" t="s">
        <v>43523</v>
      </c>
      <c r="B4500" s="15" t="s">
        <v>8865</v>
      </c>
      <c r="C4500" s="15" t="s">
        <v>800</v>
      </c>
      <c r="D4500" s="15" t="s">
        <v>8866</v>
      </c>
      <c r="E4500" s="15">
        <v>13.532999999999999</v>
      </c>
      <c r="F4500" s="42">
        <v>46198</v>
      </c>
    </row>
    <row r="4501" spans="1:6" x14ac:dyDescent="0.3">
      <c r="A4501" s="15" t="s">
        <v>43522</v>
      </c>
      <c r="B4501" s="15" t="s">
        <v>8867</v>
      </c>
      <c r="C4501" s="15" t="s">
        <v>800</v>
      </c>
      <c r="D4501" s="15" t="s">
        <v>8868</v>
      </c>
      <c r="E4501" s="15">
        <v>13.532999999999999</v>
      </c>
      <c r="F4501" s="42">
        <v>46198</v>
      </c>
    </row>
    <row r="4502" spans="1:6" x14ac:dyDescent="0.3">
      <c r="A4502" s="15" t="s">
        <v>33499</v>
      </c>
      <c r="B4502" s="15" t="s">
        <v>795</v>
      </c>
      <c r="C4502" s="15" t="s">
        <v>795</v>
      </c>
      <c r="D4502" s="15" t="s">
        <v>795</v>
      </c>
      <c r="F4502" s="42"/>
    </row>
    <row r="4503" spans="1:6" x14ac:dyDescent="0.3">
      <c r="A4503" s="15" t="s">
        <v>37122</v>
      </c>
      <c r="B4503" s="15" t="s">
        <v>795</v>
      </c>
      <c r="C4503" s="15" t="s">
        <v>795</v>
      </c>
      <c r="D4503" s="15" t="s">
        <v>795</v>
      </c>
      <c r="F4503" s="42"/>
    </row>
    <row r="4504" spans="1:6" x14ac:dyDescent="0.3">
      <c r="A4504" s="15" t="s">
        <v>33499</v>
      </c>
      <c r="B4504" s="15" t="s">
        <v>795</v>
      </c>
      <c r="C4504" s="15" t="s">
        <v>795</v>
      </c>
      <c r="D4504" s="15" t="s">
        <v>795</v>
      </c>
      <c r="F4504" s="42"/>
    </row>
    <row r="4505" spans="1:6" x14ac:dyDescent="0.3">
      <c r="A4505" s="15" t="s">
        <v>43521</v>
      </c>
      <c r="B4505" s="15" t="s">
        <v>8869</v>
      </c>
      <c r="C4505" s="15" t="s">
        <v>800</v>
      </c>
      <c r="D4505" s="15" t="s">
        <v>8870</v>
      </c>
      <c r="E4505" s="15">
        <v>68.790000000000006</v>
      </c>
      <c r="F4505" s="42">
        <v>46198</v>
      </c>
    </row>
    <row r="4506" spans="1:6" x14ac:dyDescent="0.3">
      <c r="A4506" s="15" t="s">
        <v>43520</v>
      </c>
      <c r="B4506" s="15" t="s">
        <v>8871</v>
      </c>
      <c r="C4506" s="15" t="s">
        <v>800</v>
      </c>
      <c r="D4506" s="15" t="s">
        <v>8872</v>
      </c>
      <c r="E4506" s="15">
        <v>61.22</v>
      </c>
      <c r="F4506" s="42">
        <v>46198</v>
      </c>
    </row>
    <row r="4507" spans="1:6" x14ac:dyDescent="0.3">
      <c r="A4507" s="15" t="s">
        <v>43519</v>
      </c>
      <c r="B4507" s="15" t="s">
        <v>8873</v>
      </c>
      <c r="C4507" s="15" t="s">
        <v>8874</v>
      </c>
      <c r="D4507" s="15" t="s">
        <v>8875</v>
      </c>
      <c r="E4507" s="15">
        <v>432.31</v>
      </c>
      <c r="F4507" s="42">
        <v>46198</v>
      </c>
    </row>
    <row r="4508" spans="1:6" x14ac:dyDescent="0.3">
      <c r="A4508" s="15" t="s">
        <v>43518</v>
      </c>
      <c r="B4508" s="15" t="s">
        <v>8876</v>
      </c>
      <c r="C4508" s="15" t="s">
        <v>8877</v>
      </c>
      <c r="D4508" s="15" t="s">
        <v>8878</v>
      </c>
      <c r="E4508" s="15">
        <v>187.83</v>
      </c>
      <c r="F4508" s="42">
        <v>46198</v>
      </c>
    </row>
    <row r="4509" spans="1:6" x14ac:dyDescent="0.3">
      <c r="A4509" s="15" t="s">
        <v>33499</v>
      </c>
      <c r="B4509" s="15" t="s">
        <v>795</v>
      </c>
      <c r="C4509" s="15" t="s">
        <v>795</v>
      </c>
      <c r="D4509" s="15" t="s">
        <v>795</v>
      </c>
      <c r="F4509" s="42"/>
    </row>
    <row r="4510" spans="1:6" x14ac:dyDescent="0.3">
      <c r="A4510" s="15" t="s">
        <v>37087</v>
      </c>
      <c r="B4510" s="15" t="s">
        <v>795</v>
      </c>
      <c r="C4510" s="15" t="s">
        <v>795</v>
      </c>
      <c r="D4510" s="15" t="s">
        <v>795</v>
      </c>
      <c r="F4510" s="42"/>
    </row>
    <row r="4511" spans="1:6" x14ac:dyDescent="0.3">
      <c r="A4511" s="15" t="s">
        <v>33499</v>
      </c>
      <c r="B4511" s="15" t="s">
        <v>795</v>
      </c>
      <c r="C4511" s="15" t="s">
        <v>795</v>
      </c>
      <c r="D4511" s="15" t="s">
        <v>795</v>
      </c>
      <c r="F4511" s="42"/>
    </row>
    <row r="4512" spans="1:6" x14ac:dyDescent="0.3">
      <c r="A4512" s="15" t="s">
        <v>43517</v>
      </c>
      <c r="B4512" s="15" t="s">
        <v>8879</v>
      </c>
      <c r="C4512" s="15" t="s">
        <v>800</v>
      </c>
      <c r="D4512" s="15" t="s">
        <v>8880</v>
      </c>
      <c r="E4512" s="15">
        <v>108.3758</v>
      </c>
      <c r="F4512" s="42">
        <v>46198</v>
      </c>
    </row>
    <row r="4513" spans="1:6" x14ac:dyDescent="0.3">
      <c r="A4513" s="15" t="s">
        <v>43516</v>
      </c>
      <c r="B4513" s="15" t="s">
        <v>8881</v>
      </c>
      <c r="C4513" s="15" t="s">
        <v>8882</v>
      </c>
      <c r="D4513" s="15" t="s">
        <v>8883</v>
      </c>
      <c r="E4513" s="15">
        <v>50.146000000000001</v>
      </c>
      <c r="F4513" s="42">
        <v>46198</v>
      </c>
    </row>
    <row r="4514" spans="1:6" x14ac:dyDescent="0.3">
      <c r="A4514" s="15" t="s">
        <v>43515</v>
      </c>
      <c r="B4514" s="15" t="s">
        <v>8884</v>
      </c>
      <c r="C4514" s="15" t="s">
        <v>800</v>
      </c>
      <c r="D4514" s="15" t="s">
        <v>8885</v>
      </c>
      <c r="E4514" s="15">
        <v>95.313599999999994</v>
      </c>
      <c r="F4514" s="42">
        <v>46198</v>
      </c>
    </row>
    <row r="4515" spans="1:6" x14ac:dyDescent="0.3">
      <c r="A4515" s="15" t="s">
        <v>43514</v>
      </c>
      <c r="B4515" s="15" t="s">
        <v>8886</v>
      </c>
      <c r="C4515" s="15" t="s">
        <v>8887</v>
      </c>
      <c r="D4515" s="15" t="s">
        <v>8888</v>
      </c>
      <c r="E4515" s="15">
        <v>23.3368</v>
      </c>
      <c r="F4515" s="42">
        <v>46198</v>
      </c>
    </row>
    <row r="4516" spans="1:6" x14ac:dyDescent="0.3">
      <c r="A4516" s="15" t="s">
        <v>33499</v>
      </c>
      <c r="B4516" s="15" t="s">
        <v>795</v>
      </c>
      <c r="C4516" s="15" t="s">
        <v>795</v>
      </c>
      <c r="D4516" s="15" t="s">
        <v>795</v>
      </c>
      <c r="F4516" s="42"/>
    </row>
    <row r="4517" spans="1:6" x14ac:dyDescent="0.3">
      <c r="A4517" s="15" t="s">
        <v>37923</v>
      </c>
      <c r="B4517" s="15" t="s">
        <v>795</v>
      </c>
      <c r="C4517" s="15" t="s">
        <v>795</v>
      </c>
      <c r="D4517" s="15" t="s">
        <v>795</v>
      </c>
      <c r="F4517" s="42"/>
    </row>
    <row r="4518" spans="1:6" x14ac:dyDescent="0.3">
      <c r="A4518" s="15" t="s">
        <v>33499</v>
      </c>
      <c r="B4518" s="15" t="s">
        <v>795</v>
      </c>
      <c r="C4518" s="15" t="s">
        <v>795</v>
      </c>
      <c r="D4518" s="15" t="s">
        <v>795</v>
      </c>
      <c r="F4518" s="42"/>
    </row>
    <row r="4519" spans="1:6" x14ac:dyDescent="0.3">
      <c r="A4519" s="15" t="s">
        <v>43513</v>
      </c>
      <c r="B4519" s="15" t="s">
        <v>8889</v>
      </c>
      <c r="C4519" s="15" t="s">
        <v>800</v>
      </c>
      <c r="D4519" s="15" t="s">
        <v>8890</v>
      </c>
      <c r="E4519" s="15">
        <v>11.773999999999999</v>
      </c>
      <c r="F4519" s="42">
        <v>46198</v>
      </c>
    </row>
    <row r="4520" spans="1:6" x14ac:dyDescent="0.3">
      <c r="A4520" s="15" t="s">
        <v>43512</v>
      </c>
      <c r="B4520" s="15" t="s">
        <v>8891</v>
      </c>
      <c r="C4520" s="15" t="s">
        <v>800</v>
      </c>
      <c r="D4520" s="15" t="s">
        <v>8892</v>
      </c>
      <c r="E4520" s="15">
        <v>11.773999999999999</v>
      </c>
      <c r="F4520" s="42">
        <v>46198</v>
      </c>
    </row>
    <row r="4521" spans="1:6" x14ac:dyDescent="0.3">
      <c r="A4521" s="15" t="s">
        <v>43511</v>
      </c>
      <c r="B4521" s="15" t="s">
        <v>8893</v>
      </c>
      <c r="C4521" s="15" t="s">
        <v>800</v>
      </c>
      <c r="D4521" s="15" t="s">
        <v>8894</v>
      </c>
      <c r="E4521" s="15">
        <v>11.488</v>
      </c>
      <c r="F4521" s="42">
        <v>46198</v>
      </c>
    </row>
    <row r="4522" spans="1:6" x14ac:dyDescent="0.3">
      <c r="A4522" s="15" t="s">
        <v>43510</v>
      </c>
      <c r="B4522" s="15" t="s">
        <v>8895</v>
      </c>
      <c r="C4522" s="15" t="s">
        <v>800</v>
      </c>
      <c r="D4522" s="15" t="s">
        <v>8896</v>
      </c>
      <c r="E4522" s="15">
        <v>11.488</v>
      </c>
      <c r="F4522" s="42">
        <v>46198</v>
      </c>
    </row>
    <row r="4523" spans="1:6" x14ac:dyDescent="0.3">
      <c r="A4523" s="15" t="s">
        <v>33499</v>
      </c>
      <c r="B4523" s="15" t="s">
        <v>795</v>
      </c>
      <c r="C4523" s="15" t="s">
        <v>795</v>
      </c>
      <c r="D4523" s="15" t="s">
        <v>795</v>
      </c>
      <c r="F4523" s="42"/>
    </row>
    <row r="4524" spans="1:6" x14ac:dyDescent="0.3">
      <c r="A4524" s="15" t="s">
        <v>37073</v>
      </c>
      <c r="B4524" s="15" t="s">
        <v>795</v>
      </c>
      <c r="C4524" s="15" t="s">
        <v>795</v>
      </c>
      <c r="D4524" s="15" t="s">
        <v>795</v>
      </c>
      <c r="F4524" s="42"/>
    </row>
    <row r="4525" spans="1:6" x14ac:dyDescent="0.3">
      <c r="A4525" s="15" t="s">
        <v>33499</v>
      </c>
      <c r="B4525" s="15" t="s">
        <v>795</v>
      </c>
      <c r="C4525" s="15" t="s">
        <v>795</v>
      </c>
      <c r="D4525" s="15" t="s">
        <v>795</v>
      </c>
      <c r="F4525" s="42"/>
    </row>
    <row r="4526" spans="1:6" x14ac:dyDescent="0.3">
      <c r="A4526" s="15" t="s">
        <v>43509</v>
      </c>
      <c r="B4526" s="15" t="s">
        <v>8897</v>
      </c>
      <c r="C4526" s="15" t="s">
        <v>800</v>
      </c>
      <c r="D4526" s="15" t="s">
        <v>8898</v>
      </c>
      <c r="E4526" s="15">
        <v>179.048</v>
      </c>
      <c r="F4526" s="42">
        <v>46198</v>
      </c>
    </row>
    <row r="4527" spans="1:6" x14ac:dyDescent="0.3">
      <c r="A4527" s="15" t="s">
        <v>43508</v>
      </c>
      <c r="B4527" s="15" t="s">
        <v>8899</v>
      </c>
      <c r="C4527" s="15" t="s">
        <v>8900</v>
      </c>
      <c r="D4527" s="15" t="s">
        <v>8901</v>
      </c>
      <c r="E4527" s="15">
        <v>41.433999999999997</v>
      </c>
      <c r="F4527" s="42">
        <v>46198</v>
      </c>
    </row>
    <row r="4528" spans="1:6" x14ac:dyDescent="0.3">
      <c r="A4528" s="15" t="s">
        <v>43507</v>
      </c>
      <c r="B4528" s="15" t="s">
        <v>8902</v>
      </c>
      <c r="C4528" s="15" t="s">
        <v>800</v>
      </c>
      <c r="D4528" s="15" t="s">
        <v>8903</v>
      </c>
      <c r="E4528" s="15">
        <v>154.30199999999999</v>
      </c>
      <c r="F4528" s="42">
        <v>46198</v>
      </c>
    </row>
    <row r="4529" spans="1:6" x14ac:dyDescent="0.3">
      <c r="A4529" s="15" t="s">
        <v>43506</v>
      </c>
      <c r="B4529" s="15" t="s">
        <v>8904</v>
      </c>
      <c r="C4529" s="15" t="s">
        <v>8905</v>
      </c>
      <c r="D4529" s="15" t="s">
        <v>8906</v>
      </c>
      <c r="E4529" s="15">
        <v>31.164999999999999</v>
      </c>
      <c r="F4529" s="42">
        <v>46198</v>
      </c>
    </row>
    <row r="4530" spans="1:6" x14ac:dyDescent="0.3">
      <c r="A4530" s="15" t="s">
        <v>33499</v>
      </c>
      <c r="B4530" s="15" t="s">
        <v>795</v>
      </c>
      <c r="C4530" s="15" t="s">
        <v>795</v>
      </c>
      <c r="D4530" s="15" t="s">
        <v>795</v>
      </c>
      <c r="F4530" s="42"/>
    </row>
    <row r="4531" spans="1:6" x14ac:dyDescent="0.3">
      <c r="A4531" s="15" t="s">
        <v>37447</v>
      </c>
      <c r="B4531" s="15" t="s">
        <v>795</v>
      </c>
      <c r="C4531" s="15" t="s">
        <v>795</v>
      </c>
      <c r="D4531" s="15" t="s">
        <v>795</v>
      </c>
      <c r="F4531" s="42"/>
    </row>
    <row r="4532" spans="1:6" x14ac:dyDescent="0.3">
      <c r="A4532" s="15" t="s">
        <v>33499</v>
      </c>
      <c r="B4532" s="15" t="s">
        <v>795</v>
      </c>
      <c r="C4532" s="15" t="s">
        <v>795</v>
      </c>
      <c r="D4532" s="15" t="s">
        <v>795</v>
      </c>
      <c r="F4532" s="42"/>
    </row>
    <row r="4533" spans="1:6" x14ac:dyDescent="0.3">
      <c r="A4533" s="15" t="s">
        <v>43505</v>
      </c>
      <c r="B4533" s="15" t="s">
        <v>8907</v>
      </c>
      <c r="C4533" s="15" t="s">
        <v>800</v>
      </c>
      <c r="D4533" s="15" t="s">
        <v>8908</v>
      </c>
      <c r="E4533" s="15">
        <v>193.82</v>
      </c>
      <c r="F4533" s="42">
        <v>46198</v>
      </c>
    </row>
    <row r="4534" spans="1:6" x14ac:dyDescent="0.3">
      <c r="A4534" s="15" t="s">
        <v>43504</v>
      </c>
      <c r="B4534" s="15" t="s">
        <v>8909</v>
      </c>
      <c r="C4534" s="15" t="s">
        <v>8910</v>
      </c>
      <c r="D4534" s="15" t="s">
        <v>8911</v>
      </c>
      <c r="E4534" s="15">
        <v>77.400000000000006</v>
      </c>
      <c r="F4534" s="42">
        <v>46198</v>
      </c>
    </row>
    <row r="4535" spans="1:6" x14ac:dyDescent="0.3">
      <c r="A4535" s="15" t="s">
        <v>43503</v>
      </c>
      <c r="B4535" s="15" t="s">
        <v>8912</v>
      </c>
      <c r="C4535" s="15" t="s">
        <v>800</v>
      </c>
      <c r="D4535" s="15" t="s">
        <v>8913</v>
      </c>
      <c r="E4535" s="15">
        <v>178.44</v>
      </c>
      <c r="F4535" s="42">
        <v>46198</v>
      </c>
    </row>
    <row r="4536" spans="1:6" x14ac:dyDescent="0.3">
      <c r="A4536" s="15" t="s">
        <v>43502</v>
      </c>
      <c r="B4536" s="15" t="s">
        <v>8914</v>
      </c>
      <c r="C4536" s="15" t="s">
        <v>8915</v>
      </c>
      <c r="D4536" s="15" t="s">
        <v>8916</v>
      </c>
      <c r="E4536" s="15">
        <v>29.62</v>
      </c>
      <c r="F4536" s="42">
        <v>46198</v>
      </c>
    </row>
    <row r="4537" spans="1:6" x14ac:dyDescent="0.3">
      <c r="A4537" s="15" t="s">
        <v>43501</v>
      </c>
      <c r="B4537" s="15" t="s">
        <v>8917</v>
      </c>
      <c r="C4537" s="15" t="s">
        <v>800</v>
      </c>
      <c r="D4537" s="15" t="s">
        <v>8918</v>
      </c>
      <c r="E4537" s="15">
        <v>164.54</v>
      </c>
      <c r="F4537" s="42">
        <v>46198</v>
      </c>
    </row>
    <row r="4538" spans="1:6" x14ac:dyDescent="0.3">
      <c r="A4538" s="15" t="s">
        <v>43500</v>
      </c>
      <c r="B4538" s="15" t="s">
        <v>8919</v>
      </c>
      <c r="C4538" s="15" t="s">
        <v>8920</v>
      </c>
      <c r="D4538" s="15" t="s">
        <v>8921</v>
      </c>
      <c r="E4538" s="15">
        <v>31.7</v>
      </c>
      <c r="F4538" s="42">
        <v>46198</v>
      </c>
    </row>
    <row r="4539" spans="1:6" x14ac:dyDescent="0.3">
      <c r="A4539" s="15" t="s">
        <v>33499</v>
      </c>
      <c r="B4539" s="15" t="s">
        <v>795</v>
      </c>
      <c r="C4539" s="15" t="s">
        <v>795</v>
      </c>
      <c r="D4539" s="15" t="s">
        <v>795</v>
      </c>
      <c r="F4539" s="42"/>
    </row>
    <row r="4540" spans="1:6" x14ac:dyDescent="0.3">
      <c r="A4540" s="15" t="s">
        <v>37566</v>
      </c>
      <c r="B4540" s="15" t="s">
        <v>795</v>
      </c>
      <c r="C4540" s="15" t="s">
        <v>795</v>
      </c>
      <c r="D4540" s="15" t="s">
        <v>795</v>
      </c>
      <c r="F4540" s="42"/>
    </row>
    <row r="4541" spans="1:6" x14ac:dyDescent="0.3">
      <c r="A4541" s="15" t="s">
        <v>33499</v>
      </c>
      <c r="B4541" s="15" t="s">
        <v>795</v>
      </c>
      <c r="C4541" s="15" t="s">
        <v>795</v>
      </c>
      <c r="D4541" s="15" t="s">
        <v>795</v>
      </c>
      <c r="F4541" s="42"/>
    </row>
    <row r="4542" spans="1:6" x14ac:dyDescent="0.3">
      <c r="A4542" s="15" t="s">
        <v>43499</v>
      </c>
      <c r="B4542" s="15" t="s">
        <v>8922</v>
      </c>
      <c r="C4542" s="15" t="s">
        <v>800</v>
      </c>
      <c r="D4542" s="15" t="s">
        <v>8923</v>
      </c>
      <c r="E4542" s="15">
        <v>111.79559999999999</v>
      </c>
      <c r="F4542" s="42">
        <v>46198</v>
      </c>
    </row>
    <row r="4543" spans="1:6" x14ac:dyDescent="0.3">
      <c r="A4543" s="15" t="s">
        <v>43498</v>
      </c>
      <c r="B4543" s="15" t="s">
        <v>8924</v>
      </c>
      <c r="C4543" s="15" t="s">
        <v>8925</v>
      </c>
      <c r="D4543" s="15" t="s">
        <v>8926</v>
      </c>
      <c r="E4543" s="15">
        <v>27.662800000000001</v>
      </c>
      <c r="F4543" s="42">
        <v>46198</v>
      </c>
    </row>
    <row r="4544" spans="1:6" x14ac:dyDescent="0.3">
      <c r="A4544" s="15" t="s">
        <v>43497</v>
      </c>
      <c r="B4544" s="15" t="s">
        <v>8927</v>
      </c>
      <c r="C4544" s="15" t="s">
        <v>800</v>
      </c>
      <c r="D4544" s="15" t="s">
        <v>8928</v>
      </c>
      <c r="E4544" s="15">
        <v>98.069800000000001</v>
      </c>
      <c r="F4544" s="42">
        <v>46198</v>
      </c>
    </row>
    <row r="4545" spans="1:6" x14ac:dyDescent="0.3">
      <c r="A4545" s="15" t="s">
        <v>43496</v>
      </c>
      <c r="B4545" s="15" t="s">
        <v>8929</v>
      </c>
      <c r="C4545" s="15" t="s">
        <v>8930</v>
      </c>
      <c r="D4545" s="15" t="s">
        <v>8931</v>
      </c>
      <c r="E4545" s="15">
        <v>21.555900000000001</v>
      </c>
      <c r="F4545" s="42">
        <v>46198</v>
      </c>
    </row>
    <row r="4546" spans="1:6" x14ac:dyDescent="0.3">
      <c r="A4546" s="15" t="s">
        <v>33499</v>
      </c>
      <c r="B4546" s="15" t="s">
        <v>795</v>
      </c>
      <c r="C4546" s="15" t="s">
        <v>795</v>
      </c>
      <c r="D4546" s="15" t="s">
        <v>795</v>
      </c>
      <c r="F4546" s="42"/>
    </row>
    <row r="4547" spans="1:6" x14ac:dyDescent="0.3">
      <c r="A4547" s="15" t="s">
        <v>40284</v>
      </c>
      <c r="B4547" s="15" t="s">
        <v>795</v>
      </c>
      <c r="C4547" s="15" t="s">
        <v>795</v>
      </c>
      <c r="D4547" s="15" t="s">
        <v>795</v>
      </c>
      <c r="F4547" s="42"/>
    </row>
    <row r="4548" spans="1:6" x14ac:dyDescent="0.3">
      <c r="A4548" s="15" t="s">
        <v>33499</v>
      </c>
      <c r="B4548" s="15" t="s">
        <v>795</v>
      </c>
      <c r="C4548" s="15" t="s">
        <v>795</v>
      </c>
      <c r="D4548" s="15" t="s">
        <v>795</v>
      </c>
      <c r="F4548" s="42"/>
    </row>
    <row r="4549" spans="1:6" x14ac:dyDescent="0.3">
      <c r="A4549" s="15" t="s">
        <v>43495</v>
      </c>
      <c r="B4549" s="15" t="s">
        <v>8932</v>
      </c>
      <c r="C4549" s="15" t="s">
        <v>800</v>
      </c>
      <c r="D4549" s="15" t="s">
        <v>8933</v>
      </c>
      <c r="E4549" s="15">
        <v>200.34</v>
      </c>
      <c r="F4549" s="42">
        <v>46198</v>
      </c>
    </row>
    <row r="4550" spans="1:6" x14ac:dyDescent="0.3">
      <c r="A4550" s="15" t="s">
        <v>43494</v>
      </c>
      <c r="B4550" s="15" t="s">
        <v>8934</v>
      </c>
      <c r="C4550" s="15" t="s">
        <v>8935</v>
      </c>
      <c r="D4550" s="15" t="s">
        <v>8936</v>
      </c>
      <c r="E4550" s="15">
        <v>77.680000000000007</v>
      </c>
      <c r="F4550" s="42">
        <v>46198</v>
      </c>
    </row>
    <row r="4551" spans="1:6" x14ac:dyDescent="0.3">
      <c r="A4551" s="15" t="s">
        <v>43493</v>
      </c>
      <c r="B4551" s="15" t="s">
        <v>8937</v>
      </c>
      <c r="C4551" s="15" t="s">
        <v>800</v>
      </c>
      <c r="D4551" s="15" t="s">
        <v>8938</v>
      </c>
      <c r="E4551" s="15">
        <v>177.39</v>
      </c>
      <c r="F4551" s="42">
        <v>46198</v>
      </c>
    </row>
    <row r="4552" spans="1:6" x14ac:dyDescent="0.3">
      <c r="A4552" s="15" t="s">
        <v>43492</v>
      </c>
      <c r="B4552" s="15" t="s">
        <v>8939</v>
      </c>
      <c r="C4552" s="15" t="s">
        <v>8940</v>
      </c>
      <c r="D4552" s="15" t="s">
        <v>8941</v>
      </c>
      <c r="E4552" s="15">
        <v>47.44</v>
      </c>
      <c r="F4552" s="42">
        <v>46198</v>
      </c>
    </row>
    <row r="4553" spans="1:6" x14ac:dyDescent="0.3">
      <c r="A4553" s="15" t="s">
        <v>33499</v>
      </c>
      <c r="B4553" s="15" t="s">
        <v>795</v>
      </c>
      <c r="C4553" s="15" t="s">
        <v>795</v>
      </c>
      <c r="D4553" s="15" t="s">
        <v>795</v>
      </c>
      <c r="F4553" s="42"/>
    </row>
    <row r="4554" spans="1:6" x14ac:dyDescent="0.3">
      <c r="A4554" s="15" t="s">
        <v>37061</v>
      </c>
      <c r="B4554" s="15" t="s">
        <v>795</v>
      </c>
      <c r="C4554" s="15" t="s">
        <v>795</v>
      </c>
      <c r="D4554" s="15" t="s">
        <v>795</v>
      </c>
      <c r="F4554" s="42"/>
    </row>
    <row r="4555" spans="1:6" x14ac:dyDescent="0.3">
      <c r="A4555" s="15" t="s">
        <v>33499</v>
      </c>
      <c r="B4555" s="15" t="s">
        <v>795</v>
      </c>
      <c r="C4555" s="15" t="s">
        <v>795</v>
      </c>
      <c r="D4555" s="15" t="s">
        <v>795</v>
      </c>
      <c r="F4555" s="42"/>
    </row>
    <row r="4556" spans="1:6" x14ac:dyDescent="0.3">
      <c r="A4556" s="15" t="s">
        <v>43491</v>
      </c>
      <c r="B4556" s="15" t="s">
        <v>8942</v>
      </c>
      <c r="C4556" s="15" t="s">
        <v>800</v>
      </c>
      <c r="D4556" s="15" t="s">
        <v>8943</v>
      </c>
      <c r="E4556" s="15">
        <v>156.05099999999999</v>
      </c>
      <c r="F4556" s="42">
        <v>46198</v>
      </c>
    </row>
    <row r="4557" spans="1:6" x14ac:dyDescent="0.3">
      <c r="A4557" s="15" t="s">
        <v>43490</v>
      </c>
      <c r="B4557" s="15" t="s">
        <v>8944</v>
      </c>
      <c r="C4557" s="15" t="s">
        <v>8945</v>
      </c>
      <c r="D4557" s="15" t="s">
        <v>8946</v>
      </c>
      <c r="E4557" s="15">
        <v>92.507999999999996</v>
      </c>
      <c r="F4557" s="42">
        <v>46198</v>
      </c>
    </row>
    <row r="4558" spans="1:6" x14ac:dyDescent="0.3">
      <c r="A4558" s="15" t="s">
        <v>43489</v>
      </c>
      <c r="B4558" s="15" t="s">
        <v>8947</v>
      </c>
      <c r="C4558" s="15" t="s">
        <v>800</v>
      </c>
      <c r="D4558" s="15" t="s">
        <v>8948</v>
      </c>
      <c r="E4558" s="15">
        <v>139.29599999999999</v>
      </c>
      <c r="F4558" s="42">
        <v>46198</v>
      </c>
    </row>
    <row r="4559" spans="1:6" x14ac:dyDescent="0.3">
      <c r="A4559" s="15" t="s">
        <v>43488</v>
      </c>
      <c r="B4559" s="15" t="s">
        <v>8949</v>
      </c>
      <c r="C4559" s="15" t="s">
        <v>8950</v>
      </c>
      <c r="D4559" s="15" t="s">
        <v>8951</v>
      </c>
      <c r="E4559" s="15">
        <v>22.132999999999999</v>
      </c>
      <c r="F4559" s="42">
        <v>46198</v>
      </c>
    </row>
    <row r="4560" spans="1:6" x14ac:dyDescent="0.3">
      <c r="A4560" s="15" t="s">
        <v>33499</v>
      </c>
      <c r="B4560" s="15" t="s">
        <v>795</v>
      </c>
      <c r="C4560" s="15" t="s">
        <v>795</v>
      </c>
      <c r="D4560" s="15" t="s">
        <v>795</v>
      </c>
      <c r="F4560" s="42"/>
    </row>
    <row r="4561" spans="1:6" x14ac:dyDescent="0.3">
      <c r="A4561" s="15" t="s">
        <v>37895</v>
      </c>
      <c r="B4561" s="15" t="s">
        <v>795</v>
      </c>
      <c r="C4561" s="15" t="s">
        <v>795</v>
      </c>
      <c r="D4561" s="15" t="s">
        <v>795</v>
      </c>
      <c r="F4561" s="42"/>
    </row>
    <row r="4562" spans="1:6" x14ac:dyDescent="0.3">
      <c r="A4562" s="15" t="s">
        <v>33499</v>
      </c>
      <c r="B4562" s="15" t="s">
        <v>795</v>
      </c>
      <c r="C4562" s="15" t="s">
        <v>795</v>
      </c>
      <c r="D4562" s="15" t="s">
        <v>795</v>
      </c>
      <c r="F4562" s="42"/>
    </row>
    <row r="4563" spans="1:6" x14ac:dyDescent="0.3">
      <c r="A4563" s="15" t="s">
        <v>43487</v>
      </c>
      <c r="B4563" s="15" t="s">
        <v>8952</v>
      </c>
      <c r="C4563" s="15" t="s">
        <v>8953</v>
      </c>
      <c r="D4563" s="15" t="s">
        <v>8954</v>
      </c>
      <c r="E4563" s="15">
        <v>45.96</v>
      </c>
      <c r="F4563" s="42">
        <v>46198</v>
      </c>
    </row>
    <row r="4564" spans="1:6" x14ac:dyDescent="0.3">
      <c r="A4564" s="15" t="s">
        <v>43486</v>
      </c>
      <c r="B4564" s="15" t="s">
        <v>8955</v>
      </c>
      <c r="C4564" s="15" t="s">
        <v>800</v>
      </c>
      <c r="D4564" s="15" t="s">
        <v>8956</v>
      </c>
      <c r="E4564" s="15">
        <v>135.91</v>
      </c>
      <c r="F4564" s="42">
        <v>46198</v>
      </c>
    </row>
    <row r="4565" spans="1:6" x14ac:dyDescent="0.3">
      <c r="A4565" s="15" t="s">
        <v>43485</v>
      </c>
      <c r="B4565" s="15" t="s">
        <v>8957</v>
      </c>
      <c r="C4565" s="15" t="s">
        <v>800</v>
      </c>
      <c r="D4565" s="15" t="s">
        <v>8958</v>
      </c>
      <c r="E4565" s="15">
        <v>113.18</v>
      </c>
      <c r="F4565" s="42">
        <v>46198</v>
      </c>
    </row>
    <row r="4566" spans="1:6" x14ac:dyDescent="0.3">
      <c r="A4566" s="15" t="s">
        <v>43484</v>
      </c>
      <c r="B4566" s="15" t="s">
        <v>8959</v>
      </c>
      <c r="C4566" s="15" t="s">
        <v>8960</v>
      </c>
      <c r="D4566" s="15" t="s">
        <v>8961</v>
      </c>
      <c r="E4566" s="15">
        <v>30.29</v>
      </c>
      <c r="F4566" s="42">
        <v>46198</v>
      </c>
    </row>
    <row r="4567" spans="1:6" x14ac:dyDescent="0.3">
      <c r="A4567" s="15" t="s">
        <v>33499</v>
      </c>
      <c r="B4567" s="15" t="s">
        <v>795</v>
      </c>
      <c r="C4567" s="15" t="s">
        <v>795</v>
      </c>
      <c r="D4567" s="15" t="s">
        <v>795</v>
      </c>
      <c r="F4567" s="42"/>
    </row>
    <row r="4568" spans="1:6" x14ac:dyDescent="0.3">
      <c r="A4568" s="15" t="s">
        <v>37044</v>
      </c>
      <c r="B4568" s="15" t="s">
        <v>795</v>
      </c>
      <c r="C4568" s="15" t="s">
        <v>795</v>
      </c>
      <c r="D4568" s="15" t="s">
        <v>795</v>
      </c>
      <c r="F4568" s="42"/>
    </row>
    <row r="4569" spans="1:6" x14ac:dyDescent="0.3">
      <c r="A4569" s="15" t="s">
        <v>33499</v>
      </c>
      <c r="B4569" s="15" t="s">
        <v>795</v>
      </c>
      <c r="C4569" s="15" t="s">
        <v>795</v>
      </c>
      <c r="D4569" s="15" t="s">
        <v>795</v>
      </c>
      <c r="F4569" s="42"/>
    </row>
    <row r="4570" spans="1:6" x14ac:dyDescent="0.3">
      <c r="A4570" s="15" t="s">
        <v>43483</v>
      </c>
      <c r="B4570" s="15" t="s">
        <v>8962</v>
      </c>
      <c r="C4570" s="15" t="s">
        <v>800</v>
      </c>
      <c r="D4570" s="15" t="s">
        <v>8963</v>
      </c>
      <c r="E4570" s="15">
        <v>1602.7807</v>
      </c>
      <c r="F4570" s="42">
        <v>46198</v>
      </c>
    </row>
    <row r="4571" spans="1:6" x14ac:dyDescent="0.3">
      <c r="A4571" s="15" t="s">
        <v>43482</v>
      </c>
      <c r="B4571" s="15" t="s">
        <v>8964</v>
      </c>
      <c r="C4571" s="15" t="s">
        <v>8965</v>
      </c>
      <c r="D4571" s="15" t="s">
        <v>8966</v>
      </c>
      <c r="E4571" s="15">
        <v>70.183000000000007</v>
      </c>
      <c r="F4571" s="42">
        <v>46198</v>
      </c>
    </row>
    <row r="4572" spans="1:6" x14ac:dyDescent="0.3">
      <c r="A4572" s="15" t="s">
        <v>43481</v>
      </c>
      <c r="B4572" s="15" t="s">
        <v>8967</v>
      </c>
      <c r="C4572" s="15" t="s">
        <v>8968</v>
      </c>
      <c r="D4572" s="15" t="s">
        <v>8969</v>
      </c>
      <c r="E4572" s="15">
        <v>60.308399999999999</v>
      </c>
      <c r="F4572" s="42">
        <v>46198</v>
      </c>
    </row>
    <row r="4573" spans="1:6" x14ac:dyDescent="0.3">
      <c r="A4573" s="15" t="s">
        <v>43480</v>
      </c>
      <c r="B4573" s="15" t="s">
        <v>8970</v>
      </c>
      <c r="C4573" s="15" t="s">
        <v>800</v>
      </c>
      <c r="D4573" s="15" t="s">
        <v>8971</v>
      </c>
      <c r="E4573" s="15">
        <v>1427.2261000000001</v>
      </c>
      <c r="F4573" s="42">
        <v>46198</v>
      </c>
    </row>
    <row r="4574" spans="1:6" x14ac:dyDescent="0.3">
      <c r="A4574" s="15" t="s">
        <v>33499</v>
      </c>
      <c r="B4574" s="15" t="s">
        <v>795</v>
      </c>
      <c r="C4574" s="15" t="s">
        <v>795</v>
      </c>
      <c r="D4574" s="15" t="s">
        <v>795</v>
      </c>
      <c r="F4574" s="42"/>
    </row>
    <row r="4575" spans="1:6" x14ac:dyDescent="0.3">
      <c r="A4575" s="15" t="s">
        <v>37881</v>
      </c>
      <c r="B4575" s="15" t="s">
        <v>795</v>
      </c>
      <c r="C4575" s="15" t="s">
        <v>795</v>
      </c>
      <c r="D4575" s="15" t="s">
        <v>795</v>
      </c>
      <c r="F4575" s="42"/>
    </row>
    <row r="4576" spans="1:6" x14ac:dyDescent="0.3">
      <c r="A4576" s="15" t="s">
        <v>33499</v>
      </c>
      <c r="B4576" s="15" t="s">
        <v>795</v>
      </c>
      <c r="C4576" s="15" t="s">
        <v>795</v>
      </c>
      <c r="D4576" s="15" t="s">
        <v>795</v>
      </c>
      <c r="F4576" s="42"/>
    </row>
    <row r="4577" spans="1:6" x14ac:dyDescent="0.3">
      <c r="A4577" s="15" t="s">
        <v>43479</v>
      </c>
      <c r="B4577" s="15" t="s">
        <v>8972</v>
      </c>
      <c r="C4577" s="15" t="s">
        <v>800</v>
      </c>
      <c r="D4577" s="15" t="s">
        <v>8973</v>
      </c>
      <c r="E4577" s="15">
        <v>21.65</v>
      </c>
      <c r="F4577" s="42">
        <v>46198</v>
      </c>
    </row>
    <row r="4578" spans="1:6" x14ac:dyDescent="0.3">
      <c r="A4578" s="15" t="s">
        <v>43478</v>
      </c>
      <c r="B4578" s="15" t="s">
        <v>8974</v>
      </c>
      <c r="C4578" s="15" t="s">
        <v>800</v>
      </c>
      <c r="D4578" s="15" t="s">
        <v>8975</v>
      </c>
      <c r="E4578" s="15">
        <v>21.69</v>
      </c>
      <c r="F4578" s="42">
        <v>46198</v>
      </c>
    </row>
    <row r="4579" spans="1:6" x14ac:dyDescent="0.3">
      <c r="A4579" s="15" t="s">
        <v>43477</v>
      </c>
      <c r="B4579" s="15" t="s">
        <v>8976</v>
      </c>
      <c r="C4579" s="15" t="s">
        <v>800</v>
      </c>
      <c r="D4579" s="15" t="s">
        <v>8977</v>
      </c>
      <c r="E4579" s="15">
        <v>18.86</v>
      </c>
      <c r="F4579" s="42">
        <v>46198</v>
      </c>
    </row>
    <row r="4580" spans="1:6" x14ac:dyDescent="0.3">
      <c r="A4580" s="15" t="s">
        <v>43476</v>
      </c>
      <c r="B4580" s="15" t="s">
        <v>8978</v>
      </c>
      <c r="C4580" s="15" t="s">
        <v>800</v>
      </c>
      <c r="D4580" s="15" t="s">
        <v>8979</v>
      </c>
      <c r="E4580" s="15">
        <v>18.850000000000001</v>
      </c>
      <c r="F4580" s="42">
        <v>46198</v>
      </c>
    </row>
    <row r="4581" spans="1:6" x14ac:dyDescent="0.3">
      <c r="A4581" s="15" t="s">
        <v>33499</v>
      </c>
      <c r="B4581" s="15" t="s">
        <v>795</v>
      </c>
      <c r="C4581" s="15" t="s">
        <v>795</v>
      </c>
      <c r="D4581" s="15" t="s">
        <v>795</v>
      </c>
      <c r="F4581" s="42"/>
    </row>
    <row r="4582" spans="1:6" x14ac:dyDescent="0.3">
      <c r="A4582" s="15" t="s">
        <v>37043</v>
      </c>
      <c r="B4582" s="15" t="s">
        <v>795</v>
      </c>
      <c r="C4582" s="15" t="s">
        <v>795</v>
      </c>
      <c r="D4582" s="15" t="s">
        <v>795</v>
      </c>
      <c r="F4582" s="42"/>
    </row>
    <row r="4583" spans="1:6" x14ac:dyDescent="0.3">
      <c r="A4583" s="15" t="s">
        <v>33499</v>
      </c>
      <c r="B4583" s="15" t="s">
        <v>795</v>
      </c>
      <c r="C4583" s="15" t="s">
        <v>795</v>
      </c>
      <c r="D4583" s="15" t="s">
        <v>795</v>
      </c>
      <c r="F4583" s="42"/>
    </row>
    <row r="4584" spans="1:6" x14ac:dyDescent="0.3">
      <c r="A4584" s="15" t="s">
        <v>43475</v>
      </c>
      <c r="B4584" s="15" t="s">
        <v>8980</v>
      </c>
      <c r="C4584" s="15" t="s">
        <v>800</v>
      </c>
      <c r="D4584" s="15" t="s">
        <v>8981</v>
      </c>
      <c r="E4584" s="15">
        <v>1478.912</v>
      </c>
      <c r="F4584" s="42">
        <v>46198</v>
      </c>
    </row>
    <row r="4585" spans="1:6" x14ac:dyDescent="0.3">
      <c r="A4585" s="15" t="s">
        <v>43474</v>
      </c>
      <c r="B4585" s="15" t="s">
        <v>8982</v>
      </c>
      <c r="C4585" s="15" t="s">
        <v>800</v>
      </c>
      <c r="D4585" s="15" t="s">
        <v>8983</v>
      </c>
      <c r="E4585" s="15">
        <v>1361.7380000000001</v>
      </c>
      <c r="F4585" s="42">
        <v>46198</v>
      </c>
    </row>
    <row r="4586" spans="1:6" x14ac:dyDescent="0.3">
      <c r="A4586" s="15" t="s">
        <v>43473</v>
      </c>
      <c r="B4586" s="15" t="s">
        <v>8984</v>
      </c>
      <c r="C4586" s="15" t="s">
        <v>8985</v>
      </c>
      <c r="D4586" s="15" t="s">
        <v>8986</v>
      </c>
      <c r="E4586" s="15">
        <v>92.441999999999993</v>
      </c>
      <c r="F4586" s="42">
        <v>46198</v>
      </c>
    </row>
    <row r="4587" spans="1:6" x14ac:dyDescent="0.3">
      <c r="A4587" s="15" t="s">
        <v>43472</v>
      </c>
      <c r="B4587" s="15" t="s">
        <v>8987</v>
      </c>
      <c r="C4587" s="15" t="s">
        <v>8988</v>
      </c>
      <c r="D4587" s="15" t="s">
        <v>8989</v>
      </c>
      <c r="E4587" s="15">
        <v>66.09</v>
      </c>
      <c r="F4587" s="42">
        <v>46198</v>
      </c>
    </row>
    <row r="4588" spans="1:6" x14ac:dyDescent="0.3">
      <c r="A4588" s="15" t="s">
        <v>43471</v>
      </c>
      <c r="B4588" s="15" t="s">
        <v>8990</v>
      </c>
      <c r="C4588" s="15" t="s">
        <v>800</v>
      </c>
      <c r="D4588" s="15" t="s">
        <v>8991</v>
      </c>
      <c r="E4588" s="15">
        <v>625.38499999999999</v>
      </c>
      <c r="F4588" s="42">
        <v>44575</v>
      </c>
    </row>
    <row r="4589" spans="1:6" x14ac:dyDescent="0.3">
      <c r="A4589" s="15" t="s">
        <v>43470</v>
      </c>
      <c r="B4589" s="15" t="s">
        <v>8992</v>
      </c>
      <c r="C4589" s="15" t="s">
        <v>800</v>
      </c>
      <c r="D4589" s="15" t="s">
        <v>8993</v>
      </c>
      <c r="E4589" s="15">
        <v>595.16800000000001</v>
      </c>
      <c r="F4589" s="42">
        <v>44575</v>
      </c>
    </row>
    <row r="4590" spans="1:6" x14ac:dyDescent="0.3">
      <c r="A4590" s="15" t="s">
        <v>43469</v>
      </c>
      <c r="B4590" s="15" t="s">
        <v>8994</v>
      </c>
      <c r="C4590" s="15" t="s">
        <v>8995</v>
      </c>
      <c r="D4590" s="15" t="s">
        <v>8996</v>
      </c>
      <c r="E4590" s="15">
        <v>57.515000000000001</v>
      </c>
      <c r="F4590" s="42">
        <v>44575</v>
      </c>
    </row>
    <row r="4591" spans="1:6" x14ac:dyDescent="0.3">
      <c r="A4591" s="15" t="s">
        <v>43468</v>
      </c>
      <c r="B4591" s="15" t="s">
        <v>8997</v>
      </c>
      <c r="C4591" s="15" t="s">
        <v>8998</v>
      </c>
      <c r="D4591" s="15" t="s">
        <v>8999</v>
      </c>
      <c r="E4591" s="15">
        <v>51.722000000000001</v>
      </c>
      <c r="F4591" s="42">
        <v>44575</v>
      </c>
    </row>
    <row r="4592" spans="1:6" x14ac:dyDescent="0.3">
      <c r="A4592" s="15" t="s">
        <v>33499</v>
      </c>
      <c r="B4592" s="15" t="s">
        <v>795</v>
      </c>
      <c r="C4592" s="15" t="s">
        <v>795</v>
      </c>
      <c r="D4592" s="15" t="s">
        <v>795</v>
      </c>
      <c r="F4592" s="42"/>
    </row>
    <row r="4593" spans="1:6" x14ac:dyDescent="0.3">
      <c r="A4593" s="15" t="s">
        <v>36815</v>
      </c>
      <c r="B4593" s="15" t="s">
        <v>795</v>
      </c>
      <c r="C4593" s="15" t="s">
        <v>795</v>
      </c>
      <c r="D4593" s="15" t="s">
        <v>795</v>
      </c>
      <c r="F4593" s="42"/>
    </row>
    <row r="4594" spans="1:6" x14ac:dyDescent="0.3">
      <c r="A4594" s="15" t="s">
        <v>33499</v>
      </c>
      <c r="B4594" s="15" t="s">
        <v>795</v>
      </c>
      <c r="C4594" s="15" t="s">
        <v>795</v>
      </c>
      <c r="D4594" s="15" t="s">
        <v>795</v>
      </c>
      <c r="F4594" s="42"/>
    </row>
    <row r="4595" spans="1:6" x14ac:dyDescent="0.3">
      <c r="A4595" s="15" t="s">
        <v>43467</v>
      </c>
      <c r="B4595" s="15" t="s">
        <v>9000</v>
      </c>
      <c r="C4595" s="15" t="s">
        <v>800</v>
      </c>
      <c r="D4595" s="15" t="s">
        <v>9001</v>
      </c>
      <c r="E4595" s="15">
        <v>152.917</v>
      </c>
      <c r="F4595" s="42">
        <v>46198</v>
      </c>
    </row>
    <row r="4596" spans="1:6" x14ac:dyDescent="0.3">
      <c r="A4596" s="15" t="s">
        <v>43466</v>
      </c>
      <c r="B4596" s="15" t="s">
        <v>9002</v>
      </c>
      <c r="C4596" s="15" t="s">
        <v>800</v>
      </c>
      <c r="D4596" s="15" t="s">
        <v>9003</v>
      </c>
      <c r="E4596" s="15">
        <v>39.571300000000001</v>
      </c>
      <c r="F4596" s="42">
        <v>46198</v>
      </c>
    </row>
    <row r="4597" spans="1:6" x14ac:dyDescent="0.3">
      <c r="A4597" s="15" t="s">
        <v>43465</v>
      </c>
      <c r="B4597" s="15" t="s">
        <v>9004</v>
      </c>
      <c r="C4597" s="15" t="s">
        <v>800</v>
      </c>
      <c r="D4597" s="15" t="s">
        <v>9005</v>
      </c>
      <c r="E4597" s="15">
        <v>139.3185</v>
      </c>
      <c r="F4597" s="42">
        <v>46198</v>
      </c>
    </row>
    <row r="4598" spans="1:6" x14ac:dyDescent="0.3">
      <c r="A4598" s="15" t="s">
        <v>43464</v>
      </c>
      <c r="B4598" s="15" t="s">
        <v>9006</v>
      </c>
      <c r="C4598" s="15" t="s">
        <v>800</v>
      </c>
      <c r="D4598" s="15" t="s">
        <v>9007</v>
      </c>
      <c r="E4598" s="15">
        <v>26.8354</v>
      </c>
      <c r="F4598" s="42">
        <v>46198</v>
      </c>
    </row>
    <row r="4599" spans="1:6" x14ac:dyDescent="0.3">
      <c r="A4599" s="15" t="s">
        <v>33499</v>
      </c>
      <c r="B4599" s="15" t="s">
        <v>795</v>
      </c>
      <c r="C4599" s="15" t="s">
        <v>795</v>
      </c>
      <c r="D4599" s="15" t="s">
        <v>795</v>
      </c>
      <c r="F4599" s="42"/>
    </row>
    <row r="4600" spans="1:6" x14ac:dyDescent="0.3">
      <c r="A4600" s="15" t="s">
        <v>36764</v>
      </c>
      <c r="B4600" s="15" t="s">
        <v>795</v>
      </c>
      <c r="C4600" s="15" t="s">
        <v>795</v>
      </c>
      <c r="D4600" s="15" t="s">
        <v>795</v>
      </c>
      <c r="F4600" s="42"/>
    </row>
    <row r="4601" spans="1:6" x14ac:dyDescent="0.3">
      <c r="A4601" s="15" t="s">
        <v>33499</v>
      </c>
      <c r="B4601" s="15" t="s">
        <v>795</v>
      </c>
      <c r="C4601" s="15" t="s">
        <v>795</v>
      </c>
      <c r="D4601" s="15" t="s">
        <v>795</v>
      </c>
      <c r="F4601" s="42"/>
    </row>
    <row r="4602" spans="1:6" x14ac:dyDescent="0.3">
      <c r="A4602" s="15" t="s">
        <v>43463</v>
      </c>
      <c r="B4602" s="15" t="s">
        <v>9008</v>
      </c>
      <c r="C4602" s="15" t="s">
        <v>800</v>
      </c>
      <c r="D4602" s="15" t="s">
        <v>9009</v>
      </c>
      <c r="E4602" s="15">
        <v>1040.57</v>
      </c>
      <c r="F4602" s="42">
        <v>46198</v>
      </c>
    </row>
    <row r="4603" spans="1:6" x14ac:dyDescent="0.3">
      <c r="A4603" s="15" t="s">
        <v>43462</v>
      </c>
      <c r="B4603" s="15" t="s">
        <v>9010</v>
      </c>
      <c r="C4603" s="15" t="s">
        <v>9011</v>
      </c>
      <c r="D4603" s="15" t="s">
        <v>9012</v>
      </c>
      <c r="E4603" s="15">
        <v>44.68</v>
      </c>
      <c r="F4603" s="42">
        <v>46198</v>
      </c>
    </row>
    <row r="4604" spans="1:6" x14ac:dyDescent="0.3">
      <c r="A4604" s="15" t="s">
        <v>43461</v>
      </c>
      <c r="B4604" s="15" t="s">
        <v>9013</v>
      </c>
      <c r="C4604" s="15" t="s">
        <v>800</v>
      </c>
      <c r="D4604" s="15" t="s">
        <v>9014</v>
      </c>
      <c r="E4604" s="15">
        <v>932.01</v>
      </c>
      <c r="F4604" s="42">
        <v>46198</v>
      </c>
    </row>
    <row r="4605" spans="1:6" x14ac:dyDescent="0.3">
      <c r="A4605" s="15" t="s">
        <v>43460</v>
      </c>
      <c r="B4605" s="15" t="s">
        <v>9015</v>
      </c>
      <c r="C4605" s="15" t="s">
        <v>9016</v>
      </c>
      <c r="D4605" s="15" t="s">
        <v>9017</v>
      </c>
      <c r="E4605" s="15">
        <v>21.23</v>
      </c>
      <c r="F4605" s="42">
        <v>46198</v>
      </c>
    </row>
    <row r="4606" spans="1:6" x14ac:dyDescent="0.3">
      <c r="A4606" s="15" t="s">
        <v>33499</v>
      </c>
      <c r="B4606" s="15" t="s">
        <v>795</v>
      </c>
      <c r="C4606" s="15" t="s">
        <v>795</v>
      </c>
      <c r="D4606" s="15" t="s">
        <v>795</v>
      </c>
      <c r="F4606" s="42"/>
    </row>
    <row r="4607" spans="1:6" x14ac:dyDescent="0.3">
      <c r="A4607" s="15" t="s">
        <v>37807</v>
      </c>
      <c r="B4607" s="15" t="s">
        <v>795</v>
      </c>
      <c r="C4607" s="15" t="s">
        <v>795</v>
      </c>
      <c r="D4607" s="15" t="s">
        <v>795</v>
      </c>
      <c r="F4607" s="42"/>
    </row>
    <row r="4608" spans="1:6" x14ac:dyDescent="0.3">
      <c r="A4608" s="15" t="s">
        <v>33499</v>
      </c>
      <c r="B4608" s="15" t="s">
        <v>795</v>
      </c>
      <c r="C4608" s="15" t="s">
        <v>795</v>
      </c>
      <c r="D4608" s="15" t="s">
        <v>795</v>
      </c>
      <c r="F4608" s="42"/>
    </row>
    <row r="4609" spans="1:6" x14ac:dyDescent="0.3">
      <c r="A4609" s="15" t="s">
        <v>43459</v>
      </c>
      <c r="B4609" s="15" t="s">
        <v>9018</v>
      </c>
      <c r="C4609" s="15" t="s">
        <v>800</v>
      </c>
      <c r="D4609" s="15" t="s">
        <v>9019</v>
      </c>
      <c r="E4609" s="15">
        <v>145.79</v>
      </c>
      <c r="F4609" s="42">
        <v>46198</v>
      </c>
    </row>
    <row r="4610" spans="1:6" x14ac:dyDescent="0.3">
      <c r="A4610" s="15" t="s">
        <v>43458</v>
      </c>
      <c r="B4610" s="15" t="s">
        <v>9020</v>
      </c>
      <c r="C4610" s="15" t="s">
        <v>9021</v>
      </c>
      <c r="D4610" s="15" t="s">
        <v>9022</v>
      </c>
      <c r="E4610" s="15">
        <v>31.69</v>
      </c>
      <c r="F4610" s="42">
        <v>46198</v>
      </c>
    </row>
    <row r="4611" spans="1:6" x14ac:dyDescent="0.3">
      <c r="A4611" s="15" t="s">
        <v>43457</v>
      </c>
      <c r="B4611" s="15" t="s">
        <v>9023</v>
      </c>
      <c r="C4611" s="15" t="s">
        <v>800</v>
      </c>
      <c r="D4611" s="15" t="s">
        <v>9024</v>
      </c>
      <c r="E4611" s="15">
        <v>121.97</v>
      </c>
      <c r="F4611" s="42">
        <v>46198</v>
      </c>
    </row>
    <row r="4612" spans="1:6" x14ac:dyDescent="0.3">
      <c r="A4612" s="15" t="s">
        <v>43456</v>
      </c>
      <c r="B4612" s="15" t="s">
        <v>9025</v>
      </c>
      <c r="C4612" s="15" t="s">
        <v>9026</v>
      </c>
      <c r="D4612" s="15" t="s">
        <v>9027</v>
      </c>
      <c r="E4612" s="15">
        <v>23.87</v>
      </c>
      <c r="F4612" s="42">
        <v>46198</v>
      </c>
    </row>
    <row r="4613" spans="1:6" x14ac:dyDescent="0.3">
      <c r="A4613" s="15" t="s">
        <v>33499</v>
      </c>
      <c r="B4613" s="15" t="s">
        <v>795</v>
      </c>
      <c r="C4613" s="15" t="s">
        <v>795</v>
      </c>
      <c r="D4613" s="15" t="s">
        <v>795</v>
      </c>
      <c r="F4613" s="42"/>
    </row>
    <row r="4614" spans="1:6" x14ac:dyDescent="0.3">
      <c r="A4614" s="15" t="s">
        <v>40577</v>
      </c>
      <c r="B4614" s="15" t="s">
        <v>795</v>
      </c>
      <c r="C4614" s="15" t="s">
        <v>795</v>
      </c>
      <c r="D4614" s="15" t="s">
        <v>795</v>
      </c>
      <c r="F4614" s="42"/>
    </row>
    <row r="4615" spans="1:6" x14ac:dyDescent="0.3">
      <c r="A4615" s="15" t="s">
        <v>33499</v>
      </c>
      <c r="B4615" s="15" t="s">
        <v>795</v>
      </c>
      <c r="C4615" s="15" t="s">
        <v>795</v>
      </c>
      <c r="D4615" s="15" t="s">
        <v>795</v>
      </c>
      <c r="F4615" s="42"/>
    </row>
    <row r="4616" spans="1:6" x14ac:dyDescent="0.3">
      <c r="A4616" s="15" t="s">
        <v>43455</v>
      </c>
      <c r="B4616" s="15" t="s">
        <v>9028</v>
      </c>
      <c r="C4616" s="15" t="s">
        <v>800</v>
      </c>
      <c r="D4616" s="15" t="s">
        <v>9029</v>
      </c>
      <c r="E4616" s="15">
        <v>28.336500000000001</v>
      </c>
      <c r="F4616" s="42">
        <v>46198</v>
      </c>
    </row>
    <row r="4617" spans="1:6" x14ac:dyDescent="0.3">
      <c r="A4617" s="15" t="s">
        <v>43454</v>
      </c>
      <c r="B4617" s="15" t="s">
        <v>9030</v>
      </c>
      <c r="C4617" s="15" t="s">
        <v>800</v>
      </c>
      <c r="D4617" s="15" t="s">
        <v>9031</v>
      </c>
      <c r="E4617" s="15">
        <v>25.069800000000001</v>
      </c>
      <c r="F4617" s="42">
        <v>46198</v>
      </c>
    </row>
    <row r="4618" spans="1:6" x14ac:dyDescent="0.3">
      <c r="A4618" s="15" t="s">
        <v>43453</v>
      </c>
      <c r="B4618" s="15" t="s">
        <v>9032</v>
      </c>
      <c r="C4618" s="15" t="s">
        <v>800</v>
      </c>
      <c r="D4618" s="15" t="s">
        <v>9033</v>
      </c>
      <c r="E4618" s="15">
        <v>24.837499999999999</v>
      </c>
      <c r="F4618" s="42">
        <v>46198</v>
      </c>
    </row>
    <row r="4619" spans="1:6" x14ac:dyDescent="0.3">
      <c r="A4619" s="15" t="s">
        <v>43452</v>
      </c>
      <c r="B4619" s="15" t="s">
        <v>9034</v>
      </c>
      <c r="C4619" s="15" t="s">
        <v>800</v>
      </c>
      <c r="D4619" s="15" t="s">
        <v>9035</v>
      </c>
      <c r="E4619" s="15">
        <v>21.738700000000001</v>
      </c>
      <c r="F4619" s="42">
        <v>46198</v>
      </c>
    </row>
    <row r="4620" spans="1:6" x14ac:dyDescent="0.3">
      <c r="A4620" s="15" t="s">
        <v>33499</v>
      </c>
      <c r="B4620" s="15" t="s">
        <v>795</v>
      </c>
      <c r="C4620" s="15" t="s">
        <v>795</v>
      </c>
      <c r="D4620" s="15" t="s">
        <v>795</v>
      </c>
      <c r="F4620" s="42"/>
    </row>
    <row r="4621" spans="1:6" x14ac:dyDescent="0.3">
      <c r="A4621" s="15" t="s">
        <v>40894</v>
      </c>
      <c r="B4621" s="15" t="s">
        <v>795</v>
      </c>
      <c r="C4621" s="15" t="s">
        <v>795</v>
      </c>
      <c r="D4621" s="15" t="s">
        <v>795</v>
      </c>
      <c r="F4621" s="42"/>
    </row>
    <row r="4622" spans="1:6" x14ac:dyDescent="0.3">
      <c r="A4622" s="15" t="s">
        <v>33499</v>
      </c>
      <c r="B4622" s="15" t="s">
        <v>795</v>
      </c>
      <c r="C4622" s="15" t="s">
        <v>795</v>
      </c>
      <c r="D4622" s="15" t="s">
        <v>795</v>
      </c>
      <c r="F4622" s="42"/>
    </row>
    <row r="4623" spans="1:6" x14ac:dyDescent="0.3">
      <c r="A4623" s="15" t="s">
        <v>43451</v>
      </c>
      <c r="B4623" s="15" t="s">
        <v>9036</v>
      </c>
      <c r="C4623" s="15" t="s">
        <v>800</v>
      </c>
      <c r="D4623" s="15" t="s">
        <v>9037</v>
      </c>
      <c r="E4623" s="15">
        <v>57.730400000000003</v>
      </c>
      <c r="F4623" s="42">
        <v>46198</v>
      </c>
    </row>
    <row r="4624" spans="1:6" x14ac:dyDescent="0.3">
      <c r="A4624" s="15" t="s">
        <v>43450</v>
      </c>
      <c r="B4624" s="15" t="s">
        <v>9038</v>
      </c>
      <c r="C4624" s="15" t="s">
        <v>800</v>
      </c>
      <c r="D4624" s="15" t="s">
        <v>9039</v>
      </c>
      <c r="E4624" s="15">
        <v>56.307099999999998</v>
      </c>
      <c r="F4624" s="42">
        <v>46198</v>
      </c>
    </row>
    <row r="4625" spans="1:6" x14ac:dyDescent="0.3">
      <c r="A4625" s="15" t="s">
        <v>43449</v>
      </c>
      <c r="B4625" s="15" t="s">
        <v>9040</v>
      </c>
      <c r="C4625" s="15" t="s">
        <v>800</v>
      </c>
      <c r="D4625" s="15" t="s">
        <v>9041</v>
      </c>
      <c r="E4625" s="15">
        <v>49.925899999999999</v>
      </c>
      <c r="F4625" s="42">
        <v>46198</v>
      </c>
    </row>
    <row r="4626" spans="1:6" x14ac:dyDescent="0.3">
      <c r="A4626" s="15" t="s">
        <v>43448</v>
      </c>
      <c r="B4626" s="15" t="s">
        <v>9042</v>
      </c>
      <c r="C4626" s="15" t="s">
        <v>800</v>
      </c>
      <c r="D4626" s="15" t="s">
        <v>9043</v>
      </c>
      <c r="E4626" s="15">
        <v>49.925199999999997</v>
      </c>
      <c r="F4626" s="42">
        <v>46198</v>
      </c>
    </row>
    <row r="4627" spans="1:6" x14ac:dyDescent="0.3">
      <c r="A4627" s="15" t="s">
        <v>33499</v>
      </c>
      <c r="B4627" s="15" t="s">
        <v>795</v>
      </c>
      <c r="C4627" s="15" t="s">
        <v>795</v>
      </c>
      <c r="D4627" s="15" t="s">
        <v>795</v>
      </c>
      <c r="F4627" s="42"/>
    </row>
    <row r="4628" spans="1:6" x14ac:dyDescent="0.3">
      <c r="A4628" s="15" t="s">
        <v>139</v>
      </c>
      <c r="B4628" s="15" t="s">
        <v>795</v>
      </c>
      <c r="C4628" s="15" t="s">
        <v>795</v>
      </c>
      <c r="D4628" s="15" t="s">
        <v>795</v>
      </c>
      <c r="F4628" s="42"/>
    </row>
    <row r="4629" spans="1:6" x14ac:dyDescent="0.3">
      <c r="A4629" s="15" t="s">
        <v>33499</v>
      </c>
      <c r="B4629" s="15" t="s">
        <v>795</v>
      </c>
      <c r="C4629" s="15" t="s">
        <v>795</v>
      </c>
      <c r="D4629" s="15" t="s">
        <v>795</v>
      </c>
      <c r="F4629" s="42"/>
    </row>
    <row r="4630" spans="1:6" x14ac:dyDescent="0.3">
      <c r="A4630" s="15" t="s">
        <v>43447</v>
      </c>
      <c r="B4630" s="15" t="s">
        <v>9044</v>
      </c>
      <c r="C4630" s="15" t="s">
        <v>800</v>
      </c>
      <c r="D4630" s="15" t="s">
        <v>9045</v>
      </c>
      <c r="E4630" s="15">
        <v>114.92400000000001</v>
      </c>
      <c r="F4630" s="42">
        <v>46198</v>
      </c>
    </row>
    <row r="4631" spans="1:6" x14ac:dyDescent="0.3">
      <c r="A4631" s="15" t="s">
        <v>43446</v>
      </c>
      <c r="B4631" s="15" t="s">
        <v>9046</v>
      </c>
      <c r="C4631" s="15" t="s">
        <v>800</v>
      </c>
      <c r="D4631" s="15" t="s">
        <v>9047</v>
      </c>
      <c r="E4631" s="15">
        <v>136.06399999999999</v>
      </c>
      <c r="F4631" s="42">
        <v>46198</v>
      </c>
    </row>
    <row r="4632" spans="1:6" x14ac:dyDescent="0.3">
      <c r="A4632" s="15" t="s">
        <v>43445</v>
      </c>
      <c r="B4632" s="15" t="s">
        <v>9048</v>
      </c>
      <c r="C4632" s="15" t="s">
        <v>800</v>
      </c>
      <c r="D4632" s="15" t="s">
        <v>9049</v>
      </c>
      <c r="E4632" s="15">
        <v>43.01</v>
      </c>
      <c r="F4632" s="42">
        <v>46198</v>
      </c>
    </row>
    <row r="4633" spans="1:6" x14ac:dyDescent="0.3">
      <c r="A4633" s="15" t="s">
        <v>43444</v>
      </c>
      <c r="B4633" s="15" t="s">
        <v>9050</v>
      </c>
      <c r="C4633" s="15" t="s">
        <v>800</v>
      </c>
      <c r="D4633" s="15" t="s">
        <v>9051</v>
      </c>
      <c r="E4633" s="15">
        <v>56.996000000000002</v>
      </c>
      <c r="F4633" s="42">
        <v>46198</v>
      </c>
    </row>
    <row r="4634" spans="1:6" x14ac:dyDescent="0.3">
      <c r="A4634" s="15" t="s">
        <v>33499</v>
      </c>
      <c r="B4634" s="15" t="s">
        <v>795</v>
      </c>
      <c r="C4634" s="15" t="s">
        <v>795</v>
      </c>
      <c r="D4634" s="15" t="s">
        <v>795</v>
      </c>
      <c r="F4634" s="42"/>
    </row>
    <row r="4635" spans="1:6" x14ac:dyDescent="0.3">
      <c r="A4635" s="15" t="s">
        <v>37618</v>
      </c>
      <c r="B4635" s="15" t="s">
        <v>795</v>
      </c>
      <c r="C4635" s="15" t="s">
        <v>795</v>
      </c>
      <c r="D4635" s="15" t="s">
        <v>795</v>
      </c>
      <c r="F4635" s="42"/>
    </row>
    <row r="4636" spans="1:6" x14ac:dyDescent="0.3">
      <c r="A4636" s="15" t="s">
        <v>33499</v>
      </c>
      <c r="B4636" s="15" t="s">
        <v>795</v>
      </c>
      <c r="C4636" s="15" t="s">
        <v>795</v>
      </c>
      <c r="D4636" s="15" t="s">
        <v>795</v>
      </c>
      <c r="F4636" s="42"/>
    </row>
    <row r="4637" spans="1:6" x14ac:dyDescent="0.3">
      <c r="A4637" s="15" t="s">
        <v>43443</v>
      </c>
      <c r="B4637" s="15" t="s">
        <v>9052</v>
      </c>
      <c r="C4637" s="15" t="s">
        <v>800</v>
      </c>
      <c r="D4637" s="15" t="s">
        <v>9053</v>
      </c>
      <c r="E4637" s="15">
        <v>169.78370000000001</v>
      </c>
      <c r="F4637" s="42">
        <v>46198</v>
      </c>
    </row>
    <row r="4638" spans="1:6" x14ac:dyDescent="0.3">
      <c r="A4638" s="15" t="s">
        <v>43442</v>
      </c>
      <c r="B4638" s="15" t="s">
        <v>9054</v>
      </c>
      <c r="C4638" s="15" t="s">
        <v>9055</v>
      </c>
      <c r="D4638" s="15" t="s">
        <v>9056</v>
      </c>
      <c r="E4638" s="15">
        <v>37.490299999999998</v>
      </c>
      <c r="F4638" s="42">
        <v>46198</v>
      </c>
    </row>
    <row r="4639" spans="1:6" x14ac:dyDescent="0.3">
      <c r="A4639" s="15" t="s">
        <v>43441</v>
      </c>
      <c r="B4639" s="15" t="s">
        <v>9057</v>
      </c>
      <c r="C4639" s="15" t="s">
        <v>800</v>
      </c>
      <c r="D4639" s="15" t="s">
        <v>9058</v>
      </c>
      <c r="E4639" s="15">
        <v>147.0977</v>
      </c>
      <c r="F4639" s="42">
        <v>46198</v>
      </c>
    </row>
    <row r="4640" spans="1:6" x14ac:dyDescent="0.3">
      <c r="A4640" s="15" t="s">
        <v>43440</v>
      </c>
      <c r="B4640" s="15" t="s">
        <v>9059</v>
      </c>
      <c r="C4640" s="15" t="s">
        <v>9060</v>
      </c>
      <c r="D4640" s="15" t="s">
        <v>9061</v>
      </c>
      <c r="E4640" s="15">
        <v>30.793900000000001</v>
      </c>
      <c r="F4640" s="42">
        <v>46198</v>
      </c>
    </row>
    <row r="4641" spans="1:6" x14ac:dyDescent="0.3">
      <c r="A4641" s="15" t="s">
        <v>43439</v>
      </c>
      <c r="B4641" s="15" t="s">
        <v>800</v>
      </c>
      <c r="C4641" s="15" t="s">
        <v>9062</v>
      </c>
      <c r="D4641" s="15" t="s">
        <v>9063</v>
      </c>
      <c r="E4641" s="15">
        <v>40.635100000000001</v>
      </c>
      <c r="F4641" s="42">
        <v>46198</v>
      </c>
    </row>
    <row r="4642" spans="1:6" x14ac:dyDescent="0.3">
      <c r="A4642" s="15" t="s">
        <v>43438</v>
      </c>
      <c r="B4642" s="15" t="s">
        <v>800</v>
      </c>
      <c r="C4642" s="15" t="s">
        <v>9064</v>
      </c>
      <c r="D4642" s="15" t="s">
        <v>9065</v>
      </c>
      <c r="E4642" s="15">
        <v>36.202800000000003</v>
      </c>
      <c r="F4642" s="42">
        <v>46198</v>
      </c>
    </row>
    <row r="4643" spans="1:6" x14ac:dyDescent="0.3">
      <c r="A4643" s="15" t="s">
        <v>43437</v>
      </c>
      <c r="B4643" s="15" t="s">
        <v>800</v>
      </c>
      <c r="C4643" s="15" t="s">
        <v>9066</v>
      </c>
      <c r="D4643" s="15" t="s">
        <v>9067</v>
      </c>
      <c r="E4643" s="15">
        <v>40.635100000000001</v>
      </c>
      <c r="F4643" s="42">
        <v>46198</v>
      </c>
    </row>
    <row r="4644" spans="1:6" x14ac:dyDescent="0.3">
      <c r="A4644" s="15" t="s">
        <v>43436</v>
      </c>
      <c r="B4644" s="15" t="s">
        <v>800</v>
      </c>
      <c r="C4644" s="15" t="s">
        <v>9068</v>
      </c>
      <c r="D4644" s="15" t="s">
        <v>9069</v>
      </c>
      <c r="E4644" s="15">
        <v>36.202800000000003</v>
      </c>
      <c r="F4644" s="42">
        <v>46198</v>
      </c>
    </row>
    <row r="4645" spans="1:6" x14ac:dyDescent="0.3">
      <c r="A4645" s="15" t="s">
        <v>43435</v>
      </c>
      <c r="B4645" s="15" t="s">
        <v>800</v>
      </c>
      <c r="C4645" s="15" t="s">
        <v>9070</v>
      </c>
      <c r="D4645" s="15" t="s">
        <v>9071</v>
      </c>
      <c r="E4645" s="15">
        <v>40.635100000000001</v>
      </c>
      <c r="F4645" s="42">
        <v>46198</v>
      </c>
    </row>
    <row r="4646" spans="1:6" x14ac:dyDescent="0.3">
      <c r="A4646" s="15" t="s">
        <v>43434</v>
      </c>
      <c r="B4646" s="15" t="s">
        <v>800</v>
      </c>
      <c r="C4646" s="15" t="s">
        <v>9072</v>
      </c>
      <c r="D4646" s="15" t="s">
        <v>9073</v>
      </c>
      <c r="E4646" s="15">
        <v>36.202800000000003</v>
      </c>
      <c r="F4646" s="42">
        <v>46198</v>
      </c>
    </row>
    <row r="4647" spans="1:6" x14ac:dyDescent="0.3">
      <c r="A4647" s="15" t="s">
        <v>43433</v>
      </c>
      <c r="B4647" s="15" t="s">
        <v>800</v>
      </c>
      <c r="C4647" s="15" t="s">
        <v>9074</v>
      </c>
      <c r="D4647" s="15" t="s">
        <v>9075</v>
      </c>
      <c r="E4647" s="15">
        <v>40.635100000000001</v>
      </c>
      <c r="F4647" s="42">
        <v>46198</v>
      </c>
    </row>
    <row r="4648" spans="1:6" x14ac:dyDescent="0.3">
      <c r="A4648" s="15" t="s">
        <v>43432</v>
      </c>
      <c r="B4648" s="15" t="s">
        <v>800</v>
      </c>
      <c r="C4648" s="15" t="s">
        <v>9076</v>
      </c>
      <c r="D4648" s="15" t="s">
        <v>9077</v>
      </c>
      <c r="E4648" s="15">
        <v>36.202800000000003</v>
      </c>
      <c r="F4648" s="42">
        <v>46198</v>
      </c>
    </row>
    <row r="4649" spans="1:6" x14ac:dyDescent="0.3">
      <c r="A4649" s="15" t="s">
        <v>43431</v>
      </c>
      <c r="B4649" s="15" t="s">
        <v>800</v>
      </c>
      <c r="C4649" s="15" t="s">
        <v>9078</v>
      </c>
      <c r="D4649" s="15" t="s">
        <v>9079</v>
      </c>
      <c r="E4649" s="15">
        <v>40.635100000000001</v>
      </c>
      <c r="F4649" s="42">
        <v>46198</v>
      </c>
    </row>
    <row r="4650" spans="1:6" x14ac:dyDescent="0.3">
      <c r="A4650" s="15" t="s">
        <v>43430</v>
      </c>
      <c r="B4650" s="15" t="s">
        <v>800</v>
      </c>
      <c r="C4650" s="15" t="s">
        <v>9080</v>
      </c>
      <c r="D4650" s="15" t="s">
        <v>9081</v>
      </c>
      <c r="E4650" s="15">
        <v>36.202800000000003</v>
      </c>
      <c r="F4650" s="42">
        <v>46198</v>
      </c>
    </row>
    <row r="4651" spans="1:6" x14ac:dyDescent="0.3">
      <c r="A4651" s="15" t="s">
        <v>43429</v>
      </c>
      <c r="B4651" s="15" t="s">
        <v>800</v>
      </c>
      <c r="C4651" s="15" t="s">
        <v>9082</v>
      </c>
      <c r="D4651" s="15" t="s">
        <v>9083</v>
      </c>
      <c r="E4651" s="15">
        <v>40.635100000000001</v>
      </c>
      <c r="F4651" s="42">
        <v>46198</v>
      </c>
    </row>
    <row r="4652" spans="1:6" x14ac:dyDescent="0.3">
      <c r="A4652" s="15" t="s">
        <v>43428</v>
      </c>
      <c r="B4652" s="15" t="s">
        <v>800</v>
      </c>
      <c r="C4652" s="15" t="s">
        <v>9084</v>
      </c>
      <c r="D4652" s="15" t="s">
        <v>9085</v>
      </c>
      <c r="E4652" s="15">
        <v>36.202800000000003</v>
      </c>
      <c r="F4652" s="42">
        <v>46198</v>
      </c>
    </row>
    <row r="4653" spans="1:6" x14ac:dyDescent="0.3">
      <c r="A4653" s="15" t="s">
        <v>43427</v>
      </c>
      <c r="B4653" s="15" t="s">
        <v>800</v>
      </c>
      <c r="C4653" s="15" t="s">
        <v>9086</v>
      </c>
      <c r="D4653" s="15" t="s">
        <v>9087</v>
      </c>
      <c r="E4653" s="15">
        <v>40.635100000000001</v>
      </c>
      <c r="F4653" s="42">
        <v>46198</v>
      </c>
    </row>
    <row r="4654" spans="1:6" x14ac:dyDescent="0.3">
      <c r="A4654" s="15" t="s">
        <v>43426</v>
      </c>
      <c r="B4654" s="15" t="s">
        <v>800</v>
      </c>
      <c r="C4654" s="15" t="s">
        <v>9088</v>
      </c>
      <c r="D4654" s="15" t="s">
        <v>9089</v>
      </c>
      <c r="E4654" s="15">
        <v>36.202800000000003</v>
      </c>
      <c r="F4654" s="42">
        <v>46198</v>
      </c>
    </row>
    <row r="4655" spans="1:6" x14ac:dyDescent="0.3">
      <c r="A4655" s="15" t="s">
        <v>43425</v>
      </c>
      <c r="B4655" s="15" t="s">
        <v>800</v>
      </c>
      <c r="C4655" s="15" t="s">
        <v>9090</v>
      </c>
      <c r="D4655" s="15" t="s">
        <v>9091</v>
      </c>
      <c r="E4655" s="15">
        <v>40.635100000000001</v>
      </c>
      <c r="F4655" s="42">
        <v>46198</v>
      </c>
    </row>
    <row r="4656" spans="1:6" x14ac:dyDescent="0.3">
      <c r="A4656" s="15" t="s">
        <v>43424</v>
      </c>
      <c r="B4656" s="15" t="s">
        <v>800</v>
      </c>
      <c r="C4656" s="15" t="s">
        <v>9092</v>
      </c>
      <c r="D4656" s="15" t="s">
        <v>9093</v>
      </c>
      <c r="E4656" s="15">
        <v>36.202800000000003</v>
      </c>
      <c r="F4656" s="42">
        <v>46198</v>
      </c>
    </row>
    <row r="4657" spans="1:6" x14ac:dyDescent="0.3">
      <c r="A4657" s="15" t="s">
        <v>43423</v>
      </c>
      <c r="B4657" s="15" t="s">
        <v>800</v>
      </c>
      <c r="C4657" s="15" t="s">
        <v>9094</v>
      </c>
      <c r="D4657" s="15" t="s">
        <v>9095</v>
      </c>
      <c r="E4657" s="15">
        <v>40.635100000000001</v>
      </c>
      <c r="F4657" s="42">
        <v>46198</v>
      </c>
    </row>
    <row r="4658" spans="1:6" x14ac:dyDescent="0.3">
      <c r="A4658" s="15" t="s">
        <v>43422</v>
      </c>
      <c r="B4658" s="15" t="s">
        <v>800</v>
      </c>
      <c r="C4658" s="15" t="s">
        <v>9096</v>
      </c>
      <c r="D4658" s="15" t="s">
        <v>9097</v>
      </c>
      <c r="E4658" s="15">
        <v>36.202800000000003</v>
      </c>
      <c r="F4658" s="42">
        <v>46198</v>
      </c>
    </row>
    <row r="4659" spans="1:6" x14ac:dyDescent="0.3">
      <c r="A4659" s="15" t="s">
        <v>43421</v>
      </c>
      <c r="B4659" s="15" t="s">
        <v>800</v>
      </c>
      <c r="C4659" s="15" t="s">
        <v>9098</v>
      </c>
      <c r="D4659" s="15" t="s">
        <v>9099</v>
      </c>
      <c r="E4659" s="15">
        <v>40.635100000000001</v>
      </c>
      <c r="F4659" s="42">
        <v>46198</v>
      </c>
    </row>
    <row r="4660" spans="1:6" x14ac:dyDescent="0.3">
      <c r="A4660" s="15" t="s">
        <v>43420</v>
      </c>
      <c r="B4660" s="15" t="s">
        <v>800</v>
      </c>
      <c r="C4660" s="15" t="s">
        <v>9100</v>
      </c>
      <c r="D4660" s="15" t="s">
        <v>9101</v>
      </c>
      <c r="E4660" s="15">
        <v>36.202800000000003</v>
      </c>
      <c r="F4660" s="42">
        <v>46198</v>
      </c>
    </row>
    <row r="4661" spans="1:6" x14ac:dyDescent="0.3">
      <c r="A4661" s="15" t="s">
        <v>43419</v>
      </c>
      <c r="B4661" s="15" t="s">
        <v>800</v>
      </c>
      <c r="C4661" s="15" t="s">
        <v>9102</v>
      </c>
      <c r="D4661" s="15" t="s">
        <v>9103</v>
      </c>
      <c r="E4661" s="15">
        <v>40.635100000000001</v>
      </c>
      <c r="F4661" s="42">
        <v>46198</v>
      </c>
    </row>
    <row r="4662" spans="1:6" x14ac:dyDescent="0.3">
      <c r="A4662" s="15" t="s">
        <v>43418</v>
      </c>
      <c r="B4662" s="15" t="s">
        <v>800</v>
      </c>
      <c r="C4662" s="15" t="s">
        <v>9104</v>
      </c>
      <c r="D4662" s="15" t="s">
        <v>9105</v>
      </c>
      <c r="E4662" s="15">
        <v>36.202800000000003</v>
      </c>
      <c r="F4662" s="42">
        <v>46198</v>
      </c>
    </row>
    <row r="4663" spans="1:6" x14ac:dyDescent="0.3">
      <c r="A4663" s="15" t="s">
        <v>43417</v>
      </c>
      <c r="B4663" s="15" t="s">
        <v>800</v>
      </c>
      <c r="C4663" s="15" t="s">
        <v>9106</v>
      </c>
      <c r="D4663" s="15" t="s">
        <v>9107</v>
      </c>
      <c r="E4663" s="15">
        <v>40.635100000000001</v>
      </c>
      <c r="F4663" s="42">
        <v>46198</v>
      </c>
    </row>
    <row r="4664" spans="1:6" x14ac:dyDescent="0.3">
      <c r="A4664" s="15" t="s">
        <v>43416</v>
      </c>
      <c r="B4664" s="15" t="s">
        <v>800</v>
      </c>
      <c r="C4664" s="15" t="s">
        <v>9108</v>
      </c>
      <c r="D4664" s="15" t="s">
        <v>9109</v>
      </c>
      <c r="E4664" s="15">
        <v>36.202800000000003</v>
      </c>
      <c r="F4664" s="42">
        <v>46198</v>
      </c>
    </row>
    <row r="4665" spans="1:6" x14ac:dyDescent="0.3">
      <c r="A4665" s="15" t="s">
        <v>43415</v>
      </c>
      <c r="B4665" s="15" t="s">
        <v>800</v>
      </c>
      <c r="C4665" s="15" t="s">
        <v>9110</v>
      </c>
      <c r="D4665" s="15" t="s">
        <v>9111</v>
      </c>
      <c r="E4665" s="15">
        <v>40.635100000000001</v>
      </c>
      <c r="F4665" s="42">
        <v>46198</v>
      </c>
    </row>
    <row r="4666" spans="1:6" x14ac:dyDescent="0.3">
      <c r="A4666" s="15" t="s">
        <v>43414</v>
      </c>
      <c r="B4666" s="15" t="s">
        <v>800</v>
      </c>
      <c r="C4666" s="15" t="s">
        <v>9112</v>
      </c>
      <c r="D4666" s="15" t="s">
        <v>9113</v>
      </c>
      <c r="E4666" s="15">
        <v>36.202800000000003</v>
      </c>
      <c r="F4666" s="42">
        <v>46198</v>
      </c>
    </row>
    <row r="4667" spans="1:6" x14ac:dyDescent="0.3">
      <c r="A4667" s="15" t="s">
        <v>43413</v>
      </c>
      <c r="B4667" s="15" t="s">
        <v>800</v>
      </c>
      <c r="C4667" s="15" t="s">
        <v>9114</v>
      </c>
      <c r="D4667" s="15" t="s">
        <v>9115</v>
      </c>
      <c r="E4667" s="15">
        <v>40.635100000000001</v>
      </c>
      <c r="F4667" s="42">
        <v>46198</v>
      </c>
    </row>
    <row r="4668" spans="1:6" x14ac:dyDescent="0.3">
      <c r="A4668" s="15" t="s">
        <v>43412</v>
      </c>
      <c r="B4668" s="15" t="s">
        <v>800</v>
      </c>
      <c r="C4668" s="15" t="s">
        <v>9116</v>
      </c>
      <c r="D4668" s="15" t="s">
        <v>9117</v>
      </c>
      <c r="E4668" s="15">
        <v>36.202800000000003</v>
      </c>
      <c r="F4668" s="42">
        <v>46198</v>
      </c>
    </row>
    <row r="4669" spans="1:6" x14ac:dyDescent="0.3">
      <c r="A4669" s="15" t="s">
        <v>43411</v>
      </c>
      <c r="B4669" s="15" t="s">
        <v>800</v>
      </c>
      <c r="C4669" s="15" t="s">
        <v>9118</v>
      </c>
      <c r="D4669" s="15" t="s">
        <v>9119</v>
      </c>
      <c r="E4669" s="15">
        <v>40.635100000000001</v>
      </c>
      <c r="F4669" s="42">
        <v>46198</v>
      </c>
    </row>
    <row r="4670" spans="1:6" x14ac:dyDescent="0.3">
      <c r="A4670" s="15" t="s">
        <v>43410</v>
      </c>
      <c r="B4670" s="15" t="s">
        <v>800</v>
      </c>
      <c r="C4670" s="15" t="s">
        <v>9120</v>
      </c>
      <c r="D4670" s="15" t="s">
        <v>9121</v>
      </c>
      <c r="E4670" s="15">
        <v>36.202800000000003</v>
      </c>
      <c r="F4670" s="42">
        <v>46198</v>
      </c>
    </row>
    <row r="4671" spans="1:6" x14ac:dyDescent="0.3">
      <c r="A4671" s="15" t="s">
        <v>43409</v>
      </c>
      <c r="B4671" s="15" t="s">
        <v>800</v>
      </c>
      <c r="C4671" s="15" t="s">
        <v>9122</v>
      </c>
      <c r="D4671" s="15" t="s">
        <v>9123</v>
      </c>
      <c r="E4671" s="15">
        <v>40.635100000000001</v>
      </c>
      <c r="F4671" s="42">
        <v>46198</v>
      </c>
    </row>
    <row r="4672" spans="1:6" x14ac:dyDescent="0.3">
      <c r="A4672" s="15" t="s">
        <v>43408</v>
      </c>
      <c r="B4672" s="15" t="s">
        <v>800</v>
      </c>
      <c r="C4672" s="15" t="s">
        <v>9124</v>
      </c>
      <c r="D4672" s="15" t="s">
        <v>9125</v>
      </c>
      <c r="E4672" s="15">
        <v>36.202800000000003</v>
      </c>
      <c r="F4672" s="42">
        <v>46198</v>
      </c>
    </row>
    <row r="4673" spans="1:6" x14ac:dyDescent="0.3">
      <c r="A4673" s="15" t="s">
        <v>43407</v>
      </c>
      <c r="B4673" s="15" t="s">
        <v>800</v>
      </c>
      <c r="C4673" s="15" t="s">
        <v>9126</v>
      </c>
      <c r="D4673" s="15" t="s">
        <v>9127</v>
      </c>
      <c r="E4673" s="15">
        <v>40.635100000000001</v>
      </c>
      <c r="F4673" s="42">
        <v>46198</v>
      </c>
    </row>
    <row r="4674" spans="1:6" x14ac:dyDescent="0.3">
      <c r="A4674" s="15" t="s">
        <v>43406</v>
      </c>
      <c r="B4674" s="15" t="s">
        <v>800</v>
      </c>
      <c r="C4674" s="15" t="s">
        <v>9128</v>
      </c>
      <c r="D4674" s="15" t="s">
        <v>9129</v>
      </c>
      <c r="E4674" s="15">
        <v>36.202800000000003</v>
      </c>
      <c r="F4674" s="42">
        <v>46198</v>
      </c>
    </row>
    <row r="4675" spans="1:6" x14ac:dyDescent="0.3">
      <c r="A4675" s="15" t="s">
        <v>43405</v>
      </c>
      <c r="B4675" s="15" t="s">
        <v>800</v>
      </c>
      <c r="C4675" s="15" t="s">
        <v>9130</v>
      </c>
      <c r="D4675" s="15" t="s">
        <v>9131</v>
      </c>
      <c r="E4675" s="15">
        <v>40.635100000000001</v>
      </c>
      <c r="F4675" s="42">
        <v>46198</v>
      </c>
    </row>
    <row r="4676" spans="1:6" x14ac:dyDescent="0.3">
      <c r="A4676" s="15" t="s">
        <v>43404</v>
      </c>
      <c r="B4676" s="15" t="s">
        <v>800</v>
      </c>
      <c r="C4676" s="15" t="s">
        <v>9132</v>
      </c>
      <c r="D4676" s="15" t="s">
        <v>9133</v>
      </c>
      <c r="E4676" s="15">
        <v>36.202800000000003</v>
      </c>
      <c r="F4676" s="42">
        <v>46198</v>
      </c>
    </row>
    <row r="4677" spans="1:6" x14ac:dyDescent="0.3">
      <c r="A4677" s="15" t="s">
        <v>33499</v>
      </c>
      <c r="B4677" s="15" t="s">
        <v>795</v>
      </c>
      <c r="C4677" s="15" t="s">
        <v>795</v>
      </c>
      <c r="D4677" s="15" t="s">
        <v>795</v>
      </c>
      <c r="F4677" s="42"/>
    </row>
    <row r="4678" spans="1:6" x14ac:dyDescent="0.3">
      <c r="A4678" s="15" t="s">
        <v>39301</v>
      </c>
      <c r="B4678" s="15" t="s">
        <v>795</v>
      </c>
      <c r="C4678" s="15" t="s">
        <v>795</v>
      </c>
      <c r="D4678" s="15" t="s">
        <v>795</v>
      </c>
      <c r="F4678" s="42"/>
    </row>
    <row r="4679" spans="1:6" x14ac:dyDescent="0.3">
      <c r="A4679" s="15" t="s">
        <v>33499</v>
      </c>
      <c r="B4679" s="15" t="s">
        <v>795</v>
      </c>
      <c r="C4679" s="15" t="s">
        <v>795</v>
      </c>
      <c r="D4679" s="15" t="s">
        <v>795</v>
      </c>
      <c r="F4679" s="42"/>
    </row>
    <row r="4680" spans="1:6" x14ac:dyDescent="0.3">
      <c r="A4680" s="15" t="s">
        <v>43403</v>
      </c>
      <c r="B4680" s="15" t="s">
        <v>9134</v>
      </c>
      <c r="C4680" s="15" t="s">
        <v>800</v>
      </c>
      <c r="D4680" s="15" t="s">
        <v>9135</v>
      </c>
      <c r="E4680" s="15">
        <v>32.405200000000001</v>
      </c>
      <c r="F4680" s="42">
        <v>46198</v>
      </c>
    </row>
    <row r="4681" spans="1:6" x14ac:dyDescent="0.3">
      <c r="A4681" s="15" t="s">
        <v>43402</v>
      </c>
      <c r="B4681" s="15" t="s">
        <v>9136</v>
      </c>
      <c r="C4681" s="15" t="s">
        <v>800</v>
      </c>
      <c r="D4681" s="15" t="s">
        <v>9137</v>
      </c>
      <c r="E4681" s="15">
        <v>16.128499999999999</v>
      </c>
      <c r="F4681" s="42">
        <v>46198</v>
      </c>
    </row>
    <row r="4682" spans="1:6" x14ac:dyDescent="0.3">
      <c r="A4682" s="15" t="s">
        <v>43401</v>
      </c>
      <c r="B4682" s="15" t="s">
        <v>9138</v>
      </c>
      <c r="C4682" s="15" t="s">
        <v>800</v>
      </c>
      <c r="D4682" s="15" t="s">
        <v>9139</v>
      </c>
      <c r="E4682" s="15">
        <v>20.403099999999998</v>
      </c>
      <c r="F4682" s="42">
        <v>46198</v>
      </c>
    </row>
    <row r="4683" spans="1:6" x14ac:dyDescent="0.3">
      <c r="A4683" s="15" t="s">
        <v>43400</v>
      </c>
      <c r="B4683" s="15" t="s">
        <v>9140</v>
      </c>
      <c r="C4683" s="15" t="s">
        <v>800</v>
      </c>
      <c r="D4683" s="15" t="s">
        <v>9141</v>
      </c>
      <c r="E4683" s="15">
        <v>27.238</v>
      </c>
      <c r="F4683" s="42">
        <v>46198</v>
      </c>
    </row>
    <row r="4684" spans="1:6" x14ac:dyDescent="0.3">
      <c r="A4684" s="15" t="s">
        <v>33499</v>
      </c>
      <c r="B4684" s="15" t="s">
        <v>795</v>
      </c>
      <c r="C4684" s="15" t="s">
        <v>795</v>
      </c>
      <c r="D4684" s="15" t="s">
        <v>795</v>
      </c>
      <c r="F4684" s="42"/>
    </row>
    <row r="4685" spans="1:6" x14ac:dyDescent="0.3">
      <c r="A4685" s="15" t="s">
        <v>37780</v>
      </c>
      <c r="B4685" s="15" t="s">
        <v>795</v>
      </c>
      <c r="C4685" s="15" t="s">
        <v>795</v>
      </c>
      <c r="D4685" s="15" t="s">
        <v>795</v>
      </c>
      <c r="F4685" s="42"/>
    </row>
    <row r="4686" spans="1:6" x14ac:dyDescent="0.3">
      <c r="A4686" s="15" t="s">
        <v>33499</v>
      </c>
      <c r="B4686" s="15" t="s">
        <v>795</v>
      </c>
      <c r="C4686" s="15" t="s">
        <v>795</v>
      </c>
      <c r="D4686" s="15" t="s">
        <v>795</v>
      </c>
      <c r="F4686" s="42"/>
    </row>
    <row r="4687" spans="1:6" x14ac:dyDescent="0.3">
      <c r="A4687" s="15" t="s">
        <v>43399</v>
      </c>
      <c r="B4687" s="15" t="s">
        <v>9142</v>
      </c>
      <c r="C4687" s="15" t="s">
        <v>800</v>
      </c>
      <c r="D4687" s="15" t="s">
        <v>9143</v>
      </c>
      <c r="E4687" s="15">
        <v>57.014000000000003</v>
      </c>
      <c r="F4687" s="42">
        <v>46198</v>
      </c>
    </row>
    <row r="4688" spans="1:6" x14ac:dyDescent="0.3">
      <c r="A4688" s="15" t="s">
        <v>43398</v>
      </c>
      <c r="B4688" s="15" t="s">
        <v>9144</v>
      </c>
      <c r="C4688" s="15" t="s">
        <v>800</v>
      </c>
      <c r="D4688" s="15" t="s">
        <v>9145</v>
      </c>
      <c r="E4688" s="15">
        <v>26.640999999999998</v>
      </c>
      <c r="F4688" s="42">
        <v>46198</v>
      </c>
    </row>
    <row r="4689" spans="1:6" x14ac:dyDescent="0.3">
      <c r="A4689" s="15" t="s">
        <v>43397</v>
      </c>
      <c r="B4689" s="15" t="s">
        <v>9146</v>
      </c>
      <c r="C4689" s="15" t="s">
        <v>800</v>
      </c>
      <c r="D4689" s="15" t="s">
        <v>9147</v>
      </c>
      <c r="E4689" s="15">
        <v>49.942999999999998</v>
      </c>
      <c r="F4689" s="42">
        <v>46198</v>
      </c>
    </row>
    <row r="4690" spans="1:6" x14ac:dyDescent="0.3">
      <c r="A4690" s="15" t="s">
        <v>43396</v>
      </c>
      <c r="B4690" s="15" t="s">
        <v>9148</v>
      </c>
      <c r="C4690" s="15" t="s">
        <v>800</v>
      </c>
      <c r="D4690" s="15" t="s">
        <v>9149</v>
      </c>
      <c r="E4690" s="15">
        <v>22.416</v>
      </c>
      <c r="F4690" s="42">
        <v>46198</v>
      </c>
    </row>
    <row r="4691" spans="1:6" x14ac:dyDescent="0.3">
      <c r="A4691" s="15" t="s">
        <v>33499</v>
      </c>
      <c r="B4691" s="15" t="s">
        <v>795</v>
      </c>
      <c r="C4691" s="15" t="s">
        <v>795</v>
      </c>
      <c r="D4691" s="15" t="s">
        <v>795</v>
      </c>
      <c r="F4691" s="42"/>
    </row>
    <row r="4692" spans="1:6" x14ac:dyDescent="0.3">
      <c r="A4692" s="15" t="s">
        <v>37742</v>
      </c>
      <c r="B4692" s="15" t="s">
        <v>795</v>
      </c>
      <c r="C4692" s="15" t="s">
        <v>795</v>
      </c>
      <c r="D4692" s="15" t="s">
        <v>795</v>
      </c>
      <c r="F4692" s="42"/>
    </row>
    <row r="4693" spans="1:6" x14ac:dyDescent="0.3">
      <c r="A4693" s="15" t="s">
        <v>33499</v>
      </c>
      <c r="B4693" s="15" t="s">
        <v>795</v>
      </c>
      <c r="C4693" s="15" t="s">
        <v>795</v>
      </c>
      <c r="D4693" s="15" t="s">
        <v>795</v>
      </c>
      <c r="F4693" s="42"/>
    </row>
    <row r="4694" spans="1:6" x14ac:dyDescent="0.3">
      <c r="A4694" s="15" t="s">
        <v>43395</v>
      </c>
      <c r="B4694" s="15" t="s">
        <v>9150</v>
      </c>
      <c r="C4694" s="15" t="s">
        <v>800</v>
      </c>
      <c r="D4694" s="15" t="s">
        <v>9151</v>
      </c>
      <c r="E4694" s="15">
        <v>63.720700000000001</v>
      </c>
      <c r="F4694" s="42">
        <v>46198</v>
      </c>
    </row>
    <row r="4695" spans="1:6" x14ac:dyDescent="0.3">
      <c r="A4695" s="15" t="s">
        <v>43394</v>
      </c>
      <c r="B4695" s="15" t="s">
        <v>9152</v>
      </c>
      <c r="C4695" s="15" t="s">
        <v>800</v>
      </c>
      <c r="D4695" s="15" t="s">
        <v>9153</v>
      </c>
      <c r="E4695" s="15">
        <v>30.363099999999999</v>
      </c>
      <c r="F4695" s="42">
        <v>46198</v>
      </c>
    </row>
    <row r="4696" spans="1:6" x14ac:dyDescent="0.3">
      <c r="A4696" s="15" t="s">
        <v>43393</v>
      </c>
      <c r="B4696" s="15" t="s">
        <v>9154</v>
      </c>
      <c r="C4696" s="15" t="s">
        <v>800</v>
      </c>
      <c r="D4696" s="15" t="s">
        <v>9155</v>
      </c>
      <c r="E4696" s="15">
        <v>55.015000000000001</v>
      </c>
      <c r="F4696" s="42">
        <v>46198</v>
      </c>
    </row>
    <row r="4697" spans="1:6" x14ac:dyDescent="0.3">
      <c r="A4697" s="15" t="s">
        <v>43392</v>
      </c>
      <c r="B4697" s="15" t="s">
        <v>9156</v>
      </c>
      <c r="C4697" s="15" t="s">
        <v>800</v>
      </c>
      <c r="D4697" s="15" t="s">
        <v>9157</v>
      </c>
      <c r="E4697" s="15">
        <v>39.393500000000003</v>
      </c>
      <c r="F4697" s="42">
        <v>46198</v>
      </c>
    </row>
    <row r="4698" spans="1:6" x14ac:dyDescent="0.3">
      <c r="A4698" s="15" t="s">
        <v>33499</v>
      </c>
      <c r="B4698" s="15" t="s">
        <v>795</v>
      </c>
      <c r="C4698" s="15" t="s">
        <v>795</v>
      </c>
      <c r="D4698" s="15" t="s">
        <v>795</v>
      </c>
      <c r="F4698" s="42"/>
    </row>
    <row r="4699" spans="1:6" x14ac:dyDescent="0.3">
      <c r="A4699" s="15" t="s">
        <v>38348</v>
      </c>
      <c r="B4699" s="15" t="s">
        <v>795</v>
      </c>
      <c r="C4699" s="15" t="s">
        <v>795</v>
      </c>
      <c r="D4699" s="15" t="s">
        <v>795</v>
      </c>
      <c r="F4699" s="42"/>
    </row>
    <row r="4700" spans="1:6" x14ac:dyDescent="0.3">
      <c r="A4700" s="15" t="s">
        <v>33499</v>
      </c>
      <c r="B4700" s="15" t="s">
        <v>795</v>
      </c>
      <c r="C4700" s="15" t="s">
        <v>795</v>
      </c>
      <c r="D4700" s="15" t="s">
        <v>795</v>
      </c>
      <c r="F4700" s="42"/>
    </row>
    <row r="4701" spans="1:6" x14ac:dyDescent="0.3">
      <c r="A4701" s="15" t="s">
        <v>43391</v>
      </c>
      <c r="B4701" s="15" t="s">
        <v>9158</v>
      </c>
      <c r="C4701" s="15" t="s">
        <v>800</v>
      </c>
      <c r="D4701" s="15" t="s">
        <v>9159</v>
      </c>
      <c r="E4701" s="15">
        <v>32.403799999999997</v>
      </c>
      <c r="F4701" s="42">
        <v>46122</v>
      </c>
    </row>
    <row r="4702" spans="1:6" x14ac:dyDescent="0.3">
      <c r="A4702" s="15" t="s">
        <v>43390</v>
      </c>
      <c r="B4702" s="15" t="s">
        <v>9160</v>
      </c>
      <c r="C4702" s="15" t="s">
        <v>800</v>
      </c>
      <c r="D4702" s="15" t="s">
        <v>9161</v>
      </c>
      <c r="E4702" s="15">
        <v>27.301200000000001</v>
      </c>
      <c r="F4702" s="42">
        <v>46122</v>
      </c>
    </row>
    <row r="4703" spans="1:6" x14ac:dyDescent="0.3">
      <c r="A4703" s="15" t="s">
        <v>43389</v>
      </c>
      <c r="B4703" s="15" t="s">
        <v>9162</v>
      </c>
      <c r="C4703" s="15" t="s">
        <v>800</v>
      </c>
      <c r="D4703" s="15" t="s">
        <v>9163</v>
      </c>
      <c r="E4703" s="15">
        <v>32.811900000000001</v>
      </c>
      <c r="F4703" s="42">
        <v>46122</v>
      </c>
    </row>
    <row r="4704" spans="1:6" x14ac:dyDescent="0.3">
      <c r="A4704" s="15" t="s">
        <v>43388</v>
      </c>
      <c r="B4704" s="15" t="s">
        <v>9164</v>
      </c>
      <c r="C4704" s="15" t="s">
        <v>800</v>
      </c>
      <c r="D4704" s="15" t="s">
        <v>9165</v>
      </c>
      <c r="E4704" s="15">
        <v>27.303899999999999</v>
      </c>
      <c r="F4704" s="42">
        <v>46122</v>
      </c>
    </row>
    <row r="4705" spans="1:6" x14ac:dyDescent="0.3">
      <c r="A4705" s="15" t="s">
        <v>43387</v>
      </c>
      <c r="B4705" s="15" t="s">
        <v>9166</v>
      </c>
      <c r="C4705" s="15" t="s">
        <v>800</v>
      </c>
      <c r="D4705" s="15" t="s">
        <v>9167</v>
      </c>
      <c r="E4705" s="15">
        <v>14.601100000000001</v>
      </c>
      <c r="F4705" s="42">
        <v>46198</v>
      </c>
    </row>
    <row r="4706" spans="1:6" x14ac:dyDescent="0.3">
      <c r="A4706" s="15" t="s">
        <v>43386</v>
      </c>
      <c r="B4706" s="15" t="s">
        <v>9168</v>
      </c>
      <c r="C4706" s="15" t="s">
        <v>800</v>
      </c>
      <c r="D4706" s="15" t="s">
        <v>9169</v>
      </c>
      <c r="E4706" s="15">
        <v>14.607699999999999</v>
      </c>
      <c r="F4706" s="42">
        <v>46198</v>
      </c>
    </row>
    <row r="4707" spans="1:6" x14ac:dyDescent="0.3">
      <c r="A4707" s="15" t="s">
        <v>43385</v>
      </c>
      <c r="B4707" s="15" t="s">
        <v>9170</v>
      </c>
      <c r="C4707" s="15" t="s">
        <v>800</v>
      </c>
      <c r="D4707" s="15" t="s">
        <v>9171</v>
      </c>
      <c r="E4707" s="15">
        <v>14.156000000000001</v>
      </c>
      <c r="F4707" s="42">
        <v>46198</v>
      </c>
    </row>
    <row r="4708" spans="1:6" x14ac:dyDescent="0.3">
      <c r="A4708" s="15" t="s">
        <v>43384</v>
      </c>
      <c r="B4708" s="15" t="s">
        <v>9172</v>
      </c>
      <c r="C4708" s="15" t="s">
        <v>800</v>
      </c>
      <c r="D4708" s="15" t="s">
        <v>9173</v>
      </c>
      <c r="E4708" s="15">
        <v>14.212</v>
      </c>
      <c r="F4708" s="42">
        <v>46198</v>
      </c>
    </row>
    <row r="4709" spans="1:6" x14ac:dyDescent="0.3">
      <c r="A4709" s="15" t="s">
        <v>33499</v>
      </c>
      <c r="B4709" s="15" t="s">
        <v>795</v>
      </c>
      <c r="C4709" s="15" t="s">
        <v>795</v>
      </c>
      <c r="D4709" s="15" t="s">
        <v>795</v>
      </c>
      <c r="F4709" s="42"/>
    </row>
    <row r="4710" spans="1:6" x14ac:dyDescent="0.3">
      <c r="A4710" s="15" t="s">
        <v>208</v>
      </c>
      <c r="B4710" s="15" t="s">
        <v>795</v>
      </c>
      <c r="C4710" s="15" t="s">
        <v>795</v>
      </c>
      <c r="D4710" s="15" t="s">
        <v>795</v>
      </c>
      <c r="F4710" s="42"/>
    </row>
    <row r="4711" spans="1:6" x14ac:dyDescent="0.3">
      <c r="A4711" s="15" t="s">
        <v>33499</v>
      </c>
      <c r="B4711" s="15" t="s">
        <v>795</v>
      </c>
      <c r="C4711" s="15" t="s">
        <v>795</v>
      </c>
      <c r="D4711" s="15" t="s">
        <v>795</v>
      </c>
      <c r="F4711" s="42"/>
    </row>
    <row r="4712" spans="1:6" x14ac:dyDescent="0.3">
      <c r="A4712" s="15" t="s">
        <v>43383</v>
      </c>
      <c r="B4712" s="15" t="s">
        <v>9174</v>
      </c>
      <c r="C4712" s="15" t="s">
        <v>800</v>
      </c>
      <c r="D4712" s="15" t="s">
        <v>9175</v>
      </c>
      <c r="E4712" s="15">
        <v>20.588999999999999</v>
      </c>
      <c r="F4712" s="42">
        <v>46198</v>
      </c>
    </row>
    <row r="4713" spans="1:6" x14ac:dyDescent="0.3">
      <c r="A4713" s="15" t="s">
        <v>43382</v>
      </c>
      <c r="B4713" s="15" t="s">
        <v>9176</v>
      </c>
      <c r="C4713" s="15" t="s">
        <v>800</v>
      </c>
      <c r="D4713" s="15" t="s">
        <v>9177</v>
      </c>
      <c r="E4713" s="15">
        <v>22.646799999999999</v>
      </c>
      <c r="F4713" s="42">
        <v>46198</v>
      </c>
    </row>
    <row r="4714" spans="1:6" x14ac:dyDescent="0.3">
      <c r="A4714" s="15" t="s">
        <v>43381</v>
      </c>
      <c r="B4714" s="15" t="s">
        <v>9178</v>
      </c>
      <c r="C4714" s="15" t="s">
        <v>9179</v>
      </c>
      <c r="D4714" s="15" t="s">
        <v>9180</v>
      </c>
      <c r="E4714" s="15">
        <v>45.8812</v>
      </c>
      <c r="F4714" s="42">
        <v>46198</v>
      </c>
    </row>
    <row r="4715" spans="1:6" x14ac:dyDescent="0.3">
      <c r="A4715" s="15" t="s">
        <v>43380</v>
      </c>
      <c r="B4715" s="15" t="s">
        <v>9181</v>
      </c>
      <c r="C4715" s="15" t="s">
        <v>800</v>
      </c>
      <c r="D4715" s="15" t="s">
        <v>9182</v>
      </c>
      <c r="E4715" s="15">
        <v>144.96629999999999</v>
      </c>
      <c r="F4715" s="42">
        <v>46198</v>
      </c>
    </row>
    <row r="4716" spans="1:6" x14ac:dyDescent="0.3">
      <c r="A4716" s="15" t="s">
        <v>43379</v>
      </c>
      <c r="B4716" s="15" t="s">
        <v>9183</v>
      </c>
      <c r="C4716" s="15" t="s">
        <v>9184</v>
      </c>
      <c r="D4716" s="15" t="s">
        <v>9185</v>
      </c>
      <c r="E4716" s="15">
        <v>34.089199999999998</v>
      </c>
      <c r="F4716" s="42">
        <v>46198</v>
      </c>
    </row>
    <row r="4717" spans="1:6" x14ac:dyDescent="0.3">
      <c r="A4717" s="15" t="s">
        <v>43378</v>
      </c>
      <c r="B4717" s="15" t="s">
        <v>9186</v>
      </c>
      <c r="C4717" s="15" t="s">
        <v>800</v>
      </c>
      <c r="D4717" s="15" t="s">
        <v>9187</v>
      </c>
      <c r="E4717" s="15">
        <v>131.2407</v>
      </c>
      <c r="F4717" s="42">
        <v>46198</v>
      </c>
    </row>
    <row r="4718" spans="1:6" x14ac:dyDescent="0.3">
      <c r="A4718" s="15" t="s">
        <v>33499</v>
      </c>
      <c r="B4718" s="15" t="s">
        <v>795</v>
      </c>
      <c r="C4718" s="15" t="s">
        <v>795</v>
      </c>
      <c r="D4718" s="15" t="s">
        <v>795</v>
      </c>
      <c r="F4718" s="42"/>
    </row>
    <row r="4719" spans="1:6" x14ac:dyDescent="0.3">
      <c r="A4719" s="15" t="s">
        <v>40544</v>
      </c>
      <c r="B4719" s="15" t="s">
        <v>795</v>
      </c>
      <c r="C4719" s="15" t="s">
        <v>795</v>
      </c>
      <c r="D4719" s="15" t="s">
        <v>795</v>
      </c>
      <c r="F4719" s="42"/>
    </row>
    <row r="4720" spans="1:6" x14ac:dyDescent="0.3">
      <c r="A4720" s="15" t="s">
        <v>33499</v>
      </c>
      <c r="B4720" s="15" t="s">
        <v>795</v>
      </c>
      <c r="C4720" s="15" t="s">
        <v>795</v>
      </c>
      <c r="D4720" s="15" t="s">
        <v>795</v>
      </c>
      <c r="F4720" s="42"/>
    </row>
    <row r="4721" spans="1:6" x14ac:dyDescent="0.3">
      <c r="A4721" s="15" t="s">
        <v>43377</v>
      </c>
      <c r="B4721" s="15" t="s">
        <v>9188</v>
      </c>
      <c r="C4721" s="15" t="s">
        <v>800</v>
      </c>
      <c r="D4721" s="15" t="s">
        <v>9189</v>
      </c>
      <c r="E4721" s="15">
        <v>14.52</v>
      </c>
      <c r="F4721" s="42">
        <v>46198</v>
      </c>
    </row>
    <row r="4722" spans="1:6" x14ac:dyDescent="0.3">
      <c r="A4722" s="15" t="s">
        <v>43376</v>
      </c>
      <c r="B4722" s="15" t="s">
        <v>9190</v>
      </c>
      <c r="C4722" s="15" t="s">
        <v>800</v>
      </c>
      <c r="D4722" s="15" t="s">
        <v>9191</v>
      </c>
      <c r="E4722" s="15">
        <v>14.52</v>
      </c>
      <c r="F4722" s="42">
        <v>46198</v>
      </c>
    </row>
    <row r="4723" spans="1:6" x14ac:dyDescent="0.3">
      <c r="A4723" s="15" t="s">
        <v>43375</v>
      </c>
      <c r="B4723" s="15" t="s">
        <v>9192</v>
      </c>
      <c r="C4723" s="15" t="s">
        <v>800</v>
      </c>
      <c r="D4723" s="15" t="s">
        <v>9193</v>
      </c>
      <c r="E4723" s="15">
        <v>13.75</v>
      </c>
      <c r="F4723" s="42">
        <v>46198</v>
      </c>
    </row>
    <row r="4724" spans="1:6" x14ac:dyDescent="0.3">
      <c r="A4724" s="15" t="s">
        <v>43374</v>
      </c>
      <c r="B4724" s="15" t="s">
        <v>9194</v>
      </c>
      <c r="C4724" s="15" t="s">
        <v>800</v>
      </c>
      <c r="D4724" s="15" t="s">
        <v>9195</v>
      </c>
      <c r="E4724" s="15">
        <v>13.75</v>
      </c>
      <c r="F4724" s="42">
        <v>46198</v>
      </c>
    </row>
    <row r="4725" spans="1:6" x14ac:dyDescent="0.3">
      <c r="A4725" s="15" t="s">
        <v>33499</v>
      </c>
      <c r="B4725" s="15" t="s">
        <v>795</v>
      </c>
      <c r="C4725" s="15" t="s">
        <v>795</v>
      </c>
      <c r="D4725" s="15" t="s">
        <v>795</v>
      </c>
      <c r="F4725" s="42"/>
    </row>
    <row r="4726" spans="1:6" x14ac:dyDescent="0.3">
      <c r="A4726" s="15" t="s">
        <v>37523</v>
      </c>
      <c r="B4726" s="15" t="s">
        <v>795</v>
      </c>
      <c r="C4726" s="15" t="s">
        <v>795</v>
      </c>
      <c r="D4726" s="15" t="s">
        <v>795</v>
      </c>
      <c r="F4726" s="42"/>
    </row>
    <row r="4727" spans="1:6" x14ac:dyDescent="0.3">
      <c r="A4727" s="15" t="s">
        <v>33499</v>
      </c>
      <c r="B4727" s="15" t="s">
        <v>795</v>
      </c>
      <c r="C4727" s="15" t="s">
        <v>795</v>
      </c>
      <c r="D4727" s="15" t="s">
        <v>795</v>
      </c>
      <c r="F4727" s="42"/>
    </row>
    <row r="4728" spans="1:6" x14ac:dyDescent="0.3">
      <c r="A4728" s="15" t="s">
        <v>43373</v>
      </c>
      <c r="B4728" s="15" t="s">
        <v>9196</v>
      </c>
      <c r="C4728" s="15" t="s">
        <v>800</v>
      </c>
      <c r="D4728" s="15" t="s">
        <v>9197</v>
      </c>
      <c r="E4728" s="15">
        <v>17.52</v>
      </c>
      <c r="F4728" s="42">
        <v>46198</v>
      </c>
    </row>
    <row r="4729" spans="1:6" x14ac:dyDescent="0.3">
      <c r="A4729" s="15" t="s">
        <v>43372</v>
      </c>
      <c r="B4729" s="15" t="s">
        <v>9198</v>
      </c>
      <c r="C4729" s="15" t="s">
        <v>800</v>
      </c>
      <c r="D4729" s="15" t="s">
        <v>9199</v>
      </c>
      <c r="E4729" s="15">
        <v>39.49</v>
      </c>
      <c r="F4729" s="42">
        <v>46198</v>
      </c>
    </row>
    <row r="4730" spans="1:6" x14ac:dyDescent="0.3">
      <c r="A4730" s="15" t="s">
        <v>43371</v>
      </c>
      <c r="B4730" s="15" t="s">
        <v>9200</v>
      </c>
      <c r="C4730" s="15" t="s">
        <v>800</v>
      </c>
      <c r="D4730" s="15" t="s">
        <v>9201</v>
      </c>
      <c r="E4730" s="15">
        <v>16.260000000000002</v>
      </c>
      <c r="F4730" s="42">
        <v>46198</v>
      </c>
    </row>
    <row r="4731" spans="1:6" x14ac:dyDescent="0.3">
      <c r="A4731" s="15" t="s">
        <v>43370</v>
      </c>
      <c r="B4731" s="15" t="s">
        <v>9202</v>
      </c>
      <c r="C4731" s="15" t="s">
        <v>800</v>
      </c>
      <c r="D4731" s="15" t="s">
        <v>9203</v>
      </c>
      <c r="E4731" s="15">
        <v>34.01</v>
      </c>
      <c r="F4731" s="42">
        <v>46198</v>
      </c>
    </row>
    <row r="4732" spans="1:6" x14ac:dyDescent="0.3">
      <c r="A4732" s="15" t="s">
        <v>33499</v>
      </c>
      <c r="B4732" s="15" t="s">
        <v>795</v>
      </c>
      <c r="C4732" s="15" t="s">
        <v>795</v>
      </c>
      <c r="D4732" s="15" t="s">
        <v>795</v>
      </c>
      <c r="F4732" s="42"/>
    </row>
    <row r="4733" spans="1:6" x14ac:dyDescent="0.3">
      <c r="A4733" s="15" t="s">
        <v>40535</v>
      </c>
      <c r="B4733" s="15" t="s">
        <v>795</v>
      </c>
      <c r="C4733" s="15" t="s">
        <v>795</v>
      </c>
      <c r="D4733" s="15" t="s">
        <v>795</v>
      </c>
      <c r="F4733" s="42"/>
    </row>
    <row r="4734" spans="1:6" x14ac:dyDescent="0.3">
      <c r="A4734" s="15" t="s">
        <v>33499</v>
      </c>
      <c r="B4734" s="15" t="s">
        <v>795</v>
      </c>
      <c r="C4734" s="15" t="s">
        <v>795</v>
      </c>
      <c r="D4734" s="15" t="s">
        <v>795</v>
      </c>
      <c r="F4734" s="42"/>
    </row>
    <row r="4735" spans="1:6" x14ac:dyDescent="0.3">
      <c r="A4735" s="15" t="s">
        <v>43369</v>
      </c>
      <c r="B4735" s="15" t="s">
        <v>9204</v>
      </c>
      <c r="C4735" s="15" t="s">
        <v>800</v>
      </c>
      <c r="D4735" s="15" t="s">
        <v>9205</v>
      </c>
      <c r="E4735" s="15">
        <v>31.8062</v>
      </c>
      <c r="F4735" s="42">
        <v>46198</v>
      </c>
    </row>
    <row r="4736" spans="1:6" x14ac:dyDescent="0.3">
      <c r="A4736" s="15" t="s">
        <v>43368</v>
      </c>
      <c r="B4736" s="15" t="s">
        <v>9206</v>
      </c>
      <c r="C4736" s="15" t="s">
        <v>800</v>
      </c>
      <c r="D4736" s="15" t="s">
        <v>9207</v>
      </c>
      <c r="E4736" s="15">
        <v>29.292200000000001</v>
      </c>
      <c r="F4736" s="42">
        <v>46198</v>
      </c>
    </row>
    <row r="4737" spans="1:6" x14ac:dyDescent="0.3">
      <c r="A4737" s="15" t="s">
        <v>33499</v>
      </c>
      <c r="B4737" s="15" t="s">
        <v>795</v>
      </c>
      <c r="C4737" s="15" t="s">
        <v>795</v>
      </c>
      <c r="D4737" s="15" t="s">
        <v>795</v>
      </c>
      <c r="F4737" s="42"/>
    </row>
    <row r="4738" spans="1:6" x14ac:dyDescent="0.3">
      <c r="A4738" s="15" t="s">
        <v>40216</v>
      </c>
      <c r="B4738" s="15" t="s">
        <v>795</v>
      </c>
      <c r="C4738" s="15" t="s">
        <v>795</v>
      </c>
      <c r="D4738" s="15" t="s">
        <v>795</v>
      </c>
      <c r="F4738" s="42"/>
    </row>
    <row r="4739" spans="1:6" x14ac:dyDescent="0.3">
      <c r="A4739" s="15" t="s">
        <v>33499</v>
      </c>
      <c r="B4739" s="15" t="s">
        <v>795</v>
      </c>
      <c r="C4739" s="15" t="s">
        <v>795</v>
      </c>
      <c r="D4739" s="15" t="s">
        <v>795</v>
      </c>
      <c r="F4739" s="42"/>
    </row>
    <row r="4740" spans="1:6" x14ac:dyDescent="0.3">
      <c r="A4740" s="15" t="s">
        <v>43367</v>
      </c>
      <c r="B4740" s="15" t="s">
        <v>9208</v>
      </c>
      <c r="C4740" s="15" t="s">
        <v>800</v>
      </c>
      <c r="D4740" s="15" t="s">
        <v>9209</v>
      </c>
      <c r="E4740" s="15">
        <v>456.48200000000003</v>
      </c>
      <c r="F4740" s="42">
        <v>46198</v>
      </c>
    </row>
    <row r="4741" spans="1:6" x14ac:dyDescent="0.3">
      <c r="A4741" s="15" t="s">
        <v>43366</v>
      </c>
      <c r="B4741" s="15" t="s">
        <v>9210</v>
      </c>
      <c r="C4741" s="15" t="s">
        <v>800</v>
      </c>
      <c r="D4741" s="15" t="s">
        <v>9211</v>
      </c>
      <c r="E4741" s="15">
        <v>404.17559999999997</v>
      </c>
      <c r="F4741" s="42">
        <v>46198</v>
      </c>
    </row>
    <row r="4742" spans="1:6" x14ac:dyDescent="0.3">
      <c r="A4742" s="15" t="s">
        <v>43365</v>
      </c>
      <c r="B4742" s="15" t="s">
        <v>9212</v>
      </c>
      <c r="C4742" s="15" t="s">
        <v>9213</v>
      </c>
      <c r="D4742" s="15" t="s">
        <v>9214</v>
      </c>
      <c r="E4742" s="15">
        <v>60.851199999999999</v>
      </c>
      <c r="F4742" s="42">
        <v>46198</v>
      </c>
    </row>
    <row r="4743" spans="1:6" x14ac:dyDescent="0.3">
      <c r="A4743" s="15" t="s">
        <v>43364</v>
      </c>
      <c r="B4743" s="15" t="s">
        <v>9215</v>
      </c>
      <c r="C4743" s="15" t="s">
        <v>800</v>
      </c>
      <c r="D4743" s="15" t="s">
        <v>9216</v>
      </c>
      <c r="E4743" s="15">
        <v>56.124400000000001</v>
      </c>
      <c r="F4743" s="42">
        <v>46198</v>
      </c>
    </row>
    <row r="4744" spans="1:6" x14ac:dyDescent="0.3">
      <c r="A4744" s="15" t="s">
        <v>33499</v>
      </c>
      <c r="B4744" s="15" t="s">
        <v>795</v>
      </c>
      <c r="C4744" s="15" t="s">
        <v>795</v>
      </c>
      <c r="D4744" s="15" t="s">
        <v>795</v>
      </c>
      <c r="F4744" s="42"/>
    </row>
    <row r="4745" spans="1:6" x14ac:dyDescent="0.3">
      <c r="A4745" s="15" t="s">
        <v>37684</v>
      </c>
      <c r="B4745" s="15" t="s">
        <v>795</v>
      </c>
      <c r="C4745" s="15" t="s">
        <v>795</v>
      </c>
      <c r="D4745" s="15" t="s">
        <v>795</v>
      </c>
      <c r="F4745" s="42"/>
    </row>
    <row r="4746" spans="1:6" x14ac:dyDescent="0.3">
      <c r="A4746" s="15" t="s">
        <v>33499</v>
      </c>
      <c r="B4746" s="15" t="s">
        <v>795</v>
      </c>
      <c r="C4746" s="15" t="s">
        <v>795</v>
      </c>
      <c r="D4746" s="15" t="s">
        <v>795</v>
      </c>
      <c r="F4746" s="42"/>
    </row>
    <row r="4747" spans="1:6" x14ac:dyDescent="0.3">
      <c r="A4747" s="15" t="s">
        <v>43363</v>
      </c>
      <c r="B4747" s="15" t="s">
        <v>9217</v>
      </c>
      <c r="C4747" s="15" t="s">
        <v>800</v>
      </c>
      <c r="D4747" s="15" t="s">
        <v>9218</v>
      </c>
      <c r="E4747" s="15">
        <v>124.63</v>
      </c>
      <c r="F4747" s="42">
        <v>46198</v>
      </c>
    </row>
    <row r="4748" spans="1:6" x14ac:dyDescent="0.3">
      <c r="A4748" s="15" t="s">
        <v>43362</v>
      </c>
      <c r="B4748" s="15" t="s">
        <v>9219</v>
      </c>
      <c r="C4748" s="15" t="s">
        <v>9220</v>
      </c>
      <c r="D4748" s="15" t="s">
        <v>9221</v>
      </c>
      <c r="E4748" s="15">
        <v>123.83</v>
      </c>
      <c r="F4748" s="42">
        <v>46198</v>
      </c>
    </row>
    <row r="4749" spans="1:6" x14ac:dyDescent="0.3">
      <c r="A4749" s="15" t="s">
        <v>43361</v>
      </c>
      <c r="B4749" s="15" t="s">
        <v>9222</v>
      </c>
      <c r="C4749" s="15" t="s">
        <v>800</v>
      </c>
      <c r="D4749" s="15" t="s">
        <v>9223</v>
      </c>
      <c r="E4749" s="15">
        <v>117.58</v>
      </c>
      <c r="F4749" s="42">
        <v>46198</v>
      </c>
    </row>
    <row r="4750" spans="1:6" x14ac:dyDescent="0.3">
      <c r="A4750" s="15" t="s">
        <v>43360</v>
      </c>
      <c r="B4750" s="15" t="s">
        <v>9224</v>
      </c>
      <c r="C4750" s="15" t="s">
        <v>800</v>
      </c>
      <c r="D4750" s="15" t="s">
        <v>9225</v>
      </c>
      <c r="E4750" s="15">
        <v>116.79</v>
      </c>
      <c r="F4750" s="42">
        <v>46198</v>
      </c>
    </row>
    <row r="4751" spans="1:6" x14ac:dyDescent="0.3">
      <c r="A4751" s="15" t="s">
        <v>33499</v>
      </c>
      <c r="B4751" s="15" t="s">
        <v>795</v>
      </c>
      <c r="C4751" s="15" t="s">
        <v>795</v>
      </c>
      <c r="D4751" s="15" t="s">
        <v>795</v>
      </c>
      <c r="F4751" s="42"/>
    </row>
    <row r="4752" spans="1:6" x14ac:dyDescent="0.3">
      <c r="A4752" s="15" t="s">
        <v>40209</v>
      </c>
      <c r="B4752" s="15" t="s">
        <v>795</v>
      </c>
      <c r="C4752" s="15" t="s">
        <v>795</v>
      </c>
      <c r="D4752" s="15" t="s">
        <v>795</v>
      </c>
      <c r="F4752" s="42"/>
    </row>
    <row r="4753" spans="1:6" x14ac:dyDescent="0.3">
      <c r="A4753" s="15" t="s">
        <v>33499</v>
      </c>
      <c r="B4753" s="15" t="s">
        <v>795</v>
      </c>
      <c r="C4753" s="15" t="s">
        <v>795</v>
      </c>
      <c r="D4753" s="15" t="s">
        <v>795</v>
      </c>
      <c r="F4753" s="42"/>
    </row>
    <row r="4754" spans="1:6" x14ac:dyDescent="0.3">
      <c r="A4754" s="15" t="s">
        <v>43359</v>
      </c>
      <c r="B4754" s="15" t="s">
        <v>9226</v>
      </c>
      <c r="C4754" s="15" t="s">
        <v>800</v>
      </c>
      <c r="D4754" s="15" t="s">
        <v>9227</v>
      </c>
      <c r="E4754" s="15">
        <v>13.23</v>
      </c>
      <c r="F4754" s="42">
        <v>46198</v>
      </c>
    </row>
    <row r="4755" spans="1:6" x14ac:dyDescent="0.3">
      <c r="A4755" s="15" t="s">
        <v>43358</v>
      </c>
      <c r="B4755" s="15" t="s">
        <v>9228</v>
      </c>
      <c r="C4755" s="15" t="s">
        <v>800</v>
      </c>
      <c r="D4755" s="15" t="s">
        <v>9229</v>
      </c>
      <c r="E4755" s="15">
        <v>12.59</v>
      </c>
      <c r="F4755" s="42">
        <v>46198</v>
      </c>
    </row>
    <row r="4756" spans="1:6" x14ac:dyDescent="0.3">
      <c r="A4756" s="15" t="s">
        <v>33499</v>
      </c>
      <c r="B4756" s="15" t="s">
        <v>795</v>
      </c>
      <c r="C4756" s="15" t="s">
        <v>795</v>
      </c>
      <c r="D4756" s="15" t="s">
        <v>795</v>
      </c>
      <c r="F4756" s="42"/>
    </row>
    <row r="4757" spans="1:6" x14ac:dyDescent="0.3">
      <c r="A4757" s="15" t="s">
        <v>33636</v>
      </c>
      <c r="B4757" s="15" t="s">
        <v>795</v>
      </c>
      <c r="C4757" s="15" t="s">
        <v>795</v>
      </c>
      <c r="D4757" s="15" t="s">
        <v>795</v>
      </c>
      <c r="F4757" s="42"/>
    </row>
    <row r="4758" spans="1:6" x14ac:dyDescent="0.3">
      <c r="A4758" s="15" t="s">
        <v>33499</v>
      </c>
      <c r="B4758" s="15" t="s">
        <v>795</v>
      </c>
      <c r="C4758" s="15" t="s">
        <v>795</v>
      </c>
      <c r="D4758" s="15" t="s">
        <v>795</v>
      </c>
      <c r="F4758" s="42"/>
    </row>
    <row r="4759" spans="1:6" x14ac:dyDescent="0.3">
      <c r="A4759" s="15" t="s">
        <v>43357</v>
      </c>
      <c r="B4759" s="15" t="s">
        <v>9230</v>
      </c>
      <c r="C4759" s="15" t="s">
        <v>800</v>
      </c>
      <c r="D4759" s="15" t="s">
        <v>9231</v>
      </c>
      <c r="E4759" s="15">
        <v>117.5856</v>
      </c>
      <c r="F4759" s="42">
        <v>46198</v>
      </c>
    </row>
    <row r="4760" spans="1:6" x14ac:dyDescent="0.3">
      <c r="A4760" s="15" t="s">
        <v>43356</v>
      </c>
      <c r="B4760" s="15" t="s">
        <v>9232</v>
      </c>
      <c r="C4760" s="15" t="s">
        <v>800</v>
      </c>
      <c r="D4760" s="15" t="s">
        <v>9233</v>
      </c>
      <c r="E4760" s="15">
        <v>474.73149999999998</v>
      </c>
      <c r="F4760" s="42">
        <v>46198</v>
      </c>
    </row>
    <row r="4761" spans="1:6" x14ac:dyDescent="0.3">
      <c r="A4761" s="15" t="s">
        <v>43355</v>
      </c>
      <c r="B4761" s="15" t="s">
        <v>9234</v>
      </c>
      <c r="C4761" s="15" t="s">
        <v>800</v>
      </c>
      <c r="D4761" s="15" t="s">
        <v>9235</v>
      </c>
      <c r="E4761" s="15">
        <v>88.532300000000006</v>
      </c>
      <c r="F4761" s="42">
        <v>46198</v>
      </c>
    </row>
    <row r="4762" spans="1:6" x14ac:dyDescent="0.3">
      <c r="A4762" s="15" t="s">
        <v>43354</v>
      </c>
      <c r="B4762" s="15" t="s">
        <v>9236</v>
      </c>
      <c r="C4762" s="15" t="s">
        <v>800</v>
      </c>
      <c r="D4762" s="15" t="s">
        <v>9237</v>
      </c>
      <c r="E4762" s="15">
        <v>436.67860000000002</v>
      </c>
      <c r="F4762" s="42">
        <v>46198</v>
      </c>
    </row>
    <row r="4763" spans="1:6" x14ac:dyDescent="0.3">
      <c r="A4763" s="15" t="s">
        <v>33499</v>
      </c>
      <c r="B4763" s="15" t="s">
        <v>795</v>
      </c>
      <c r="C4763" s="15" t="s">
        <v>795</v>
      </c>
      <c r="D4763" s="15" t="s">
        <v>795</v>
      </c>
      <c r="F4763" s="42"/>
    </row>
    <row r="4764" spans="1:6" x14ac:dyDescent="0.3">
      <c r="A4764" s="15" t="s">
        <v>37664</v>
      </c>
      <c r="B4764" s="15" t="s">
        <v>795</v>
      </c>
      <c r="C4764" s="15" t="s">
        <v>795</v>
      </c>
      <c r="D4764" s="15" t="s">
        <v>795</v>
      </c>
      <c r="F4764" s="42"/>
    </row>
    <row r="4765" spans="1:6" x14ac:dyDescent="0.3">
      <c r="A4765" s="15" t="s">
        <v>33499</v>
      </c>
      <c r="B4765" s="15" t="s">
        <v>795</v>
      </c>
      <c r="C4765" s="15" t="s">
        <v>795</v>
      </c>
      <c r="D4765" s="15" t="s">
        <v>795</v>
      </c>
      <c r="F4765" s="42"/>
    </row>
    <row r="4766" spans="1:6" x14ac:dyDescent="0.3">
      <c r="A4766" s="15" t="s">
        <v>43353</v>
      </c>
      <c r="B4766" s="15" t="s">
        <v>9238</v>
      </c>
      <c r="C4766" s="15" t="s">
        <v>800</v>
      </c>
      <c r="D4766" s="15" t="s">
        <v>9239</v>
      </c>
      <c r="E4766" s="15">
        <v>23.6524</v>
      </c>
      <c r="F4766" s="42">
        <v>46198</v>
      </c>
    </row>
    <row r="4767" spans="1:6" x14ac:dyDescent="0.3">
      <c r="A4767" s="15" t="s">
        <v>43352</v>
      </c>
      <c r="B4767" s="15" t="s">
        <v>9240</v>
      </c>
      <c r="C4767" s="15" t="s">
        <v>800</v>
      </c>
      <c r="D4767" s="15" t="s">
        <v>9241</v>
      </c>
      <c r="E4767" s="15">
        <v>23.462800000000001</v>
      </c>
      <c r="F4767" s="42">
        <v>46198</v>
      </c>
    </row>
    <row r="4768" spans="1:6" x14ac:dyDescent="0.3">
      <c r="A4768" s="15" t="s">
        <v>43351</v>
      </c>
      <c r="B4768" s="15" t="s">
        <v>9242</v>
      </c>
      <c r="C4768" s="15" t="s">
        <v>800</v>
      </c>
      <c r="D4768" s="15" t="s">
        <v>9243</v>
      </c>
      <c r="E4768" s="15">
        <v>20.7441</v>
      </c>
      <c r="F4768" s="42">
        <v>46198</v>
      </c>
    </row>
    <row r="4769" spans="1:6" x14ac:dyDescent="0.3">
      <c r="A4769" s="15" t="s">
        <v>43350</v>
      </c>
      <c r="B4769" s="15" t="s">
        <v>9244</v>
      </c>
      <c r="C4769" s="15" t="s">
        <v>800</v>
      </c>
      <c r="D4769" s="15" t="s">
        <v>9245</v>
      </c>
      <c r="E4769" s="15">
        <v>20.7471</v>
      </c>
      <c r="F4769" s="42">
        <v>46198</v>
      </c>
    </row>
    <row r="4770" spans="1:6" x14ac:dyDescent="0.3">
      <c r="A4770" s="15" t="s">
        <v>33499</v>
      </c>
      <c r="B4770" s="15" t="s">
        <v>795</v>
      </c>
      <c r="C4770" s="15" t="s">
        <v>795</v>
      </c>
      <c r="D4770" s="15" t="s">
        <v>795</v>
      </c>
      <c r="F4770" s="42"/>
    </row>
    <row r="4771" spans="1:6" x14ac:dyDescent="0.3">
      <c r="A4771" s="15" t="s">
        <v>37414</v>
      </c>
      <c r="B4771" s="15" t="s">
        <v>795</v>
      </c>
      <c r="C4771" s="15" t="s">
        <v>795</v>
      </c>
      <c r="D4771" s="15" t="s">
        <v>795</v>
      </c>
      <c r="F4771" s="42"/>
    </row>
    <row r="4772" spans="1:6" x14ac:dyDescent="0.3">
      <c r="A4772" s="15" t="s">
        <v>33499</v>
      </c>
      <c r="B4772" s="15" t="s">
        <v>795</v>
      </c>
      <c r="C4772" s="15" t="s">
        <v>795</v>
      </c>
      <c r="D4772" s="15" t="s">
        <v>795</v>
      </c>
      <c r="F4772" s="42"/>
    </row>
    <row r="4773" spans="1:6" x14ac:dyDescent="0.3">
      <c r="A4773" s="15" t="s">
        <v>43349</v>
      </c>
      <c r="B4773" s="15" t="s">
        <v>9246</v>
      </c>
      <c r="C4773" s="15" t="s">
        <v>800</v>
      </c>
      <c r="D4773" s="15" t="s">
        <v>9247</v>
      </c>
      <c r="E4773" s="15">
        <v>511.33170000000001</v>
      </c>
      <c r="F4773" s="42">
        <v>46198</v>
      </c>
    </row>
    <row r="4774" spans="1:6" x14ac:dyDescent="0.3">
      <c r="A4774" s="15" t="s">
        <v>43348</v>
      </c>
      <c r="B4774" s="15" t="s">
        <v>9248</v>
      </c>
      <c r="C4774" s="15" t="s">
        <v>800</v>
      </c>
      <c r="D4774" s="15" t="s">
        <v>9249</v>
      </c>
      <c r="E4774" s="15">
        <v>533.95450000000005</v>
      </c>
      <c r="F4774" s="42">
        <v>46198</v>
      </c>
    </row>
    <row r="4775" spans="1:6" x14ac:dyDescent="0.3">
      <c r="A4775" s="15" t="s">
        <v>43347</v>
      </c>
      <c r="B4775" s="15" t="s">
        <v>9250</v>
      </c>
      <c r="C4775" s="15" t="s">
        <v>800</v>
      </c>
      <c r="D4775" s="15" t="s">
        <v>9251</v>
      </c>
      <c r="E4775" s="15">
        <v>496.8603</v>
      </c>
      <c r="F4775" s="42">
        <v>46198</v>
      </c>
    </row>
    <row r="4776" spans="1:6" x14ac:dyDescent="0.3">
      <c r="A4776" s="15" t="s">
        <v>43346</v>
      </c>
      <c r="B4776" s="15" t="s">
        <v>9252</v>
      </c>
      <c r="C4776" s="15" t="s">
        <v>800</v>
      </c>
      <c r="D4776" s="15" t="s">
        <v>9253</v>
      </c>
      <c r="E4776" s="15">
        <v>381.94220000000001</v>
      </c>
      <c r="F4776" s="42">
        <v>46198</v>
      </c>
    </row>
    <row r="4777" spans="1:6" x14ac:dyDescent="0.3">
      <c r="A4777" s="15" t="s">
        <v>33499</v>
      </c>
      <c r="B4777" s="15" t="s">
        <v>795</v>
      </c>
      <c r="C4777" s="15" t="s">
        <v>795</v>
      </c>
      <c r="D4777" s="15" t="s">
        <v>795</v>
      </c>
      <c r="F4777" s="42"/>
    </row>
    <row r="4778" spans="1:6" x14ac:dyDescent="0.3">
      <c r="A4778" s="15" t="s">
        <v>33519</v>
      </c>
      <c r="B4778" s="15" t="s">
        <v>795</v>
      </c>
      <c r="C4778" s="15" t="s">
        <v>795</v>
      </c>
      <c r="D4778" s="15" t="s">
        <v>795</v>
      </c>
      <c r="F4778" s="42"/>
    </row>
    <row r="4779" spans="1:6" x14ac:dyDescent="0.3">
      <c r="A4779" s="15" t="s">
        <v>33499</v>
      </c>
      <c r="B4779" s="15" t="s">
        <v>795</v>
      </c>
      <c r="C4779" s="15" t="s">
        <v>795</v>
      </c>
      <c r="D4779" s="15" t="s">
        <v>795</v>
      </c>
      <c r="F4779" s="42"/>
    </row>
    <row r="4780" spans="1:6" x14ac:dyDescent="0.3">
      <c r="A4780" s="15" t="s">
        <v>43345</v>
      </c>
      <c r="B4780" s="15" t="s">
        <v>9254</v>
      </c>
      <c r="C4780" s="15" t="s">
        <v>800</v>
      </c>
      <c r="D4780" s="15" t="s">
        <v>9255</v>
      </c>
      <c r="E4780" s="15">
        <v>230.23150000000001</v>
      </c>
      <c r="F4780" s="42">
        <v>46198</v>
      </c>
    </row>
    <row r="4781" spans="1:6" x14ac:dyDescent="0.3">
      <c r="A4781" s="15" t="s">
        <v>43344</v>
      </c>
      <c r="B4781" s="15" t="s">
        <v>9256</v>
      </c>
      <c r="C4781" s="15" t="s">
        <v>800</v>
      </c>
      <c r="D4781" s="15" t="s">
        <v>9257</v>
      </c>
      <c r="E4781" s="15">
        <v>94.217200000000005</v>
      </c>
      <c r="F4781" s="42">
        <v>46198</v>
      </c>
    </row>
    <row r="4782" spans="1:6" x14ac:dyDescent="0.3">
      <c r="A4782" s="15" t="s">
        <v>43343</v>
      </c>
      <c r="B4782" s="15" t="s">
        <v>9258</v>
      </c>
      <c r="C4782" s="15" t="s">
        <v>800</v>
      </c>
      <c r="D4782" s="15" t="s">
        <v>9259</v>
      </c>
      <c r="E4782" s="15">
        <v>53.217100000000002</v>
      </c>
      <c r="F4782" s="42">
        <v>46198</v>
      </c>
    </row>
    <row r="4783" spans="1:6" x14ac:dyDescent="0.3">
      <c r="A4783" s="15" t="s">
        <v>43342</v>
      </c>
      <c r="B4783" s="15" t="s">
        <v>9260</v>
      </c>
      <c r="C4783" s="15" t="s">
        <v>800</v>
      </c>
      <c r="D4783" s="15" t="s">
        <v>9261</v>
      </c>
      <c r="E4783" s="15">
        <v>46.018300000000004</v>
      </c>
      <c r="F4783" s="42">
        <v>46198</v>
      </c>
    </row>
    <row r="4784" spans="1:6" x14ac:dyDescent="0.3">
      <c r="A4784" s="15" t="s">
        <v>33499</v>
      </c>
      <c r="B4784" s="15" t="s">
        <v>795</v>
      </c>
      <c r="C4784" s="15" t="s">
        <v>795</v>
      </c>
      <c r="D4784" s="15" t="s">
        <v>795</v>
      </c>
      <c r="F4784" s="42"/>
    </row>
    <row r="4785" spans="1:6" x14ac:dyDescent="0.3">
      <c r="A4785" s="15" t="s">
        <v>38009</v>
      </c>
      <c r="B4785" s="15" t="s">
        <v>795</v>
      </c>
      <c r="C4785" s="15" t="s">
        <v>795</v>
      </c>
      <c r="D4785" s="15" t="s">
        <v>795</v>
      </c>
      <c r="F4785" s="42"/>
    </row>
    <row r="4786" spans="1:6" x14ac:dyDescent="0.3">
      <c r="A4786" s="15" t="s">
        <v>33499</v>
      </c>
      <c r="B4786" s="15" t="s">
        <v>795</v>
      </c>
      <c r="C4786" s="15" t="s">
        <v>795</v>
      </c>
      <c r="D4786" s="15" t="s">
        <v>795</v>
      </c>
      <c r="F4786" s="42"/>
    </row>
    <row r="4787" spans="1:6" x14ac:dyDescent="0.3">
      <c r="A4787" s="15" t="s">
        <v>43341</v>
      </c>
      <c r="B4787" s="15" t="s">
        <v>9262</v>
      </c>
      <c r="C4787" s="15" t="s">
        <v>9263</v>
      </c>
      <c r="D4787" s="15" t="s">
        <v>9264</v>
      </c>
      <c r="E4787" s="15">
        <v>193.45</v>
      </c>
      <c r="F4787" s="42">
        <v>46198</v>
      </c>
    </row>
    <row r="4788" spans="1:6" x14ac:dyDescent="0.3">
      <c r="A4788" s="15" t="s">
        <v>43340</v>
      </c>
      <c r="B4788" s="15" t="s">
        <v>9265</v>
      </c>
      <c r="C4788" s="15" t="s">
        <v>9266</v>
      </c>
      <c r="D4788" s="15" t="s">
        <v>9267</v>
      </c>
      <c r="E4788" s="15">
        <v>89.16</v>
      </c>
      <c r="F4788" s="42">
        <v>46198</v>
      </c>
    </row>
    <row r="4789" spans="1:6" x14ac:dyDescent="0.3">
      <c r="A4789" s="15" t="s">
        <v>43339</v>
      </c>
      <c r="B4789" s="15" t="s">
        <v>9268</v>
      </c>
      <c r="C4789" s="15" t="s">
        <v>800</v>
      </c>
      <c r="D4789" s="15" t="s">
        <v>9269</v>
      </c>
      <c r="E4789" s="15">
        <v>176.43</v>
      </c>
      <c r="F4789" s="42">
        <v>46198</v>
      </c>
    </row>
    <row r="4790" spans="1:6" x14ac:dyDescent="0.3">
      <c r="A4790" s="15" t="s">
        <v>43338</v>
      </c>
      <c r="B4790" s="15" t="s">
        <v>9270</v>
      </c>
      <c r="C4790" s="15" t="s">
        <v>800</v>
      </c>
      <c r="D4790" s="15" t="s">
        <v>9271</v>
      </c>
      <c r="E4790" s="15">
        <v>82.65</v>
      </c>
      <c r="F4790" s="42">
        <v>46198</v>
      </c>
    </row>
    <row r="4791" spans="1:6" x14ac:dyDescent="0.3">
      <c r="A4791" s="15" t="s">
        <v>33499</v>
      </c>
      <c r="B4791" s="15" t="s">
        <v>795</v>
      </c>
      <c r="C4791" s="15" t="s">
        <v>795</v>
      </c>
      <c r="D4791" s="15" t="s">
        <v>795</v>
      </c>
      <c r="F4791" s="42"/>
    </row>
    <row r="4792" spans="1:6" x14ac:dyDescent="0.3">
      <c r="A4792" s="15" t="s">
        <v>33504</v>
      </c>
      <c r="B4792" s="15" t="s">
        <v>795</v>
      </c>
      <c r="C4792" s="15" t="s">
        <v>795</v>
      </c>
      <c r="D4792" s="15" t="s">
        <v>795</v>
      </c>
      <c r="F4792" s="42"/>
    </row>
    <row r="4793" spans="1:6" x14ac:dyDescent="0.3">
      <c r="A4793" s="15" t="s">
        <v>33499</v>
      </c>
      <c r="B4793" s="15" t="s">
        <v>795</v>
      </c>
      <c r="C4793" s="15" t="s">
        <v>795</v>
      </c>
      <c r="D4793" s="15" t="s">
        <v>795</v>
      </c>
      <c r="F4793" s="42"/>
    </row>
    <row r="4794" spans="1:6" x14ac:dyDescent="0.3">
      <c r="A4794" s="15" t="s">
        <v>43337</v>
      </c>
      <c r="B4794" s="15" t="s">
        <v>9272</v>
      </c>
      <c r="C4794" s="15" t="s">
        <v>800</v>
      </c>
      <c r="D4794" s="15" t="s">
        <v>9273</v>
      </c>
      <c r="E4794" s="15">
        <v>70.89</v>
      </c>
      <c r="F4794" s="42">
        <v>46198</v>
      </c>
    </row>
    <row r="4795" spans="1:6" x14ac:dyDescent="0.3">
      <c r="A4795" s="15" t="s">
        <v>43336</v>
      </c>
      <c r="B4795" s="15" t="s">
        <v>9274</v>
      </c>
      <c r="C4795" s="15" t="s">
        <v>9275</v>
      </c>
      <c r="D4795" s="15" t="s">
        <v>9276</v>
      </c>
      <c r="E4795" s="15">
        <v>70.89</v>
      </c>
      <c r="F4795" s="42">
        <v>46198</v>
      </c>
    </row>
    <row r="4796" spans="1:6" x14ac:dyDescent="0.3">
      <c r="A4796" s="15" t="s">
        <v>43335</v>
      </c>
      <c r="B4796" s="15" t="s">
        <v>9277</v>
      </c>
      <c r="C4796" s="15" t="s">
        <v>800</v>
      </c>
      <c r="D4796" s="15" t="s">
        <v>9278</v>
      </c>
      <c r="E4796" s="15">
        <v>64.72</v>
      </c>
      <c r="F4796" s="42">
        <v>46198</v>
      </c>
    </row>
    <row r="4797" spans="1:6" x14ac:dyDescent="0.3">
      <c r="A4797" s="15" t="s">
        <v>43334</v>
      </c>
      <c r="B4797" s="15" t="s">
        <v>9279</v>
      </c>
      <c r="C4797" s="15" t="s">
        <v>9280</v>
      </c>
      <c r="D4797" s="15" t="s">
        <v>9281</v>
      </c>
      <c r="E4797" s="15">
        <v>36.18</v>
      </c>
      <c r="F4797" s="42">
        <v>46198</v>
      </c>
    </row>
    <row r="4798" spans="1:6" x14ac:dyDescent="0.3">
      <c r="A4798" s="15" t="s">
        <v>33499</v>
      </c>
      <c r="B4798" s="15" t="s">
        <v>795</v>
      </c>
      <c r="C4798" s="15" t="s">
        <v>795</v>
      </c>
      <c r="D4798" s="15" t="s">
        <v>795</v>
      </c>
      <c r="F4798" s="42"/>
    </row>
    <row r="4799" spans="1:6" x14ac:dyDescent="0.3">
      <c r="A4799" s="15" t="s">
        <v>33500</v>
      </c>
      <c r="B4799" s="15" t="s">
        <v>795</v>
      </c>
      <c r="C4799" s="15" t="s">
        <v>795</v>
      </c>
      <c r="D4799" s="15" t="s">
        <v>795</v>
      </c>
      <c r="F4799" s="42"/>
    </row>
    <row r="4800" spans="1:6" x14ac:dyDescent="0.3">
      <c r="A4800" s="15" t="s">
        <v>33499</v>
      </c>
      <c r="B4800" s="15" t="s">
        <v>795</v>
      </c>
      <c r="C4800" s="15" t="s">
        <v>795</v>
      </c>
      <c r="D4800" s="15" t="s">
        <v>795</v>
      </c>
      <c r="F4800" s="42"/>
    </row>
    <row r="4801" spans="1:6" x14ac:dyDescent="0.3">
      <c r="A4801" s="15" t="s">
        <v>43333</v>
      </c>
      <c r="B4801" s="15" t="s">
        <v>9282</v>
      </c>
      <c r="C4801" s="15" t="s">
        <v>800</v>
      </c>
      <c r="D4801" s="15" t="s">
        <v>9283</v>
      </c>
      <c r="E4801" s="15">
        <v>226.72989999999999</v>
      </c>
      <c r="F4801" s="42">
        <v>46198</v>
      </c>
    </row>
    <row r="4802" spans="1:6" x14ac:dyDescent="0.3">
      <c r="A4802" s="15" t="s">
        <v>43332</v>
      </c>
      <c r="B4802" s="15" t="s">
        <v>9284</v>
      </c>
      <c r="C4802" s="15" t="s">
        <v>9285</v>
      </c>
      <c r="D4802" s="15" t="s">
        <v>9286</v>
      </c>
      <c r="E4802" s="15">
        <v>53.431899999999999</v>
      </c>
      <c r="F4802" s="42">
        <v>46198</v>
      </c>
    </row>
    <row r="4803" spans="1:6" x14ac:dyDescent="0.3">
      <c r="A4803" s="15" t="s">
        <v>43331</v>
      </c>
      <c r="B4803" s="15" t="s">
        <v>9287</v>
      </c>
      <c r="C4803" s="15" t="s">
        <v>800</v>
      </c>
      <c r="D4803" s="15" t="s">
        <v>9288</v>
      </c>
      <c r="E4803" s="15">
        <v>200.77440000000001</v>
      </c>
      <c r="F4803" s="42">
        <v>46198</v>
      </c>
    </row>
    <row r="4804" spans="1:6" x14ac:dyDescent="0.3">
      <c r="A4804" s="15" t="s">
        <v>43330</v>
      </c>
      <c r="B4804" s="15" t="s">
        <v>9289</v>
      </c>
      <c r="C4804" s="15" t="s">
        <v>9290</v>
      </c>
      <c r="D4804" s="15" t="s">
        <v>9291</v>
      </c>
      <c r="E4804" s="15">
        <v>38.356099999999998</v>
      </c>
      <c r="F4804" s="42">
        <v>46198</v>
      </c>
    </row>
    <row r="4805" spans="1:6" x14ac:dyDescent="0.3">
      <c r="A4805" s="15" t="s">
        <v>33499</v>
      </c>
      <c r="B4805" s="15" t="s">
        <v>795</v>
      </c>
      <c r="C4805" s="15" t="s">
        <v>795</v>
      </c>
      <c r="D4805" s="15" t="s">
        <v>795</v>
      </c>
      <c r="F4805" s="42"/>
    </row>
    <row r="4806" spans="1:6" x14ac:dyDescent="0.3">
      <c r="A4806" s="15" t="s">
        <v>40172</v>
      </c>
      <c r="B4806" s="15" t="s">
        <v>795</v>
      </c>
      <c r="C4806" s="15" t="s">
        <v>795</v>
      </c>
      <c r="D4806" s="15" t="s">
        <v>795</v>
      </c>
      <c r="F4806" s="42"/>
    </row>
    <row r="4807" spans="1:6" x14ac:dyDescent="0.3">
      <c r="A4807" s="15" t="s">
        <v>33499</v>
      </c>
      <c r="B4807" s="15" t="s">
        <v>795</v>
      </c>
      <c r="C4807" s="15" t="s">
        <v>795</v>
      </c>
      <c r="D4807" s="15" t="s">
        <v>795</v>
      </c>
      <c r="F4807" s="42"/>
    </row>
    <row r="4808" spans="1:6" x14ac:dyDescent="0.3">
      <c r="A4808" s="15" t="s">
        <v>43329</v>
      </c>
      <c r="B4808" s="15" t="s">
        <v>9292</v>
      </c>
      <c r="C4808" s="15" t="s">
        <v>800</v>
      </c>
      <c r="D4808" s="15" t="s">
        <v>9293</v>
      </c>
      <c r="E4808" s="15">
        <v>18.509</v>
      </c>
      <c r="F4808" s="42">
        <v>46198</v>
      </c>
    </row>
    <row r="4809" spans="1:6" x14ac:dyDescent="0.3">
      <c r="A4809" s="15" t="s">
        <v>43328</v>
      </c>
      <c r="B4809" s="15" t="s">
        <v>9294</v>
      </c>
      <c r="C4809" s="15" t="s">
        <v>800</v>
      </c>
      <c r="D4809" s="15" t="s">
        <v>9295</v>
      </c>
      <c r="E4809" s="15">
        <v>18.509</v>
      </c>
      <c r="F4809" s="42">
        <v>46198</v>
      </c>
    </row>
    <row r="4810" spans="1:6" x14ac:dyDescent="0.3">
      <c r="A4810" s="15" t="s">
        <v>43327</v>
      </c>
      <c r="B4810" s="15" t="s">
        <v>9296</v>
      </c>
      <c r="C4810" s="15" t="s">
        <v>800</v>
      </c>
      <c r="D4810" s="15" t="s">
        <v>9297</v>
      </c>
      <c r="E4810" s="15">
        <v>17.379000000000001</v>
      </c>
      <c r="F4810" s="42">
        <v>46198</v>
      </c>
    </row>
    <row r="4811" spans="1:6" x14ac:dyDescent="0.3">
      <c r="A4811" s="15" t="s">
        <v>43326</v>
      </c>
      <c r="B4811" s="15" t="s">
        <v>9298</v>
      </c>
      <c r="C4811" s="15" t="s">
        <v>800</v>
      </c>
      <c r="D4811" s="15" t="s">
        <v>9299</v>
      </c>
      <c r="E4811" s="15">
        <v>17.379000000000001</v>
      </c>
      <c r="F4811" s="42">
        <v>46198</v>
      </c>
    </row>
    <row r="4812" spans="1:6" x14ac:dyDescent="0.3">
      <c r="A4812" s="15" t="s">
        <v>33499</v>
      </c>
      <c r="B4812" s="15" t="s">
        <v>795</v>
      </c>
      <c r="C4812" s="15" t="s">
        <v>795</v>
      </c>
      <c r="D4812" s="15" t="s">
        <v>795</v>
      </c>
      <c r="F4812" s="42"/>
    </row>
    <row r="4813" spans="1:6" x14ac:dyDescent="0.3">
      <c r="A4813" s="15" t="s">
        <v>43325</v>
      </c>
      <c r="B4813" s="15" t="s">
        <v>795</v>
      </c>
      <c r="C4813" s="15" t="s">
        <v>795</v>
      </c>
      <c r="D4813" s="15" t="s">
        <v>795</v>
      </c>
      <c r="F4813" s="42"/>
    </row>
    <row r="4814" spans="1:6" x14ac:dyDescent="0.3">
      <c r="A4814" s="15" t="s">
        <v>33499</v>
      </c>
      <c r="B4814" s="15" t="s">
        <v>795</v>
      </c>
      <c r="C4814" s="15" t="s">
        <v>795</v>
      </c>
      <c r="D4814" s="15" t="s">
        <v>795</v>
      </c>
      <c r="F4814" s="42"/>
    </row>
    <row r="4815" spans="1:6" x14ac:dyDescent="0.3">
      <c r="A4815" s="15" t="s">
        <v>37954</v>
      </c>
      <c r="B4815" s="15" t="s">
        <v>795</v>
      </c>
      <c r="C4815" s="15" t="s">
        <v>795</v>
      </c>
      <c r="D4815" s="15" t="s">
        <v>795</v>
      </c>
      <c r="F4815" s="42"/>
    </row>
    <row r="4816" spans="1:6" x14ac:dyDescent="0.3">
      <c r="A4816" s="15" t="s">
        <v>33499</v>
      </c>
      <c r="B4816" s="15" t="s">
        <v>795</v>
      </c>
      <c r="C4816" s="15" t="s">
        <v>795</v>
      </c>
      <c r="D4816" s="15" t="s">
        <v>795</v>
      </c>
      <c r="F4816" s="42"/>
    </row>
    <row r="4817" spans="1:6" x14ac:dyDescent="0.3">
      <c r="A4817" s="15" t="s">
        <v>43324</v>
      </c>
      <c r="B4817" s="15" t="s">
        <v>9300</v>
      </c>
      <c r="C4817" s="15" t="s">
        <v>800</v>
      </c>
      <c r="D4817" s="15" t="s">
        <v>9301</v>
      </c>
      <c r="E4817" s="15">
        <v>16.323499999999999</v>
      </c>
      <c r="F4817" s="42">
        <v>46198</v>
      </c>
    </row>
    <row r="4818" spans="1:6" x14ac:dyDescent="0.3">
      <c r="A4818" s="15" t="s">
        <v>43323</v>
      </c>
      <c r="B4818" s="15" t="s">
        <v>9302</v>
      </c>
      <c r="C4818" s="15" t="s">
        <v>9303</v>
      </c>
      <c r="D4818" s="15" t="s">
        <v>9304</v>
      </c>
      <c r="E4818" s="15">
        <v>16.323499999999999</v>
      </c>
      <c r="F4818" s="42">
        <v>46198</v>
      </c>
    </row>
    <row r="4819" spans="1:6" x14ac:dyDescent="0.3">
      <c r="A4819" s="15" t="s">
        <v>43322</v>
      </c>
      <c r="B4819" s="15" t="s">
        <v>9305</v>
      </c>
      <c r="C4819" s="15" t="s">
        <v>800</v>
      </c>
      <c r="D4819" s="15" t="s">
        <v>9306</v>
      </c>
      <c r="E4819" s="15">
        <v>15.579599999999999</v>
      </c>
      <c r="F4819" s="42">
        <v>46198</v>
      </c>
    </row>
    <row r="4820" spans="1:6" x14ac:dyDescent="0.3">
      <c r="A4820" s="15" t="s">
        <v>43321</v>
      </c>
      <c r="B4820" s="15" t="s">
        <v>9307</v>
      </c>
      <c r="C4820" s="15" t="s">
        <v>9308</v>
      </c>
      <c r="D4820" s="15" t="s">
        <v>9309</v>
      </c>
      <c r="E4820" s="15">
        <v>15.579599999999999</v>
      </c>
      <c r="F4820" s="42">
        <v>46198</v>
      </c>
    </row>
    <row r="4821" spans="1:6" x14ac:dyDescent="0.3">
      <c r="A4821" s="15" t="s">
        <v>33499</v>
      </c>
      <c r="B4821" s="15" t="s">
        <v>795</v>
      </c>
      <c r="C4821" s="15" t="s">
        <v>795</v>
      </c>
      <c r="D4821" s="15" t="s">
        <v>795</v>
      </c>
      <c r="F4821" s="42"/>
    </row>
    <row r="4822" spans="1:6" x14ac:dyDescent="0.3">
      <c r="A4822" s="15" t="s">
        <v>41434</v>
      </c>
      <c r="B4822" s="15" t="s">
        <v>795</v>
      </c>
      <c r="C4822" s="15" t="s">
        <v>795</v>
      </c>
      <c r="D4822" s="15" t="s">
        <v>795</v>
      </c>
      <c r="F4822" s="42"/>
    </row>
    <row r="4823" spans="1:6" x14ac:dyDescent="0.3">
      <c r="A4823" s="15" t="s">
        <v>33499</v>
      </c>
      <c r="B4823" s="15" t="s">
        <v>795</v>
      </c>
      <c r="C4823" s="15" t="s">
        <v>795</v>
      </c>
      <c r="D4823" s="15" t="s">
        <v>795</v>
      </c>
      <c r="F4823" s="42"/>
    </row>
    <row r="4824" spans="1:6" x14ac:dyDescent="0.3">
      <c r="A4824" s="15" t="s">
        <v>43320</v>
      </c>
      <c r="B4824" s="15" t="s">
        <v>9310</v>
      </c>
      <c r="C4824" s="15" t="s">
        <v>800</v>
      </c>
      <c r="D4824" s="15" t="s">
        <v>9311</v>
      </c>
      <c r="E4824" s="15">
        <v>10.914999999999999</v>
      </c>
      <c r="F4824" s="42">
        <v>46198</v>
      </c>
    </row>
    <row r="4825" spans="1:6" x14ac:dyDescent="0.3">
      <c r="A4825" s="15" t="s">
        <v>43319</v>
      </c>
      <c r="B4825" s="15" t="s">
        <v>9312</v>
      </c>
      <c r="C4825" s="15" t="s">
        <v>9313</v>
      </c>
      <c r="D4825" s="15" t="s">
        <v>9314</v>
      </c>
      <c r="E4825" s="15">
        <v>10.919</v>
      </c>
      <c r="F4825" s="42">
        <v>46198</v>
      </c>
    </row>
    <row r="4826" spans="1:6" x14ac:dyDescent="0.3">
      <c r="A4826" s="15" t="s">
        <v>43318</v>
      </c>
      <c r="B4826" s="15" t="s">
        <v>9315</v>
      </c>
      <c r="C4826" s="15" t="s">
        <v>800</v>
      </c>
      <c r="D4826" s="15" t="s">
        <v>9316</v>
      </c>
      <c r="E4826" s="15">
        <v>10.837999999999999</v>
      </c>
      <c r="F4826" s="42">
        <v>46198</v>
      </c>
    </row>
    <row r="4827" spans="1:6" x14ac:dyDescent="0.3">
      <c r="A4827" s="15" t="s">
        <v>43317</v>
      </c>
      <c r="B4827" s="15" t="s">
        <v>9317</v>
      </c>
      <c r="C4827" s="15" t="s">
        <v>9318</v>
      </c>
      <c r="D4827" s="15" t="s">
        <v>9319</v>
      </c>
      <c r="E4827" s="15">
        <v>10.839</v>
      </c>
      <c r="F4827" s="42">
        <v>46198</v>
      </c>
    </row>
    <row r="4828" spans="1:6" x14ac:dyDescent="0.3">
      <c r="A4828" s="15" t="s">
        <v>33499</v>
      </c>
      <c r="B4828" s="15" t="s">
        <v>795</v>
      </c>
      <c r="C4828" s="15" t="s">
        <v>795</v>
      </c>
      <c r="D4828" s="15" t="s">
        <v>795</v>
      </c>
      <c r="F4828" s="42"/>
    </row>
    <row r="4829" spans="1:6" x14ac:dyDescent="0.3">
      <c r="A4829" s="15" t="s">
        <v>37122</v>
      </c>
      <c r="B4829" s="15" t="s">
        <v>795</v>
      </c>
      <c r="C4829" s="15" t="s">
        <v>795</v>
      </c>
      <c r="D4829" s="15" t="s">
        <v>795</v>
      </c>
      <c r="F4829" s="42"/>
    </row>
    <row r="4830" spans="1:6" x14ac:dyDescent="0.3">
      <c r="A4830" s="15" t="s">
        <v>33499</v>
      </c>
      <c r="B4830" s="15" t="s">
        <v>795</v>
      </c>
      <c r="C4830" s="15" t="s">
        <v>795</v>
      </c>
      <c r="D4830" s="15" t="s">
        <v>795</v>
      </c>
      <c r="F4830" s="42"/>
    </row>
    <row r="4831" spans="1:6" x14ac:dyDescent="0.3">
      <c r="A4831" s="15" t="s">
        <v>43316</v>
      </c>
      <c r="B4831" s="15" t="s">
        <v>9320</v>
      </c>
      <c r="C4831" s="15" t="s">
        <v>800</v>
      </c>
      <c r="D4831" s="15" t="s">
        <v>9321</v>
      </c>
      <c r="E4831" s="15">
        <v>2127.69</v>
      </c>
      <c r="F4831" s="42">
        <v>46198</v>
      </c>
    </row>
    <row r="4832" spans="1:6" x14ac:dyDescent="0.3">
      <c r="A4832" s="15" t="s">
        <v>43315</v>
      </c>
      <c r="B4832" s="15" t="s">
        <v>9322</v>
      </c>
      <c r="C4832" s="15" t="s">
        <v>800</v>
      </c>
      <c r="D4832" s="15" t="s">
        <v>9323</v>
      </c>
      <c r="E4832" s="15">
        <v>1889.92</v>
      </c>
      <c r="F4832" s="42">
        <v>46198</v>
      </c>
    </row>
    <row r="4833" spans="1:6" x14ac:dyDescent="0.3">
      <c r="A4833" s="15" t="s">
        <v>43314</v>
      </c>
      <c r="B4833" s="15" t="s">
        <v>9324</v>
      </c>
      <c r="C4833" s="15" t="s">
        <v>9325</v>
      </c>
      <c r="D4833" s="15" t="s">
        <v>9326</v>
      </c>
      <c r="E4833" s="15">
        <v>231.66</v>
      </c>
      <c r="F4833" s="42">
        <v>46198</v>
      </c>
    </row>
    <row r="4834" spans="1:6" x14ac:dyDescent="0.3">
      <c r="A4834" s="15" t="s">
        <v>43313</v>
      </c>
      <c r="B4834" s="15" t="s">
        <v>9327</v>
      </c>
      <c r="C4834" s="15" t="s">
        <v>9328</v>
      </c>
      <c r="D4834" s="15" t="s">
        <v>9329</v>
      </c>
      <c r="E4834" s="15">
        <v>162.82</v>
      </c>
      <c r="F4834" s="42">
        <v>46198</v>
      </c>
    </row>
    <row r="4835" spans="1:6" x14ac:dyDescent="0.3">
      <c r="A4835" s="15" t="s">
        <v>33499</v>
      </c>
      <c r="B4835" s="15" t="s">
        <v>795</v>
      </c>
      <c r="C4835" s="15" t="s">
        <v>795</v>
      </c>
      <c r="D4835" s="15" t="s">
        <v>795</v>
      </c>
      <c r="F4835" s="42"/>
    </row>
    <row r="4836" spans="1:6" x14ac:dyDescent="0.3">
      <c r="A4836" s="15" t="s">
        <v>37087</v>
      </c>
      <c r="B4836" s="15" t="s">
        <v>795</v>
      </c>
      <c r="C4836" s="15" t="s">
        <v>795</v>
      </c>
      <c r="D4836" s="15" t="s">
        <v>795</v>
      </c>
      <c r="F4836" s="42"/>
    </row>
    <row r="4837" spans="1:6" x14ac:dyDescent="0.3">
      <c r="A4837" s="15" t="s">
        <v>33499</v>
      </c>
      <c r="B4837" s="15" t="s">
        <v>795</v>
      </c>
      <c r="C4837" s="15" t="s">
        <v>795</v>
      </c>
      <c r="D4837" s="15" t="s">
        <v>795</v>
      </c>
      <c r="F4837" s="42"/>
    </row>
    <row r="4838" spans="1:6" x14ac:dyDescent="0.3">
      <c r="A4838" s="15" t="s">
        <v>43312</v>
      </c>
      <c r="B4838" s="15" t="s">
        <v>9330</v>
      </c>
      <c r="C4838" s="15" t="s">
        <v>800</v>
      </c>
      <c r="D4838" s="15" t="s">
        <v>9331</v>
      </c>
      <c r="E4838" s="15">
        <v>30.41</v>
      </c>
      <c r="F4838" s="42">
        <v>46198</v>
      </c>
    </row>
    <row r="4839" spans="1:6" x14ac:dyDescent="0.3">
      <c r="A4839" s="15" t="s">
        <v>43311</v>
      </c>
      <c r="B4839" s="15" t="s">
        <v>9332</v>
      </c>
      <c r="C4839" s="15" t="s">
        <v>9333</v>
      </c>
      <c r="D4839" s="15" t="s">
        <v>9334</v>
      </c>
      <c r="E4839" s="15">
        <v>18.82</v>
      </c>
      <c r="F4839" s="42">
        <v>46198</v>
      </c>
    </row>
    <row r="4840" spans="1:6" x14ac:dyDescent="0.3">
      <c r="A4840" s="15" t="s">
        <v>43310</v>
      </c>
      <c r="B4840" s="15" t="s">
        <v>9335</v>
      </c>
      <c r="C4840" s="15" t="s">
        <v>800</v>
      </c>
      <c r="D4840" s="15" t="s">
        <v>9336</v>
      </c>
      <c r="E4840" s="15">
        <v>27.28</v>
      </c>
      <c r="F4840" s="42">
        <v>46198</v>
      </c>
    </row>
    <row r="4841" spans="1:6" x14ac:dyDescent="0.3">
      <c r="A4841" s="15" t="s">
        <v>43309</v>
      </c>
      <c r="B4841" s="15" t="s">
        <v>9337</v>
      </c>
      <c r="C4841" s="15" t="s">
        <v>9338</v>
      </c>
      <c r="D4841" s="15" t="s">
        <v>9339</v>
      </c>
      <c r="E4841" s="15">
        <v>17.05</v>
      </c>
      <c r="F4841" s="42">
        <v>46198</v>
      </c>
    </row>
    <row r="4842" spans="1:6" x14ac:dyDescent="0.3">
      <c r="A4842" s="15" t="s">
        <v>33499</v>
      </c>
      <c r="B4842" s="15" t="s">
        <v>795</v>
      </c>
      <c r="C4842" s="15" t="s">
        <v>795</v>
      </c>
      <c r="D4842" s="15" t="s">
        <v>795</v>
      </c>
      <c r="F4842" s="42"/>
    </row>
    <row r="4843" spans="1:6" x14ac:dyDescent="0.3">
      <c r="A4843" s="15" t="s">
        <v>37923</v>
      </c>
      <c r="B4843" s="15" t="s">
        <v>795</v>
      </c>
      <c r="C4843" s="15" t="s">
        <v>795</v>
      </c>
      <c r="D4843" s="15" t="s">
        <v>795</v>
      </c>
      <c r="F4843" s="42"/>
    </row>
    <row r="4844" spans="1:6" x14ac:dyDescent="0.3">
      <c r="A4844" s="15" t="s">
        <v>33499</v>
      </c>
      <c r="B4844" s="15" t="s">
        <v>795</v>
      </c>
      <c r="C4844" s="15" t="s">
        <v>795</v>
      </c>
      <c r="D4844" s="15" t="s">
        <v>795</v>
      </c>
      <c r="F4844" s="42"/>
    </row>
    <row r="4845" spans="1:6" x14ac:dyDescent="0.3">
      <c r="A4845" s="15" t="s">
        <v>43308</v>
      </c>
      <c r="B4845" s="15" t="s">
        <v>9340</v>
      </c>
      <c r="C4845" s="15" t="s">
        <v>800</v>
      </c>
      <c r="D4845" s="15" t="s">
        <v>9341</v>
      </c>
      <c r="E4845" s="15">
        <v>15.303000000000001</v>
      </c>
      <c r="F4845" s="42">
        <v>46198</v>
      </c>
    </row>
    <row r="4846" spans="1:6" x14ac:dyDescent="0.3">
      <c r="A4846" s="15" t="s">
        <v>43307</v>
      </c>
      <c r="B4846" s="15" t="s">
        <v>9342</v>
      </c>
      <c r="C4846" s="15" t="s">
        <v>800</v>
      </c>
      <c r="D4846" s="15" t="s">
        <v>9343</v>
      </c>
      <c r="E4846" s="15">
        <v>15.923999999999999</v>
      </c>
      <c r="F4846" s="42">
        <v>46198</v>
      </c>
    </row>
    <row r="4847" spans="1:6" x14ac:dyDescent="0.3">
      <c r="A4847" s="15" t="s">
        <v>43306</v>
      </c>
      <c r="B4847" s="15" t="s">
        <v>9344</v>
      </c>
      <c r="C4847" s="15" t="s">
        <v>9345</v>
      </c>
      <c r="D4847" s="15" t="s">
        <v>9346</v>
      </c>
      <c r="E4847" s="15">
        <v>15.923999999999999</v>
      </c>
      <c r="F4847" s="42">
        <v>46198</v>
      </c>
    </row>
    <row r="4848" spans="1:6" x14ac:dyDescent="0.3">
      <c r="A4848" s="15" t="s">
        <v>43305</v>
      </c>
      <c r="B4848" s="15" t="s">
        <v>9347</v>
      </c>
      <c r="C4848" s="15" t="s">
        <v>9348</v>
      </c>
      <c r="D4848" s="15" t="s">
        <v>9349</v>
      </c>
      <c r="E4848" s="15">
        <v>15.303000000000001</v>
      </c>
      <c r="F4848" s="42">
        <v>46198</v>
      </c>
    </row>
    <row r="4849" spans="1:6" x14ac:dyDescent="0.3">
      <c r="A4849" s="15" t="s">
        <v>33499</v>
      </c>
      <c r="B4849" s="15" t="s">
        <v>795</v>
      </c>
      <c r="C4849" s="15" t="s">
        <v>795</v>
      </c>
      <c r="D4849" s="15" t="s">
        <v>795</v>
      </c>
      <c r="F4849" s="42"/>
    </row>
    <row r="4850" spans="1:6" x14ac:dyDescent="0.3">
      <c r="A4850" s="15" t="s">
        <v>37073</v>
      </c>
      <c r="B4850" s="15" t="s">
        <v>795</v>
      </c>
      <c r="C4850" s="15" t="s">
        <v>795</v>
      </c>
      <c r="D4850" s="15" t="s">
        <v>795</v>
      </c>
      <c r="F4850" s="42"/>
    </row>
    <row r="4851" spans="1:6" x14ac:dyDescent="0.3">
      <c r="A4851" s="15" t="s">
        <v>33499</v>
      </c>
      <c r="B4851" s="15" t="s">
        <v>795</v>
      </c>
      <c r="C4851" s="15" t="s">
        <v>795</v>
      </c>
      <c r="D4851" s="15" t="s">
        <v>795</v>
      </c>
      <c r="F4851" s="42"/>
    </row>
    <row r="4852" spans="1:6" x14ac:dyDescent="0.3">
      <c r="A4852" s="15" t="s">
        <v>43304</v>
      </c>
      <c r="B4852" s="15" t="s">
        <v>9350</v>
      </c>
      <c r="C4852" s="15" t="s">
        <v>800</v>
      </c>
      <c r="D4852" s="15" t="s">
        <v>9351</v>
      </c>
      <c r="E4852" s="15">
        <v>208.893</v>
      </c>
      <c r="F4852" s="42">
        <v>46198</v>
      </c>
    </row>
    <row r="4853" spans="1:6" x14ac:dyDescent="0.3">
      <c r="A4853" s="15" t="s">
        <v>43303</v>
      </c>
      <c r="B4853" s="15" t="s">
        <v>9352</v>
      </c>
      <c r="C4853" s="15" t="s">
        <v>9353</v>
      </c>
      <c r="D4853" s="15" t="s">
        <v>9354</v>
      </c>
      <c r="E4853" s="15">
        <v>46.753</v>
      </c>
      <c r="F4853" s="42">
        <v>46198</v>
      </c>
    </row>
    <row r="4854" spans="1:6" x14ac:dyDescent="0.3">
      <c r="A4854" s="15" t="s">
        <v>43302</v>
      </c>
      <c r="B4854" s="15" t="s">
        <v>9355</v>
      </c>
      <c r="C4854" s="15" t="s">
        <v>800</v>
      </c>
      <c r="D4854" s="15" t="s">
        <v>9356</v>
      </c>
      <c r="E4854" s="15">
        <v>229.94800000000001</v>
      </c>
      <c r="F4854" s="42">
        <v>46198</v>
      </c>
    </row>
    <row r="4855" spans="1:6" x14ac:dyDescent="0.3">
      <c r="A4855" s="15" t="s">
        <v>43301</v>
      </c>
      <c r="B4855" s="15" t="s">
        <v>9357</v>
      </c>
      <c r="C4855" s="15" t="s">
        <v>9358</v>
      </c>
      <c r="D4855" s="15" t="s">
        <v>9359</v>
      </c>
      <c r="E4855" s="15">
        <v>51.277000000000001</v>
      </c>
      <c r="F4855" s="42">
        <v>46198</v>
      </c>
    </row>
    <row r="4856" spans="1:6" x14ac:dyDescent="0.3">
      <c r="A4856" s="15" t="s">
        <v>33499</v>
      </c>
      <c r="B4856" s="15" t="s">
        <v>795</v>
      </c>
      <c r="C4856" s="15" t="s">
        <v>795</v>
      </c>
      <c r="D4856" s="15" t="s">
        <v>795</v>
      </c>
      <c r="F4856" s="42"/>
    </row>
    <row r="4857" spans="1:6" x14ac:dyDescent="0.3">
      <c r="A4857" s="15" t="s">
        <v>37447</v>
      </c>
      <c r="B4857" s="15" t="s">
        <v>795</v>
      </c>
      <c r="C4857" s="15" t="s">
        <v>795</v>
      </c>
      <c r="D4857" s="15" t="s">
        <v>795</v>
      </c>
      <c r="F4857" s="42"/>
    </row>
    <row r="4858" spans="1:6" x14ac:dyDescent="0.3">
      <c r="A4858" s="15" t="s">
        <v>33499</v>
      </c>
      <c r="B4858" s="15" t="s">
        <v>795</v>
      </c>
      <c r="C4858" s="15" t="s">
        <v>795</v>
      </c>
      <c r="D4858" s="15" t="s">
        <v>795</v>
      </c>
      <c r="F4858" s="42"/>
    </row>
    <row r="4859" spans="1:6" x14ac:dyDescent="0.3">
      <c r="A4859" s="15" t="s">
        <v>43300</v>
      </c>
      <c r="B4859" s="15" t="s">
        <v>9360</v>
      </c>
      <c r="C4859" s="15" t="s">
        <v>800</v>
      </c>
      <c r="D4859" s="15" t="s">
        <v>9361</v>
      </c>
      <c r="E4859" s="15">
        <v>40.67</v>
      </c>
      <c r="F4859" s="42">
        <v>46198</v>
      </c>
    </row>
    <row r="4860" spans="1:6" x14ac:dyDescent="0.3">
      <c r="A4860" s="15" t="s">
        <v>43299</v>
      </c>
      <c r="B4860" s="15" t="s">
        <v>9362</v>
      </c>
      <c r="C4860" s="15" t="s">
        <v>9363</v>
      </c>
      <c r="D4860" s="15" t="s">
        <v>9364</v>
      </c>
      <c r="E4860" s="15">
        <v>34.75</v>
      </c>
      <c r="F4860" s="42">
        <v>46198</v>
      </c>
    </row>
    <row r="4861" spans="1:6" x14ac:dyDescent="0.3">
      <c r="A4861" s="15" t="s">
        <v>43298</v>
      </c>
      <c r="B4861" s="15" t="s">
        <v>9365</v>
      </c>
      <c r="C4861" s="15" t="s">
        <v>800</v>
      </c>
      <c r="D4861" s="15" t="s">
        <v>9366</v>
      </c>
      <c r="E4861" s="15">
        <v>37.06</v>
      </c>
      <c r="F4861" s="42">
        <v>46198</v>
      </c>
    </row>
    <row r="4862" spans="1:6" x14ac:dyDescent="0.3">
      <c r="A4862" s="15" t="s">
        <v>43297</v>
      </c>
      <c r="B4862" s="15" t="s">
        <v>9367</v>
      </c>
      <c r="C4862" s="15" t="s">
        <v>9368</v>
      </c>
      <c r="D4862" s="15" t="s">
        <v>9369</v>
      </c>
      <c r="E4862" s="15">
        <v>33.67</v>
      </c>
      <c r="F4862" s="42">
        <v>46198</v>
      </c>
    </row>
    <row r="4863" spans="1:6" x14ac:dyDescent="0.3">
      <c r="A4863" s="15" t="s">
        <v>33499</v>
      </c>
      <c r="B4863" s="15" t="s">
        <v>795</v>
      </c>
      <c r="C4863" s="15" t="s">
        <v>795</v>
      </c>
      <c r="D4863" s="15" t="s">
        <v>795</v>
      </c>
      <c r="F4863" s="42"/>
    </row>
    <row r="4864" spans="1:6" x14ac:dyDescent="0.3">
      <c r="A4864" s="15" t="s">
        <v>37566</v>
      </c>
      <c r="B4864" s="15" t="s">
        <v>795</v>
      </c>
      <c r="C4864" s="15" t="s">
        <v>795</v>
      </c>
      <c r="D4864" s="15" t="s">
        <v>795</v>
      </c>
      <c r="F4864" s="42"/>
    </row>
    <row r="4865" spans="1:6" x14ac:dyDescent="0.3">
      <c r="A4865" s="15" t="s">
        <v>33499</v>
      </c>
      <c r="B4865" s="15" t="s">
        <v>795</v>
      </c>
      <c r="C4865" s="15" t="s">
        <v>795</v>
      </c>
      <c r="D4865" s="15" t="s">
        <v>795</v>
      </c>
      <c r="F4865" s="42"/>
    </row>
    <row r="4866" spans="1:6" x14ac:dyDescent="0.3">
      <c r="A4866" s="15" t="s">
        <v>43296</v>
      </c>
      <c r="B4866" s="15" t="s">
        <v>9370</v>
      </c>
      <c r="C4866" s="15" t="s">
        <v>800</v>
      </c>
      <c r="D4866" s="15" t="s">
        <v>9371</v>
      </c>
      <c r="E4866" s="15">
        <v>16.503499999999999</v>
      </c>
      <c r="F4866" s="42">
        <v>46198</v>
      </c>
    </row>
    <row r="4867" spans="1:6" x14ac:dyDescent="0.3">
      <c r="A4867" s="15" t="s">
        <v>43295</v>
      </c>
      <c r="B4867" s="15" t="s">
        <v>9372</v>
      </c>
      <c r="C4867" s="15" t="s">
        <v>9373</v>
      </c>
      <c r="D4867" s="15" t="s">
        <v>9374</v>
      </c>
      <c r="E4867" s="15">
        <v>13.7829</v>
      </c>
      <c r="F4867" s="42">
        <v>46198</v>
      </c>
    </row>
    <row r="4868" spans="1:6" x14ac:dyDescent="0.3">
      <c r="A4868" s="15" t="s">
        <v>43294</v>
      </c>
      <c r="B4868" s="15" t="s">
        <v>9375</v>
      </c>
      <c r="C4868" s="15" t="s">
        <v>800</v>
      </c>
      <c r="D4868" s="15" t="s">
        <v>9376</v>
      </c>
      <c r="E4868" s="15">
        <v>15.651999999999999</v>
      </c>
      <c r="F4868" s="42">
        <v>46198</v>
      </c>
    </row>
    <row r="4869" spans="1:6" x14ac:dyDescent="0.3">
      <c r="A4869" s="15" t="s">
        <v>43293</v>
      </c>
      <c r="B4869" s="15" t="s">
        <v>9377</v>
      </c>
      <c r="C4869" s="15" t="s">
        <v>9378</v>
      </c>
      <c r="D4869" s="15" t="s">
        <v>9379</v>
      </c>
      <c r="E4869" s="15">
        <v>13.068</v>
      </c>
      <c r="F4869" s="42">
        <v>46198</v>
      </c>
    </row>
    <row r="4870" spans="1:6" x14ac:dyDescent="0.3">
      <c r="A4870" s="15" t="s">
        <v>33499</v>
      </c>
      <c r="B4870" s="15" t="s">
        <v>795</v>
      </c>
      <c r="C4870" s="15" t="s">
        <v>795</v>
      </c>
      <c r="D4870" s="15" t="s">
        <v>795</v>
      </c>
      <c r="F4870" s="42"/>
    </row>
    <row r="4871" spans="1:6" x14ac:dyDescent="0.3">
      <c r="A4871" s="15" t="s">
        <v>40284</v>
      </c>
      <c r="B4871" s="15" t="s">
        <v>795</v>
      </c>
      <c r="C4871" s="15" t="s">
        <v>795</v>
      </c>
      <c r="D4871" s="15" t="s">
        <v>795</v>
      </c>
      <c r="F4871" s="42"/>
    </row>
    <row r="4872" spans="1:6" x14ac:dyDescent="0.3">
      <c r="A4872" s="15" t="s">
        <v>33499</v>
      </c>
      <c r="B4872" s="15" t="s">
        <v>795</v>
      </c>
      <c r="C4872" s="15" t="s">
        <v>795</v>
      </c>
      <c r="D4872" s="15" t="s">
        <v>795</v>
      </c>
      <c r="F4872" s="42"/>
    </row>
    <row r="4873" spans="1:6" x14ac:dyDescent="0.3">
      <c r="A4873" s="15" t="s">
        <v>43292</v>
      </c>
      <c r="B4873" s="15" t="s">
        <v>9380</v>
      </c>
      <c r="C4873" s="15" t="s">
        <v>800</v>
      </c>
      <c r="D4873" s="15" t="s">
        <v>9381</v>
      </c>
      <c r="E4873" s="15">
        <v>383.57</v>
      </c>
      <c r="F4873" s="42">
        <v>46198</v>
      </c>
    </row>
    <row r="4874" spans="1:6" x14ac:dyDescent="0.3">
      <c r="A4874" s="15" t="s">
        <v>43291</v>
      </c>
      <c r="B4874" s="15" t="s">
        <v>9382</v>
      </c>
      <c r="C4874" s="15" t="s">
        <v>9383</v>
      </c>
      <c r="D4874" s="15" t="s">
        <v>9384</v>
      </c>
      <c r="E4874" s="15">
        <v>90.54</v>
      </c>
      <c r="F4874" s="42">
        <v>46198</v>
      </c>
    </row>
    <row r="4875" spans="1:6" x14ac:dyDescent="0.3">
      <c r="A4875" s="15" t="s">
        <v>43290</v>
      </c>
      <c r="B4875" s="15" t="s">
        <v>9385</v>
      </c>
      <c r="C4875" s="15" t="s">
        <v>800</v>
      </c>
      <c r="D4875" s="15" t="s">
        <v>9386</v>
      </c>
      <c r="E4875" s="15">
        <v>338.42</v>
      </c>
      <c r="F4875" s="42">
        <v>46198</v>
      </c>
    </row>
    <row r="4876" spans="1:6" x14ac:dyDescent="0.3">
      <c r="A4876" s="15" t="s">
        <v>43289</v>
      </c>
      <c r="B4876" s="15" t="s">
        <v>9387</v>
      </c>
      <c r="C4876" s="15" t="s">
        <v>9388</v>
      </c>
      <c r="D4876" s="15" t="s">
        <v>9389</v>
      </c>
      <c r="E4876" s="15">
        <v>58.93</v>
      </c>
      <c r="F4876" s="42">
        <v>46198</v>
      </c>
    </row>
    <row r="4877" spans="1:6" x14ac:dyDescent="0.3">
      <c r="A4877" s="15" t="s">
        <v>33499</v>
      </c>
      <c r="B4877" s="15" t="s">
        <v>795</v>
      </c>
      <c r="C4877" s="15" t="s">
        <v>795</v>
      </c>
      <c r="D4877" s="15" t="s">
        <v>795</v>
      </c>
      <c r="F4877" s="42"/>
    </row>
    <row r="4878" spans="1:6" x14ac:dyDescent="0.3">
      <c r="A4878" s="15" t="s">
        <v>40279</v>
      </c>
      <c r="B4878" s="15" t="s">
        <v>795</v>
      </c>
      <c r="C4878" s="15" t="s">
        <v>795</v>
      </c>
      <c r="D4878" s="15" t="s">
        <v>795</v>
      </c>
      <c r="F4878" s="42"/>
    </row>
    <row r="4879" spans="1:6" x14ac:dyDescent="0.3">
      <c r="A4879" s="15" t="s">
        <v>33499</v>
      </c>
      <c r="B4879" s="15" t="s">
        <v>795</v>
      </c>
      <c r="C4879" s="15" t="s">
        <v>795</v>
      </c>
      <c r="D4879" s="15" t="s">
        <v>795</v>
      </c>
      <c r="F4879" s="42"/>
    </row>
    <row r="4880" spans="1:6" x14ac:dyDescent="0.3">
      <c r="A4880" s="15" t="s">
        <v>43288</v>
      </c>
      <c r="B4880" s="15" t="s">
        <v>9390</v>
      </c>
      <c r="C4880" s="15" t="s">
        <v>800</v>
      </c>
      <c r="D4880" s="15" t="s">
        <v>9391</v>
      </c>
      <c r="E4880" s="15">
        <v>9.9441000000000006</v>
      </c>
      <c r="F4880" s="42">
        <v>46198</v>
      </c>
    </row>
    <row r="4881" spans="1:6" x14ac:dyDescent="0.3">
      <c r="A4881" s="15" t="s">
        <v>43287</v>
      </c>
      <c r="B4881" s="15" t="s">
        <v>9392</v>
      </c>
      <c r="C4881" s="15" t="s">
        <v>800</v>
      </c>
      <c r="D4881" s="15" t="s">
        <v>9393</v>
      </c>
      <c r="E4881" s="15">
        <v>9.8202999999999996</v>
      </c>
      <c r="F4881" s="42">
        <v>46198</v>
      </c>
    </row>
    <row r="4882" spans="1:6" x14ac:dyDescent="0.3">
      <c r="A4882" s="15" t="s">
        <v>33499</v>
      </c>
      <c r="B4882" s="15" t="s">
        <v>795</v>
      </c>
      <c r="C4882" s="15" t="s">
        <v>795</v>
      </c>
      <c r="D4882" s="15" t="s">
        <v>795</v>
      </c>
      <c r="F4882" s="42"/>
    </row>
    <row r="4883" spans="1:6" x14ac:dyDescent="0.3">
      <c r="A4883" s="15" t="s">
        <v>37061</v>
      </c>
      <c r="B4883" s="15" t="s">
        <v>795</v>
      </c>
      <c r="C4883" s="15" t="s">
        <v>795</v>
      </c>
      <c r="D4883" s="15" t="s">
        <v>795</v>
      </c>
      <c r="F4883" s="42"/>
    </row>
    <row r="4884" spans="1:6" x14ac:dyDescent="0.3">
      <c r="A4884" s="15" t="s">
        <v>33499</v>
      </c>
      <c r="B4884" s="15" t="s">
        <v>795</v>
      </c>
      <c r="C4884" s="15" t="s">
        <v>795</v>
      </c>
      <c r="D4884" s="15" t="s">
        <v>795</v>
      </c>
      <c r="F4884" s="42"/>
    </row>
    <row r="4885" spans="1:6" x14ac:dyDescent="0.3">
      <c r="A4885" s="15" t="s">
        <v>43286</v>
      </c>
      <c r="B4885" s="15" t="s">
        <v>9394</v>
      </c>
      <c r="C4885" s="15" t="s">
        <v>800</v>
      </c>
      <c r="D4885" s="15" t="s">
        <v>9395</v>
      </c>
      <c r="E4885" s="15">
        <v>115.69799999999999</v>
      </c>
      <c r="F4885" s="42">
        <v>46198</v>
      </c>
    </row>
    <row r="4886" spans="1:6" x14ac:dyDescent="0.3">
      <c r="A4886" s="15" t="s">
        <v>43285</v>
      </c>
      <c r="B4886" s="15" t="s">
        <v>9396</v>
      </c>
      <c r="C4886" s="15" t="s">
        <v>9397</v>
      </c>
      <c r="D4886" s="15" t="s">
        <v>9398</v>
      </c>
      <c r="E4886" s="15">
        <v>85.054000000000002</v>
      </c>
      <c r="F4886" s="42">
        <v>46198</v>
      </c>
    </row>
    <row r="4887" spans="1:6" x14ac:dyDescent="0.3">
      <c r="A4887" s="15" t="s">
        <v>43284</v>
      </c>
      <c r="B4887" s="15" t="s">
        <v>9399</v>
      </c>
      <c r="C4887" s="15" t="s">
        <v>800</v>
      </c>
      <c r="D4887" s="15" t="s">
        <v>9400</v>
      </c>
      <c r="E4887" s="15">
        <v>103.045</v>
      </c>
      <c r="F4887" s="42">
        <v>46198</v>
      </c>
    </row>
    <row r="4888" spans="1:6" x14ac:dyDescent="0.3">
      <c r="A4888" s="15" t="s">
        <v>43283</v>
      </c>
      <c r="B4888" s="15" t="s">
        <v>9401</v>
      </c>
      <c r="C4888" s="15" t="s">
        <v>9402</v>
      </c>
      <c r="D4888" s="15" t="s">
        <v>9403</v>
      </c>
      <c r="E4888" s="15">
        <v>58.466999999999999</v>
      </c>
      <c r="F4888" s="42">
        <v>46198</v>
      </c>
    </row>
    <row r="4889" spans="1:6" x14ac:dyDescent="0.3">
      <c r="A4889" s="15" t="s">
        <v>33499</v>
      </c>
      <c r="B4889" s="15" t="s">
        <v>795</v>
      </c>
      <c r="C4889" s="15" t="s">
        <v>795</v>
      </c>
      <c r="D4889" s="15" t="s">
        <v>795</v>
      </c>
      <c r="F4889" s="42"/>
    </row>
    <row r="4890" spans="1:6" x14ac:dyDescent="0.3">
      <c r="A4890" s="15" t="s">
        <v>37895</v>
      </c>
      <c r="B4890" s="15" t="s">
        <v>795</v>
      </c>
      <c r="C4890" s="15" t="s">
        <v>795</v>
      </c>
      <c r="D4890" s="15" t="s">
        <v>795</v>
      </c>
      <c r="F4890" s="42"/>
    </row>
    <row r="4891" spans="1:6" x14ac:dyDescent="0.3">
      <c r="A4891" s="15" t="s">
        <v>33499</v>
      </c>
      <c r="B4891" s="15" t="s">
        <v>795</v>
      </c>
      <c r="C4891" s="15" t="s">
        <v>795</v>
      </c>
      <c r="D4891" s="15" t="s">
        <v>795</v>
      </c>
      <c r="F4891" s="42"/>
    </row>
    <row r="4892" spans="1:6" x14ac:dyDescent="0.3">
      <c r="A4892" s="15" t="s">
        <v>43282</v>
      </c>
      <c r="B4892" s="15" t="s">
        <v>9404</v>
      </c>
      <c r="C4892" s="15" t="s">
        <v>800</v>
      </c>
      <c r="D4892" s="15" t="s">
        <v>9405</v>
      </c>
      <c r="E4892" s="15">
        <v>44.96</v>
      </c>
      <c r="F4892" s="42">
        <v>46198</v>
      </c>
    </row>
    <row r="4893" spans="1:6" x14ac:dyDescent="0.3">
      <c r="A4893" s="15" t="s">
        <v>43281</v>
      </c>
      <c r="B4893" s="15" t="s">
        <v>9406</v>
      </c>
      <c r="C4893" s="15" t="s">
        <v>9407</v>
      </c>
      <c r="D4893" s="15" t="s">
        <v>9408</v>
      </c>
      <c r="E4893" s="15">
        <v>36.412999999999997</v>
      </c>
      <c r="F4893" s="42">
        <v>46198</v>
      </c>
    </row>
    <row r="4894" spans="1:6" x14ac:dyDescent="0.3">
      <c r="A4894" s="15" t="s">
        <v>43280</v>
      </c>
      <c r="B4894" s="15" t="s">
        <v>9409</v>
      </c>
      <c r="C4894" s="15" t="s">
        <v>9410</v>
      </c>
      <c r="D4894" s="15" t="s">
        <v>9411</v>
      </c>
      <c r="E4894" s="15">
        <v>30.986999999999998</v>
      </c>
      <c r="F4894" s="42">
        <v>46198</v>
      </c>
    </row>
    <row r="4895" spans="1:6" x14ac:dyDescent="0.3">
      <c r="A4895" s="15" t="s">
        <v>43279</v>
      </c>
      <c r="B4895" s="15" t="s">
        <v>9412</v>
      </c>
      <c r="C4895" s="15" t="s">
        <v>800</v>
      </c>
      <c r="D4895" s="15" t="s">
        <v>9413</v>
      </c>
      <c r="E4895" s="15">
        <v>38.347000000000001</v>
      </c>
      <c r="F4895" s="42">
        <v>46198</v>
      </c>
    </row>
    <row r="4896" spans="1:6" x14ac:dyDescent="0.3">
      <c r="A4896" s="15" t="s">
        <v>33499</v>
      </c>
      <c r="B4896" s="15" t="s">
        <v>795</v>
      </c>
      <c r="C4896" s="15" t="s">
        <v>795</v>
      </c>
      <c r="D4896" s="15" t="s">
        <v>795</v>
      </c>
      <c r="F4896" s="42"/>
    </row>
    <row r="4897" spans="1:6" x14ac:dyDescent="0.3">
      <c r="A4897" s="15" t="s">
        <v>37044</v>
      </c>
      <c r="B4897" s="15" t="s">
        <v>795</v>
      </c>
      <c r="C4897" s="15" t="s">
        <v>795</v>
      </c>
      <c r="D4897" s="15" t="s">
        <v>795</v>
      </c>
      <c r="F4897" s="42"/>
    </row>
    <row r="4898" spans="1:6" x14ac:dyDescent="0.3">
      <c r="A4898" s="15" t="s">
        <v>33499</v>
      </c>
      <c r="B4898" s="15" t="s">
        <v>795</v>
      </c>
      <c r="C4898" s="15" t="s">
        <v>795</v>
      </c>
      <c r="D4898" s="15" t="s">
        <v>795</v>
      </c>
      <c r="F4898" s="42"/>
    </row>
    <row r="4899" spans="1:6" x14ac:dyDescent="0.3">
      <c r="A4899" s="15" t="s">
        <v>43278</v>
      </c>
      <c r="B4899" s="15" t="s">
        <v>9414</v>
      </c>
      <c r="C4899" s="15" t="s">
        <v>800</v>
      </c>
      <c r="D4899" s="15" t="s">
        <v>9415</v>
      </c>
      <c r="E4899" s="15">
        <v>1796.1107</v>
      </c>
      <c r="F4899" s="42">
        <v>46198</v>
      </c>
    </row>
    <row r="4900" spans="1:6" x14ac:dyDescent="0.3">
      <c r="A4900" s="15" t="s">
        <v>43277</v>
      </c>
      <c r="B4900" s="15" t="s">
        <v>9416</v>
      </c>
      <c r="C4900" s="15" t="s">
        <v>9417</v>
      </c>
      <c r="D4900" s="15" t="s">
        <v>9418</v>
      </c>
      <c r="E4900" s="15">
        <v>69.448899999999995</v>
      </c>
      <c r="F4900" s="42">
        <v>46198</v>
      </c>
    </row>
    <row r="4901" spans="1:6" x14ac:dyDescent="0.3">
      <c r="A4901" s="15" t="s">
        <v>43276</v>
      </c>
      <c r="B4901" s="15" t="s">
        <v>9419</v>
      </c>
      <c r="C4901" s="15" t="s">
        <v>800</v>
      </c>
      <c r="D4901" s="15" t="s">
        <v>9420</v>
      </c>
      <c r="E4901" s="15">
        <v>1601.5228999999999</v>
      </c>
      <c r="F4901" s="42">
        <v>46198</v>
      </c>
    </row>
    <row r="4902" spans="1:6" x14ac:dyDescent="0.3">
      <c r="A4902" s="15" t="s">
        <v>43275</v>
      </c>
      <c r="B4902" s="15" t="s">
        <v>9421</v>
      </c>
      <c r="C4902" s="15" t="s">
        <v>9422</v>
      </c>
      <c r="D4902" s="15" t="s">
        <v>9423</v>
      </c>
      <c r="E4902" s="15">
        <v>61.967500000000001</v>
      </c>
      <c r="F4902" s="42">
        <v>46198</v>
      </c>
    </row>
    <row r="4903" spans="1:6" x14ac:dyDescent="0.3">
      <c r="A4903" s="15" t="s">
        <v>33499</v>
      </c>
      <c r="B4903" s="15" t="s">
        <v>795</v>
      </c>
      <c r="C4903" s="15" t="s">
        <v>795</v>
      </c>
      <c r="D4903" s="15" t="s">
        <v>795</v>
      </c>
      <c r="F4903" s="42"/>
    </row>
    <row r="4904" spans="1:6" x14ac:dyDescent="0.3">
      <c r="A4904" s="15" t="s">
        <v>37043</v>
      </c>
      <c r="B4904" s="15" t="s">
        <v>795</v>
      </c>
      <c r="C4904" s="15" t="s">
        <v>795</v>
      </c>
      <c r="D4904" s="15" t="s">
        <v>795</v>
      </c>
      <c r="F4904" s="42"/>
    </row>
    <row r="4905" spans="1:6" x14ac:dyDescent="0.3">
      <c r="A4905" s="15" t="s">
        <v>33499</v>
      </c>
      <c r="B4905" s="15" t="s">
        <v>795</v>
      </c>
      <c r="C4905" s="15" t="s">
        <v>795</v>
      </c>
      <c r="D4905" s="15" t="s">
        <v>795</v>
      </c>
      <c r="F4905" s="42"/>
    </row>
    <row r="4906" spans="1:6" x14ac:dyDescent="0.3">
      <c r="A4906" s="15" t="s">
        <v>43274</v>
      </c>
      <c r="B4906" s="15" t="s">
        <v>788</v>
      </c>
      <c r="C4906" s="15" t="s">
        <v>800</v>
      </c>
      <c r="D4906" s="15" t="s">
        <v>9424</v>
      </c>
      <c r="E4906" s="15">
        <v>2215.087</v>
      </c>
      <c r="F4906" s="42">
        <v>46198</v>
      </c>
    </row>
    <row r="4907" spans="1:6" x14ac:dyDescent="0.3">
      <c r="A4907" s="15" t="s">
        <v>43273</v>
      </c>
      <c r="B4907" s="15" t="s">
        <v>9425</v>
      </c>
      <c r="C4907" s="15" t="s">
        <v>800</v>
      </c>
      <c r="D4907" s="15" t="s">
        <v>9426</v>
      </c>
      <c r="E4907" s="15">
        <v>2013.712</v>
      </c>
      <c r="F4907" s="42">
        <v>46198</v>
      </c>
    </row>
    <row r="4908" spans="1:6" x14ac:dyDescent="0.3">
      <c r="A4908" s="15" t="s">
        <v>43272</v>
      </c>
      <c r="B4908" s="15" t="s">
        <v>9427</v>
      </c>
      <c r="C4908" s="15" t="s">
        <v>9428</v>
      </c>
      <c r="D4908" s="15" t="s">
        <v>9429</v>
      </c>
      <c r="E4908" s="15">
        <v>89.564999999999998</v>
      </c>
      <c r="F4908" s="42">
        <v>46198</v>
      </c>
    </row>
    <row r="4909" spans="1:6" x14ac:dyDescent="0.3">
      <c r="A4909" s="15" t="s">
        <v>43271</v>
      </c>
      <c r="B4909" s="15" t="s">
        <v>9430</v>
      </c>
      <c r="C4909" s="15" t="s">
        <v>9431</v>
      </c>
      <c r="D4909" s="15" t="s">
        <v>9432</v>
      </c>
      <c r="E4909" s="15">
        <v>72.766999999999996</v>
      </c>
      <c r="F4909" s="42">
        <v>46198</v>
      </c>
    </row>
    <row r="4910" spans="1:6" x14ac:dyDescent="0.3">
      <c r="A4910" s="15" t="s">
        <v>33499</v>
      </c>
      <c r="B4910" s="15" t="s">
        <v>795</v>
      </c>
      <c r="C4910" s="15" t="s">
        <v>795</v>
      </c>
      <c r="D4910" s="15" t="s">
        <v>795</v>
      </c>
      <c r="F4910" s="42"/>
    </row>
    <row r="4911" spans="1:6" x14ac:dyDescent="0.3">
      <c r="A4911" s="15" t="s">
        <v>40598</v>
      </c>
      <c r="B4911" s="15" t="s">
        <v>795</v>
      </c>
      <c r="C4911" s="15" t="s">
        <v>795</v>
      </c>
      <c r="D4911" s="15" t="s">
        <v>795</v>
      </c>
      <c r="F4911" s="42"/>
    </row>
    <row r="4912" spans="1:6" x14ac:dyDescent="0.3">
      <c r="A4912" s="15" t="s">
        <v>33499</v>
      </c>
      <c r="B4912" s="15" t="s">
        <v>795</v>
      </c>
      <c r="C4912" s="15" t="s">
        <v>795</v>
      </c>
      <c r="D4912" s="15" t="s">
        <v>795</v>
      </c>
      <c r="F4912" s="42"/>
    </row>
    <row r="4913" spans="1:6" x14ac:dyDescent="0.3">
      <c r="A4913" s="15" t="s">
        <v>43270</v>
      </c>
      <c r="B4913" s="15" t="s">
        <v>9433</v>
      </c>
      <c r="C4913" s="15" t="s">
        <v>800</v>
      </c>
      <c r="D4913" s="15" t="s">
        <v>9434</v>
      </c>
      <c r="E4913" s="15">
        <v>15.75</v>
      </c>
      <c r="F4913" s="42">
        <v>46198</v>
      </c>
    </row>
    <row r="4914" spans="1:6" x14ac:dyDescent="0.3">
      <c r="A4914" s="15" t="s">
        <v>43269</v>
      </c>
      <c r="B4914" s="15" t="s">
        <v>9435</v>
      </c>
      <c r="C4914" s="15" t="s">
        <v>9436</v>
      </c>
      <c r="D4914" s="15" t="s">
        <v>9437</v>
      </c>
      <c r="E4914" s="15">
        <v>15.76</v>
      </c>
      <c r="F4914" s="42">
        <v>46198</v>
      </c>
    </row>
    <row r="4915" spans="1:6" x14ac:dyDescent="0.3">
      <c r="A4915" s="15" t="s">
        <v>43268</v>
      </c>
      <c r="B4915" s="15" t="s">
        <v>9438</v>
      </c>
      <c r="C4915" s="15" t="s">
        <v>800</v>
      </c>
      <c r="D4915" s="15" t="s">
        <v>9439</v>
      </c>
      <c r="E4915" s="15">
        <v>15.17</v>
      </c>
      <c r="F4915" s="42">
        <v>46198</v>
      </c>
    </row>
    <row r="4916" spans="1:6" x14ac:dyDescent="0.3">
      <c r="A4916" s="15" t="s">
        <v>43267</v>
      </c>
      <c r="B4916" s="15" t="s">
        <v>9440</v>
      </c>
      <c r="C4916" s="15" t="s">
        <v>9441</v>
      </c>
      <c r="D4916" s="15" t="s">
        <v>9442</v>
      </c>
      <c r="E4916" s="15">
        <v>15.17</v>
      </c>
      <c r="F4916" s="42">
        <v>46198</v>
      </c>
    </row>
    <row r="4917" spans="1:6" x14ac:dyDescent="0.3">
      <c r="A4917" s="15" t="s">
        <v>33499</v>
      </c>
      <c r="B4917" s="15" t="s">
        <v>795</v>
      </c>
      <c r="C4917" s="15" t="s">
        <v>795</v>
      </c>
      <c r="D4917" s="15" t="s">
        <v>795</v>
      </c>
      <c r="F4917" s="42"/>
    </row>
    <row r="4918" spans="1:6" x14ac:dyDescent="0.3">
      <c r="A4918" s="15" t="s">
        <v>36815</v>
      </c>
      <c r="B4918" s="15" t="s">
        <v>795</v>
      </c>
      <c r="C4918" s="15" t="s">
        <v>795</v>
      </c>
      <c r="D4918" s="15" t="s">
        <v>795</v>
      </c>
      <c r="F4918" s="42"/>
    </row>
    <row r="4919" spans="1:6" x14ac:dyDescent="0.3">
      <c r="A4919" s="15" t="s">
        <v>33499</v>
      </c>
      <c r="B4919" s="15" t="s">
        <v>795</v>
      </c>
      <c r="C4919" s="15" t="s">
        <v>795</v>
      </c>
      <c r="D4919" s="15" t="s">
        <v>795</v>
      </c>
      <c r="F4919" s="42"/>
    </row>
    <row r="4920" spans="1:6" x14ac:dyDescent="0.3">
      <c r="A4920" s="15" t="s">
        <v>43266</v>
      </c>
      <c r="B4920" s="15" t="s">
        <v>9443</v>
      </c>
      <c r="C4920" s="15" t="s">
        <v>800</v>
      </c>
      <c r="D4920" s="15" t="s">
        <v>9444</v>
      </c>
      <c r="E4920" s="15">
        <v>254.2329</v>
      </c>
      <c r="F4920" s="42">
        <v>46198</v>
      </c>
    </row>
    <row r="4921" spans="1:6" x14ac:dyDescent="0.3">
      <c r="A4921" s="15" t="s">
        <v>43265</v>
      </c>
      <c r="B4921" s="15" t="s">
        <v>9445</v>
      </c>
      <c r="C4921" s="15" t="s">
        <v>9446</v>
      </c>
      <c r="D4921" s="15" t="s">
        <v>9447</v>
      </c>
      <c r="E4921" s="15">
        <v>46.307899999999997</v>
      </c>
      <c r="F4921" s="42">
        <v>46198</v>
      </c>
    </row>
    <row r="4922" spans="1:6" x14ac:dyDescent="0.3">
      <c r="A4922" s="15" t="s">
        <v>43264</v>
      </c>
      <c r="B4922" s="15" t="s">
        <v>9448</v>
      </c>
      <c r="C4922" s="15" t="s">
        <v>800</v>
      </c>
      <c r="D4922" s="15" t="s">
        <v>9449</v>
      </c>
      <c r="E4922" s="15">
        <v>226.33</v>
      </c>
      <c r="F4922" s="42">
        <v>46198</v>
      </c>
    </row>
    <row r="4923" spans="1:6" x14ac:dyDescent="0.3">
      <c r="A4923" s="15" t="s">
        <v>43263</v>
      </c>
      <c r="B4923" s="15" t="s">
        <v>9450</v>
      </c>
      <c r="C4923" s="15" t="s">
        <v>9451</v>
      </c>
      <c r="D4923" s="15" t="s">
        <v>9452</v>
      </c>
      <c r="E4923" s="15">
        <v>42.297800000000002</v>
      </c>
      <c r="F4923" s="42">
        <v>46198</v>
      </c>
    </row>
    <row r="4924" spans="1:6" x14ac:dyDescent="0.3">
      <c r="A4924" s="15" t="s">
        <v>33499</v>
      </c>
      <c r="B4924" s="15" t="s">
        <v>795</v>
      </c>
      <c r="C4924" s="15" t="s">
        <v>795</v>
      </c>
      <c r="D4924" s="15" t="s">
        <v>795</v>
      </c>
      <c r="F4924" s="42"/>
    </row>
    <row r="4925" spans="1:6" x14ac:dyDescent="0.3">
      <c r="A4925" s="15" t="s">
        <v>36764</v>
      </c>
      <c r="B4925" s="15" t="s">
        <v>795</v>
      </c>
      <c r="C4925" s="15" t="s">
        <v>795</v>
      </c>
      <c r="D4925" s="15" t="s">
        <v>795</v>
      </c>
      <c r="F4925" s="42"/>
    </row>
    <row r="4926" spans="1:6" x14ac:dyDescent="0.3">
      <c r="A4926" s="15" t="s">
        <v>33499</v>
      </c>
      <c r="B4926" s="15" t="s">
        <v>795</v>
      </c>
      <c r="C4926" s="15" t="s">
        <v>795</v>
      </c>
      <c r="D4926" s="15" t="s">
        <v>795</v>
      </c>
      <c r="F4926" s="42"/>
    </row>
    <row r="4927" spans="1:6" x14ac:dyDescent="0.3">
      <c r="A4927" s="15" t="s">
        <v>43262</v>
      </c>
      <c r="B4927" s="15" t="s">
        <v>9453</v>
      </c>
      <c r="C4927" s="15" t="s">
        <v>800</v>
      </c>
      <c r="D4927" s="15" t="s">
        <v>9454</v>
      </c>
      <c r="E4927" s="15">
        <v>20.88</v>
      </c>
      <c r="F4927" s="42">
        <v>46198</v>
      </c>
    </row>
    <row r="4928" spans="1:6" x14ac:dyDescent="0.3">
      <c r="A4928" s="15" t="s">
        <v>43261</v>
      </c>
      <c r="B4928" s="15" t="s">
        <v>9455</v>
      </c>
      <c r="C4928" s="15" t="s">
        <v>9456</v>
      </c>
      <c r="D4928" s="15" t="s">
        <v>9457</v>
      </c>
      <c r="E4928" s="15">
        <v>17.66</v>
      </c>
      <c r="F4928" s="42">
        <v>46198</v>
      </c>
    </row>
    <row r="4929" spans="1:6" x14ac:dyDescent="0.3">
      <c r="A4929" s="15" t="s">
        <v>43260</v>
      </c>
      <c r="B4929" s="15" t="s">
        <v>9458</v>
      </c>
      <c r="C4929" s="15" t="s">
        <v>800</v>
      </c>
      <c r="D4929" s="15" t="s">
        <v>9459</v>
      </c>
      <c r="E4929" s="15">
        <v>19.73</v>
      </c>
      <c r="F4929" s="42">
        <v>46198</v>
      </c>
    </row>
    <row r="4930" spans="1:6" x14ac:dyDescent="0.3">
      <c r="A4930" s="15" t="s">
        <v>43259</v>
      </c>
      <c r="B4930" s="15" t="s">
        <v>9460</v>
      </c>
      <c r="C4930" s="15" t="s">
        <v>9461</v>
      </c>
      <c r="D4930" s="15" t="s">
        <v>9462</v>
      </c>
      <c r="E4930" s="15">
        <v>16.54</v>
      </c>
      <c r="F4930" s="42">
        <v>46198</v>
      </c>
    </row>
    <row r="4931" spans="1:6" x14ac:dyDescent="0.3">
      <c r="A4931" s="15" t="s">
        <v>33499</v>
      </c>
      <c r="B4931" s="15" t="s">
        <v>795</v>
      </c>
      <c r="C4931" s="15" t="s">
        <v>795</v>
      </c>
      <c r="D4931" s="15" t="s">
        <v>795</v>
      </c>
      <c r="F4931" s="42"/>
    </row>
    <row r="4932" spans="1:6" x14ac:dyDescent="0.3">
      <c r="A4932" s="15" t="s">
        <v>37807</v>
      </c>
      <c r="B4932" s="15" t="s">
        <v>795</v>
      </c>
      <c r="C4932" s="15" t="s">
        <v>795</v>
      </c>
      <c r="D4932" s="15" t="s">
        <v>795</v>
      </c>
      <c r="F4932" s="42"/>
    </row>
    <row r="4933" spans="1:6" x14ac:dyDescent="0.3">
      <c r="A4933" s="15" t="s">
        <v>33499</v>
      </c>
      <c r="B4933" s="15" t="s">
        <v>795</v>
      </c>
      <c r="C4933" s="15" t="s">
        <v>795</v>
      </c>
      <c r="D4933" s="15" t="s">
        <v>795</v>
      </c>
      <c r="F4933" s="42"/>
    </row>
    <row r="4934" spans="1:6" x14ac:dyDescent="0.3">
      <c r="A4934" s="15" t="s">
        <v>43258</v>
      </c>
      <c r="B4934" s="15" t="s">
        <v>9463</v>
      </c>
      <c r="C4934" s="15" t="s">
        <v>800</v>
      </c>
      <c r="D4934" s="15" t="s">
        <v>9464</v>
      </c>
      <c r="E4934" s="15">
        <v>20.350000000000001</v>
      </c>
      <c r="F4934" s="42">
        <v>46198</v>
      </c>
    </row>
    <row r="4935" spans="1:6" x14ac:dyDescent="0.3">
      <c r="A4935" s="15" t="s">
        <v>43257</v>
      </c>
      <c r="B4935" s="15" t="s">
        <v>9465</v>
      </c>
      <c r="C4935" s="15" t="s">
        <v>9466</v>
      </c>
      <c r="D4935" s="15" t="s">
        <v>9467</v>
      </c>
      <c r="E4935" s="15">
        <v>18.21</v>
      </c>
      <c r="F4935" s="42">
        <v>46198</v>
      </c>
    </row>
    <row r="4936" spans="1:6" x14ac:dyDescent="0.3">
      <c r="A4936" s="15" t="s">
        <v>43256</v>
      </c>
      <c r="B4936" s="15" t="s">
        <v>9468</v>
      </c>
      <c r="C4936" s="15" t="s">
        <v>800</v>
      </c>
      <c r="D4936" s="15" t="s">
        <v>9469</v>
      </c>
      <c r="E4936" s="15">
        <v>19.05</v>
      </c>
      <c r="F4936" s="42">
        <v>46198</v>
      </c>
    </row>
    <row r="4937" spans="1:6" x14ac:dyDescent="0.3">
      <c r="A4937" s="15" t="s">
        <v>43255</v>
      </c>
      <c r="B4937" s="15" t="s">
        <v>9470</v>
      </c>
      <c r="C4937" s="15" t="s">
        <v>9471</v>
      </c>
      <c r="D4937" s="15" t="s">
        <v>9472</v>
      </c>
      <c r="E4937" s="15">
        <v>16.940000000000001</v>
      </c>
      <c r="F4937" s="42">
        <v>46198</v>
      </c>
    </row>
    <row r="4938" spans="1:6" x14ac:dyDescent="0.3">
      <c r="A4938" s="15" t="s">
        <v>33499</v>
      </c>
      <c r="B4938" s="15" t="s">
        <v>795</v>
      </c>
      <c r="C4938" s="15" t="s">
        <v>795</v>
      </c>
      <c r="D4938" s="15" t="s">
        <v>795</v>
      </c>
      <c r="F4938" s="42"/>
    </row>
    <row r="4939" spans="1:6" x14ac:dyDescent="0.3">
      <c r="A4939" s="15" t="s">
        <v>40577</v>
      </c>
      <c r="B4939" s="15" t="s">
        <v>795</v>
      </c>
      <c r="C4939" s="15" t="s">
        <v>795</v>
      </c>
      <c r="D4939" s="15" t="s">
        <v>795</v>
      </c>
      <c r="F4939" s="42"/>
    </row>
    <row r="4940" spans="1:6" x14ac:dyDescent="0.3">
      <c r="A4940" s="15" t="s">
        <v>33499</v>
      </c>
      <c r="B4940" s="15" t="s">
        <v>795</v>
      </c>
      <c r="C4940" s="15" t="s">
        <v>795</v>
      </c>
      <c r="D4940" s="15" t="s">
        <v>795</v>
      </c>
      <c r="F4940" s="42"/>
    </row>
    <row r="4941" spans="1:6" x14ac:dyDescent="0.3">
      <c r="A4941" s="15" t="s">
        <v>43254</v>
      </c>
      <c r="B4941" s="15" t="s">
        <v>9473</v>
      </c>
      <c r="C4941" s="15" t="s">
        <v>800</v>
      </c>
      <c r="D4941" s="15" t="s">
        <v>9474</v>
      </c>
      <c r="E4941" s="15">
        <v>20.3034</v>
      </c>
      <c r="F4941" s="42">
        <v>46198</v>
      </c>
    </row>
    <row r="4942" spans="1:6" x14ac:dyDescent="0.3">
      <c r="A4942" s="15" t="s">
        <v>43253</v>
      </c>
      <c r="B4942" s="15" t="s">
        <v>9475</v>
      </c>
      <c r="C4942" s="15" t="s">
        <v>9476</v>
      </c>
      <c r="D4942" s="15" t="s">
        <v>9477</v>
      </c>
      <c r="E4942" s="15">
        <v>19.665800000000001</v>
      </c>
      <c r="F4942" s="42">
        <v>46198</v>
      </c>
    </row>
    <row r="4943" spans="1:6" x14ac:dyDescent="0.3">
      <c r="A4943" s="15" t="s">
        <v>43252</v>
      </c>
      <c r="B4943" s="15" t="s">
        <v>9478</v>
      </c>
      <c r="C4943" s="15" t="s">
        <v>800</v>
      </c>
      <c r="D4943" s="15" t="s">
        <v>9479</v>
      </c>
      <c r="E4943" s="15">
        <v>19.171800000000001</v>
      </c>
      <c r="F4943" s="42">
        <v>46198</v>
      </c>
    </row>
    <row r="4944" spans="1:6" x14ac:dyDescent="0.3">
      <c r="A4944" s="15" t="s">
        <v>43251</v>
      </c>
      <c r="B4944" s="15" t="s">
        <v>9480</v>
      </c>
      <c r="C4944" s="15" t="s">
        <v>9481</v>
      </c>
      <c r="D4944" s="15" t="s">
        <v>9482</v>
      </c>
      <c r="E4944" s="15">
        <v>18.538</v>
      </c>
      <c r="F4944" s="42">
        <v>46198</v>
      </c>
    </row>
    <row r="4945" spans="1:6" x14ac:dyDescent="0.3">
      <c r="A4945" s="15" t="s">
        <v>33499</v>
      </c>
      <c r="B4945" s="15" t="s">
        <v>795</v>
      </c>
      <c r="C4945" s="15" t="s">
        <v>795</v>
      </c>
      <c r="D4945" s="15" t="s">
        <v>795</v>
      </c>
      <c r="F4945" s="42"/>
    </row>
    <row r="4946" spans="1:6" x14ac:dyDescent="0.3">
      <c r="A4946" s="15" t="s">
        <v>38568</v>
      </c>
      <c r="B4946" s="15" t="s">
        <v>795</v>
      </c>
      <c r="C4946" s="15" t="s">
        <v>795</v>
      </c>
      <c r="D4946" s="15" t="s">
        <v>795</v>
      </c>
      <c r="F4946" s="42"/>
    </row>
    <row r="4947" spans="1:6" x14ac:dyDescent="0.3">
      <c r="A4947" s="15" t="s">
        <v>33499</v>
      </c>
      <c r="B4947" s="15" t="s">
        <v>795</v>
      </c>
      <c r="C4947" s="15" t="s">
        <v>795</v>
      </c>
      <c r="D4947" s="15" t="s">
        <v>795</v>
      </c>
      <c r="F4947" s="42"/>
    </row>
    <row r="4948" spans="1:6" x14ac:dyDescent="0.3">
      <c r="A4948" s="15" t="s">
        <v>43250</v>
      </c>
      <c r="B4948" s="15" t="s">
        <v>9483</v>
      </c>
      <c r="C4948" s="15" t="s">
        <v>800</v>
      </c>
      <c r="D4948" s="15" t="s">
        <v>9484</v>
      </c>
      <c r="E4948" s="15">
        <v>9.8894000000000002</v>
      </c>
      <c r="F4948" s="42">
        <v>46198</v>
      </c>
    </row>
    <row r="4949" spans="1:6" x14ac:dyDescent="0.3">
      <c r="A4949" s="15" t="s">
        <v>33499</v>
      </c>
      <c r="B4949" s="15" t="s">
        <v>795</v>
      </c>
      <c r="C4949" s="15" t="s">
        <v>795</v>
      </c>
      <c r="D4949" s="15" t="s">
        <v>795</v>
      </c>
      <c r="F4949" s="42"/>
    </row>
    <row r="4950" spans="1:6" x14ac:dyDescent="0.3">
      <c r="A4950" s="15" t="s">
        <v>40894</v>
      </c>
      <c r="B4950" s="15" t="s">
        <v>795</v>
      </c>
      <c r="C4950" s="15" t="s">
        <v>795</v>
      </c>
      <c r="D4950" s="15" t="s">
        <v>795</v>
      </c>
      <c r="F4950" s="42"/>
    </row>
    <row r="4951" spans="1:6" x14ac:dyDescent="0.3">
      <c r="A4951" s="15" t="s">
        <v>33499</v>
      </c>
      <c r="B4951" s="15" t="s">
        <v>795</v>
      </c>
      <c r="C4951" s="15" t="s">
        <v>795</v>
      </c>
      <c r="D4951" s="15" t="s">
        <v>795</v>
      </c>
      <c r="F4951" s="42"/>
    </row>
    <row r="4952" spans="1:6" x14ac:dyDescent="0.3">
      <c r="A4952" s="15" t="s">
        <v>43249</v>
      </c>
      <c r="B4952" s="15" t="s">
        <v>9485</v>
      </c>
      <c r="C4952" s="15" t="s">
        <v>800</v>
      </c>
      <c r="D4952" s="15" t="s">
        <v>9486</v>
      </c>
      <c r="E4952" s="15">
        <v>111.8968</v>
      </c>
      <c r="F4952" s="42">
        <v>46198</v>
      </c>
    </row>
    <row r="4953" spans="1:6" x14ac:dyDescent="0.3">
      <c r="A4953" s="15" t="s">
        <v>43248</v>
      </c>
      <c r="B4953" s="15" t="s">
        <v>9487</v>
      </c>
      <c r="C4953" s="15" t="s">
        <v>9488</v>
      </c>
      <c r="D4953" s="15" t="s">
        <v>9489</v>
      </c>
      <c r="E4953" s="15">
        <v>101.70869999999999</v>
      </c>
      <c r="F4953" s="42">
        <v>46198</v>
      </c>
    </row>
    <row r="4954" spans="1:6" x14ac:dyDescent="0.3">
      <c r="A4954" s="15" t="s">
        <v>43247</v>
      </c>
      <c r="B4954" s="15" t="s">
        <v>9490</v>
      </c>
      <c r="C4954" s="15" t="s">
        <v>800</v>
      </c>
      <c r="D4954" s="15" t="s">
        <v>9491</v>
      </c>
      <c r="E4954" s="15">
        <v>97.220100000000002</v>
      </c>
      <c r="F4954" s="42">
        <v>46198</v>
      </c>
    </row>
    <row r="4955" spans="1:6" x14ac:dyDescent="0.3">
      <c r="A4955" s="15" t="s">
        <v>43246</v>
      </c>
      <c r="B4955" s="15" t="s">
        <v>9492</v>
      </c>
      <c r="C4955" s="15" t="s">
        <v>9493</v>
      </c>
      <c r="D4955" s="15" t="s">
        <v>9494</v>
      </c>
      <c r="E4955" s="15">
        <v>74.915599999999998</v>
      </c>
      <c r="F4955" s="42">
        <v>46198</v>
      </c>
    </row>
    <row r="4956" spans="1:6" x14ac:dyDescent="0.3">
      <c r="A4956" s="15" t="s">
        <v>33499</v>
      </c>
      <c r="B4956" s="15" t="s">
        <v>795</v>
      </c>
      <c r="C4956" s="15" t="s">
        <v>795</v>
      </c>
      <c r="D4956" s="15" t="s">
        <v>795</v>
      </c>
      <c r="F4956" s="42"/>
    </row>
    <row r="4957" spans="1:6" x14ac:dyDescent="0.3">
      <c r="A4957" s="15" t="s">
        <v>139</v>
      </c>
      <c r="B4957" s="15" t="s">
        <v>795</v>
      </c>
      <c r="C4957" s="15" t="s">
        <v>795</v>
      </c>
      <c r="D4957" s="15" t="s">
        <v>795</v>
      </c>
      <c r="F4957" s="42"/>
    </row>
    <row r="4958" spans="1:6" x14ac:dyDescent="0.3">
      <c r="A4958" s="15" t="s">
        <v>33499</v>
      </c>
      <c r="B4958" s="15" t="s">
        <v>795</v>
      </c>
      <c r="C4958" s="15" t="s">
        <v>795</v>
      </c>
      <c r="D4958" s="15" t="s">
        <v>795</v>
      </c>
      <c r="F4958" s="42"/>
    </row>
    <row r="4959" spans="1:6" x14ac:dyDescent="0.3">
      <c r="A4959" s="15" t="s">
        <v>43245</v>
      </c>
      <c r="B4959" s="15" t="s">
        <v>9495</v>
      </c>
      <c r="C4959" s="15" t="s">
        <v>800</v>
      </c>
      <c r="D4959" s="15" t="s">
        <v>9496</v>
      </c>
      <c r="E4959" s="15">
        <v>85.007999999999996</v>
      </c>
      <c r="F4959" s="42">
        <v>46198</v>
      </c>
    </row>
    <row r="4960" spans="1:6" x14ac:dyDescent="0.3">
      <c r="A4960" s="15" t="s">
        <v>43244</v>
      </c>
      <c r="B4960" s="15" t="s">
        <v>9497</v>
      </c>
      <c r="C4960" s="15" t="s">
        <v>800</v>
      </c>
      <c r="D4960" s="15" t="s">
        <v>9498</v>
      </c>
      <c r="E4960" s="15">
        <v>96.521000000000001</v>
      </c>
      <c r="F4960" s="42">
        <v>46198</v>
      </c>
    </row>
    <row r="4961" spans="1:6" x14ac:dyDescent="0.3">
      <c r="A4961" s="15" t="s">
        <v>43243</v>
      </c>
      <c r="B4961" s="15" t="s">
        <v>9499</v>
      </c>
      <c r="C4961" s="15" t="s">
        <v>9500</v>
      </c>
      <c r="D4961" s="15" t="s">
        <v>9501</v>
      </c>
      <c r="E4961" s="15">
        <v>51.331000000000003</v>
      </c>
      <c r="F4961" s="42">
        <v>46198</v>
      </c>
    </row>
    <row r="4962" spans="1:6" x14ac:dyDescent="0.3">
      <c r="A4962" s="15" t="s">
        <v>43242</v>
      </c>
      <c r="B4962" s="15" t="s">
        <v>9502</v>
      </c>
      <c r="C4962" s="15" t="s">
        <v>9503</v>
      </c>
      <c r="D4962" s="15" t="s">
        <v>9504</v>
      </c>
      <c r="E4962" s="15">
        <v>58.945999999999998</v>
      </c>
      <c r="F4962" s="42">
        <v>46198</v>
      </c>
    </row>
    <row r="4963" spans="1:6" x14ac:dyDescent="0.3">
      <c r="A4963" s="15" t="s">
        <v>33499</v>
      </c>
      <c r="B4963" s="15" t="s">
        <v>795</v>
      </c>
      <c r="C4963" s="15" t="s">
        <v>795</v>
      </c>
      <c r="D4963" s="15" t="s">
        <v>795</v>
      </c>
      <c r="F4963" s="42"/>
    </row>
    <row r="4964" spans="1:6" x14ac:dyDescent="0.3">
      <c r="A4964" s="15" t="s">
        <v>37618</v>
      </c>
      <c r="B4964" s="15" t="s">
        <v>795</v>
      </c>
      <c r="C4964" s="15" t="s">
        <v>795</v>
      </c>
      <c r="D4964" s="15" t="s">
        <v>795</v>
      </c>
      <c r="F4964" s="42"/>
    </row>
    <row r="4965" spans="1:6" x14ac:dyDescent="0.3">
      <c r="A4965" s="15" t="s">
        <v>33499</v>
      </c>
      <c r="B4965" s="15" t="s">
        <v>795</v>
      </c>
      <c r="C4965" s="15" t="s">
        <v>795</v>
      </c>
      <c r="D4965" s="15" t="s">
        <v>795</v>
      </c>
      <c r="F4965" s="42"/>
    </row>
    <row r="4966" spans="1:6" x14ac:dyDescent="0.3">
      <c r="A4966" s="15" t="s">
        <v>43241</v>
      </c>
      <c r="B4966" s="15" t="s">
        <v>9505</v>
      </c>
      <c r="C4966" s="15" t="s">
        <v>800</v>
      </c>
      <c r="D4966" s="15" t="s">
        <v>9506</v>
      </c>
      <c r="E4966" s="15">
        <v>113.6388</v>
      </c>
      <c r="F4966" s="42">
        <v>46198</v>
      </c>
    </row>
    <row r="4967" spans="1:6" x14ac:dyDescent="0.3">
      <c r="A4967" s="15" t="s">
        <v>43240</v>
      </c>
      <c r="B4967" s="15" t="s">
        <v>9507</v>
      </c>
      <c r="C4967" s="15" t="s">
        <v>9508</v>
      </c>
      <c r="D4967" s="15" t="s">
        <v>9509</v>
      </c>
      <c r="E4967" s="15">
        <v>38.233899999999998</v>
      </c>
      <c r="F4967" s="42">
        <v>46198</v>
      </c>
    </row>
    <row r="4968" spans="1:6" x14ac:dyDescent="0.3">
      <c r="A4968" s="15" t="s">
        <v>43239</v>
      </c>
      <c r="B4968" s="15" t="s">
        <v>9510</v>
      </c>
      <c r="C4968" s="15" t="s">
        <v>800</v>
      </c>
      <c r="D4968" s="15" t="s">
        <v>9511</v>
      </c>
      <c r="E4968" s="15">
        <v>102.2467</v>
      </c>
      <c r="F4968" s="42">
        <v>46198</v>
      </c>
    </row>
    <row r="4969" spans="1:6" x14ac:dyDescent="0.3">
      <c r="A4969" s="15" t="s">
        <v>43238</v>
      </c>
      <c r="B4969" s="15" t="s">
        <v>9512</v>
      </c>
      <c r="C4969" s="15" t="s">
        <v>9513</v>
      </c>
      <c r="D4969" s="15" t="s">
        <v>9514</v>
      </c>
      <c r="E4969" s="15">
        <v>32.265099999999997</v>
      </c>
      <c r="F4969" s="42">
        <v>46198</v>
      </c>
    </row>
    <row r="4970" spans="1:6" x14ac:dyDescent="0.3">
      <c r="A4970" s="15" t="s">
        <v>33499</v>
      </c>
      <c r="B4970" s="15" t="s">
        <v>795</v>
      </c>
      <c r="C4970" s="15" t="s">
        <v>795</v>
      </c>
      <c r="D4970" s="15" t="s">
        <v>795</v>
      </c>
      <c r="F4970" s="42"/>
    </row>
    <row r="4971" spans="1:6" x14ac:dyDescent="0.3">
      <c r="A4971" s="15" t="s">
        <v>39301</v>
      </c>
      <c r="B4971" s="15" t="s">
        <v>795</v>
      </c>
      <c r="C4971" s="15" t="s">
        <v>795</v>
      </c>
      <c r="D4971" s="15" t="s">
        <v>795</v>
      </c>
      <c r="F4971" s="42"/>
    </row>
    <row r="4972" spans="1:6" x14ac:dyDescent="0.3">
      <c r="A4972" s="15" t="s">
        <v>33499</v>
      </c>
      <c r="B4972" s="15" t="s">
        <v>795</v>
      </c>
      <c r="C4972" s="15" t="s">
        <v>795</v>
      </c>
      <c r="D4972" s="15" t="s">
        <v>795</v>
      </c>
      <c r="F4972" s="42"/>
    </row>
    <row r="4973" spans="1:6" x14ac:dyDescent="0.3">
      <c r="A4973" s="15" t="s">
        <v>43237</v>
      </c>
      <c r="B4973" s="15" t="s">
        <v>9515</v>
      </c>
      <c r="C4973" s="15" t="s">
        <v>800</v>
      </c>
      <c r="D4973" s="15" t="s">
        <v>9516</v>
      </c>
      <c r="E4973" s="15">
        <v>17.183599999999998</v>
      </c>
      <c r="F4973" s="42">
        <v>46198</v>
      </c>
    </row>
    <row r="4974" spans="1:6" x14ac:dyDescent="0.3">
      <c r="A4974" s="15" t="s">
        <v>43236</v>
      </c>
      <c r="B4974" s="15" t="s">
        <v>9517</v>
      </c>
      <c r="C4974" s="15" t="s">
        <v>9518</v>
      </c>
      <c r="D4974" s="15" t="s">
        <v>9519</v>
      </c>
      <c r="E4974" s="15">
        <v>13.8344</v>
      </c>
      <c r="F4974" s="42">
        <v>46198</v>
      </c>
    </row>
    <row r="4975" spans="1:6" x14ac:dyDescent="0.3">
      <c r="A4975" s="15" t="s">
        <v>43235</v>
      </c>
      <c r="B4975" s="15" t="s">
        <v>9520</v>
      </c>
      <c r="C4975" s="15" t="s">
        <v>800</v>
      </c>
      <c r="D4975" s="15" t="s">
        <v>9521</v>
      </c>
      <c r="E4975" s="15">
        <v>15.755599999999999</v>
      </c>
      <c r="F4975" s="42">
        <v>46198</v>
      </c>
    </row>
    <row r="4976" spans="1:6" x14ac:dyDescent="0.3">
      <c r="A4976" s="15" t="s">
        <v>43234</v>
      </c>
      <c r="B4976" s="15" t="s">
        <v>9522</v>
      </c>
      <c r="C4976" s="15" t="s">
        <v>9523</v>
      </c>
      <c r="D4976" s="15" t="s">
        <v>9524</v>
      </c>
      <c r="E4976" s="15">
        <v>12.4725</v>
      </c>
      <c r="F4976" s="42">
        <v>46198</v>
      </c>
    </row>
    <row r="4977" spans="1:6" x14ac:dyDescent="0.3">
      <c r="A4977" s="15" t="s">
        <v>33499</v>
      </c>
      <c r="B4977" s="15" t="s">
        <v>795</v>
      </c>
      <c r="C4977" s="15" t="s">
        <v>795</v>
      </c>
      <c r="D4977" s="15" t="s">
        <v>795</v>
      </c>
      <c r="F4977" s="42"/>
    </row>
    <row r="4978" spans="1:6" x14ac:dyDescent="0.3">
      <c r="A4978" s="15" t="s">
        <v>37780</v>
      </c>
      <c r="B4978" s="15" t="s">
        <v>795</v>
      </c>
      <c r="C4978" s="15" t="s">
        <v>795</v>
      </c>
      <c r="D4978" s="15" t="s">
        <v>795</v>
      </c>
      <c r="F4978" s="42"/>
    </row>
    <row r="4979" spans="1:6" x14ac:dyDescent="0.3">
      <c r="A4979" s="15" t="s">
        <v>33499</v>
      </c>
      <c r="B4979" s="15" t="s">
        <v>795</v>
      </c>
      <c r="C4979" s="15" t="s">
        <v>795</v>
      </c>
      <c r="D4979" s="15" t="s">
        <v>795</v>
      </c>
      <c r="F4979" s="42"/>
    </row>
    <row r="4980" spans="1:6" x14ac:dyDescent="0.3">
      <c r="A4980" s="15" t="s">
        <v>43233</v>
      </c>
      <c r="B4980" s="15" t="s">
        <v>9525</v>
      </c>
      <c r="C4980" s="15" t="s">
        <v>9526</v>
      </c>
      <c r="D4980" s="15" t="s">
        <v>9527</v>
      </c>
      <c r="E4980" s="15">
        <v>16.733000000000001</v>
      </c>
      <c r="F4980" s="42">
        <v>46198</v>
      </c>
    </row>
    <row r="4981" spans="1:6" x14ac:dyDescent="0.3">
      <c r="A4981" s="15" t="s">
        <v>43232</v>
      </c>
      <c r="B4981" s="15" t="s">
        <v>9528</v>
      </c>
      <c r="C4981" s="15" t="s">
        <v>800</v>
      </c>
      <c r="D4981" s="15" t="s">
        <v>9529</v>
      </c>
      <c r="E4981" s="15">
        <v>16.783000000000001</v>
      </c>
      <c r="F4981" s="42">
        <v>46198</v>
      </c>
    </row>
    <row r="4982" spans="1:6" x14ac:dyDescent="0.3">
      <c r="A4982" s="15" t="s">
        <v>43231</v>
      </c>
      <c r="B4982" s="15" t="s">
        <v>9530</v>
      </c>
      <c r="C4982" s="15" t="s">
        <v>800</v>
      </c>
      <c r="D4982" s="15" t="s">
        <v>9531</v>
      </c>
      <c r="E4982" s="15">
        <v>15.978</v>
      </c>
      <c r="F4982" s="42">
        <v>46198</v>
      </c>
    </row>
    <row r="4983" spans="1:6" x14ac:dyDescent="0.3">
      <c r="A4983" s="15" t="s">
        <v>43230</v>
      </c>
      <c r="B4983" s="15" t="s">
        <v>9532</v>
      </c>
      <c r="C4983" s="15" t="s">
        <v>9533</v>
      </c>
      <c r="D4983" s="15" t="s">
        <v>9534</v>
      </c>
      <c r="E4983" s="15">
        <v>15.983000000000001</v>
      </c>
      <c r="F4983" s="42">
        <v>46198</v>
      </c>
    </row>
    <row r="4984" spans="1:6" x14ac:dyDescent="0.3">
      <c r="A4984" s="15" t="s">
        <v>33499</v>
      </c>
      <c r="B4984" s="15" t="s">
        <v>795</v>
      </c>
      <c r="C4984" s="15" t="s">
        <v>795</v>
      </c>
      <c r="D4984" s="15" t="s">
        <v>795</v>
      </c>
      <c r="F4984" s="42"/>
    </row>
    <row r="4985" spans="1:6" x14ac:dyDescent="0.3">
      <c r="A4985" s="15" t="s">
        <v>37742</v>
      </c>
      <c r="B4985" s="15" t="s">
        <v>795</v>
      </c>
      <c r="C4985" s="15" t="s">
        <v>795</v>
      </c>
      <c r="D4985" s="15" t="s">
        <v>795</v>
      </c>
      <c r="F4985" s="42"/>
    </row>
    <row r="4986" spans="1:6" x14ac:dyDescent="0.3">
      <c r="A4986" s="15" t="s">
        <v>33499</v>
      </c>
      <c r="B4986" s="15" t="s">
        <v>795</v>
      </c>
      <c r="C4986" s="15" t="s">
        <v>795</v>
      </c>
      <c r="D4986" s="15" t="s">
        <v>795</v>
      </c>
      <c r="F4986" s="42"/>
    </row>
    <row r="4987" spans="1:6" x14ac:dyDescent="0.3">
      <c r="A4987" s="15" t="s">
        <v>43229</v>
      </c>
      <c r="B4987" s="15" t="s">
        <v>9535</v>
      </c>
      <c r="C4987" s="15" t="s">
        <v>9536</v>
      </c>
      <c r="D4987" s="15" t="s">
        <v>9537</v>
      </c>
      <c r="E4987" s="15">
        <v>32.046799999999998</v>
      </c>
      <c r="F4987" s="42">
        <v>46198</v>
      </c>
    </row>
    <row r="4988" spans="1:6" x14ac:dyDescent="0.3">
      <c r="A4988" s="15" t="s">
        <v>43228</v>
      </c>
      <c r="B4988" s="15" t="s">
        <v>9538</v>
      </c>
      <c r="C4988" s="15" t="s">
        <v>800</v>
      </c>
      <c r="D4988" s="15" t="s">
        <v>9539</v>
      </c>
      <c r="E4988" s="15">
        <v>64.779700000000005</v>
      </c>
      <c r="F4988" s="42">
        <v>46198</v>
      </c>
    </row>
    <row r="4989" spans="1:6" x14ac:dyDescent="0.3">
      <c r="A4989" s="15" t="s">
        <v>43227</v>
      </c>
      <c r="B4989" s="15" t="s">
        <v>9540</v>
      </c>
      <c r="C4989" s="15" t="s">
        <v>9541</v>
      </c>
      <c r="D4989" s="15" t="s">
        <v>9542</v>
      </c>
      <c r="E4989" s="15">
        <v>30.4575</v>
      </c>
      <c r="F4989" s="42">
        <v>46198</v>
      </c>
    </row>
    <row r="4990" spans="1:6" x14ac:dyDescent="0.3">
      <c r="A4990" s="15" t="s">
        <v>43226</v>
      </c>
      <c r="B4990" s="15" t="s">
        <v>9543</v>
      </c>
      <c r="C4990" s="15" t="s">
        <v>800</v>
      </c>
      <c r="D4990" s="15" t="s">
        <v>9544</v>
      </c>
      <c r="E4990" s="15">
        <v>57.9893</v>
      </c>
      <c r="F4990" s="42">
        <v>46198</v>
      </c>
    </row>
    <row r="4991" spans="1:6" x14ac:dyDescent="0.3">
      <c r="A4991" s="15" t="s">
        <v>33499</v>
      </c>
      <c r="B4991" s="15" t="s">
        <v>795</v>
      </c>
      <c r="C4991" s="15" t="s">
        <v>795</v>
      </c>
      <c r="D4991" s="15" t="s">
        <v>795</v>
      </c>
      <c r="F4991" s="42"/>
    </row>
    <row r="4992" spans="1:6" x14ac:dyDescent="0.3">
      <c r="A4992" s="15" t="s">
        <v>38348</v>
      </c>
      <c r="B4992" s="15" t="s">
        <v>795</v>
      </c>
      <c r="C4992" s="15" t="s">
        <v>795</v>
      </c>
      <c r="D4992" s="15" t="s">
        <v>795</v>
      </c>
      <c r="F4992" s="42"/>
    </row>
    <row r="4993" spans="1:6" x14ac:dyDescent="0.3">
      <c r="A4993" s="15" t="s">
        <v>33499</v>
      </c>
      <c r="B4993" s="15" t="s">
        <v>795</v>
      </c>
      <c r="C4993" s="15" t="s">
        <v>795</v>
      </c>
      <c r="D4993" s="15" t="s">
        <v>795</v>
      </c>
      <c r="F4993" s="42"/>
    </row>
    <row r="4994" spans="1:6" x14ac:dyDescent="0.3">
      <c r="A4994" s="15" t="s">
        <v>43225</v>
      </c>
      <c r="B4994" s="15" t="s">
        <v>9545</v>
      </c>
      <c r="C4994" s="15" t="s">
        <v>800</v>
      </c>
      <c r="D4994" s="15" t="s">
        <v>9546</v>
      </c>
      <c r="E4994" s="15">
        <v>28.785499999999999</v>
      </c>
      <c r="F4994" s="42">
        <v>46198</v>
      </c>
    </row>
    <row r="4995" spans="1:6" x14ac:dyDescent="0.3">
      <c r="A4995" s="15" t="s">
        <v>43224</v>
      </c>
      <c r="B4995" s="15" t="s">
        <v>9547</v>
      </c>
      <c r="C4995" s="15" t="s">
        <v>9548</v>
      </c>
      <c r="D4995" s="15" t="s">
        <v>9549</v>
      </c>
      <c r="E4995" s="15">
        <v>28.564399999999999</v>
      </c>
      <c r="F4995" s="42">
        <v>46198</v>
      </c>
    </row>
    <row r="4996" spans="1:6" x14ac:dyDescent="0.3">
      <c r="A4996" s="15" t="s">
        <v>43223</v>
      </c>
      <c r="B4996" s="15" t="s">
        <v>9550</v>
      </c>
      <c r="C4996" s="15" t="s">
        <v>9551</v>
      </c>
      <c r="D4996" s="15" t="s">
        <v>9552</v>
      </c>
      <c r="E4996" s="15">
        <v>28.565200000000001</v>
      </c>
      <c r="F4996" s="42">
        <v>46198</v>
      </c>
    </row>
    <row r="4997" spans="1:6" x14ac:dyDescent="0.3">
      <c r="A4997" s="15" t="s">
        <v>43222</v>
      </c>
      <c r="B4997" s="15" t="s">
        <v>9553</v>
      </c>
      <c r="C4997" s="15" t="s">
        <v>9554</v>
      </c>
      <c r="D4997" s="15" t="s">
        <v>9555</v>
      </c>
      <c r="E4997" s="15">
        <v>28.559100000000001</v>
      </c>
      <c r="F4997" s="42">
        <v>46198</v>
      </c>
    </row>
    <row r="4998" spans="1:6" x14ac:dyDescent="0.3">
      <c r="A4998" s="15" t="s">
        <v>43221</v>
      </c>
      <c r="B4998" s="15" t="s">
        <v>9556</v>
      </c>
      <c r="C4998" s="15" t="s">
        <v>9557</v>
      </c>
      <c r="D4998" s="15" t="s">
        <v>9558</v>
      </c>
      <c r="E4998" s="15">
        <v>28.527999999999999</v>
      </c>
      <c r="F4998" s="42">
        <v>46198</v>
      </c>
    </row>
    <row r="4999" spans="1:6" x14ac:dyDescent="0.3">
      <c r="A4999" s="15" t="s">
        <v>43220</v>
      </c>
      <c r="B4999" s="15" t="s">
        <v>9559</v>
      </c>
      <c r="C4999" s="15" t="s">
        <v>9560</v>
      </c>
      <c r="D4999" s="15" t="s">
        <v>9561</v>
      </c>
      <c r="E4999" s="15">
        <v>28.587800000000001</v>
      </c>
      <c r="F4999" s="42">
        <v>46198</v>
      </c>
    </row>
    <row r="5000" spans="1:6" x14ac:dyDescent="0.3">
      <c r="A5000" s="15" t="s">
        <v>43219</v>
      </c>
      <c r="B5000" s="15" t="s">
        <v>9562</v>
      </c>
      <c r="C5000" s="15" t="s">
        <v>800</v>
      </c>
      <c r="D5000" s="15" t="s">
        <v>9563</v>
      </c>
      <c r="E5000" s="15">
        <v>24.651199999999999</v>
      </c>
      <c r="F5000" s="42">
        <v>46198</v>
      </c>
    </row>
    <row r="5001" spans="1:6" x14ac:dyDescent="0.3">
      <c r="A5001" s="15" t="s">
        <v>43218</v>
      </c>
      <c r="B5001" s="15" t="s">
        <v>9564</v>
      </c>
      <c r="C5001" s="15" t="s">
        <v>9565</v>
      </c>
      <c r="D5001" s="15" t="s">
        <v>9566</v>
      </c>
      <c r="E5001" s="15">
        <v>24.651900000000001</v>
      </c>
      <c r="F5001" s="42">
        <v>46198</v>
      </c>
    </row>
    <row r="5002" spans="1:6" x14ac:dyDescent="0.3">
      <c r="A5002" s="15" t="s">
        <v>43217</v>
      </c>
      <c r="B5002" s="15" t="s">
        <v>9567</v>
      </c>
      <c r="C5002" s="15" t="s">
        <v>9568</v>
      </c>
      <c r="D5002" s="15" t="s">
        <v>9569</v>
      </c>
      <c r="E5002" s="15">
        <v>24.655200000000001</v>
      </c>
      <c r="F5002" s="42">
        <v>46198</v>
      </c>
    </row>
    <row r="5003" spans="1:6" x14ac:dyDescent="0.3">
      <c r="A5003" s="15" t="s">
        <v>43216</v>
      </c>
      <c r="B5003" s="15" t="s">
        <v>9570</v>
      </c>
      <c r="C5003" s="15" t="s">
        <v>9571</v>
      </c>
      <c r="D5003" s="15" t="s">
        <v>9572</v>
      </c>
      <c r="E5003" s="15">
        <v>24.661000000000001</v>
      </c>
      <c r="F5003" s="42">
        <v>46198</v>
      </c>
    </row>
    <row r="5004" spans="1:6" x14ac:dyDescent="0.3">
      <c r="A5004" s="15" t="s">
        <v>43215</v>
      </c>
      <c r="B5004" s="15" t="s">
        <v>9573</v>
      </c>
      <c r="C5004" s="15" t="s">
        <v>9574</v>
      </c>
      <c r="D5004" s="15" t="s">
        <v>9575</v>
      </c>
      <c r="E5004" s="15">
        <v>24.654800000000002</v>
      </c>
      <c r="F5004" s="42">
        <v>46198</v>
      </c>
    </row>
    <row r="5005" spans="1:6" x14ac:dyDescent="0.3">
      <c r="A5005" s="15" t="s">
        <v>43214</v>
      </c>
      <c r="B5005" s="15" t="s">
        <v>9576</v>
      </c>
      <c r="C5005" s="15" t="s">
        <v>9577</v>
      </c>
      <c r="D5005" s="15" t="s">
        <v>9578</v>
      </c>
      <c r="E5005" s="15">
        <v>24.648499999999999</v>
      </c>
      <c r="F5005" s="42">
        <v>46198</v>
      </c>
    </row>
    <row r="5006" spans="1:6" x14ac:dyDescent="0.3">
      <c r="A5006" s="15" t="s">
        <v>33499</v>
      </c>
      <c r="B5006" s="15" t="s">
        <v>795</v>
      </c>
      <c r="C5006" s="15" t="s">
        <v>795</v>
      </c>
      <c r="D5006" s="15" t="s">
        <v>795</v>
      </c>
      <c r="F5006" s="42"/>
    </row>
    <row r="5007" spans="1:6" x14ac:dyDescent="0.3">
      <c r="A5007" s="15" t="s">
        <v>208</v>
      </c>
      <c r="B5007" s="15" t="s">
        <v>795</v>
      </c>
      <c r="C5007" s="15" t="s">
        <v>795</v>
      </c>
      <c r="D5007" s="15" t="s">
        <v>795</v>
      </c>
      <c r="F5007" s="42"/>
    </row>
    <row r="5008" spans="1:6" x14ac:dyDescent="0.3">
      <c r="A5008" s="15" t="s">
        <v>33499</v>
      </c>
      <c r="B5008" s="15" t="s">
        <v>795</v>
      </c>
      <c r="C5008" s="15" t="s">
        <v>795</v>
      </c>
      <c r="D5008" s="15" t="s">
        <v>795</v>
      </c>
      <c r="F5008" s="42"/>
    </row>
    <row r="5009" spans="1:6" x14ac:dyDescent="0.3">
      <c r="A5009" s="15" t="s">
        <v>43213</v>
      </c>
      <c r="B5009" s="15" t="s">
        <v>9579</v>
      </c>
      <c r="C5009" s="15" t="s">
        <v>800</v>
      </c>
      <c r="D5009" s="15" t="s">
        <v>9580</v>
      </c>
      <c r="E5009" s="15">
        <v>17.786000000000001</v>
      </c>
      <c r="F5009" s="42">
        <v>46198</v>
      </c>
    </row>
    <row r="5010" spans="1:6" x14ac:dyDescent="0.3">
      <c r="A5010" s="15" t="s">
        <v>43212</v>
      </c>
      <c r="B5010" s="15" t="s">
        <v>9581</v>
      </c>
      <c r="C5010" s="15" t="s">
        <v>9582</v>
      </c>
      <c r="D5010" s="15" t="s">
        <v>9583</v>
      </c>
      <c r="E5010" s="15">
        <v>17.786000000000001</v>
      </c>
      <c r="F5010" s="42">
        <v>46198</v>
      </c>
    </row>
    <row r="5011" spans="1:6" x14ac:dyDescent="0.3">
      <c r="A5011" s="15" t="s">
        <v>43211</v>
      </c>
      <c r="B5011" s="15" t="s">
        <v>9584</v>
      </c>
      <c r="C5011" s="15" t="s">
        <v>800</v>
      </c>
      <c r="D5011" s="15" t="s">
        <v>9585</v>
      </c>
      <c r="E5011" s="15">
        <v>16.6219</v>
      </c>
      <c r="F5011" s="42">
        <v>46198</v>
      </c>
    </row>
    <row r="5012" spans="1:6" x14ac:dyDescent="0.3">
      <c r="A5012" s="15" t="s">
        <v>43210</v>
      </c>
      <c r="B5012" s="15" t="s">
        <v>9586</v>
      </c>
      <c r="C5012" s="15" t="s">
        <v>9587</v>
      </c>
      <c r="D5012" s="15" t="s">
        <v>9588</v>
      </c>
      <c r="E5012" s="15">
        <v>16.6219</v>
      </c>
      <c r="F5012" s="42">
        <v>46198</v>
      </c>
    </row>
    <row r="5013" spans="1:6" x14ac:dyDescent="0.3">
      <c r="A5013" s="15" t="s">
        <v>33499</v>
      </c>
      <c r="B5013" s="15" t="s">
        <v>795</v>
      </c>
      <c r="C5013" s="15" t="s">
        <v>795</v>
      </c>
      <c r="D5013" s="15" t="s">
        <v>795</v>
      </c>
      <c r="F5013" s="42"/>
    </row>
    <row r="5014" spans="1:6" x14ac:dyDescent="0.3">
      <c r="A5014" s="15" t="s">
        <v>40544</v>
      </c>
      <c r="B5014" s="15" t="s">
        <v>795</v>
      </c>
      <c r="C5014" s="15" t="s">
        <v>795</v>
      </c>
      <c r="D5014" s="15" t="s">
        <v>795</v>
      </c>
      <c r="F5014" s="42"/>
    </row>
    <row r="5015" spans="1:6" x14ac:dyDescent="0.3">
      <c r="A5015" s="15" t="s">
        <v>33499</v>
      </c>
      <c r="B5015" s="15" t="s">
        <v>795</v>
      </c>
      <c r="C5015" s="15" t="s">
        <v>795</v>
      </c>
      <c r="D5015" s="15" t="s">
        <v>795</v>
      </c>
      <c r="F5015" s="42"/>
    </row>
    <row r="5016" spans="1:6" x14ac:dyDescent="0.3">
      <c r="A5016" s="15" t="s">
        <v>43209</v>
      </c>
      <c r="B5016" s="15" t="s">
        <v>9589</v>
      </c>
      <c r="C5016" s="15" t="s">
        <v>800</v>
      </c>
      <c r="D5016" s="15" t="s">
        <v>9590</v>
      </c>
      <c r="E5016" s="15">
        <v>13.37</v>
      </c>
      <c r="F5016" s="42">
        <v>46198</v>
      </c>
    </row>
    <row r="5017" spans="1:6" x14ac:dyDescent="0.3">
      <c r="A5017" s="15" t="s">
        <v>43208</v>
      </c>
      <c r="B5017" s="15" t="s">
        <v>9591</v>
      </c>
      <c r="C5017" s="15" t="s">
        <v>800</v>
      </c>
      <c r="D5017" s="15" t="s">
        <v>9592</v>
      </c>
      <c r="E5017" s="15">
        <v>13.37</v>
      </c>
      <c r="F5017" s="42">
        <v>46198</v>
      </c>
    </row>
    <row r="5018" spans="1:6" x14ac:dyDescent="0.3">
      <c r="A5018" s="15" t="s">
        <v>43207</v>
      </c>
      <c r="B5018" s="15" t="s">
        <v>9593</v>
      </c>
      <c r="C5018" s="15" t="s">
        <v>800</v>
      </c>
      <c r="D5018" s="15" t="s">
        <v>9594</v>
      </c>
      <c r="E5018" s="15">
        <v>12.79</v>
      </c>
      <c r="F5018" s="42">
        <v>46198</v>
      </c>
    </row>
    <row r="5019" spans="1:6" x14ac:dyDescent="0.3">
      <c r="A5019" s="15" t="s">
        <v>43206</v>
      </c>
      <c r="B5019" s="15" t="s">
        <v>9595</v>
      </c>
      <c r="C5019" s="15" t="s">
        <v>800</v>
      </c>
      <c r="D5019" s="15" t="s">
        <v>9596</v>
      </c>
      <c r="E5019" s="15">
        <v>12.79</v>
      </c>
      <c r="F5019" s="42">
        <v>46198</v>
      </c>
    </row>
    <row r="5020" spans="1:6" x14ac:dyDescent="0.3">
      <c r="A5020" s="15" t="s">
        <v>33499</v>
      </c>
      <c r="B5020" s="15" t="s">
        <v>795</v>
      </c>
      <c r="C5020" s="15" t="s">
        <v>795</v>
      </c>
      <c r="D5020" s="15" t="s">
        <v>795</v>
      </c>
      <c r="F5020" s="42"/>
    </row>
    <row r="5021" spans="1:6" x14ac:dyDescent="0.3">
      <c r="A5021" s="15" t="s">
        <v>40843</v>
      </c>
      <c r="B5021" s="15" t="s">
        <v>795</v>
      </c>
      <c r="C5021" s="15" t="s">
        <v>795</v>
      </c>
      <c r="D5021" s="15" t="s">
        <v>795</v>
      </c>
      <c r="F5021" s="42"/>
    </row>
    <row r="5022" spans="1:6" x14ac:dyDescent="0.3">
      <c r="A5022" s="15" t="s">
        <v>33499</v>
      </c>
      <c r="B5022" s="15" t="s">
        <v>795</v>
      </c>
      <c r="C5022" s="15" t="s">
        <v>795</v>
      </c>
      <c r="D5022" s="15" t="s">
        <v>795</v>
      </c>
      <c r="F5022" s="42"/>
    </row>
    <row r="5023" spans="1:6" x14ac:dyDescent="0.3">
      <c r="A5023" s="15" t="s">
        <v>43205</v>
      </c>
      <c r="B5023" s="15" t="s">
        <v>9597</v>
      </c>
      <c r="C5023" s="15" t="s">
        <v>800</v>
      </c>
      <c r="D5023" s="15" t="s">
        <v>9598</v>
      </c>
      <c r="E5023" s="15">
        <v>11.06</v>
      </c>
      <c r="F5023" s="42">
        <v>46198</v>
      </c>
    </row>
    <row r="5024" spans="1:6" x14ac:dyDescent="0.3">
      <c r="A5024" s="15" t="s">
        <v>43204</v>
      </c>
      <c r="B5024" s="15" t="s">
        <v>9599</v>
      </c>
      <c r="C5024" s="15" t="s">
        <v>9600</v>
      </c>
      <c r="D5024" s="15" t="s">
        <v>9601</v>
      </c>
      <c r="E5024" s="15">
        <v>11.06</v>
      </c>
      <c r="F5024" s="42">
        <v>46198</v>
      </c>
    </row>
    <row r="5025" spans="1:6" x14ac:dyDescent="0.3">
      <c r="A5025" s="15" t="s">
        <v>43203</v>
      </c>
      <c r="B5025" s="15" t="s">
        <v>9602</v>
      </c>
      <c r="C5025" s="15" t="s">
        <v>800</v>
      </c>
      <c r="D5025" s="15" t="s">
        <v>9603</v>
      </c>
      <c r="E5025" s="15">
        <v>11</v>
      </c>
      <c r="F5025" s="42">
        <v>46198</v>
      </c>
    </row>
    <row r="5026" spans="1:6" x14ac:dyDescent="0.3">
      <c r="A5026" s="15" t="s">
        <v>43202</v>
      </c>
      <c r="B5026" s="15" t="s">
        <v>9604</v>
      </c>
      <c r="C5026" s="15" t="s">
        <v>9605</v>
      </c>
      <c r="D5026" s="15" t="s">
        <v>9606</v>
      </c>
      <c r="E5026" s="15">
        <v>11</v>
      </c>
      <c r="F5026" s="42">
        <v>46198</v>
      </c>
    </row>
    <row r="5027" spans="1:6" x14ac:dyDescent="0.3">
      <c r="A5027" s="15" t="s">
        <v>33499</v>
      </c>
      <c r="B5027" s="15" t="s">
        <v>795</v>
      </c>
      <c r="C5027" s="15" t="s">
        <v>795</v>
      </c>
      <c r="D5027" s="15" t="s">
        <v>795</v>
      </c>
      <c r="F5027" s="42"/>
    </row>
    <row r="5028" spans="1:6" x14ac:dyDescent="0.3">
      <c r="A5028" s="15" t="s">
        <v>37523</v>
      </c>
      <c r="B5028" s="15" t="s">
        <v>795</v>
      </c>
      <c r="C5028" s="15" t="s">
        <v>795</v>
      </c>
      <c r="D5028" s="15" t="s">
        <v>795</v>
      </c>
      <c r="F5028" s="42"/>
    </row>
    <row r="5029" spans="1:6" x14ac:dyDescent="0.3">
      <c r="A5029" s="15" t="s">
        <v>33499</v>
      </c>
      <c r="B5029" s="15" t="s">
        <v>795</v>
      </c>
      <c r="C5029" s="15" t="s">
        <v>795</v>
      </c>
      <c r="D5029" s="15" t="s">
        <v>795</v>
      </c>
      <c r="F5029" s="42"/>
    </row>
    <row r="5030" spans="1:6" x14ac:dyDescent="0.3">
      <c r="A5030" s="15" t="s">
        <v>43201</v>
      </c>
      <c r="B5030" s="15" t="s">
        <v>9607</v>
      </c>
      <c r="C5030" s="15" t="s">
        <v>9608</v>
      </c>
      <c r="D5030" s="15" t="s">
        <v>9609</v>
      </c>
      <c r="E5030" s="15">
        <v>20.170000000000002</v>
      </c>
      <c r="F5030" s="42">
        <v>46198</v>
      </c>
    </row>
    <row r="5031" spans="1:6" x14ac:dyDescent="0.3">
      <c r="A5031" s="15" t="s">
        <v>43200</v>
      </c>
      <c r="B5031" s="15" t="s">
        <v>9610</v>
      </c>
      <c r="C5031" s="15" t="s">
        <v>800</v>
      </c>
      <c r="D5031" s="15" t="s">
        <v>9611</v>
      </c>
      <c r="E5031" s="15">
        <v>42.69</v>
      </c>
      <c r="F5031" s="42">
        <v>46198</v>
      </c>
    </row>
    <row r="5032" spans="1:6" x14ac:dyDescent="0.3">
      <c r="A5032" s="15" t="s">
        <v>43199</v>
      </c>
      <c r="B5032" s="15" t="s">
        <v>9612</v>
      </c>
      <c r="C5032" s="15" t="s">
        <v>9613</v>
      </c>
      <c r="D5032" s="15" t="s">
        <v>9614</v>
      </c>
      <c r="E5032" s="15">
        <v>17.64</v>
      </c>
      <c r="F5032" s="42">
        <v>46198</v>
      </c>
    </row>
    <row r="5033" spans="1:6" x14ac:dyDescent="0.3">
      <c r="A5033" s="15" t="s">
        <v>43198</v>
      </c>
      <c r="B5033" s="15" t="s">
        <v>9615</v>
      </c>
      <c r="C5033" s="15" t="s">
        <v>800</v>
      </c>
      <c r="D5033" s="15" t="s">
        <v>9616</v>
      </c>
      <c r="E5033" s="15">
        <v>36.08</v>
      </c>
      <c r="F5033" s="42">
        <v>46198</v>
      </c>
    </row>
    <row r="5034" spans="1:6" x14ac:dyDescent="0.3">
      <c r="A5034" s="15" t="s">
        <v>33499</v>
      </c>
      <c r="B5034" s="15" t="s">
        <v>795</v>
      </c>
      <c r="C5034" s="15" t="s">
        <v>795</v>
      </c>
      <c r="D5034" s="15" t="s">
        <v>795</v>
      </c>
      <c r="F5034" s="42"/>
    </row>
    <row r="5035" spans="1:6" x14ac:dyDescent="0.3">
      <c r="A5035" s="15" t="s">
        <v>40535</v>
      </c>
      <c r="B5035" s="15" t="s">
        <v>795</v>
      </c>
      <c r="C5035" s="15" t="s">
        <v>795</v>
      </c>
      <c r="D5035" s="15" t="s">
        <v>795</v>
      </c>
      <c r="F5035" s="42"/>
    </row>
    <row r="5036" spans="1:6" x14ac:dyDescent="0.3">
      <c r="A5036" s="15" t="s">
        <v>33499</v>
      </c>
      <c r="B5036" s="15" t="s">
        <v>795</v>
      </c>
      <c r="C5036" s="15" t="s">
        <v>795</v>
      </c>
      <c r="D5036" s="15" t="s">
        <v>795</v>
      </c>
      <c r="F5036" s="42"/>
    </row>
    <row r="5037" spans="1:6" x14ac:dyDescent="0.3">
      <c r="A5037" s="15" t="s">
        <v>43197</v>
      </c>
      <c r="B5037" s="15" t="s">
        <v>9617</v>
      </c>
      <c r="C5037" s="15" t="s">
        <v>800</v>
      </c>
      <c r="D5037" s="15" t="s">
        <v>9618</v>
      </c>
      <c r="E5037" s="15">
        <v>89.712699999999998</v>
      </c>
      <c r="F5037" s="42">
        <v>46198</v>
      </c>
    </row>
    <row r="5038" spans="1:6" x14ac:dyDescent="0.3">
      <c r="A5038" s="15" t="s">
        <v>43196</v>
      </c>
      <c r="B5038" s="15" t="s">
        <v>800</v>
      </c>
      <c r="C5038" s="15" t="s">
        <v>9619</v>
      </c>
      <c r="D5038" s="15" t="s">
        <v>9620</v>
      </c>
      <c r="E5038" s="15">
        <v>89.712599999999995</v>
      </c>
      <c r="F5038" s="42">
        <v>46198</v>
      </c>
    </row>
    <row r="5039" spans="1:6" x14ac:dyDescent="0.3">
      <c r="A5039" s="15" t="s">
        <v>43195</v>
      </c>
      <c r="B5039" s="15" t="s">
        <v>9621</v>
      </c>
      <c r="C5039" s="15" t="s">
        <v>800</v>
      </c>
      <c r="D5039" s="15" t="s">
        <v>9622</v>
      </c>
      <c r="E5039" s="15">
        <v>81.836600000000004</v>
      </c>
      <c r="F5039" s="42">
        <v>46198</v>
      </c>
    </row>
    <row r="5040" spans="1:6" x14ac:dyDescent="0.3">
      <c r="A5040" s="15" t="s">
        <v>43194</v>
      </c>
      <c r="B5040" s="15" t="s">
        <v>800</v>
      </c>
      <c r="C5040" s="15" t="s">
        <v>9623</v>
      </c>
      <c r="D5040" s="15" t="s">
        <v>9624</v>
      </c>
      <c r="E5040" s="15">
        <v>81.836200000000005</v>
      </c>
      <c r="F5040" s="42">
        <v>46198</v>
      </c>
    </row>
    <row r="5041" spans="1:6" x14ac:dyDescent="0.3">
      <c r="A5041" s="15" t="s">
        <v>33499</v>
      </c>
      <c r="B5041" s="15" t="s">
        <v>795</v>
      </c>
      <c r="C5041" s="15" t="s">
        <v>795</v>
      </c>
      <c r="D5041" s="15" t="s">
        <v>795</v>
      </c>
      <c r="F5041" s="42"/>
    </row>
    <row r="5042" spans="1:6" x14ac:dyDescent="0.3">
      <c r="A5042" s="15" t="s">
        <v>40216</v>
      </c>
      <c r="B5042" s="15" t="s">
        <v>795</v>
      </c>
      <c r="C5042" s="15" t="s">
        <v>795</v>
      </c>
      <c r="D5042" s="15" t="s">
        <v>795</v>
      </c>
      <c r="F5042" s="42"/>
    </row>
    <row r="5043" spans="1:6" x14ac:dyDescent="0.3">
      <c r="A5043" s="15" t="s">
        <v>33499</v>
      </c>
      <c r="B5043" s="15" t="s">
        <v>795</v>
      </c>
      <c r="C5043" s="15" t="s">
        <v>795</v>
      </c>
      <c r="D5043" s="15" t="s">
        <v>795</v>
      </c>
      <c r="F5043" s="42"/>
    </row>
    <row r="5044" spans="1:6" x14ac:dyDescent="0.3">
      <c r="A5044" s="15" t="s">
        <v>43193</v>
      </c>
      <c r="B5044" s="15" t="s">
        <v>9625</v>
      </c>
      <c r="C5044" s="15" t="s">
        <v>800</v>
      </c>
      <c r="D5044" s="15" t="s">
        <v>9626</v>
      </c>
      <c r="E5044" s="15">
        <v>109.27209999999999</v>
      </c>
      <c r="F5044" s="42">
        <v>46198</v>
      </c>
    </row>
    <row r="5045" spans="1:6" x14ac:dyDescent="0.3">
      <c r="A5045" s="15" t="s">
        <v>43192</v>
      </c>
      <c r="B5045" s="15" t="s">
        <v>9627</v>
      </c>
      <c r="C5045" s="15" t="s">
        <v>800</v>
      </c>
      <c r="D5045" s="15" t="s">
        <v>9628</v>
      </c>
      <c r="E5045" s="15">
        <v>122.74250000000001</v>
      </c>
      <c r="F5045" s="42">
        <v>46198</v>
      </c>
    </row>
    <row r="5046" spans="1:6" x14ac:dyDescent="0.3">
      <c r="A5046" s="15" t="s">
        <v>43191</v>
      </c>
      <c r="B5046" s="15" t="s">
        <v>9629</v>
      </c>
      <c r="C5046" s="15" t="s">
        <v>9630</v>
      </c>
      <c r="D5046" s="15" t="s">
        <v>9631</v>
      </c>
      <c r="E5046" s="15">
        <v>83.433400000000006</v>
      </c>
      <c r="F5046" s="42">
        <v>46198</v>
      </c>
    </row>
    <row r="5047" spans="1:6" x14ac:dyDescent="0.3">
      <c r="A5047" s="15" t="s">
        <v>43190</v>
      </c>
      <c r="B5047" s="15" t="s">
        <v>9632</v>
      </c>
      <c r="C5047" s="15" t="s">
        <v>9633</v>
      </c>
      <c r="D5047" s="15" t="s">
        <v>9634</v>
      </c>
      <c r="E5047" s="15">
        <v>78.0989</v>
      </c>
      <c r="F5047" s="42">
        <v>46198</v>
      </c>
    </row>
    <row r="5048" spans="1:6" x14ac:dyDescent="0.3">
      <c r="A5048" s="15" t="s">
        <v>33499</v>
      </c>
      <c r="B5048" s="15" t="s">
        <v>795</v>
      </c>
      <c r="C5048" s="15" t="s">
        <v>795</v>
      </c>
      <c r="D5048" s="15" t="s">
        <v>795</v>
      </c>
      <c r="F5048" s="42"/>
    </row>
    <row r="5049" spans="1:6" x14ac:dyDescent="0.3">
      <c r="A5049" s="15" t="s">
        <v>40209</v>
      </c>
      <c r="B5049" s="15" t="s">
        <v>795</v>
      </c>
      <c r="C5049" s="15" t="s">
        <v>795</v>
      </c>
      <c r="D5049" s="15" t="s">
        <v>795</v>
      </c>
      <c r="F5049" s="42"/>
    </row>
    <row r="5050" spans="1:6" x14ac:dyDescent="0.3">
      <c r="A5050" s="15" t="s">
        <v>33499</v>
      </c>
      <c r="B5050" s="15" t="s">
        <v>795</v>
      </c>
      <c r="C5050" s="15" t="s">
        <v>795</v>
      </c>
      <c r="D5050" s="15" t="s">
        <v>795</v>
      </c>
      <c r="F5050" s="42"/>
    </row>
    <row r="5051" spans="1:6" x14ac:dyDescent="0.3">
      <c r="A5051" s="15" t="s">
        <v>43189</v>
      </c>
      <c r="B5051" s="15" t="s">
        <v>9635</v>
      </c>
      <c r="C5051" s="15" t="s">
        <v>800</v>
      </c>
      <c r="D5051" s="15" t="s">
        <v>9636</v>
      </c>
      <c r="E5051" s="15">
        <v>10.47</v>
      </c>
      <c r="F5051" s="42">
        <v>46198</v>
      </c>
    </row>
    <row r="5052" spans="1:6" x14ac:dyDescent="0.3">
      <c r="A5052" s="15" t="s">
        <v>43188</v>
      </c>
      <c r="B5052" s="15" t="s">
        <v>9637</v>
      </c>
      <c r="C5052" s="15" t="s">
        <v>800</v>
      </c>
      <c r="D5052" s="15" t="s">
        <v>9638</v>
      </c>
      <c r="E5052" s="15">
        <v>9.82</v>
      </c>
      <c r="F5052" s="42">
        <v>46198</v>
      </c>
    </row>
    <row r="5053" spans="1:6" x14ac:dyDescent="0.3">
      <c r="A5053" s="15" t="s">
        <v>33499</v>
      </c>
      <c r="B5053" s="15" t="s">
        <v>795</v>
      </c>
      <c r="C5053" s="15" t="s">
        <v>795</v>
      </c>
      <c r="D5053" s="15" t="s">
        <v>795</v>
      </c>
      <c r="F5053" s="42"/>
    </row>
    <row r="5054" spans="1:6" x14ac:dyDescent="0.3">
      <c r="A5054" s="15" t="s">
        <v>33636</v>
      </c>
      <c r="B5054" s="15" t="s">
        <v>795</v>
      </c>
      <c r="C5054" s="15" t="s">
        <v>795</v>
      </c>
      <c r="D5054" s="15" t="s">
        <v>795</v>
      </c>
      <c r="F5054" s="42"/>
    </row>
    <row r="5055" spans="1:6" x14ac:dyDescent="0.3">
      <c r="A5055" s="15" t="s">
        <v>33499</v>
      </c>
      <c r="B5055" s="15" t="s">
        <v>795</v>
      </c>
      <c r="C5055" s="15" t="s">
        <v>795</v>
      </c>
      <c r="D5055" s="15" t="s">
        <v>795</v>
      </c>
      <c r="F5055" s="42"/>
    </row>
    <row r="5056" spans="1:6" x14ac:dyDescent="0.3">
      <c r="A5056" s="15" t="s">
        <v>43187</v>
      </c>
      <c r="B5056" s="15" t="s">
        <v>9639</v>
      </c>
      <c r="C5056" s="15" t="s">
        <v>800</v>
      </c>
      <c r="D5056" s="15" t="s">
        <v>9640</v>
      </c>
      <c r="E5056" s="15">
        <v>120.357</v>
      </c>
      <c r="F5056" s="42">
        <v>46198</v>
      </c>
    </row>
    <row r="5057" spans="1:6" x14ac:dyDescent="0.3">
      <c r="A5057" s="15" t="s">
        <v>43186</v>
      </c>
      <c r="B5057" s="15" t="s">
        <v>9641</v>
      </c>
      <c r="C5057" s="15" t="s">
        <v>9642</v>
      </c>
      <c r="D5057" s="15" t="s">
        <v>9643</v>
      </c>
      <c r="E5057" s="15">
        <v>60.158000000000001</v>
      </c>
      <c r="F5057" s="42">
        <v>46198</v>
      </c>
    </row>
    <row r="5058" spans="1:6" x14ac:dyDescent="0.3">
      <c r="A5058" s="15" t="s">
        <v>43185</v>
      </c>
      <c r="B5058" s="15" t="s">
        <v>9644</v>
      </c>
      <c r="C5058" s="15" t="s">
        <v>9645</v>
      </c>
      <c r="D5058" s="15" t="s">
        <v>9646</v>
      </c>
      <c r="E5058" s="15">
        <v>47.883699999999997</v>
      </c>
      <c r="F5058" s="42">
        <v>46198</v>
      </c>
    </row>
    <row r="5059" spans="1:6" x14ac:dyDescent="0.3">
      <c r="A5059" s="15" t="s">
        <v>43184</v>
      </c>
      <c r="B5059" s="15" t="s">
        <v>9647</v>
      </c>
      <c r="C5059" s="15" t="s">
        <v>800</v>
      </c>
      <c r="D5059" s="15" t="s">
        <v>9648</v>
      </c>
      <c r="E5059" s="15">
        <v>106.9365</v>
      </c>
      <c r="F5059" s="42">
        <v>46198</v>
      </c>
    </row>
    <row r="5060" spans="1:6" x14ac:dyDescent="0.3">
      <c r="A5060" s="15" t="s">
        <v>33499</v>
      </c>
      <c r="B5060" s="15" t="s">
        <v>795</v>
      </c>
      <c r="C5060" s="15" t="s">
        <v>795</v>
      </c>
      <c r="D5060" s="15" t="s">
        <v>795</v>
      </c>
      <c r="F5060" s="42"/>
    </row>
    <row r="5061" spans="1:6" x14ac:dyDescent="0.3">
      <c r="A5061" s="15" t="s">
        <v>37664</v>
      </c>
      <c r="B5061" s="15" t="s">
        <v>795</v>
      </c>
      <c r="C5061" s="15" t="s">
        <v>795</v>
      </c>
      <c r="D5061" s="15" t="s">
        <v>795</v>
      </c>
      <c r="F5061" s="42"/>
    </row>
    <row r="5062" spans="1:6" x14ac:dyDescent="0.3">
      <c r="A5062" s="15" t="s">
        <v>33499</v>
      </c>
      <c r="B5062" s="15" t="s">
        <v>795</v>
      </c>
      <c r="C5062" s="15" t="s">
        <v>795</v>
      </c>
      <c r="D5062" s="15" t="s">
        <v>795</v>
      </c>
      <c r="F5062" s="42"/>
    </row>
    <row r="5063" spans="1:6" x14ac:dyDescent="0.3">
      <c r="A5063" s="15" t="s">
        <v>43183</v>
      </c>
      <c r="B5063" s="15" t="s">
        <v>9649</v>
      </c>
      <c r="C5063" s="15" t="s">
        <v>800</v>
      </c>
      <c r="D5063" s="15" t="s">
        <v>9650</v>
      </c>
      <c r="E5063" s="15">
        <v>22.677</v>
      </c>
      <c r="F5063" s="42">
        <v>46198</v>
      </c>
    </row>
    <row r="5064" spans="1:6" x14ac:dyDescent="0.3">
      <c r="A5064" s="15" t="s">
        <v>43182</v>
      </c>
      <c r="B5064" s="15" t="s">
        <v>9651</v>
      </c>
      <c r="C5064" s="15" t="s">
        <v>9652</v>
      </c>
      <c r="D5064" s="15" t="s">
        <v>9653</v>
      </c>
      <c r="E5064" s="15">
        <v>22.4495</v>
      </c>
      <c r="F5064" s="42">
        <v>46198</v>
      </c>
    </row>
    <row r="5065" spans="1:6" x14ac:dyDescent="0.3">
      <c r="A5065" s="15" t="s">
        <v>43181</v>
      </c>
      <c r="B5065" s="15" t="s">
        <v>9654</v>
      </c>
      <c r="C5065" s="15" t="s">
        <v>800</v>
      </c>
      <c r="D5065" s="15" t="s">
        <v>9655</v>
      </c>
      <c r="E5065" s="15">
        <v>19.788900000000002</v>
      </c>
      <c r="F5065" s="42">
        <v>46198</v>
      </c>
    </row>
    <row r="5066" spans="1:6" x14ac:dyDescent="0.3">
      <c r="A5066" s="15" t="s">
        <v>43180</v>
      </c>
      <c r="B5066" s="15" t="s">
        <v>9656</v>
      </c>
      <c r="C5066" s="15" t="s">
        <v>9657</v>
      </c>
      <c r="D5066" s="15" t="s">
        <v>9658</v>
      </c>
      <c r="E5066" s="15">
        <v>19.7818</v>
      </c>
      <c r="F5066" s="42">
        <v>46198</v>
      </c>
    </row>
    <row r="5067" spans="1:6" x14ac:dyDescent="0.3">
      <c r="A5067" s="15" t="s">
        <v>33499</v>
      </c>
      <c r="B5067" s="15" t="s">
        <v>795</v>
      </c>
      <c r="C5067" s="15" t="s">
        <v>795</v>
      </c>
      <c r="D5067" s="15" t="s">
        <v>795</v>
      </c>
      <c r="F5067" s="42"/>
    </row>
    <row r="5068" spans="1:6" x14ac:dyDescent="0.3">
      <c r="A5068" s="15" t="s">
        <v>37414</v>
      </c>
      <c r="B5068" s="15" t="s">
        <v>795</v>
      </c>
      <c r="C5068" s="15" t="s">
        <v>795</v>
      </c>
      <c r="D5068" s="15" t="s">
        <v>795</v>
      </c>
      <c r="F5068" s="42"/>
    </row>
    <row r="5069" spans="1:6" x14ac:dyDescent="0.3">
      <c r="A5069" s="15" t="s">
        <v>33499</v>
      </c>
      <c r="B5069" s="15" t="s">
        <v>795</v>
      </c>
      <c r="C5069" s="15" t="s">
        <v>795</v>
      </c>
      <c r="D5069" s="15" t="s">
        <v>795</v>
      </c>
      <c r="F5069" s="42"/>
    </row>
    <row r="5070" spans="1:6" x14ac:dyDescent="0.3">
      <c r="A5070" s="15" t="s">
        <v>43179</v>
      </c>
      <c r="B5070" s="15" t="s">
        <v>9659</v>
      </c>
      <c r="C5070" s="15" t="s">
        <v>800</v>
      </c>
      <c r="D5070" s="15" t="s">
        <v>9660</v>
      </c>
      <c r="E5070" s="15">
        <v>15.2462</v>
      </c>
      <c r="F5070" s="42">
        <v>46198</v>
      </c>
    </row>
    <row r="5071" spans="1:6" x14ac:dyDescent="0.3">
      <c r="A5071" s="15" t="s">
        <v>43178</v>
      </c>
      <c r="B5071" s="15" t="s">
        <v>9661</v>
      </c>
      <c r="C5071" s="15" t="s">
        <v>800</v>
      </c>
      <c r="D5071" s="15" t="s">
        <v>9662</v>
      </c>
      <c r="E5071" s="15">
        <v>12.615500000000001</v>
      </c>
      <c r="F5071" s="42">
        <v>46198</v>
      </c>
    </row>
    <row r="5072" spans="1:6" x14ac:dyDescent="0.3">
      <c r="A5072" s="15" t="s">
        <v>43177</v>
      </c>
      <c r="B5072" s="15" t="s">
        <v>800</v>
      </c>
      <c r="C5072" s="15" t="s">
        <v>9663</v>
      </c>
      <c r="D5072" s="15" t="s">
        <v>9664</v>
      </c>
      <c r="E5072" s="15">
        <v>12.615500000000001</v>
      </c>
      <c r="F5072" s="42">
        <v>46198</v>
      </c>
    </row>
    <row r="5073" spans="1:6" x14ac:dyDescent="0.3">
      <c r="A5073" s="15" t="s">
        <v>43176</v>
      </c>
      <c r="B5073" s="15" t="s">
        <v>9665</v>
      </c>
      <c r="C5073" s="15" t="s">
        <v>800</v>
      </c>
      <c r="D5073" s="15" t="s">
        <v>9666</v>
      </c>
      <c r="E5073" s="15">
        <v>14.3912</v>
      </c>
      <c r="F5073" s="42">
        <v>46198</v>
      </c>
    </row>
    <row r="5074" spans="1:6" x14ac:dyDescent="0.3">
      <c r="A5074" s="15" t="s">
        <v>43175</v>
      </c>
      <c r="B5074" s="15" t="s">
        <v>9667</v>
      </c>
      <c r="C5074" s="15" t="s">
        <v>800</v>
      </c>
      <c r="D5074" s="15" t="s">
        <v>9668</v>
      </c>
      <c r="E5074" s="15">
        <v>11.898</v>
      </c>
      <c r="F5074" s="42">
        <v>46198</v>
      </c>
    </row>
    <row r="5075" spans="1:6" x14ac:dyDescent="0.3">
      <c r="A5075" s="15" t="s">
        <v>43174</v>
      </c>
      <c r="B5075" s="15" t="s">
        <v>800</v>
      </c>
      <c r="C5075" s="15" t="s">
        <v>9669</v>
      </c>
      <c r="D5075" s="15" t="s">
        <v>9670</v>
      </c>
      <c r="E5075" s="15">
        <v>11.898</v>
      </c>
      <c r="F5075" s="42">
        <v>46198</v>
      </c>
    </row>
    <row r="5076" spans="1:6" x14ac:dyDescent="0.3">
      <c r="A5076" s="15" t="s">
        <v>33499</v>
      </c>
      <c r="B5076" s="15" t="s">
        <v>795</v>
      </c>
      <c r="C5076" s="15" t="s">
        <v>795</v>
      </c>
      <c r="D5076" s="15" t="s">
        <v>795</v>
      </c>
      <c r="F5076" s="42"/>
    </row>
    <row r="5077" spans="1:6" x14ac:dyDescent="0.3">
      <c r="A5077" s="15" t="s">
        <v>33519</v>
      </c>
      <c r="B5077" s="15" t="s">
        <v>795</v>
      </c>
      <c r="C5077" s="15" t="s">
        <v>795</v>
      </c>
      <c r="D5077" s="15" t="s">
        <v>795</v>
      </c>
      <c r="F5077" s="42"/>
    </row>
    <row r="5078" spans="1:6" x14ac:dyDescent="0.3">
      <c r="A5078" s="15" t="s">
        <v>33499</v>
      </c>
      <c r="B5078" s="15" t="s">
        <v>795</v>
      </c>
      <c r="C5078" s="15" t="s">
        <v>795</v>
      </c>
      <c r="D5078" s="15" t="s">
        <v>795</v>
      </c>
      <c r="F5078" s="42"/>
    </row>
    <row r="5079" spans="1:6" x14ac:dyDescent="0.3">
      <c r="A5079" s="15" t="s">
        <v>43173</v>
      </c>
      <c r="B5079" s="15" t="s">
        <v>9671</v>
      </c>
      <c r="C5079" s="15" t="s">
        <v>800</v>
      </c>
      <c r="D5079" s="15" t="s">
        <v>9672</v>
      </c>
      <c r="E5079" s="15">
        <v>25.4694</v>
      </c>
      <c r="F5079" s="42">
        <v>46198</v>
      </c>
    </row>
    <row r="5080" spans="1:6" x14ac:dyDescent="0.3">
      <c r="A5080" s="15" t="s">
        <v>43172</v>
      </c>
      <c r="B5080" s="15" t="s">
        <v>9673</v>
      </c>
      <c r="C5080" s="15" t="s">
        <v>800</v>
      </c>
      <c r="D5080" s="15" t="s">
        <v>9674</v>
      </c>
      <c r="E5080" s="15">
        <v>23.529</v>
      </c>
      <c r="F5080" s="42">
        <v>46198</v>
      </c>
    </row>
    <row r="5081" spans="1:6" x14ac:dyDescent="0.3">
      <c r="A5081" s="15" t="s">
        <v>43171</v>
      </c>
      <c r="B5081" s="15" t="s">
        <v>800</v>
      </c>
      <c r="C5081" s="15" t="s">
        <v>9675</v>
      </c>
      <c r="D5081" s="15" t="s">
        <v>9676</v>
      </c>
      <c r="E5081" s="15">
        <v>25.4694</v>
      </c>
      <c r="F5081" s="42">
        <v>46198</v>
      </c>
    </row>
    <row r="5082" spans="1:6" x14ac:dyDescent="0.3">
      <c r="A5082" s="15" t="s">
        <v>43170</v>
      </c>
      <c r="B5082" s="15" t="s">
        <v>9677</v>
      </c>
      <c r="C5082" s="15" t="s">
        <v>800</v>
      </c>
      <c r="D5082" s="15" t="s">
        <v>9678</v>
      </c>
      <c r="E5082" s="15">
        <v>22.566199999999998</v>
      </c>
      <c r="F5082" s="42">
        <v>46198</v>
      </c>
    </row>
    <row r="5083" spans="1:6" x14ac:dyDescent="0.3">
      <c r="A5083" s="15" t="s">
        <v>43169</v>
      </c>
      <c r="B5083" s="15" t="s">
        <v>800</v>
      </c>
      <c r="C5083" s="15" t="s">
        <v>9679</v>
      </c>
      <c r="D5083" s="15" t="s">
        <v>9680</v>
      </c>
      <c r="E5083" s="15">
        <v>22.566199999999998</v>
      </c>
      <c r="F5083" s="42">
        <v>46198</v>
      </c>
    </row>
    <row r="5084" spans="1:6" x14ac:dyDescent="0.3">
      <c r="A5084" s="15" t="s">
        <v>43168</v>
      </c>
      <c r="B5084" s="15" t="s">
        <v>9681</v>
      </c>
      <c r="C5084" s="15" t="s">
        <v>800</v>
      </c>
      <c r="D5084" s="15" t="s">
        <v>9682</v>
      </c>
      <c r="E5084" s="15">
        <v>26.433</v>
      </c>
      <c r="F5084" s="42">
        <v>46198</v>
      </c>
    </row>
    <row r="5085" spans="1:6" x14ac:dyDescent="0.3">
      <c r="A5085" s="15" t="s">
        <v>33499</v>
      </c>
      <c r="B5085" s="15" t="s">
        <v>795</v>
      </c>
      <c r="C5085" s="15" t="s">
        <v>795</v>
      </c>
      <c r="D5085" s="15" t="s">
        <v>795</v>
      </c>
      <c r="F5085" s="42"/>
    </row>
    <row r="5086" spans="1:6" x14ac:dyDescent="0.3">
      <c r="A5086" s="15" t="s">
        <v>38009</v>
      </c>
      <c r="B5086" s="15" t="s">
        <v>795</v>
      </c>
      <c r="C5086" s="15" t="s">
        <v>795</v>
      </c>
      <c r="D5086" s="15" t="s">
        <v>795</v>
      </c>
      <c r="F5086" s="42"/>
    </row>
    <row r="5087" spans="1:6" x14ac:dyDescent="0.3">
      <c r="A5087" s="15" t="s">
        <v>33499</v>
      </c>
      <c r="B5087" s="15" t="s">
        <v>795</v>
      </c>
      <c r="C5087" s="15" t="s">
        <v>795</v>
      </c>
      <c r="D5087" s="15" t="s">
        <v>795</v>
      </c>
      <c r="F5087" s="42"/>
    </row>
    <row r="5088" spans="1:6" x14ac:dyDescent="0.3">
      <c r="A5088" s="15" t="s">
        <v>43167</v>
      </c>
      <c r="B5088" s="15" t="s">
        <v>9683</v>
      </c>
      <c r="C5088" s="15" t="s">
        <v>9684</v>
      </c>
      <c r="D5088" s="15" t="s">
        <v>9685</v>
      </c>
      <c r="E5088" s="15">
        <v>117.55</v>
      </c>
      <c r="F5088" s="42">
        <v>46198</v>
      </c>
    </row>
    <row r="5089" spans="1:6" x14ac:dyDescent="0.3">
      <c r="A5089" s="15" t="s">
        <v>43166</v>
      </c>
      <c r="B5089" s="15" t="s">
        <v>9686</v>
      </c>
      <c r="C5089" s="15" t="s">
        <v>800</v>
      </c>
      <c r="D5089" s="15" t="s">
        <v>9687</v>
      </c>
      <c r="E5089" s="15">
        <v>233</v>
      </c>
      <c r="F5089" s="42">
        <v>46198</v>
      </c>
    </row>
    <row r="5090" spans="1:6" x14ac:dyDescent="0.3">
      <c r="A5090" s="15" t="s">
        <v>43165</v>
      </c>
      <c r="B5090" s="15" t="s">
        <v>9688</v>
      </c>
      <c r="C5090" s="15" t="s">
        <v>800</v>
      </c>
      <c r="D5090" s="15" t="s">
        <v>9689</v>
      </c>
      <c r="E5090" s="15">
        <v>223.82</v>
      </c>
      <c r="F5090" s="42">
        <v>46198</v>
      </c>
    </row>
    <row r="5091" spans="1:6" x14ac:dyDescent="0.3">
      <c r="A5091" s="15" t="s">
        <v>43164</v>
      </c>
      <c r="B5091" s="15" t="s">
        <v>9690</v>
      </c>
      <c r="C5091" s="15" t="s">
        <v>9691</v>
      </c>
      <c r="D5091" s="15" t="s">
        <v>9692</v>
      </c>
      <c r="E5091" s="15">
        <v>108.61</v>
      </c>
      <c r="F5091" s="42">
        <v>46198</v>
      </c>
    </row>
    <row r="5092" spans="1:6" x14ac:dyDescent="0.3">
      <c r="A5092" s="15" t="s">
        <v>33499</v>
      </c>
      <c r="B5092" s="15" t="s">
        <v>795</v>
      </c>
      <c r="C5092" s="15" t="s">
        <v>795</v>
      </c>
      <c r="D5092" s="15" t="s">
        <v>795</v>
      </c>
      <c r="F5092" s="42"/>
    </row>
    <row r="5093" spans="1:6" x14ac:dyDescent="0.3">
      <c r="A5093" s="15" t="s">
        <v>39242</v>
      </c>
      <c r="B5093" s="15" t="s">
        <v>795</v>
      </c>
      <c r="C5093" s="15" t="s">
        <v>795</v>
      </c>
      <c r="D5093" s="15" t="s">
        <v>795</v>
      </c>
      <c r="F5093" s="42"/>
    </row>
    <row r="5094" spans="1:6" x14ac:dyDescent="0.3">
      <c r="A5094" s="15" t="s">
        <v>33499</v>
      </c>
      <c r="B5094" s="15" t="s">
        <v>795</v>
      </c>
      <c r="C5094" s="15" t="s">
        <v>795</v>
      </c>
      <c r="D5094" s="15" t="s">
        <v>795</v>
      </c>
      <c r="F5094" s="42"/>
    </row>
    <row r="5095" spans="1:6" x14ac:dyDescent="0.3">
      <c r="A5095" s="15" t="s">
        <v>43163</v>
      </c>
      <c r="B5095" s="15" t="s">
        <v>9693</v>
      </c>
      <c r="C5095" s="15" t="s">
        <v>800</v>
      </c>
      <c r="D5095" s="15" t="s">
        <v>9694</v>
      </c>
      <c r="E5095" s="15">
        <v>10.036</v>
      </c>
      <c r="F5095" s="42">
        <v>46198</v>
      </c>
    </row>
    <row r="5096" spans="1:6" x14ac:dyDescent="0.3">
      <c r="A5096" s="15" t="s">
        <v>43162</v>
      </c>
      <c r="B5096" s="15" t="s">
        <v>9695</v>
      </c>
      <c r="C5096" s="15" t="s">
        <v>9696</v>
      </c>
      <c r="D5096" s="15" t="s">
        <v>9697</v>
      </c>
      <c r="E5096" s="15">
        <v>10.035500000000001</v>
      </c>
      <c r="F5096" s="42">
        <v>46198</v>
      </c>
    </row>
    <row r="5097" spans="1:6" x14ac:dyDescent="0.3">
      <c r="A5097" s="15" t="s">
        <v>43161</v>
      </c>
      <c r="B5097" s="15" t="s">
        <v>9698</v>
      </c>
      <c r="C5097" s="15" t="s">
        <v>800</v>
      </c>
      <c r="D5097" s="15" t="s">
        <v>9699</v>
      </c>
      <c r="E5097" s="15">
        <v>9.8971</v>
      </c>
      <c r="F5097" s="42">
        <v>46198</v>
      </c>
    </row>
    <row r="5098" spans="1:6" x14ac:dyDescent="0.3">
      <c r="A5098" s="15" t="s">
        <v>43160</v>
      </c>
      <c r="B5098" s="15" t="s">
        <v>9700</v>
      </c>
      <c r="C5098" s="15" t="s">
        <v>9701</v>
      </c>
      <c r="D5098" s="15" t="s">
        <v>9702</v>
      </c>
      <c r="E5098" s="15">
        <v>9.8970000000000002</v>
      </c>
      <c r="F5098" s="42">
        <v>46198</v>
      </c>
    </row>
    <row r="5099" spans="1:6" x14ac:dyDescent="0.3">
      <c r="A5099" s="15" t="s">
        <v>33499</v>
      </c>
      <c r="B5099" s="15" t="s">
        <v>795</v>
      </c>
      <c r="C5099" s="15" t="s">
        <v>795</v>
      </c>
      <c r="D5099" s="15" t="s">
        <v>795</v>
      </c>
      <c r="F5099" s="42"/>
    </row>
    <row r="5100" spans="1:6" x14ac:dyDescent="0.3">
      <c r="A5100" s="15" t="s">
        <v>33508</v>
      </c>
      <c r="B5100" s="15" t="s">
        <v>795</v>
      </c>
      <c r="C5100" s="15" t="s">
        <v>795</v>
      </c>
      <c r="D5100" s="15" t="s">
        <v>795</v>
      </c>
      <c r="F5100" s="42"/>
    </row>
    <row r="5101" spans="1:6" x14ac:dyDescent="0.3">
      <c r="A5101" s="15" t="s">
        <v>33499</v>
      </c>
      <c r="B5101" s="15" t="s">
        <v>795</v>
      </c>
      <c r="C5101" s="15" t="s">
        <v>795</v>
      </c>
      <c r="D5101" s="15" t="s">
        <v>795</v>
      </c>
      <c r="F5101" s="42"/>
    </row>
    <row r="5102" spans="1:6" x14ac:dyDescent="0.3">
      <c r="A5102" s="15" t="s">
        <v>43159</v>
      </c>
      <c r="B5102" s="15" t="s">
        <v>9703</v>
      </c>
      <c r="C5102" s="15" t="s">
        <v>800</v>
      </c>
      <c r="D5102" s="15" t="s">
        <v>9704</v>
      </c>
      <c r="E5102" s="15">
        <v>12.05</v>
      </c>
      <c r="F5102" s="42">
        <v>46198</v>
      </c>
    </row>
    <row r="5103" spans="1:6" x14ac:dyDescent="0.3">
      <c r="A5103" s="15" t="s">
        <v>43158</v>
      </c>
      <c r="B5103" s="15" t="s">
        <v>9705</v>
      </c>
      <c r="C5103" s="15" t="s">
        <v>9706</v>
      </c>
      <c r="D5103" s="15" t="s">
        <v>9707</v>
      </c>
      <c r="E5103" s="15">
        <v>12.03</v>
      </c>
      <c r="F5103" s="42">
        <v>46198</v>
      </c>
    </row>
    <row r="5104" spans="1:6" x14ac:dyDescent="0.3">
      <c r="A5104" s="15" t="s">
        <v>43157</v>
      </c>
      <c r="B5104" s="15" t="s">
        <v>9708</v>
      </c>
      <c r="C5104" s="15" t="s">
        <v>800</v>
      </c>
      <c r="D5104" s="15" t="s">
        <v>9709</v>
      </c>
      <c r="E5104" s="15">
        <v>11.62</v>
      </c>
      <c r="F5104" s="42">
        <v>46198</v>
      </c>
    </row>
    <row r="5105" spans="1:6" x14ac:dyDescent="0.3">
      <c r="A5105" s="15" t="s">
        <v>43156</v>
      </c>
      <c r="B5105" s="15" t="s">
        <v>9710</v>
      </c>
      <c r="C5105" s="15" t="s">
        <v>9711</v>
      </c>
      <c r="D5105" s="15" t="s">
        <v>9712</v>
      </c>
      <c r="E5105" s="15">
        <v>11.62</v>
      </c>
      <c r="F5105" s="42">
        <v>46198</v>
      </c>
    </row>
    <row r="5106" spans="1:6" x14ac:dyDescent="0.3">
      <c r="A5106" s="15" t="s">
        <v>33499</v>
      </c>
      <c r="B5106" s="15" t="s">
        <v>795</v>
      </c>
      <c r="C5106" s="15" t="s">
        <v>795</v>
      </c>
      <c r="D5106" s="15" t="s">
        <v>795</v>
      </c>
      <c r="F5106" s="42"/>
    </row>
    <row r="5107" spans="1:6" x14ac:dyDescent="0.3">
      <c r="A5107" s="15" t="s">
        <v>40500</v>
      </c>
      <c r="B5107" s="15" t="s">
        <v>795</v>
      </c>
      <c r="C5107" s="15" t="s">
        <v>795</v>
      </c>
      <c r="D5107" s="15" t="s">
        <v>795</v>
      </c>
      <c r="F5107" s="42"/>
    </row>
    <row r="5108" spans="1:6" x14ac:dyDescent="0.3">
      <c r="A5108" s="15" t="s">
        <v>33499</v>
      </c>
      <c r="B5108" s="15" t="s">
        <v>795</v>
      </c>
      <c r="C5108" s="15" t="s">
        <v>795</v>
      </c>
      <c r="D5108" s="15" t="s">
        <v>795</v>
      </c>
      <c r="F5108" s="42"/>
    </row>
    <row r="5109" spans="1:6" x14ac:dyDescent="0.3">
      <c r="A5109" s="15" t="s">
        <v>43155</v>
      </c>
      <c r="B5109" s="15" t="s">
        <v>9713</v>
      </c>
      <c r="C5109" s="15" t="s">
        <v>800</v>
      </c>
      <c r="D5109" s="15" t="s">
        <v>9714</v>
      </c>
      <c r="E5109" s="15">
        <v>10.537699999999999</v>
      </c>
      <c r="F5109" s="42">
        <v>46198</v>
      </c>
    </row>
    <row r="5110" spans="1:6" x14ac:dyDescent="0.3">
      <c r="A5110" s="15" t="s">
        <v>43154</v>
      </c>
      <c r="B5110" s="15" t="s">
        <v>9715</v>
      </c>
      <c r="C5110" s="15" t="s">
        <v>800</v>
      </c>
      <c r="D5110" s="15" t="s">
        <v>9716</v>
      </c>
      <c r="E5110" s="15">
        <v>10.394299999999999</v>
      </c>
      <c r="F5110" s="42">
        <v>46198</v>
      </c>
    </row>
    <row r="5111" spans="1:6" x14ac:dyDescent="0.3">
      <c r="A5111" s="15" t="s">
        <v>33499</v>
      </c>
      <c r="B5111" s="15" t="s">
        <v>795</v>
      </c>
      <c r="C5111" s="15" t="s">
        <v>795</v>
      </c>
      <c r="D5111" s="15" t="s">
        <v>795</v>
      </c>
      <c r="F5111" s="42"/>
    </row>
    <row r="5112" spans="1:6" x14ac:dyDescent="0.3">
      <c r="A5112" s="15" t="s">
        <v>33504</v>
      </c>
      <c r="B5112" s="15" t="s">
        <v>795</v>
      </c>
      <c r="C5112" s="15" t="s">
        <v>795</v>
      </c>
      <c r="D5112" s="15" t="s">
        <v>795</v>
      </c>
      <c r="F5112" s="42"/>
    </row>
    <row r="5113" spans="1:6" x14ac:dyDescent="0.3">
      <c r="A5113" s="15" t="s">
        <v>33499</v>
      </c>
      <c r="B5113" s="15" t="s">
        <v>795</v>
      </c>
      <c r="C5113" s="15" t="s">
        <v>795</v>
      </c>
      <c r="D5113" s="15" t="s">
        <v>795</v>
      </c>
      <c r="F5113" s="42"/>
    </row>
    <row r="5114" spans="1:6" x14ac:dyDescent="0.3">
      <c r="A5114" s="15" t="s">
        <v>43153</v>
      </c>
      <c r="B5114" s="15" t="s">
        <v>9717</v>
      </c>
      <c r="C5114" s="15" t="s">
        <v>800</v>
      </c>
      <c r="D5114" s="15" t="s">
        <v>9718</v>
      </c>
      <c r="E5114" s="15">
        <v>57.73</v>
      </c>
      <c r="F5114" s="42">
        <v>46198</v>
      </c>
    </row>
    <row r="5115" spans="1:6" x14ac:dyDescent="0.3">
      <c r="A5115" s="15" t="s">
        <v>43152</v>
      </c>
      <c r="B5115" s="15" t="s">
        <v>9719</v>
      </c>
      <c r="C5115" s="15" t="s">
        <v>9720</v>
      </c>
      <c r="D5115" s="15" t="s">
        <v>9721</v>
      </c>
      <c r="E5115" s="15">
        <v>46.62</v>
      </c>
      <c r="F5115" s="42">
        <v>46198</v>
      </c>
    </row>
    <row r="5116" spans="1:6" x14ac:dyDescent="0.3">
      <c r="A5116" s="15" t="s">
        <v>43151</v>
      </c>
      <c r="B5116" s="15" t="s">
        <v>9722</v>
      </c>
      <c r="C5116" s="15" t="s">
        <v>800</v>
      </c>
      <c r="D5116" s="15" t="s">
        <v>9723</v>
      </c>
      <c r="E5116" s="15">
        <v>51.32</v>
      </c>
      <c r="F5116" s="42">
        <v>46198</v>
      </c>
    </row>
    <row r="5117" spans="1:6" x14ac:dyDescent="0.3">
      <c r="A5117" s="15" t="s">
        <v>43150</v>
      </c>
      <c r="B5117" s="15" t="s">
        <v>9724</v>
      </c>
      <c r="C5117" s="15" t="s">
        <v>9725</v>
      </c>
      <c r="D5117" s="15" t="s">
        <v>9726</v>
      </c>
      <c r="E5117" s="15">
        <v>28.6</v>
      </c>
      <c r="F5117" s="42">
        <v>46198</v>
      </c>
    </row>
    <row r="5118" spans="1:6" x14ac:dyDescent="0.3">
      <c r="A5118" s="15" t="s">
        <v>33499</v>
      </c>
      <c r="B5118" s="15" t="s">
        <v>795</v>
      </c>
      <c r="C5118" s="15" t="s">
        <v>795</v>
      </c>
      <c r="D5118" s="15" t="s">
        <v>795</v>
      </c>
      <c r="F5118" s="42"/>
    </row>
    <row r="5119" spans="1:6" x14ac:dyDescent="0.3">
      <c r="A5119" s="15" t="s">
        <v>33500</v>
      </c>
      <c r="B5119" s="15" t="s">
        <v>795</v>
      </c>
      <c r="C5119" s="15" t="s">
        <v>795</v>
      </c>
      <c r="D5119" s="15" t="s">
        <v>795</v>
      </c>
      <c r="F5119" s="42"/>
    </row>
    <row r="5120" spans="1:6" x14ac:dyDescent="0.3">
      <c r="A5120" s="15" t="s">
        <v>33499</v>
      </c>
      <c r="B5120" s="15" t="s">
        <v>795</v>
      </c>
      <c r="C5120" s="15" t="s">
        <v>795</v>
      </c>
      <c r="D5120" s="15" t="s">
        <v>795</v>
      </c>
      <c r="F5120" s="42"/>
    </row>
    <row r="5121" spans="1:6" x14ac:dyDescent="0.3">
      <c r="A5121" s="15" t="s">
        <v>43149</v>
      </c>
      <c r="B5121" s="15" t="s">
        <v>9727</v>
      </c>
      <c r="C5121" s="15" t="s">
        <v>800</v>
      </c>
      <c r="D5121" s="15" t="s">
        <v>9728</v>
      </c>
      <c r="E5121" s="15">
        <v>308.56889999999999</v>
      </c>
      <c r="F5121" s="42">
        <v>46198</v>
      </c>
    </row>
    <row r="5122" spans="1:6" x14ac:dyDescent="0.3">
      <c r="A5122" s="15" t="s">
        <v>43148</v>
      </c>
      <c r="B5122" s="15" t="s">
        <v>9729</v>
      </c>
      <c r="C5122" s="15" t="s">
        <v>800</v>
      </c>
      <c r="D5122" s="15" t="s">
        <v>9730</v>
      </c>
      <c r="E5122" s="15">
        <v>332.91149999999999</v>
      </c>
      <c r="F5122" s="42">
        <v>46198</v>
      </c>
    </row>
    <row r="5123" spans="1:6" x14ac:dyDescent="0.3">
      <c r="A5123" s="15" t="s">
        <v>43147</v>
      </c>
      <c r="B5123" s="15" t="s">
        <v>9731</v>
      </c>
      <c r="C5123" s="15" t="s">
        <v>9732</v>
      </c>
      <c r="D5123" s="15" t="s">
        <v>9733</v>
      </c>
      <c r="E5123" s="15">
        <v>221.54730000000001</v>
      </c>
      <c r="F5123" s="42">
        <v>46198</v>
      </c>
    </row>
    <row r="5124" spans="1:6" x14ac:dyDescent="0.3">
      <c r="A5124" s="15" t="s">
        <v>43146</v>
      </c>
      <c r="B5124" s="15" t="s">
        <v>9734</v>
      </c>
      <c r="C5124" s="15" t="s">
        <v>9735</v>
      </c>
      <c r="D5124" s="15" t="s">
        <v>9736</v>
      </c>
      <c r="E5124" s="15">
        <v>204.0061</v>
      </c>
      <c r="F5124" s="42">
        <v>46198</v>
      </c>
    </row>
    <row r="5125" spans="1:6" x14ac:dyDescent="0.3">
      <c r="A5125" s="15" t="s">
        <v>33499</v>
      </c>
      <c r="B5125" s="15" t="s">
        <v>795</v>
      </c>
      <c r="C5125" s="15" t="s">
        <v>795</v>
      </c>
      <c r="D5125" s="15" t="s">
        <v>795</v>
      </c>
      <c r="F5125" s="42"/>
    </row>
    <row r="5126" spans="1:6" x14ac:dyDescent="0.3">
      <c r="A5126" s="15" t="s">
        <v>40172</v>
      </c>
      <c r="B5126" s="15" t="s">
        <v>795</v>
      </c>
      <c r="C5126" s="15" t="s">
        <v>795</v>
      </c>
      <c r="D5126" s="15" t="s">
        <v>795</v>
      </c>
      <c r="F5126" s="42"/>
    </row>
    <row r="5127" spans="1:6" x14ac:dyDescent="0.3">
      <c r="A5127" s="15" t="s">
        <v>33499</v>
      </c>
      <c r="B5127" s="15" t="s">
        <v>795</v>
      </c>
      <c r="C5127" s="15" t="s">
        <v>795</v>
      </c>
      <c r="D5127" s="15" t="s">
        <v>795</v>
      </c>
      <c r="F5127" s="42"/>
    </row>
    <row r="5128" spans="1:6" x14ac:dyDescent="0.3">
      <c r="A5128" s="15" t="s">
        <v>43145</v>
      </c>
      <c r="B5128" s="15" t="s">
        <v>9737</v>
      </c>
      <c r="C5128" s="15" t="s">
        <v>9738</v>
      </c>
      <c r="D5128" s="15" t="s">
        <v>9739</v>
      </c>
      <c r="E5128" s="15">
        <v>18.515000000000001</v>
      </c>
      <c r="F5128" s="42">
        <v>46198</v>
      </c>
    </row>
    <row r="5129" spans="1:6" x14ac:dyDescent="0.3">
      <c r="A5129" s="15" t="s">
        <v>43144</v>
      </c>
      <c r="B5129" s="15" t="s">
        <v>9740</v>
      </c>
      <c r="C5129" s="15" t="s">
        <v>800</v>
      </c>
      <c r="D5129" s="15" t="s">
        <v>9741</v>
      </c>
      <c r="E5129" s="15">
        <v>18.515000000000001</v>
      </c>
      <c r="F5129" s="42">
        <v>46198</v>
      </c>
    </row>
    <row r="5130" spans="1:6" x14ac:dyDescent="0.3">
      <c r="A5130" s="15" t="s">
        <v>43143</v>
      </c>
      <c r="B5130" s="15" t="s">
        <v>9742</v>
      </c>
      <c r="C5130" s="15" t="s">
        <v>9743</v>
      </c>
      <c r="D5130" s="15" t="s">
        <v>9744</v>
      </c>
      <c r="E5130" s="15">
        <v>17.498000000000001</v>
      </c>
      <c r="F5130" s="42">
        <v>46198</v>
      </c>
    </row>
    <row r="5131" spans="1:6" x14ac:dyDescent="0.3">
      <c r="A5131" s="15" t="s">
        <v>43142</v>
      </c>
      <c r="B5131" s="15" t="s">
        <v>9745</v>
      </c>
      <c r="C5131" s="15" t="s">
        <v>800</v>
      </c>
      <c r="D5131" s="15" t="s">
        <v>9746</v>
      </c>
      <c r="E5131" s="15">
        <v>17.498000000000001</v>
      </c>
      <c r="F5131" s="42">
        <v>46198</v>
      </c>
    </row>
    <row r="5132" spans="1:6" x14ac:dyDescent="0.3">
      <c r="A5132" s="15" t="s">
        <v>33499</v>
      </c>
      <c r="B5132" s="15" t="s">
        <v>795</v>
      </c>
      <c r="C5132" s="15" t="s">
        <v>795</v>
      </c>
      <c r="D5132" s="15" t="s">
        <v>795</v>
      </c>
      <c r="F5132" s="42"/>
    </row>
    <row r="5133" spans="1:6" x14ac:dyDescent="0.3">
      <c r="A5133" s="15" t="s">
        <v>43141</v>
      </c>
      <c r="B5133" s="15" t="s">
        <v>795</v>
      </c>
      <c r="C5133" s="15" t="s">
        <v>795</v>
      </c>
      <c r="D5133" s="15" t="s">
        <v>795</v>
      </c>
      <c r="F5133" s="42"/>
    </row>
    <row r="5134" spans="1:6" x14ac:dyDescent="0.3">
      <c r="A5134" s="15" t="s">
        <v>33499</v>
      </c>
      <c r="B5134" s="15" t="s">
        <v>795</v>
      </c>
      <c r="C5134" s="15" t="s">
        <v>795</v>
      </c>
      <c r="D5134" s="15" t="s">
        <v>795</v>
      </c>
      <c r="F5134" s="42"/>
    </row>
    <row r="5135" spans="1:6" x14ac:dyDescent="0.3">
      <c r="A5135" s="15" t="s">
        <v>37954</v>
      </c>
      <c r="B5135" s="15" t="s">
        <v>795</v>
      </c>
      <c r="C5135" s="15" t="s">
        <v>795</v>
      </c>
      <c r="D5135" s="15" t="s">
        <v>795</v>
      </c>
      <c r="F5135" s="42"/>
    </row>
    <row r="5136" spans="1:6" x14ac:dyDescent="0.3">
      <c r="A5136" s="15" t="s">
        <v>33499</v>
      </c>
      <c r="B5136" s="15" t="s">
        <v>795</v>
      </c>
      <c r="C5136" s="15" t="s">
        <v>795</v>
      </c>
      <c r="D5136" s="15" t="s">
        <v>795</v>
      </c>
      <c r="F5136" s="42"/>
    </row>
    <row r="5137" spans="1:6" x14ac:dyDescent="0.3">
      <c r="A5137" s="15" t="s">
        <v>43140</v>
      </c>
      <c r="B5137" s="15" t="s">
        <v>9747</v>
      </c>
      <c r="C5137" s="15" t="s">
        <v>9748</v>
      </c>
      <c r="D5137" s="15" t="s">
        <v>9749</v>
      </c>
      <c r="E5137" s="15">
        <v>53.9923</v>
      </c>
      <c r="F5137" s="42">
        <v>46198</v>
      </c>
    </row>
    <row r="5138" spans="1:6" x14ac:dyDescent="0.3">
      <c r="A5138" s="15" t="s">
        <v>43139</v>
      </c>
      <c r="B5138" s="15" t="s">
        <v>9750</v>
      </c>
      <c r="C5138" s="15" t="s">
        <v>9751</v>
      </c>
      <c r="D5138" s="15" t="s">
        <v>9752</v>
      </c>
      <c r="E5138" s="15">
        <v>42.185299999999998</v>
      </c>
      <c r="F5138" s="42">
        <v>46198</v>
      </c>
    </row>
    <row r="5139" spans="1:6" x14ac:dyDescent="0.3">
      <c r="A5139" s="15" t="s">
        <v>43138</v>
      </c>
      <c r="B5139" s="15" t="s">
        <v>9753</v>
      </c>
      <c r="C5139" s="15" t="s">
        <v>800</v>
      </c>
      <c r="D5139" s="15" t="s">
        <v>9754</v>
      </c>
      <c r="E5139" s="15">
        <v>47.677799999999998</v>
      </c>
      <c r="F5139" s="42">
        <v>46198</v>
      </c>
    </row>
    <row r="5140" spans="1:6" x14ac:dyDescent="0.3">
      <c r="A5140" s="15" t="s">
        <v>43137</v>
      </c>
      <c r="B5140" s="15" t="s">
        <v>9755</v>
      </c>
      <c r="C5140" s="15" t="s">
        <v>800</v>
      </c>
      <c r="D5140" s="15" t="s">
        <v>9756</v>
      </c>
      <c r="E5140" s="15">
        <v>54.5486</v>
      </c>
      <c r="F5140" s="42">
        <v>46198</v>
      </c>
    </row>
    <row r="5141" spans="1:6" x14ac:dyDescent="0.3">
      <c r="A5141" s="15" t="s">
        <v>33499</v>
      </c>
      <c r="B5141" s="15" t="s">
        <v>795</v>
      </c>
      <c r="C5141" s="15" t="s">
        <v>795</v>
      </c>
      <c r="D5141" s="15" t="s">
        <v>795</v>
      </c>
      <c r="F5141" s="42"/>
    </row>
    <row r="5142" spans="1:6" x14ac:dyDescent="0.3">
      <c r="A5142" s="15" t="s">
        <v>37122</v>
      </c>
      <c r="B5142" s="15" t="s">
        <v>795</v>
      </c>
      <c r="C5142" s="15" t="s">
        <v>795</v>
      </c>
      <c r="D5142" s="15" t="s">
        <v>795</v>
      </c>
      <c r="F5142" s="42"/>
    </row>
    <row r="5143" spans="1:6" x14ac:dyDescent="0.3">
      <c r="A5143" s="15" t="s">
        <v>33499</v>
      </c>
      <c r="B5143" s="15" t="s">
        <v>795</v>
      </c>
      <c r="C5143" s="15" t="s">
        <v>795</v>
      </c>
      <c r="D5143" s="15" t="s">
        <v>795</v>
      </c>
      <c r="F5143" s="42"/>
    </row>
    <row r="5144" spans="1:6" x14ac:dyDescent="0.3">
      <c r="A5144" s="15" t="s">
        <v>43136</v>
      </c>
      <c r="B5144" s="15" t="s">
        <v>9757</v>
      </c>
      <c r="C5144" s="15" t="s">
        <v>800</v>
      </c>
      <c r="D5144" s="15" t="s">
        <v>9758</v>
      </c>
      <c r="E5144" s="15">
        <v>163.4254</v>
      </c>
      <c r="F5144" s="42">
        <v>46198</v>
      </c>
    </row>
    <row r="5145" spans="1:6" x14ac:dyDescent="0.3">
      <c r="A5145" s="15" t="s">
        <v>43135</v>
      </c>
      <c r="B5145" s="15" t="s">
        <v>9759</v>
      </c>
      <c r="C5145" s="15" t="s">
        <v>9760</v>
      </c>
      <c r="D5145" s="15" t="s">
        <v>9761</v>
      </c>
      <c r="E5145" s="15">
        <v>58.344499999999996</v>
      </c>
      <c r="F5145" s="42">
        <v>46198</v>
      </c>
    </row>
    <row r="5146" spans="1:6" x14ac:dyDescent="0.3">
      <c r="A5146" s="15" t="s">
        <v>43134</v>
      </c>
      <c r="B5146" s="15" t="s">
        <v>9762</v>
      </c>
      <c r="C5146" s="15" t="s">
        <v>800</v>
      </c>
      <c r="D5146" s="15" t="s">
        <v>9763</v>
      </c>
      <c r="E5146" s="15">
        <v>143.82849999999999</v>
      </c>
      <c r="F5146" s="42">
        <v>46198</v>
      </c>
    </row>
    <row r="5147" spans="1:6" x14ac:dyDescent="0.3">
      <c r="A5147" s="15" t="s">
        <v>43133</v>
      </c>
      <c r="B5147" s="15" t="s">
        <v>9764</v>
      </c>
      <c r="C5147" s="15" t="s">
        <v>9765</v>
      </c>
      <c r="D5147" s="15" t="s">
        <v>9766</v>
      </c>
      <c r="E5147" s="15">
        <v>24.5566</v>
      </c>
      <c r="F5147" s="42">
        <v>46198</v>
      </c>
    </row>
    <row r="5148" spans="1:6" x14ac:dyDescent="0.3">
      <c r="A5148" s="15" t="s">
        <v>33499</v>
      </c>
      <c r="B5148" s="15" t="s">
        <v>795</v>
      </c>
      <c r="C5148" s="15" t="s">
        <v>795</v>
      </c>
      <c r="D5148" s="15" t="s">
        <v>795</v>
      </c>
      <c r="F5148" s="42"/>
    </row>
    <row r="5149" spans="1:6" x14ac:dyDescent="0.3">
      <c r="A5149" s="15" t="s">
        <v>37087</v>
      </c>
      <c r="B5149" s="15" t="s">
        <v>795</v>
      </c>
      <c r="C5149" s="15" t="s">
        <v>795</v>
      </c>
      <c r="D5149" s="15" t="s">
        <v>795</v>
      </c>
      <c r="F5149" s="42"/>
    </row>
    <row r="5150" spans="1:6" x14ac:dyDescent="0.3">
      <c r="A5150" s="15" t="s">
        <v>33499</v>
      </c>
      <c r="B5150" s="15" t="s">
        <v>795</v>
      </c>
      <c r="C5150" s="15" t="s">
        <v>795</v>
      </c>
      <c r="D5150" s="15" t="s">
        <v>795</v>
      </c>
      <c r="F5150" s="42"/>
    </row>
    <row r="5151" spans="1:6" x14ac:dyDescent="0.3">
      <c r="A5151" s="15" t="s">
        <v>43132</v>
      </c>
      <c r="B5151" s="15" t="s">
        <v>9767</v>
      </c>
      <c r="C5151" s="15" t="s">
        <v>800</v>
      </c>
      <c r="D5151" s="15" t="s">
        <v>9768</v>
      </c>
      <c r="E5151" s="15">
        <v>62.66</v>
      </c>
      <c r="F5151" s="42">
        <v>46198</v>
      </c>
    </row>
    <row r="5152" spans="1:6" x14ac:dyDescent="0.3">
      <c r="A5152" s="15" t="s">
        <v>43131</v>
      </c>
      <c r="B5152" s="15" t="s">
        <v>9769</v>
      </c>
      <c r="C5152" s="15" t="s">
        <v>9770</v>
      </c>
      <c r="D5152" s="15" t="s">
        <v>9771</v>
      </c>
      <c r="E5152" s="15">
        <v>31.89</v>
      </c>
      <c r="F5152" s="42">
        <v>46198</v>
      </c>
    </row>
    <row r="5153" spans="1:6" x14ac:dyDescent="0.3">
      <c r="A5153" s="15" t="s">
        <v>43130</v>
      </c>
      <c r="B5153" s="15" t="s">
        <v>9772</v>
      </c>
      <c r="C5153" s="15" t="s">
        <v>800</v>
      </c>
      <c r="D5153" s="15" t="s">
        <v>9773</v>
      </c>
      <c r="E5153" s="15">
        <v>53.84</v>
      </c>
      <c r="F5153" s="42">
        <v>46198</v>
      </c>
    </row>
    <row r="5154" spans="1:6" x14ac:dyDescent="0.3">
      <c r="A5154" s="15" t="s">
        <v>43129</v>
      </c>
      <c r="B5154" s="15" t="s">
        <v>9774</v>
      </c>
      <c r="C5154" s="15" t="s">
        <v>9775</v>
      </c>
      <c r="D5154" s="15" t="s">
        <v>9776</v>
      </c>
      <c r="E5154" s="15">
        <v>17.75</v>
      </c>
      <c r="F5154" s="42">
        <v>46198</v>
      </c>
    </row>
    <row r="5155" spans="1:6" x14ac:dyDescent="0.3">
      <c r="A5155" s="15" t="s">
        <v>33499</v>
      </c>
      <c r="B5155" s="15" t="s">
        <v>795</v>
      </c>
      <c r="C5155" s="15" t="s">
        <v>795</v>
      </c>
      <c r="D5155" s="15" t="s">
        <v>795</v>
      </c>
      <c r="F5155" s="42"/>
    </row>
    <row r="5156" spans="1:6" x14ac:dyDescent="0.3">
      <c r="A5156" s="15" t="s">
        <v>37073</v>
      </c>
      <c r="B5156" s="15" t="s">
        <v>795</v>
      </c>
      <c r="C5156" s="15" t="s">
        <v>795</v>
      </c>
      <c r="D5156" s="15" t="s">
        <v>795</v>
      </c>
      <c r="F5156" s="42"/>
    </row>
    <row r="5157" spans="1:6" x14ac:dyDescent="0.3">
      <c r="A5157" s="15" t="s">
        <v>33499</v>
      </c>
      <c r="B5157" s="15" t="s">
        <v>795</v>
      </c>
      <c r="C5157" s="15" t="s">
        <v>795</v>
      </c>
      <c r="D5157" s="15" t="s">
        <v>795</v>
      </c>
      <c r="F5157" s="42"/>
    </row>
    <row r="5158" spans="1:6" x14ac:dyDescent="0.3">
      <c r="A5158" s="15" t="s">
        <v>43128</v>
      </c>
      <c r="B5158" s="15" t="s">
        <v>9777</v>
      </c>
      <c r="C5158" s="15" t="s">
        <v>800</v>
      </c>
      <c r="D5158" s="15" t="s">
        <v>9778</v>
      </c>
      <c r="E5158" s="15">
        <v>104.637</v>
      </c>
      <c r="F5158" s="42">
        <v>46198</v>
      </c>
    </row>
    <row r="5159" spans="1:6" x14ac:dyDescent="0.3">
      <c r="A5159" s="15" t="s">
        <v>43127</v>
      </c>
      <c r="B5159" s="15" t="s">
        <v>9779</v>
      </c>
      <c r="C5159" s="15" t="s">
        <v>9780</v>
      </c>
      <c r="D5159" s="15" t="s">
        <v>9781</v>
      </c>
      <c r="E5159" s="15">
        <v>33.514000000000003</v>
      </c>
      <c r="F5159" s="42">
        <v>46198</v>
      </c>
    </row>
    <row r="5160" spans="1:6" x14ac:dyDescent="0.3">
      <c r="A5160" s="15" t="s">
        <v>43126</v>
      </c>
      <c r="B5160" s="15" t="s">
        <v>9782</v>
      </c>
      <c r="C5160" s="15" t="s">
        <v>800</v>
      </c>
      <c r="D5160" s="15" t="s">
        <v>9783</v>
      </c>
      <c r="E5160" s="15">
        <v>87.802000000000007</v>
      </c>
      <c r="F5160" s="42">
        <v>46198</v>
      </c>
    </row>
    <row r="5161" spans="1:6" x14ac:dyDescent="0.3">
      <c r="A5161" s="15" t="s">
        <v>43125</v>
      </c>
      <c r="B5161" s="15" t="s">
        <v>9784</v>
      </c>
      <c r="C5161" s="15" t="s">
        <v>9785</v>
      </c>
      <c r="D5161" s="15" t="s">
        <v>9786</v>
      </c>
      <c r="E5161" s="15">
        <v>18.802</v>
      </c>
      <c r="F5161" s="42">
        <v>46198</v>
      </c>
    </row>
    <row r="5162" spans="1:6" x14ac:dyDescent="0.3">
      <c r="A5162" s="15" t="s">
        <v>33499</v>
      </c>
      <c r="B5162" s="15" t="s">
        <v>795</v>
      </c>
      <c r="C5162" s="15" t="s">
        <v>795</v>
      </c>
      <c r="D5162" s="15" t="s">
        <v>795</v>
      </c>
      <c r="F5162" s="42"/>
    </row>
    <row r="5163" spans="1:6" x14ac:dyDescent="0.3">
      <c r="A5163" s="15" t="s">
        <v>37566</v>
      </c>
      <c r="B5163" s="15" t="s">
        <v>795</v>
      </c>
      <c r="C5163" s="15" t="s">
        <v>795</v>
      </c>
      <c r="D5163" s="15" t="s">
        <v>795</v>
      </c>
      <c r="F5163" s="42"/>
    </row>
    <row r="5164" spans="1:6" x14ac:dyDescent="0.3">
      <c r="A5164" s="15" t="s">
        <v>33499</v>
      </c>
      <c r="B5164" s="15" t="s">
        <v>795</v>
      </c>
      <c r="C5164" s="15" t="s">
        <v>795</v>
      </c>
      <c r="D5164" s="15" t="s">
        <v>795</v>
      </c>
      <c r="F5164" s="42"/>
    </row>
    <row r="5165" spans="1:6" x14ac:dyDescent="0.3">
      <c r="A5165" s="15" t="s">
        <v>43124</v>
      </c>
      <c r="B5165" s="15" t="s">
        <v>9787</v>
      </c>
      <c r="C5165" s="15" t="s">
        <v>800</v>
      </c>
      <c r="D5165" s="15" t="s">
        <v>9788</v>
      </c>
      <c r="E5165" s="15">
        <v>24.008800000000001</v>
      </c>
      <c r="F5165" s="42">
        <v>46198</v>
      </c>
    </row>
    <row r="5166" spans="1:6" x14ac:dyDescent="0.3">
      <c r="A5166" s="15" t="s">
        <v>43123</v>
      </c>
      <c r="B5166" s="15" t="s">
        <v>9789</v>
      </c>
      <c r="C5166" s="15" t="s">
        <v>9790</v>
      </c>
      <c r="D5166" s="15" t="s">
        <v>9791</v>
      </c>
      <c r="E5166" s="15">
        <v>15.789</v>
      </c>
      <c r="F5166" s="42">
        <v>46198</v>
      </c>
    </row>
    <row r="5167" spans="1:6" x14ac:dyDescent="0.3">
      <c r="A5167" s="15" t="s">
        <v>43122</v>
      </c>
      <c r="B5167" s="15" t="s">
        <v>9792</v>
      </c>
      <c r="C5167" s="15" t="s">
        <v>9793</v>
      </c>
      <c r="D5167" s="15" t="s">
        <v>9794</v>
      </c>
      <c r="E5167" s="15">
        <v>13.739800000000001</v>
      </c>
      <c r="F5167" s="42">
        <v>46198</v>
      </c>
    </row>
    <row r="5168" spans="1:6" x14ac:dyDescent="0.3">
      <c r="A5168" s="15" t="s">
        <v>43121</v>
      </c>
      <c r="B5168" s="15" t="s">
        <v>9795</v>
      </c>
      <c r="C5168" s="15" t="s">
        <v>800</v>
      </c>
      <c r="D5168" s="15" t="s">
        <v>9796</v>
      </c>
      <c r="E5168" s="15">
        <v>20.846399999999999</v>
      </c>
      <c r="F5168" s="42">
        <v>46198</v>
      </c>
    </row>
    <row r="5169" spans="1:6" x14ac:dyDescent="0.3">
      <c r="A5169" s="15" t="s">
        <v>33499</v>
      </c>
      <c r="B5169" s="15" t="s">
        <v>795</v>
      </c>
      <c r="C5169" s="15" t="s">
        <v>795</v>
      </c>
      <c r="D5169" s="15" t="s">
        <v>795</v>
      </c>
      <c r="F5169" s="42"/>
    </row>
    <row r="5170" spans="1:6" x14ac:dyDescent="0.3">
      <c r="A5170" s="15" t="s">
        <v>40284</v>
      </c>
      <c r="B5170" s="15" t="s">
        <v>795</v>
      </c>
      <c r="C5170" s="15" t="s">
        <v>795</v>
      </c>
      <c r="D5170" s="15" t="s">
        <v>795</v>
      </c>
      <c r="F5170" s="42"/>
    </row>
    <row r="5171" spans="1:6" x14ac:dyDescent="0.3">
      <c r="A5171" s="15" t="s">
        <v>33499</v>
      </c>
      <c r="B5171" s="15" t="s">
        <v>795</v>
      </c>
      <c r="C5171" s="15" t="s">
        <v>795</v>
      </c>
      <c r="D5171" s="15" t="s">
        <v>795</v>
      </c>
      <c r="F5171" s="42"/>
    </row>
    <row r="5172" spans="1:6" x14ac:dyDescent="0.3">
      <c r="A5172" s="15" t="s">
        <v>43120</v>
      </c>
      <c r="B5172" s="15" t="s">
        <v>9797</v>
      </c>
      <c r="C5172" s="15" t="s">
        <v>800</v>
      </c>
      <c r="D5172" s="15" t="s">
        <v>9798</v>
      </c>
      <c r="E5172" s="15">
        <v>21.02</v>
      </c>
      <c r="F5172" s="42">
        <v>46198</v>
      </c>
    </row>
    <row r="5173" spans="1:6" x14ac:dyDescent="0.3">
      <c r="A5173" s="15" t="s">
        <v>43119</v>
      </c>
      <c r="B5173" s="15" t="s">
        <v>9799</v>
      </c>
      <c r="C5173" s="15" t="s">
        <v>9800</v>
      </c>
      <c r="D5173" s="15" t="s">
        <v>9801</v>
      </c>
      <c r="E5173" s="15">
        <v>18.8</v>
      </c>
      <c r="F5173" s="42">
        <v>46198</v>
      </c>
    </row>
    <row r="5174" spans="1:6" x14ac:dyDescent="0.3">
      <c r="A5174" s="15" t="s">
        <v>43118</v>
      </c>
      <c r="B5174" s="15" t="s">
        <v>9802</v>
      </c>
      <c r="C5174" s="15" t="s">
        <v>800</v>
      </c>
      <c r="D5174" s="15" t="s">
        <v>9803</v>
      </c>
      <c r="E5174" s="15">
        <v>19.43</v>
      </c>
      <c r="F5174" s="42">
        <v>46198</v>
      </c>
    </row>
    <row r="5175" spans="1:6" x14ac:dyDescent="0.3">
      <c r="A5175" s="15" t="s">
        <v>43117</v>
      </c>
      <c r="B5175" s="15" t="s">
        <v>9804</v>
      </c>
      <c r="C5175" s="15" t="s">
        <v>9805</v>
      </c>
      <c r="D5175" s="15" t="s">
        <v>9806</v>
      </c>
      <c r="E5175" s="15">
        <v>17.3</v>
      </c>
      <c r="F5175" s="42">
        <v>46198</v>
      </c>
    </row>
    <row r="5176" spans="1:6" x14ac:dyDescent="0.3">
      <c r="A5176" s="15" t="s">
        <v>33499</v>
      </c>
      <c r="B5176" s="15" t="s">
        <v>795</v>
      </c>
      <c r="C5176" s="15" t="s">
        <v>795</v>
      </c>
      <c r="D5176" s="15" t="s">
        <v>795</v>
      </c>
      <c r="F5176" s="42"/>
    </row>
    <row r="5177" spans="1:6" x14ac:dyDescent="0.3">
      <c r="A5177" s="15" t="s">
        <v>37061</v>
      </c>
      <c r="B5177" s="15" t="s">
        <v>795</v>
      </c>
      <c r="C5177" s="15" t="s">
        <v>795</v>
      </c>
      <c r="D5177" s="15" t="s">
        <v>795</v>
      </c>
      <c r="F5177" s="42"/>
    </row>
    <row r="5178" spans="1:6" x14ac:dyDescent="0.3">
      <c r="A5178" s="15" t="s">
        <v>33499</v>
      </c>
      <c r="B5178" s="15" t="s">
        <v>795</v>
      </c>
      <c r="C5178" s="15" t="s">
        <v>795</v>
      </c>
      <c r="D5178" s="15" t="s">
        <v>795</v>
      </c>
      <c r="F5178" s="42"/>
    </row>
    <row r="5179" spans="1:6" x14ac:dyDescent="0.3">
      <c r="A5179" s="15" t="s">
        <v>43116</v>
      </c>
      <c r="B5179" s="15" t="s">
        <v>9807</v>
      </c>
      <c r="C5179" s="15" t="s">
        <v>800</v>
      </c>
      <c r="D5179" s="15" t="s">
        <v>9808</v>
      </c>
      <c r="E5179" s="15">
        <v>61.954999999999998</v>
      </c>
      <c r="F5179" s="42">
        <v>46198</v>
      </c>
    </row>
    <row r="5180" spans="1:6" x14ac:dyDescent="0.3">
      <c r="A5180" s="15" t="s">
        <v>43115</v>
      </c>
      <c r="B5180" s="15" t="s">
        <v>9809</v>
      </c>
      <c r="C5180" s="15" t="s">
        <v>9810</v>
      </c>
      <c r="D5180" s="15" t="s">
        <v>9811</v>
      </c>
      <c r="E5180" s="15">
        <v>40.06</v>
      </c>
      <c r="F5180" s="42">
        <v>46198</v>
      </c>
    </row>
    <row r="5181" spans="1:6" x14ac:dyDescent="0.3">
      <c r="A5181" s="15" t="s">
        <v>43114</v>
      </c>
      <c r="B5181" s="15" t="s">
        <v>9812</v>
      </c>
      <c r="C5181" s="15" t="s">
        <v>800</v>
      </c>
      <c r="D5181" s="15" t="s">
        <v>9813</v>
      </c>
      <c r="E5181" s="15">
        <v>54.927999999999997</v>
      </c>
      <c r="F5181" s="42">
        <v>46198</v>
      </c>
    </row>
    <row r="5182" spans="1:6" x14ac:dyDescent="0.3">
      <c r="A5182" s="15" t="s">
        <v>43113</v>
      </c>
      <c r="B5182" s="15" t="s">
        <v>9814</v>
      </c>
      <c r="C5182" s="15" t="s">
        <v>9815</v>
      </c>
      <c r="D5182" s="15" t="s">
        <v>9816</v>
      </c>
      <c r="E5182" s="15">
        <v>20.273</v>
      </c>
      <c r="F5182" s="42">
        <v>46198</v>
      </c>
    </row>
    <row r="5183" spans="1:6" x14ac:dyDescent="0.3">
      <c r="A5183" s="15" t="s">
        <v>33499</v>
      </c>
      <c r="B5183" s="15" t="s">
        <v>795</v>
      </c>
      <c r="C5183" s="15" t="s">
        <v>795</v>
      </c>
      <c r="D5183" s="15" t="s">
        <v>795</v>
      </c>
      <c r="F5183" s="42"/>
    </row>
    <row r="5184" spans="1:6" x14ac:dyDescent="0.3">
      <c r="A5184" s="15" t="s">
        <v>37895</v>
      </c>
      <c r="B5184" s="15" t="s">
        <v>795</v>
      </c>
      <c r="C5184" s="15" t="s">
        <v>795</v>
      </c>
      <c r="D5184" s="15" t="s">
        <v>795</v>
      </c>
      <c r="F5184" s="42"/>
    </row>
    <row r="5185" spans="1:6" x14ac:dyDescent="0.3">
      <c r="A5185" s="15" t="s">
        <v>33499</v>
      </c>
      <c r="B5185" s="15" t="s">
        <v>795</v>
      </c>
      <c r="C5185" s="15" t="s">
        <v>795</v>
      </c>
      <c r="D5185" s="15" t="s">
        <v>795</v>
      </c>
      <c r="F5185" s="42"/>
    </row>
    <row r="5186" spans="1:6" x14ac:dyDescent="0.3">
      <c r="A5186" s="15" t="s">
        <v>43112</v>
      </c>
      <c r="B5186" s="15" t="s">
        <v>9817</v>
      </c>
      <c r="C5186" s="15" t="s">
        <v>800</v>
      </c>
      <c r="D5186" s="15" t="s">
        <v>9818</v>
      </c>
      <c r="E5186" s="15">
        <v>17.579000000000001</v>
      </c>
      <c r="F5186" s="42">
        <v>46198</v>
      </c>
    </row>
    <row r="5187" spans="1:6" x14ac:dyDescent="0.3">
      <c r="A5187" s="15" t="s">
        <v>43111</v>
      </c>
      <c r="B5187" s="15" t="s">
        <v>9819</v>
      </c>
      <c r="C5187" s="15" t="s">
        <v>9820</v>
      </c>
      <c r="D5187" s="15" t="s">
        <v>9821</v>
      </c>
      <c r="E5187" s="15">
        <v>16.077000000000002</v>
      </c>
      <c r="F5187" s="42">
        <v>46198</v>
      </c>
    </row>
    <row r="5188" spans="1:6" x14ac:dyDescent="0.3">
      <c r="A5188" s="15" t="s">
        <v>43110</v>
      </c>
      <c r="B5188" s="15" t="s">
        <v>9822</v>
      </c>
      <c r="C5188" s="15" t="s">
        <v>800</v>
      </c>
      <c r="D5188" s="15" t="s">
        <v>9823</v>
      </c>
      <c r="E5188" s="15">
        <v>16.501999999999999</v>
      </c>
      <c r="F5188" s="42">
        <v>46198</v>
      </c>
    </row>
    <row r="5189" spans="1:6" x14ac:dyDescent="0.3">
      <c r="A5189" s="15" t="s">
        <v>43109</v>
      </c>
      <c r="B5189" s="15" t="s">
        <v>9824</v>
      </c>
      <c r="C5189" s="15" t="s">
        <v>9825</v>
      </c>
      <c r="D5189" s="15" t="s">
        <v>9826</v>
      </c>
      <c r="E5189" s="15">
        <v>14.999000000000001</v>
      </c>
      <c r="F5189" s="42">
        <v>46198</v>
      </c>
    </row>
    <row r="5190" spans="1:6" x14ac:dyDescent="0.3">
      <c r="A5190" s="15" t="s">
        <v>33499</v>
      </c>
      <c r="B5190" s="15" t="s">
        <v>795</v>
      </c>
      <c r="C5190" s="15" t="s">
        <v>795</v>
      </c>
      <c r="D5190" s="15" t="s">
        <v>795</v>
      </c>
      <c r="F5190" s="42"/>
    </row>
    <row r="5191" spans="1:6" x14ac:dyDescent="0.3">
      <c r="A5191" s="15" t="s">
        <v>37044</v>
      </c>
      <c r="B5191" s="15" t="s">
        <v>795</v>
      </c>
      <c r="C5191" s="15" t="s">
        <v>795</v>
      </c>
      <c r="D5191" s="15" t="s">
        <v>795</v>
      </c>
      <c r="F5191" s="42"/>
    </row>
    <row r="5192" spans="1:6" x14ac:dyDescent="0.3">
      <c r="A5192" s="15" t="s">
        <v>33499</v>
      </c>
      <c r="B5192" s="15" t="s">
        <v>795</v>
      </c>
      <c r="C5192" s="15" t="s">
        <v>795</v>
      </c>
      <c r="D5192" s="15" t="s">
        <v>795</v>
      </c>
      <c r="F5192" s="42"/>
    </row>
    <row r="5193" spans="1:6" x14ac:dyDescent="0.3">
      <c r="A5193" s="15" t="s">
        <v>43108</v>
      </c>
      <c r="B5193" s="15" t="s">
        <v>9827</v>
      </c>
      <c r="C5193" s="15" t="s">
        <v>800</v>
      </c>
      <c r="D5193" s="15" t="s">
        <v>9828</v>
      </c>
      <c r="E5193" s="15">
        <v>114.4601</v>
      </c>
      <c r="F5193" s="42">
        <v>46198</v>
      </c>
    </row>
    <row r="5194" spans="1:6" x14ac:dyDescent="0.3">
      <c r="A5194" s="15" t="s">
        <v>43107</v>
      </c>
      <c r="B5194" s="15" t="s">
        <v>9829</v>
      </c>
      <c r="C5194" s="15" t="s">
        <v>9830</v>
      </c>
      <c r="D5194" s="15" t="s">
        <v>9831</v>
      </c>
      <c r="E5194" s="15">
        <v>39.902200000000001</v>
      </c>
      <c r="F5194" s="42">
        <v>46198</v>
      </c>
    </row>
    <row r="5195" spans="1:6" x14ac:dyDescent="0.3">
      <c r="A5195" s="15" t="s">
        <v>43106</v>
      </c>
      <c r="B5195" s="15" t="s">
        <v>9832</v>
      </c>
      <c r="C5195" s="15" t="s">
        <v>800</v>
      </c>
      <c r="D5195" s="15" t="s">
        <v>9833</v>
      </c>
      <c r="E5195" s="15">
        <v>100.8746</v>
      </c>
      <c r="F5195" s="42">
        <v>46198</v>
      </c>
    </row>
    <row r="5196" spans="1:6" x14ac:dyDescent="0.3">
      <c r="A5196" s="15" t="s">
        <v>43105</v>
      </c>
      <c r="B5196" s="15" t="s">
        <v>9834</v>
      </c>
      <c r="C5196" s="15" t="s">
        <v>9835</v>
      </c>
      <c r="D5196" s="15" t="s">
        <v>9836</v>
      </c>
      <c r="E5196" s="15">
        <v>33.505000000000003</v>
      </c>
      <c r="F5196" s="42">
        <v>46198</v>
      </c>
    </row>
    <row r="5197" spans="1:6" x14ac:dyDescent="0.3">
      <c r="A5197" s="15" t="s">
        <v>33499</v>
      </c>
      <c r="B5197" s="15" t="s">
        <v>795</v>
      </c>
      <c r="C5197" s="15" t="s">
        <v>795</v>
      </c>
      <c r="D5197" s="15" t="s">
        <v>795</v>
      </c>
      <c r="F5197" s="42"/>
    </row>
    <row r="5198" spans="1:6" x14ac:dyDescent="0.3">
      <c r="A5198" s="15" t="s">
        <v>37043</v>
      </c>
      <c r="B5198" s="15" t="s">
        <v>795</v>
      </c>
      <c r="C5198" s="15" t="s">
        <v>795</v>
      </c>
      <c r="D5198" s="15" t="s">
        <v>795</v>
      </c>
      <c r="F5198" s="42"/>
    </row>
    <row r="5199" spans="1:6" x14ac:dyDescent="0.3">
      <c r="A5199" s="15" t="s">
        <v>33499</v>
      </c>
      <c r="B5199" s="15" t="s">
        <v>795</v>
      </c>
      <c r="C5199" s="15" t="s">
        <v>795</v>
      </c>
      <c r="D5199" s="15" t="s">
        <v>795</v>
      </c>
      <c r="F5199" s="42"/>
    </row>
    <row r="5200" spans="1:6" x14ac:dyDescent="0.3">
      <c r="A5200" s="15" t="s">
        <v>43104</v>
      </c>
      <c r="B5200" s="15" t="s">
        <v>9837</v>
      </c>
      <c r="C5200" s="15" t="s">
        <v>800</v>
      </c>
      <c r="D5200" s="15" t="s">
        <v>9838</v>
      </c>
      <c r="E5200" s="15">
        <v>263.721</v>
      </c>
      <c r="F5200" s="42">
        <v>46198</v>
      </c>
    </row>
    <row r="5201" spans="1:6" x14ac:dyDescent="0.3">
      <c r="A5201" s="15" t="s">
        <v>43103</v>
      </c>
      <c r="B5201" s="15" t="s">
        <v>9839</v>
      </c>
      <c r="C5201" s="15" t="s">
        <v>800</v>
      </c>
      <c r="D5201" s="15" t="s">
        <v>9840</v>
      </c>
      <c r="E5201" s="15">
        <v>230.45699999999999</v>
      </c>
      <c r="F5201" s="42">
        <v>46198</v>
      </c>
    </row>
    <row r="5202" spans="1:6" x14ac:dyDescent="0.3">
      <c r="A5202" s="15" t="s">
        <v>43102</v>
      </c>
      <c r="B5202" s="15" t="s">
        <v>9841</v>
      </c>
      <c r="C5202" s="15" t="s">
        <v>9842</v>
      </c>
      <c r="D5202" s="15" t="s">
        <v>9843</v>
      </c>
      <c r="E5202" s="15">
        <v>31.363</v>
      </c>
      <c r="F5202" s="42">
        <v>46198</v>
      </c>
    </row>
    <row r="5203" spans="1:6" x14ac:dyDescent="0.3">
      <c r="A5203" s="15" t="s">
        <v>43101</v>
      </c>
      <c r="B5203" s="15" t="s">
        <v>9844</v>
      </c>
      <c r="C5203" s="15" t="s">
        <v>9845</v>
      </c>
      <c r="D5203" s="15" t="s">
        <v>9846</v>
      </c>
      <c r="E5203" s="15">
        <v>23.431000000000001</v>
      </c>
      <c r="F5203" s="42">
        <v>46198</v>
      </c>
    </row>
    <row r="5204" spans="1:6" x14ac:dyDescent="0.3">
      <c r="A5204" s="15" t="s">
        <v>33499</v>
      </c>
      <c r="B5204" s="15" t="s">
        <v>795</v>
      </c>
      <c r="C5204" s="15" t="s">
        <v>795</v>
      </c>
      <c r="D5204" s="15" t="s">
        <v>795</v>
      </c>
      <c r="F5204" s="42"/>
    </row>
    <row r="5205" spans="1:6" x14ac:dyDescent="0.3">
      <c r="A5205" s="15" t="s">
        <v>36815</v>
      </c>
      <c r="B5205" s="15" t="s">
        <v>795</v>
      </c>
      <c r="C5205" s="15" t="s">
        <v>795</v>
      </c>
      <c r="D5205" s="15" t="s">
        <v>795</v>
      </c>
      <c r="F5205" s="42"/>
    </row>
    <row r="5206" spans="1:6" x14ac:dyDescent="0.3">
      <c r="A5206" s="15" t="s">
        <v>33499</v>
      </c>
      <c r="B5206" s="15" t="s">
        <v>795</v>
      </c>
      <c r="C5206" s="15" t="s">
        <v>795</v>
      </c>
      <c r="D5206" s="15" t="s">
        <v>795</v>
      </c>
      <c r="F5206" s="42"/>
    </row>
    <row r="5207" spans="1:6" x14ac:dyDescent="0.3">
      <c r="A5207" s="15" t="s">
        <v>43100</v>
      </c>
      <c r="B5207" s="15" t="s">
        <v>9847</v>
      </c>
      <c r="C5207" s="15" t="s">
        <v>800</v>
      </c>
      <c r="D5207" s="15" t="s">
        <v>9848</v>
      </c>
      <c r="E5207" s="15">
        <v>28.228300000000001</v>
      </c>
      <c r="F5207" s="42">
        <v>46198</v>
      </c>
    </row>
    <row r="5208" spans="1:6" x14ac:dyDescent="0.3">
      <c r="A5208" s="15" t="s">
        <v>43099</v>
      </c>
      <c r="B5208" s="15" t="s">
        <v>9849</v>
      </c>
      <c r="C5208" s="15" t="s">
        <v>9850</v>
      </c>
      <c r="D5208" s="15" t="s">
        <v>9851</v>
      </c>
      <c r="E5208" s="15">
        <v>22.930800000000001</v>
      </c>
      <c r="F5208" s="42">
        <v>46198</v>
      </c>
    </row>
    <row r="5209" spans="1:6" x14ac:dyDescent="0.3">
      <c r="A5209" s="15" t="s">
        <v>43098</v>
      </c>
      <c r="B5209" s="15" t="s">
        <v>9852</v>
      </c>
      <c r="C5209" s="15" t="s">
        <v>800</v>
      </c>
      <c r="D5209" s="15" t="s">
        <v>9853</v>
      </c>
      <c r="E5209" s="15">
        <v>26.033300000000001</v>
      </c>
      <c r="F5209" s="42">
        <v>46198</v>
      </c>
    </row>
    <row r="5210" spans="1:6" x14ac:dyDescent="0.3">
      <c r="A5210" s="15" t="s">
        <v>43097</v>
      </c>
      <c r="B5210" s="15" t="s">
        <v>9854</v>
      </c>
      <c r="C5210" s="15" t="s">
        <v>9855</v>
      </c>
      <c r="D5210" s="15" t="s">
        <v>9856</v>
      </c>
      <c r="E5210" s="15">
        <v>18.406500000000001</v>
      </c>
      <c r="F5210" s="42">
        <v>46198</v>
      </c>
    </row>
    <row r="5211" spans="1:6" x14ac:dyDescent="0.3">
      <c r="A5211" s="15" t="s">
        <v>33499</v>
      </c>
      <c r="B5211" s="15" t="s">
        <v>795</v>
      </c>
      <c r="C5211" s="15" t="s">
        <v>795</v>
      </c>
      <c r="D5211" s="15" t="s">
        <v>795</v>
      </c>
      <c r="F5211" s="42"/>
    </row>
    <row r="5212" spans="1:6" x14ac:dyDescent="0.3">
      <c r="A5212" s="15" t="s">
        <v>36764</v>
      </c>
      <c r="B5212" s="15" t="s">
        <v>795</v>
      </c>
      <c r="C5212" s="15" t="s">
        <v>795</v>
      </c>
      <c r="D5212" s="15" t="s">
        <v>795</v>
      </c>
      <c r="F5212" s="42"/>
    </row>
    <row r="5213" spans="1:6" x14ac:dyDescent="0.3">
      <c r="A5213" s="15" t="s">
        <v>33499</v>
      </c>
      <c r="B5213" s="15" t="s">
        <v>795</v>
      </c>
      <c r="C5213" s="15" t="s">
        <v>795</v>
      </c>
      <c r="D5213" s="15" t="s">
        <v>795</v>
      </c>
      <c r="F5213" s="42"/>
    </row>
    <row r="5214" spans="1:6" x14ac:dyDescent="0.3">
      <c r="A5214" s="15" t="s">
        <v>43096</v>
      </c>
      <c r="B5214" s="15" t="s">
        <v>9857</v>
      </c>
      <c r="C5214" s="15" t="s">
        <v>800</v>
      </c>
      <c r="D5214" s="15" t="s">
        <v>9858</v>
      </c>
      <c r="E5214" s="15">
        <v>108.26</v>
      </c>
      <c r="F5214" s="42">
        <v>46198</v>
      </c>
    </row>
    <row r="5215" spans="1:6" x14ac:dyDescent="0.3">
      <c r="A5215" s="15" t="s">
        <v>43095</v>
      </c>
      <c r="B5215" s="15" t="s">
        <v>9859</v>
      </c>
      <c r="C5215" s="15" t="s">
        <v>9860</v>
      </c>
      <c r="D5215" s="15" t="s">
        <v>9861</v>
      </c>
      <c r="E5215" s="15">
        <v>63.03</v>
      </c>
      <c r="F5215" s="42">
        <v>46198</v>
      </c>
    </row>
    <row r="5216" spans="1:6" x14ac:dyDescent="0.3">
      <c r="A5216" s="15" t="s">
        <v>43094</v>
      </c>
      <c r="B5216" s="15" t="s">
        <v>9862</v>
      </c>
      <c r="C5216" s="15" t="s">
        <v>800</v>
      </c>
      <c r="D5216" s="15" t="s">
        <v>9863</v>
      </c>
      <c r="E5216" s="15">
        <v>93.49</v>
      </c>
      <c r="F5216" s="42">
        <v>46198</v>
      </c>
    </row>
    <row r="5217" spans="1:6" x14ac:dyDescent="0.3">
      <c r="A5217" s="15" t="s">
        <v>43093</v>
      </c>
      <c r="B5217" s="15" t="s">
        <v>9864</v>
      </c>
      <c r="C5217" s="15" t="s">
        <v>9865</v>
      </c>
      <c r="D5217" s="15" t="s">
        <v>9866</v>
      </c>
      <c r="E5217" s="15">
        <v>27.54</v>
      </c>
      <c r="F5217" s="42">
        <v>46198</v>
      </c>
    </row>
    <row r="5218" spans="1:6" x14ac:dyDescent="0.3">
      <c r="A5218" s="15" t="s">
        <v>33499</v>
      </c>
      <c r="B5218" s="15" t="s">
        <v>795</v>
      </c>
      <c r="C5218" s="15" t="s">
        <v>795</v>
      </c>
      <c r="D5218" s="15" t="s">
        <v>795</v>
      </c>
      <c r="F5218" s="42"/>
    </row>
    <row r="5219" spans="1:6" x14ac:dyDescent="0.3">
      <c r="A5219" s="15" t="s">
        <v>37807</v>
      </c>
      <c r="B5219" s="15" t="s">
        <v>795</v>
      </c>
      <c r="C5219" s="15" t="s">
        <v>795</v>
      </c>
      <c r="D5219" s="15" t="s">
        <v>795</v>
      </c>
      <c r="F5219" s="42"/>
    </row>
    <row r="5220" spans="1:6" x14ac:dyDescent="0.3">
      <c r="A5220" s="15" t="s">
        <v>33499</v>
      </c>
      <c r="B5220" s="15" t="s">
        <v>795</v>
      </c>
      <c r="C5220" s="15" t="s">
        <v>795</v>
      </c>
      <c r="D5220" s="15" t="s">
        <v>795</v>
      </c>
      <c r="F5220" s="42"/>
    </row>
    <row r="5221" spans="1:6" x14ac:dyDescent="0.3">
      <c r="A5221" s="15" t="s">
        <v>43092</v>
      </c>
      <c r="B5221" s="15" t="s">
        <v>9867</v>
      </c>
      <c r="C5221" s="15" t="s">
        <v>800</v>
      </c>
      <c r="D5221" s="15" t="s">
        <v>9868</v>
      </c>
      <c r="E5221" s="15">
        <v>30.5</v>
      </c>
      <c r="F5221" s="42">
        <v>46198</v>
      </c>
    </row>
    <row r="5222" spans="1:6" x14ac:dyDescent="0.3">
      <c r="A5222" s="15" t="s">
        <v>43091</v>
      </c>
      <c r="B5222" s="15" t="s">
        <v>9869</v>
      </c>
      <c r="C5222" s="15" t="s">
        <v>9870</v>
      </c>
      <c r="D5222" s="15" t="s">
        <v>9871</v>
      </c>
      <c r="E5222" s="15">
        <v>22.43</v>
      </c>
      <c r="F5222" s="42">
        <v>46198</v>
      </c>
    </row>
    <row r="5223" spans="1:6" x14ac:dyDescent="0.3">
      <c r="A5223" s="15" t="s">
        <v>43090</v>
      </c>
      <c r="B5223" s="15" t="s">
        <v>9872</v>
      </c>
      <c r="C5223" s="15" t="s">
        <v>800</v>
      </c>
      <c r="D5223" s="15" t="s">
        <v>9873</v>
      </c>
      <c r="E5223" s="15">
        <v>28.02</v>
      </c>
      <c r="F5223" s="42">
        <v>46198</v>
      </c>
    </row>
    <row r="5224" spans="1:6" x14ac:dyDescent="0.3">
      <c r="A5224" s="15" t="s">
        <v>43089</v>
      </c>
      <c r="B5224" s="15" t="s">
        <v>9874</v>
      </c>
      <c r="C5224" s="15" t="s">
        <v>9875</v>
      </c>
      <c r="D5224" s="15" t="s">
        <v>9876</v>
      </c>
      <c r="E5224" s="15">
        <v>20.16</v>
      </c>
      <c r="F5224" s="42">
        <v>46198</v>
      </c>
    </row>
    <row r="5225" spans="1:6" x14ac:dyDescent="0.3">
      <c r="A5225" s="15" t="s">
        <v>33499</v>
      </c>
      <c r="B5225" s="15" t="s">
        <v>795</v>
      </c>
      <c r="C5225" s="15" t="s">
        <v>795</v>
      </c>
      <c r="D5225" s="15" t="s">
        <v>795</v>
      </c>
      <c r="F5225" s="42"/>
    </row>
    <row r="5226" spans="1:6" x14ac:dyDescent="0.3">
      <c r="A5226" s="15" t="s">
        <v>40577</v>
      </c>
      <c r="B5226" s="15" t="s">
        <v>795</v>
      </c>
      <c r="C5226" s="15" t="s">
        <v>795</v>
      </c>
      <c r="D5226" s="15" t="s">
        <v>795</v>
      </c>
      <c r="F5226" s="42"/>
    </row>
    <row r="5227" spans="1:6" x14ac:dyDescent="0.3">
      <c r="A5227" s="15" t="s">
        <v>33499</v>
      </c>
      <c r="B5227" s="15" t="s">
        <v>795</v>
      </c>
      <c r="C5227" s="15" t="s">
        <v>795</v>
      </c>
      <c r="D5227" s="15" t="s">
        <v>795</v>
      </c>
      <c r="F5227" s="42"/>
    </row>
    <row r="5228" spans="1:6" x14ac:dyDescent="0.3">
      <c r="A5228" s="15" t="s">
        <v>43088</v>
      </c>
      <c r="B5228" s="15" t="s">
        <v>9877</v>
      </c>
      <c r="C5228" s="15" t="s">
        <v>800</v>
      </c>
      <c r="D5228" s="15" t="s">
        <v>9878</v>
      </c>
      <c r="E5228" s="15">
        <v>17.1234</v>
      </c>
      <c r="F5228" s="42">
        <v>46198</v>
      </c>
    </row>
    <row r="5229" spans="1:6" x14ac:dyDescent="0.3">
      <c r="A5229" s="15" t="s">
        <v>43087</v>
      </c>
      <c r="B5229" s="15" t="s">
        <v>9879</v>
      </c>
      <c r="C5229" s="15" t="s">
        <v>9880</v>
      </c>
      <c r="D5229" s="15" t="s">
        <v>9881</v>
      </c>
      <c r="E5229" s="15">
        <v>16.089200000000002</v>
      </c>
      <c r="F5229" s="42">
        <v>46198</v>
      </c>
    </row>
    <row r="5230" spans="1:6" x14ac:dyDescent="0.3">
      <c r="A5230" s="15" t="s">
        <v>43086</v>
      </c>
      <c r="B5230" s="15" t="s">
        <v>9882</v>
      </c>
      <c r="C5230" s="15" t="s">
        <v>800</v>
      </c>
      <c r="D5230" s="15" t="s">
        <v>9883</v>
      </c>
      <c r="E5230" s="15">
        <v>16.195399999999999</v>
      </c>
      <c r="F5230" s="42">
        <v>46198</v>
      </c>
    </row>
    <row r="5231" spans="1:6" x14ac:dyDescent="0.3">
      <c r="A5231" s="15" t="s">
        <v>43085</v>
      </c>
      <c r="B5231" s="15" t="s">
        <v>9884</v>
      </c>
      <c r="C5231" s="15" t="s">
        <v>9885</v>
      </c>
      <c r="D5231" s="15" t="s">
        <v>9886</v>
      </c>
      <c r="E5231" s="15">
        <v>15.168100000000001</v>
      </c>
      <c r="F5231" s="42">
        <v>46198</v>
      </c>
    </row>
    <row r="5232" spans="1:6" x14ac:dyDescent="0.3">
      <c r="A5232" s="15" t="s">
        <v>33499</v>
      </c>
      <c r="B5232" s="15" t="s">
        <v>795</v>
      </c>
      <c r="C5232" s="15" t="s">
        <v>795</v>
      </c>
      <c r="D5232" s="15" t="s">
        <v>795</v>
      </c>
      <c r="F5232" s="42"/>
    </row>
    <row r="5233" spans="1:6" x14ac:dyDescent="0.3">
      <c r="A5233" s="15" t="s">
        <v>40894</v>
      </c>
      <c r="B5233" s="15" t="s">
        <v>795</v>
      </c>
      <c r="C5233" s="15" t="s">
        <v>795</v>
      </c>
      <c r="D5233" s="15" t="s">
        <v>795</v>
      </c>
      <c r="F5233" s="42"/>
    </row>
    <row r="5234" spans="1:6" x14ac:dyDescent="0.3">
      <c r="A5234" s="15" t="s">
        <v>33499</v>
      </c>
      <c r="B5234" s="15" t="s">
        <v>795</v>
      </c>
      <c r="C5234" s="15" t="s">
        <v>795</v>
      </c>
      <c r="D5234" s="15" t="s">
        <v>795</v>
      </c>
      <c r="F5234" s="42"/>
    </row>
    <row r="5235" spans="1:6" x14ac:dyDescent="0.3">
      <c r="A5235" s="15" t="s">
        <v>43084</v>
      </c>
      <c r="B5235" s="15" t="s">
        <v>9887</v>
      </c>
      <c r="C5235" s="15" t="s">
        <v>800</v>
      </c>
      <c r="D5235" s="15" t="s">
        <v>9888</v>
      </c>
      <c r="E5235" s="15">
        <v>23.265899999999998</v>
      </c>
      <c r="F5235" s="42">
        <v>46198</v>
      </c>
    </row>
    <row r="5236" spans="1:6" x14ac:dyDescent="0.3">
      <c r="A5236" s="15" t="s">
        <v>43083</v>
      </c>
      <c r="B5236" s="15" t="s">
        <v>9889</v>
      </c>
      <c r="C5236" s="15" t="s">
        <v>9890</v>
      </c>
      <c r="D5236" s="15" t="s">
        <v>9891</v>
      </c>
      <c r="E5236" s="15">
        <v>22.801200000000001</v>
      </c>
      <c r="F5236" s="42">
        <v>46198</v>
      </c>
    </row>
    <row r="5237" spans="1:6" x14ac:dyDescent="0.3">
      <c r="A5237" s="15" t="s">
        <v>43082</v>
      </c>
      <c r="B5237" s="15" t="s">
        <v>9892</v>
      </c>
      <c r="C5237" s="15" t="s">
        <v>800</v>
      </c>
      <c r="D5237" s="15" t="s">
        <v>9893</v>
      </c>
      <c r="E5237" s="15">
        <v>19.637499999999999</v>
      </c>
      <c r="F5237" s="42">
        <v>46198</v>
      </c>
    </row>
    <row r="5238" spans="1:6" x14ac:dyDescent="0.3">
      <c r="A5238" s="15" t="s">
        <v>43081</v>
      </c>
      <c r="B5238" s="15" t="s">
        <v>9894</v>
      </c>
      <c r="C5238" s="15" t="s">
        <v>9895</v>
      </c>
      <c r="D5238" s="15" t="s">
        <v>9896</v>
      </c>
      <c r="E5238" s="15">
        <v>19.636800000000001</v>
      </c>
      <c r="F5238" s="42">
        <v>46198</v>
      </c>
    </row>
    <row r="5239" spans="1:6" x14ac:dyDescent="0.3">
      <c r="A5239" s="15" t="s">
        <v>33499</v>
      </c>
      <c r="B5239" s="15" t="s">
        <v>795</v>
      </c>
      <c r="C5239" s="15" t="s">
        <v>795</v>
      </c>
      <c r="D5239" s="15" t="s">
        <v>795</v>
      </c>
      <c r="F5239" s="42"/>
    </row>
    <row r="5240" spans="1:6" x14ac:dyDescent="0.3">
      <c r="A5240" s="15" t="s">
        <v>139</v>
      </c>
      <c r="B5240" s="15" t="s">
        <v>795</v>
      </c>
      <c r="C5240" s="15" t="s">
        <v>795</v>
      </c>
      <c r="D5240" s="15" t="s">
        <v>795</v>
      </c>
      <c r="F5240" s="42"/>
    </row>
    <row r="5241" spans="1:6" x14ac:dyDescent="0.3">
      <c r="A5241" s="15" t="s">
        <v>33499</v>
      </c>
      <c r="B5241" s="15" t="s">
        <v>795</v>
      </c>
      <c r="C5241" s="15" t="s">
        <v>795</v>
      </c>
      <c r="D5241" s="15" t="s">
        <v>795</v>
      </c>
      <c r="F5241" s="42"/>
    </row>
    <row r="5242" spans="1:6" x14ac:dyDescent="0.3">
      <c r="A5242" s="15" t="s">
        <v>43080</v>
      </c>
      <c r="B5242" s="15" t="s">
        <v>9897</v>
      </c>
      <c r="C5242" s="15" t="s">
        <v>800</v>
      </c>
      <c r="D5242" s="15" t="s">
        <v>9898</v>
      </c>
      <c r="E5242" s="15">
        <v>30.062999999999999</v>
      </c>
      <c r="F5242" s="42">
        <v>46198</v>
      </c>
    </row>
    <row r="5243" spans="1:6" x14ac:dyDescent="0.3">
      <c r="A5243" s="15" t="s">
        <v>43079</v>
      </c>
      <c r="B5243" s="15" t="s">
        <v>9899</v>
      </c>
      <c r="C5243" s="15" t="s">
        <v>800</v>
      </c>
      <c r="D5243" s="15" t="s">
        <v>9900</v>
      </c>
      <c r="E5243" s="15">
        <v>27.013999999999999</v>
      </c>
      <c r="F5243" s="42">
        <v>46198</v>
      </c>
    </row>
    <row r="5244" spans="1:6" x14ac:dyDescent="0.3">
      <c r="A5244" s="15" t="s">
        <v>43078</v>
      </c>
      <c r="B5244" s="15" t="s">
        <v>9901</v>
      </c>
      <c r="C5244" s="15" t="s">
        <v>9902</v>
      </c>
      <c r="D5244" s="15" t="s">
        <v>9903</v>
      </c>
      <c r="E5244" s="15">
        <v>27.013999999999999</v>
      </c>
      <c r="F5244" s="42">
        <v>46198</v>
      </c>
    </row>
    <row r="5245" spans="1:6" x14ac:dyDescent="0.3">
      <c r="A5245" s="15" t="s">
        <v>43077</v>
      </c>
      <c r="B5245" s="15" t="s">
        <v>9904</v>
      </c>
      <c r="C5245" s="15" t="s">
        <v>9905</v>
      </c>
      <c r="D5245" s="15" t="s">
        <v>9906</v>
      </c>
      <c r="E5245" s="15">
        <v>30.064</v>
      </c>
      <c r="F5245" s="42">
        <v>46198</v>
      </c>
    </row>
    <row r="5246" spans="1:6" x14ac:dyDescent="0.3">
      <c r="A5246" s="15" t="s">
        <v>33499</v>
      </c>
      <c r="B5246" s="15" t="s">
        <v>795</v>
      </c>
      <c r="C5246" s="15" t="s">
        <v>795</v>
      </c>
      <c r="D5246" s="15" t="s">
        <v>795</v>
      </c>
      <c r="F5246" s="42"/>
    </row>
    <row r="5247" spans="1:6" x14ac:dyDescent="0.3">
      <c r="A5247" s="15" t="s">
        <v>37618</v>
      </c>
      <c r="B5247" s="15" t="s">
        <v>795</v>
      </c>
      <c r="C5247" s="15" t="s">
        <v>795</v>
      </c>
      <c r="D5247" s="15" t="s">
        <v>795</v>
      </c>
      <c r="F5247" s="42"/>
    </row>
    <row r="5248" spans="1:6" x14ac:dyDescent="0.3">
      <c r="A5248" s="15" t="s">
        <v>33499</v>
      </c>
      <c r="B5248" s="15" t="s">
        <v>795</v>
      </c>
      <c r="C5248" s="15" t="s">
        <v>795</v>
      </c>
      <c r="D5248" s="15" t="s">
        <v>795</v>
      </c>
      <c r="F5248" s="42"/>
    </row>
    <row r="5249" spans="1:6" x14ac:dyDescent="0.3">
      <c r="A5249" s="15" t="s">
        <v>43076</v>
      </c>
      <c r="B5249" s="15" t="s">
        <v>9907</v>
      </c>
      <c r="C5249" s="15" t="s">
        <v>800</v>
      </c>
      <c r="D5249" s="15" t="s">
        <v>9908</v>
      </c>
      <c r="E5249" s="15">
        <v>23.8888</v>
      </c>
      <c r="F5249" s="42">
        <v>46198</v>
      </c>
    </row>
    <row r="5250" spans="1:6" x14ac:dyDescent="0.3">
      <c r="A5250" s="15" t="s">
        <v>43075</v>
      </c>
      <c r="B5250" s="15" t="s">
        <v>9909</v>
      </c>
      <c r="C5250" s="15" t="s">
        <v>9910</v>
      </c>
      <c r="D5250" s="15" t="s">
        <v>9911</v>
      </c>
      <c r="E5250" s="15">
        <v>23.86</v>
      </c>
      <c r="F5250" s="42">
        <v>46198</v>
      </c>
    </row>
    <row r="5251" spans="1:6" x14ac:dyDescent="0.3">
      <c r="A5251" s="15" t="s">
        <v>43074</v>
      </c>
      <c r="B5251" s="15" t="s">
        <v>9912</v>
      </c>
      <c r="C5251" s="15" t="s">
        <v>800</v>
      </c>
      <c r="D5251" s="15" t="s">
        <v>9913</v>
      </c>
      <c r="E5251" s="15">
        <v>21.520199999999999</v>
      </c>
      <c r="F5251" s="42">
        <v>46198</v>
      </c>
    </row>
    <row r="5252" spans="1:6" x14ac:dyDescent="0.3">
      <c r="A5252" s="15" t="s">
        <v>43073</v>
      </c>
      <c r="B5252" s="15" t="s">
        <v>9914</v>
      </c>
      <c r="C5252" s="15" t="s">
        <v>9915</v>
      </c>
      <c r="D5252" s="15" t="s">
        <v>9916</v>
      </c>
      <c r="E5252" s="15">
        <v>21.52</v>
      </c>
      <c r="F5252" s="42">
        <v>46198</v>
      </c>
    </row>
    <row r="5253" spans="1:6" x14ac:dyDescent="0.3">
      <c r="A5253" s="15" t="s">
        <v>33499</v>
      </c>
      <c r="B5253" s="15" t="s">
        <v>795</v>
      </c>
      <c r="C5253" s="15" t="s">
        <v>795</v>
      </c>
      <c r="D5253" s="15" t="s">
        <v>795</v>
      </c>
      <c r="F5253" s="42"/>
    </row>
    <row r="5254" spans="1:6" x14ac:dyDescent="0.3">
      <c r="A5254" s="15" t="s">
        <v>39301</v>
      </c>
      <c r="B5254" s="15" t="s">
        <v>795</v>
      </c>
      <c r="C5254" s="15" t="s">
        <v>795</v>
      </c>
      <c r="D5254" s="15" t="s">
        <v>795</v>
      </c>
      <c r="F5254" s="42"/>
    </row>
    <row r="5255" spans="1:6" x14ac:dyDescent="0.3">
      <c r="A5255" s="15" t="s">
        <v>33499</v>
      </c>
      <c r="B5255" s="15" t="s">
        <v>795</v>
      </c>
      <c r="C5255" s="15" t="s">
        <v>795</v>
      </c>
      <c r="D5255" s="15" t="s">
        <v>795</v>
      </c>
      <c r="F5255" s="42"/>
    </row>
    <row r="5256" spans="1:6" x14ac:dyDescent="0.3">
      <c r="A5256" s="15" t="s">
        <v>43072</v>
      </c>
      <c r="B5256" s="15" t="s">
        <v>9917</v>
      </c>
      <c r="C5256" s="15" t="s">
        <v>9918</v>
      </c>
      <c r="D5256" s="15" t="s">
        <v>9919</v>
      </c>
      <c r="E5256" s="15">
        <v>20.3248</v>
      </c>
      <c r="F5256" s="42">
        <v>46198</v>
      </c>
    </row>
    <row r="5257" spans="1:6" x14ac:dyDescent="0.3">
      <c r="A5257" s="15" t="s">
        <v>43071</v>
      </c>
      <c r="B5257" s="15" t="s">
        <v>9920</v>
      </c>
      <c r="C5257" s="15" t="s">
        <v>800</v>
      </c>
      <c r="D5257" s="15" t="s">
        <v>9921</v>
      </c>
      <c r="E5257" s="15">
        <v>29.867000000000001</v>
      </c>
      <c r="F5257" s="42">
        <v>46198</v>
      </c>
    </row>
    <row r="5258" spans="1:6" x14ac:dyDescent="0.3">
      <c r="A5258" s="15" t="s">
        <v>43070</v>
      </c>
      <c r="B5258" s="15" t="s">
        <v>9922</v>
      </c>
      <c r="C5258" s="15" t="s">
        <v>800</v>
      </c>
      <c r="D5258" s="15" t="s">
        <v>9923</v>
      </c>
      <c r="E5258" s="15">
        <v>26.952300000000001</v>
      </c>
      <c r="F5258" s="42">
        <v>46198</v>
      </c>
    </row>
    <row r="5259" spans="1:6" x14ac:dyDescent="0.3">
      <c r="A5259" s="15" t="s">
        <v>43069</v>
      </c>
      <c r="B5259" s="15" t="s">
        <v>9924</v>
      </c>
      <c r="C5259" s="15" t="s">
        <v>9925</v>
      </c>
      <c r="D5259" s="15" t="s">
        <v>9926</v>
      </c>
      <c r="E5259" s="15">
        <v>17.8932</v>
      </c>
      <c r="F5259" s="42">
        <v>46198</v>
      </c>
    </row>
    <row r="5260" spans="1:6" x14ac:dyDescent="0.3">
      <c r="A5260" s="15" t="s">
        <v>33499</v>
      </c>
      <c r="B5260" s="15" t="s">
        <v>795</v>
      </c>
      <c r="C5260" s="15" t="s">
        <v>795</v>
      </c>
      <c r="D5260" s="15" t="s">
        <v>795</v>
      </c>
      <c r="F5260" s="42"/>
    </row>
    <row r="5261" spans="1:6" x14ac:dyDescent="0.3">
      <c r="A5261" s="15" t="s">
        <v>37780</v>
      </c>
      <c r="B5261" s="15" t="s">
        <v>795</v>
      </c>
      <c r="C5261" s="15" t="s">
        <v>795</v>
      </c>
      <c r="D5261" s="15" t="s">
        <v>795</v>
      </c>
      <c r="F5261" s="42"/>
    </row>
    <row r="5262" spans="1:6" x14ac:dyDescent="0.3">
      <c r="A5262" s="15" t="s">
        <v>33499</v>
      </c>
      <c r="B5262" s="15" t="s">
        <v>795</v>
      </c>
      <c r="C5262" s="15" t="s">
        <v>795</v>
      </c>
      <c r="D5262" s="15" t="s">
        <v>795</v>
      </c>
      <c r="F5262" s="42"/>
    </row>
    <row r="5263" spans="1:6" x14ac:dyDescent="0.3">
      <c r="A5263" s="15" t="s">
        <v>43068</v>
      </c>
      <c r="B5263" s="15" t="s">
        <v>9927</v>
      </c>
      <c r="C5263" s="15" t="s">
        <v>9928</v>
      </c>
      <c r="D5263" s="15" t="s">
        <v>9929</v>
      </c>
      <c r="E5263" s="15">
        <v>24.29</v>
      </c>
      <c r="F5263" s="42">
        <v>46198</v>
      </c>
    </row>
    <row r="5264" spans="1:6" x14ac:dyDescent="0.3">
      <c r="A5264" s="15" t="s">
        <v>43067</v>
      </c>
      <c r="B5264" s="15" t="s">
        <v>9930</v>
      </c>
      <c r="C5264" s="15" t="s">
        <v>800</v>
      </c>
      <c r="D5264" s="15" t="s">
        <v>9931</v>
      </c>
      <c r="E5264" s="15">
        <v>26.408999999999999</v>
      </c>
      <c r="F5264" s="42">
        <v>46198</v>
      </c>
    </row>
    <row r="5265" spans="1:6" x14ac:dyDescent="0.3">
      <c r="A5265" s="15" t="s">
        <v>43066</v>
      </c>
      <c r="B5265" s="15" t="s">
        <v>9932</v>
      </c>
      <c r="C5265" s="15" t="s">
        <v>9933</v>
      </c>
      <c r="D5265" s="15" t="s">
        <v>9934</v>
      </c>
      <c r="E5265" s="15">
        <v>22.068999999999999</v>
      </c>
      <c r="F5265" s="42">
        <v>46198</v>
      </c>
    </row>
    <row r="5266" spans="1:6" x14ac:dyDescent="0.3">
      <c r="A5266" s="15" t="s">
        <v>43065</v>
      </c>
      <c r="B5266" s="15" t="s">
        <v>9935</v>
      </c>
      <c r="C5266" s="15" t="s">
        <v>800</v>
      </c>
      <c r="D5266" s="15" t="s">
        <v>9936</v>
      </c>
      <c r="E5266" s="15">
        <v>24.006</v>
      </c>
      <c r="F5266" s="42">
        <v>46198</v>
      </c>
    </row>
    <row r="5267" spans="1:6" x14ac:dyDescent="0.3">
      <c r="A5267" s="15" t="s">
        <v>33499</v>
      </c>
      <c r="B5267" s="15" t="s">
        <v>795</v>
      </c>
      <c r="C5267" s="15" t="s">
        <v>795</v>
      </c>
      <c r="D5267" s="15" t="s">
        <v>795</v>
      </c>
      <c r="F5267" s="42"/>
    </row>
    <row r="5268" spans="1:6" x14ac:dyDescent="0.3">
      <c r="A5268" s="15" t="s">
        <v>37742</v>
      </c>
      <c r="B5268" s="15" t="s">
        <v>795</v>
      </c>
      <c r="C5268" s="15" t="s">
        <v>795</v>
      </c>
      <c r="D5268" s="15" t="s">
        <v>795</v>
      </c>
      <c r="F5268" s="42"/>
    </row>
    <row r="5269" spans="1:6" x14ac:dyDescent="0.3">
      <c r="A5269" s="15" t="s">
        <v>33499</v>
      </c>
      <c r="B5269" s="15" t="s">
        <v>795</v>
      </c>
      <c r="C5269" s="15" t="s">
        <v>795</v>
      </c>
      <c r="D5269" s="15" t="s">
        <v>795</v>
      </c>
      <c r="F5269" s="42"/>
    </row>
    <row r="5270" spans="1:6" x14ac:dyDescent="0.3">
      <c r="A5270" s="15" t="s">
        <v>43064</v>
      </c>
      <c r="B5270" s="15" t="s">
        <v>9937</v>
      </c>
      <c r="C5270" s="15" t="s">
        <v>800</v>
      </c>
      <c r="D5270" s="15" t="s">
        <v>9938</v>
      </c>
      <c r="E5270" s="15">
        <v>57.563600000000001</v>
      </c>
      <c r="F5270" s="42">
        <v>46198</v>
      </c>
    </row>
    <row r="5271" spans="1:6" x14ac:dyDescent="0.3">
      <c r="A5271" s="15" t="s">
        <v>43063</v>
      </c>
      <c r="B5271" s="15" t="s">
        <v>9939</v>
      </c>
      <c r="C5271" s="15" t="s">
        <v>800</v>
      </c>
      <c r="D5271" s="15" t="s">
        <v>9940</v>
      </c>
      <c r="E5271" s="15">
        <v>48.725700000000003</v>
      </c>
      <c r="F5271" s="42">
        <v>46198</v>
      </c>
    </row>
    <row r="5272" spans="1:6" x14ac:dyDescent="0.3">
      <c r="A5272" s="15" t="s">
        <v>43062</v>
      </c>
      <c r="B5272" s="15" t="s">
        <v>9941</v>
      </c>
      <c r="C5272" s="15" t="s">
        <v>9942</v>
      </c>
      <c r="D5272" s="15" t="s">
        <v>9943</v>
      </c>
      <c r="E5272" s="15">
        <v>23.662600000000001</v>
      </c>
      <c r="F5272" s="42">
        <v>46198</v>
      </c>
    </row>
    <row r="5273" spans="1:6" x14ac:dyDescent="0.3">
      <c r="A5273" s="15" t="s">
        <v>43061</v>
      </c>
      <c r="B5273" s="15" t="s">
        <v>9944</v>
      </c>
      <c r="C5273" s="15" t="s">
        <v>9945</v>
      </c>
      <c r="D5273" s="15" t="s">
        <v>9946</v>
      </c>
      <c r="E5273" s="15">
        <v>20.116700000000002</v>
      </c>
      <c r="F5273" s="42">
        <v>46198</v>
      </c>
    </row>
    <row r="5274" spans="1:6" x14ac:dyDescent="0.3">
      <c r="A5274" s="15" t="s">
        <v>33499</v>
      </c>
      <c r="B5274" s="15" t="s">
        <v>795</v>
      </c>
      <c r="C5274" s="15" t="s">
        <v>795</v>
      </c>
      <c r="D5274" s="15" t="s">
        <v>795</v>
      </c>
      <c r="F5274" s="42"/>
    </row>
    <row r="5275" spans="1:6" x14ac:dyDescent="0.3">
      <c r="A5275" s="15" t="s">
        <v>208</v>
      </c>
      <c r="B5275" s="15" t="s">
        <v>795</v>
      </c>
      <c r="C5275" s="15" t="s">
        <v>795</v>
      </c>
      <c r="D5275" s="15" t="s">
        <v>795</v>
      </c>
      <c r="F5275" s="42"/>
    </row>
    <row r="5276" spans="1:6" x14ac:dyDescent="0.3">
      <c r="A5276" s="15" t="s">
        <v>33499</v>
      </c>
      <c r="B5276" s="15" t="s">
        <v>795</v>
      </c>
      <c r="C5276" s="15" t="s">
        <v>795</v>
      </c>
      <c r="D5276" s="15" t="s">
        <v>795</v>
      </c>
      <c r="F5276" s="42"/>
    </row>
    <row r="5277" spans="1:6" x14ac:dyDescent="0.3">
      <c r="A5277" s="15" t="s">
        <v>43060</v>
      </c>
      <c r="B5277" s="15" t="s">
        <v>9947</v>
      </c>
      <c r="C5277" s="15" t="s">
        <v>9948</v>
      </c>
      <c r="D5277" s="15" t="s">
        <v>9949</v>
      </c>
      <c r="E5277" s="15">
        <v>45.241100000000003</v>
      </c>
      <c r="F5277" s="42">
        <v>46198</v>
      </c>
    </row>
    <row r="5278" spans="1:6" x14ac:dyDescent="0.3">
      <c r="A5278" s="15" t="s">
        <v>43059</v>
      </c>
      <c r="B5278" s="15" t="s">
        <v>9950</v>
      </c>
      <c r="C5278" s="15" t="s">
        <v>9951</v>
      </c>
      <c r="D5278" s="15" t="s">
        <v>9952</v>
      </c>
      <c r="E5278" s="15">
        <v>32.8018</v>
      </c>
      <c r="F5278" s="42">
        <v>46198</v>
      </c>
    </row>
    <row r="5279" spans="1:6" x14ac:dyDescent="0.3">
      <c r="A5279" s="15" t="s">
        <v>43058</v>
      </c>
      <c r="B5279" s="15" t="s">
        <v>9953</v>
      </c>
      <c r="C5279" s="15" t="s">
        <v>800</v>
      </c>
      <c r="D5279" s="15" t="s">
        <v>9954</v>
      </c>
      <c r="E5279" s="15">
        <v>135.67699999999999</v>
      </c>
      <c r="F5279" s="42">
        <v>46198</v>
      </c>
    </row>
    <row r="5280" spans="1:6" x14ac:dyDescent="0.3">
      <c r="A5280" s="15" t="s">
        <v>43057</v>
      </c>
      <c r="B5280" s="15" t="s">
        <v>9955</v>
      </c>
      <c r="C5280" s="15" t="s">
        <v>800</v>
      </c>
      <c r="D5280" s="15" t="s">
        <v>9956</v>
      </c>
      <c r="E5280" s="15">
        <v>122.5231</v>
      </c>
      <c r="F5280" s="42">
        <v>46198</v>
      </c>
    </row>
    <row r="5281" spans="1:6" x14ac:dyDescent="0.3">
      <c r="A5281" s="15" t="s">
        <v>33499</v>
      </c>
      <c r="B5281" s="15" t="s">
        <v>795</v>
      </c>
      <c r="C5281" s="15" t="s">
        <v>795</v>
      </c>
      <c r="D5281" s="15" t="s">
        <v>795</v>
      </c>
      <c r="F5281" s="42"/>
    </row>
    <row r="5282" spans="1:6" x14ac:dyDescent="0.3">
      <c r="A5282" s="15" t="s">
        <v>40843</v>
      </c>
      <c r="B5282" s="15" t="s">
        <v>795</v>
      </c>
      <c r="C5282" s="15" t="s">
        <v>795</v>
      </c>
      <c r="D5282" s="15" t="s">
        <v>795</v>
      </c>
      <c r="F5282" s="42"/>
    </row>
    <row r="5283" spans="1:6" x14ac:dyDescent="0.3">
      <c r="A5283" s="15" t="s">
        <v>33499</v>
      </c>
      <c r="B5283" s="15" t="s">
        <v>795</v>
      </c>
      <c r="C5283" s="15" t="s">
        <v>795</v>
      </c>
      <c r="D5283" s="15" t="s">
        <v>795</v>
      </c>
      <c r="F5283" s="42"/>
    </row>
    <row r="5284" spans="1:6" x14ac:dyDescent="0.3">
      <c r="A5284" s="15" t="s">
        <v>43056</v>
      </c>
      <c r="B5284" s="15" t="s">
        <v>9957</v>
      </c>
      <c r="C5284" s="15" t="s">
        <v>800</v>
      </c>
      <c r="D5284" s="15" t="s">
        <v>9958</v>
      </c>
      <c r="E5284" s="15">
        <v>13.46</v>
      </c>
      <c r="F5284" s="42">
        <v>46198</v>
      </c>
    </row>
    <row r="5285" spans="1:6" x14ac:dyDescent="0.3">
      <c r="A5285" s="15" t="s">
        <v>43055</v>
      </c>
      <c r="B5285" s="15" t="s">
        <v>9959</v>
      </c>
      <c r="C5285" s="15" t="s">
        <v>9960</v>
      </c>
      <c r="D5285" s="15" t="s">
        <v>9961</v>
      </c>
      <c r="E5285" s="15">
        <v>13.46</v>
      </c>
      <c r="F5285" s="42">
        <v>46198</v>
      </c>
    </row>
    <row r="5286" spans="1:6" x14ac:dyDescent="0.3">
      <c r="A5286" s="15" t="s">
        <v>43054</v>
      </c>
      <c r="B5286" s="15" t="s">
        <v>9962</v>
      </c>
      <c r="C5286" s="15" t="s">
        <v>800</v>
      </c>
      <c r="D5286" s="15" t="s">
        <v>9963</v>
      </c>
      <c r="E5286" s="15">
        <v>13.13</v>
      </c>
      <c r="F5286" s="42">
        <v>46198</v>
      </c>
    </row>
    <row r="5287" spans="1:6" x14ac:dyDescent="0.3">
      <c r="A5287" s="15" t="s">
        <v>43053</v>
      </c>
      <c r="B5287" s="15" t="s">
        <v>9964</v>
      </c>
      <c r="C5287" s="15" t="s">
        <v>9965</v>
      </c>
      <c r="D5287" s="15" t="s">
        <v>9966</v>
      </c>
      <c r="E5287" s="15">
        <v>13.13</v>
      </c>
      <c r="F5287" s="42">
        <v>46198</v>
      </c>
    </row>
    <row r="5288" spans="1:6" x14ac:dyDescent="0.3">
      <c r="A5288" s="15" t="s">
        <v>33499</v>
      </c>
      <c r="B5288" s="15" t="s">
        <v>795</v>
      </c>
      <c r="C5288" s="15" t="s">
        <v>795</v>
      </c>
      <c r="D5288" s="15" t="s">
        <v>795</v>
      </c>
      <c r="F5288" s="42"/>
    </row>
    <row r="5289" spans="1:6" x14ac:dyDescent="0.3">
      <c r="A5289" s="15" t="s">
        <v>40216</v>
      </c>
      <c r="B5289" s="15" t="s">
        <v>795</v>
      </c>
      <c r="C5289" s="15" t="s">
        <v>795</v>
      </c>
      <c r="D5289" s="15" t="s">
        <v>795</v>
      </c>
      <c r="F5289" s="42"/>
    </row>
    <row r="5290" spans="1:6" x14ac:dyDescent="0.3">
      <c r="A5290" s="15" t="s">
        <v>33499</v>
      </c>
      <c r="B5290" s="15" t="s">
        <v>795</v>
      </c>
      <c r="C5290" s="15" t="s">
        <v>795</v>
      </c>
      <c r="D5290" s="15" t="s">
        <v>795</v>
      </c>
      <c r="F5290" s="42"/>
    </row>
    <row r="5291" spans="1:6" x14ac:dyDescent="0.3">
      <c r="A5291" s="15" t="s">
        <v>43052</v>
      </c>
      <c r="B5291" s="15" t="s">
        <v>9967</v>
      </c>
      <c r="C5291" s="15" t="s">
        <v>800</v>
      </c>
      <c r="D5291" s="15" t="s">
        <v>9968</v>
      </c>
      <c r="E5291" s="15">
        <v>91.245900000000006</v>
      </c>
      <c r="F5291" s="42">
        <v>46198</v>
      </c>
    </row>
    <row r="5292" spans="1:6" x14ac:dyDescent="0.3">
      <c r="A5292" s="15" t="s">
        <v>43051</v>
      </c>
      <c r="B5292" s="15" t="s">
        <v>9969</v>
      </c>
      <c r="C5292" s="15" t="s">
        <v>800</v>
      </c>
      <c r="D5292" s="15" t="s">
        <v>9970</v>
      </c>
      <c r="E5292" s="15">
        <v>102.62479999999999</v>
      </c>
      <c r="F5292" s="42">
        <v>46198</v>
      </c>
    </row>
    <row r="5293" spans="1:6" x14ac:dyDescent="0.3">
      <c r="A5293" s="15" t="s">
        <v>43050</v>
      </c>
      <c r="B5293" s="15" t="s">
        <v>9971</v>
      </c>
      <c r="C5293" s="15" t="s">
        <v>9972</v>
      </c>
      <c r="D5293" s="15" t="s">
        <v>9973</v>
      </c>
      <c r="E5293" s="15">
        <v>59.990900000000003</v>
      </c>
      <c r="F5293" s="42">
        <v>46198</v>
      </c>
    </row>
    <row r="5294" spans="1:6" x14ac:dyDescent="0.3">
      <c r="A5294" s="15" t="s">
        <v>43049</v>
      </c>
      <c r="B5294" s="15" t="s">
        <v>9974</v>
      </c>
      <c r="C5294" s="15" t="s">
        <v>9975</v>
      </c>
      <c r="D5294" s="15" t="s">
        <v>9976</v>
      </c>
      <c r="E5294" s="15">
        <v>67.845799999999997</v>
      </c>
      <c r="F5294" s="42">
        <v>46198</v>
      </c>
    </row>
    <row r="5295" spans="1:6" x14ac:dyDescent="0.3">
      <c r="A5295" s="15" t="s">
        <v>33499</v>
      </c>
      <c r="B5295" s="15" t="s">
        <v>795</v>
      </c>
      <c r="C5295" s="15" t="s">
        <v>795</v>
      </c>
      <c r="D5295" s="15" t="s">
        <v>795</v>
      </c>
      <c r="F5295" s="42"/>
    </row>
    <row r="5296" spans="1:6" x14ac:dyDescent="0.3">
      <c r="A5296" s="15" t="s">
        <v>33636</v>
      </c>
      <c r="B5296" s="15" t="s">
        <v>795</v>
      </c>
      <c r="C5296" s="15" t="s">
        <v>795</v>
      </c>
      <c r="D5296" s="15" t="s">
        <v>795</v>
      </c>
      <c r="F5296" s="42"/>
    </row>
    <row r="5297" spans="1:6" x14ac:dyDescent="0.3">
      <c r="A5297" s="15" t="s">
        <v>33499</v>
      </c>
      <c r="B5297" s="15" t="s">
        <v>795</v>
      </c>
      <c r="C5297" s="15" t="s">
        <v>795</v>
      </c>
      <c r="D5297" s="15" t="s">
        <v>795</v>
      </c>
      <c r="F5297" s="42"/>
    </row>
    <row r="5298" spans="1:6" x14ac:dyDescent="0.3">
      <c r="A5298" s="15" t="s">
        <v>43048</v>
      </c>
      <c r="B5298" s="15" t="s">
        <v>9977</v>
      </c>
      <c r="C5298" s="15" t="s">
        <v>9978</v>
      </c>
      <c r="D5298" s="15" t="s">
        <v>9979</v>
      </c>
      <c r="E5298" s="15">
        <v>105.75360000000001</v>
      </c>
      <c r="F5298" s="42">
        <v>46198</v>
      </c>
    </row>
    <row r="5299" spans="1:6" x14ac:dyDescent="0.3">
      <c r="A5299" s="15" t="s">
        <v>43047</v>
      </c>
      <c r="B5299" s="15" t="s">
        <v>9980</v>
      </c>
      <c r="C5299" s="15" t="s">
        <v>800</v>
      </c>
      <c r="D5299" s="15" t="s">
        <v>9981</v>
      </c>
      <c r="E5299" s="15">
        <v>433.96730000000002</v>
      </c>
      <c r="F5299" s="42">
        <v>46198</v>
      </c>
    </row>
    <row r="5300" spans="1:6" x14ac:dyDescent="0.3">
      <c r="A5300" s="15" t="s">
        <v>43046</v>
      </c>
      <c r="B5300" s="15" t="s">
        <v>9982</v>
      </c>
      <c r="C5300" s="15" t="s">
        <v>9983</v>
      </c>
      <c r="D5300" s="15" t="s">
        <v>9984</v>
      </c>
      <c r="E5300" s="15">
        <v>70.194000000000003</v>
      </c>
      <c r="F5300" s="42">
        <v>46198</v>
      </c>
    </row>
    <row r="5301" spans="1:6" x14ac:dyDescent="0.3">
      <c r="A5301" s="15" t="s">
        <v>43045</v>
      </c>
      <c r="B5301" s="15" t="s">
        <v>9985</v>
      </c>
      <c r="C5301" s="15" t="s">
        <v>800</v>
      </c>
      <c r="D5301" s="15" t="s">
        <v>9986</v>
      </c>
      <c r="E5301" s="15">
        <v>383.76530000000002</v>
      </c>
      <c r="F5301" s="42">
        <v>46198</v>
      </c>
    </row>
    <row r="5302" spans="1:6" x14ac:dyDescent="0.3">
      <c r="A5302" s="15" t="s">
        <v>33499</v>
      </c>
      <c r="B5302" s="15" t="s">
        <v>795</v>
      </c>
      <c r="C5302" s="15" t="s">
        <v>795</v>
      </c>
      <c r="D5302" s="15" t="s">
        <v>795</v>
      </c>
      <c r="F5302" s="42"/>
    </row>
    <row r="5303" spans="1:6" x14ac:dyDescent="0.3">
      <c r="A5303" s="15" t="s">
        <v>37414</v>
      </c>
      <c r="B5303" s="15" t="s">
        <v>795</v>
      </c>
      <c r="C5303" s="15" t="s">
        <v>795</v>
      </c>
      <c r="D5303" s="15" t="s">
        <v>795</v>
      </c>
      <c r="F5303" s="42"/>
    </row>
    <row r="5304" spans="1:6" x14ac:dyDescent="0.3">
      <c r="A5304" s="15" t="s">
        <v>33499</v>
      </c>
      <c r="B5304" s="15" t="s">
        <v>795</v>
      </c>
      <c r="C5304" s="15" t="s">
        <v>795</v>
      </c>
      <c r="D5304" s="15" t="s">
        <v>795</v>
      </c>
      <c r="F5304" s="42"/>
    </row>
    <row r="5305" spans="1:6" x14ac:dyDescent="0.3">
      <c r="A5305" s="15" t="s">
        <v>43044</v>
      </c>
      <c r="B5305" s="15" t="s">
        <v>9987</v>
      </c>
      <c r="C5305" s="15" t="s">
        <v>800</v>
      </c>
      <c r="D5305" s="15" t="s">
        <v>9988</v>
      </c>
      <c r="E5305" s="15">
        <v>180.0324</v>
      </c>
      <c r="F5305" s="42">
        <v>46198</v>
      </c>
    </row>
    <row r="5306" spans="1:6" x14ac:dyDescent="0.3">
      <c r="A5306" s="15" t="s">
        <v>43043</v>
      </c>
      <c r="B5306" s="15" t="s">
        <v>9989</v>
      </c>
      <c r="C5306" s="15" t="s">
        <v>9990</v>
      </c>
      <c r="D5306" s="15" t="s">
        <v>9991</v>
      </c>
      <c r="E5306" s="15">
        <v>42.1922</v>
      </c>
      <c r="F5306" s="42">
        <v>46198</v>
      </c>
    </row>
    <row r="5307" spans="1:6" x14ac:dyDescent="0.3">
      <c r="A5307" s="15" t="s">
        <v>43042</v>
      </c>
      <c r="B5307" s="15" t="s">
        <v>9992</v>
      </c>
      <c r="C5307" s="15" t="s">
        <v>9993</v>
      </c>
      <c r="D5307" s="15" t="s">
        <v>9994</v>
      </c>
      <c r="E5307" s="15">
        <v>38.415399999999998</v>
      </c>
      <c r="F5307" s="42">
        <v>46198</v>
      </c>
    </row>
    <row r="5308" spans="1:6" x14ac:dyDescent="0.3">
      <c r="A5308" s="15" t="s">
        <v>43041</v>
      </c>
      <c r="B5308" s="15" t="s">
        <v>9995</v>
      </c>
      <c r="C5308" s="15" t="s">
        <v>800</v>
      </c>
      <c r="D5308" s="15" t="s">
        <v>9996</v>
      </c>
      <c r="E5308" s="15">
        <v>161.07230000000001</v>
      </c>
      <c r="F5308" s="42">
        <v>46198</v>
      </c>
    </row>
    <row r="5309" spans="1:6" x14ac:dyDescent="0.3">
      <c r="A5309" s="15" t="s">
        <v>33499</v>
      </c>
      <c r="B5309" s="15" t="s">
        <v>795</v>
      </c>
      <c r="C5309" s="15" t="s">
        <v>795</v>
      </c>
      <c r="D5309" s="15" t="s">
        <v>795</v>
      </c>
      <c r="F5309" s="42"/>
    </row>
    <row r="5310" spans="1:6" x14ac:dyDescent="0.3">
      <c r="A5310" s="15" t="s">
        <v>33519</v>
      </c>
      <c r="B5310" s="15" t="s">
        <v>795</v>
      </c>
      <c r="C5310" s="15" t="s">
        <v>795</v>
      </c>
      <c r="D5310" s="15" t="s">
        <v>795</v>
      </c>
      <c r="F5310" s="42"/>
    </row>
    <row r="5311" spans="1:6" x14ac:dyDescent="0.3">
      <c r="A5311" s="15" t="s">
        <v>33499</v>
      </c>
      <c r="B5311" s="15" t="s">
        <v>795</v>
      </c>
      <c r="C5311" s="15" t="s">
        <v>795</v>
      </c>
      <c r="D5311" s="15" t="s">
        <v>795</v>
      </c>
      <c r="F5311" s="42"/>
    </row>
    <row r="5312" spans="1:6" x14ac:dyDescent="0.3">
      <c r="A5312" s="15" t="s">
        <v>43040</v>
      </c>
      <c r="B5312" s="15" t="s">
        <v>9997</v>
      </c>
      <c r="C5312" s="15" t="s">
        <v>800</v>
      </c>
      <c r="D5312" s="15" t="s">
        <v>9998</v>
      </c>
      <c r="E5312" s="15">
        <v>24.6143</v>
      </c>
      <c r="F5312" s="42">
        <v>46198</v>
      </c>
    </row>
    <row r="5313" spans="1:6" x14ac:dyDescent="0.3">
      <c r="A5313" s="15" t="s">
        <v>43039</v>
      </c>
      <c r="B5313" s="15" t="s">
        <v>800</v>
      </c>
      <c r="C5313" s="15" t="s">
        <v>9999</v>
      </c>
      <c r="D5313" s="15" t="s">
        <v>10000</v>
      </c>
      <c r="E5313" s="15">
        <v>24.6143</v>
      </c>
      <c r="F5313" s="42">
        <v>46198</v>
      </c>
    </row>
    <row r="5314" spans="1:6" x14ac:dyDescent="0.3">
      <c r="A5314" s="15" t="s">
        <v>43038</v>
      </c>
      <c r="B5314" s="15" t="s">
        <v>10001</v>
      </c>
      <c r="C5314" s="15" t="s">
        <v>800</v>
      </c>
      <c r="D5314" s="15" t="s">
        <v>10002</v>
      </c>
      <c r="E5314" s="15">
        <v>22.0185</v>
      </c>
      <c r="F5314" s="42">
        <v>46198</v>
      </c>
    </row>
    <row r="5315" spans="1:6" x14ac:dyDescent="0.3">
      <c r="A5315" s="15" t="s">
        <v>43037</v>
      </c>
      <c r="B5315" s="15" t="s">
        <v>800</v>
      </c>
      <c r="C5315" s="15" t="s">
        <v>10003</v>
      </c>
      <c r="D5315" s="15" t="s">
        <v>10004</v>
      </c>
      <c r="E5315" s="15">
        <v>22.0185</v>
      </c>
      <c r="F5315" s="42">
        <v>46198</v>
      </c>
    </row>
    <row r="5316" spans="1:6" x14ac:dyDescent="0.3">
      <c r="A5316" s="15" t="s">
        <v>43036</v>
      </c>
      <c r="B5316" s="15" t="s">
        <v>10005</v>
      </c>
      <c r="C5316" s="15" t="s">
        <v>800</v>
      </c>
      <c r="D5316" s="15" t="s">
        <v>10006</v>
      </c>
      <c r="E5316" s="15">
        <v>25.5564</v>
      </c>
      <c r="F5316" s="42">
        <v>46198</v>
      </c>
    </row>
    <row r="5317" spans="1:6" x14ac:dyDescent="0.3">
      <c r="A5317" s="15" t="s">
        <v>43035</v>
      </c>
      <c r="B5317" s="15" t="s">
        <v>10007</v>
      </c>
      <c r="C5317" s="15" t="s">
        <v>800</v>
      </c>
      <c r="D5317" s="15" t="s">
        <v>10008</v>
      </c>
      <c r="E5317" s="15">
        <v>22.959800000000001</v>
      </c>
      <c r="F5317" s="42">
        <v>46198</v>
      </c>
    </row>
    <row r="5318" spans="1:6" x14ac:dyDescent="0.3">
      <c r="A5318" s="15" t="s">
        <v>33499</v>
      </c>
      <c r="B5318" s="15" t="s">
        <v>795</v>
      </c>
      <c r="C5318" s="15" t="s">
        <v>795</v>
      </c>
      <c r="D5318" s="15" t="s">
        <v>795</v>
      </c>
      <c r="F5318" s="42"/>
    </row>
    <row r="5319" spans="1:6" x14ac:dyDescent="0.3">
      <c r="A5319" s="15" t="s">
        <v>33504</v>
      </c>
      <c r="B5319" s="15" t="s">
        <v>795</v>
      </c>
      <c r="C5319" s="15" t="s">
        <v>795</v>
      </c>
      <c r="D5319" s="15" t="s">
        <v>795</v>
      </c>
      <c r="F5319" s="42"/>
    </row>
    <row r="5320" spans="1:6" x14ac:dyDescent="0.3">
      <c r="A5320" s="15" t="s">
        <v>33499</v>
      </c>
      <c r="B5320" s="15" t="s">
        <v>795</v>
      </c>
      <c r="C5320" s="15" t="s">
        <v>795</v>
      </c>
      <c r="D5320" s="15" t="s">
        <v>795</v>
      </c>
      <c r="F5320" s="42"/>
    </row>
    <row r="5321" spans="1:6" x14ac:dyDescent="0.3">
      <c r="A5321" s="15" t="s">
        <v>43034</v>
      </c>
      <c r="B5321" s="15" t="s">
        <v>10009</v>
      </c>
      <c r="C5321" s="15" t="s">
        <v>800</v>
      </c>
      <c r="D5321" s="15" t="s">
        <v>10010</v>
      </c>
      <c r="E5321" s="15">
        <v>28.82</v>
      </c>
      <c r="F5321" s="42">
        <v>46198</v>
      </c>
    </row>
    <row r="5322" spans="1:6" x14ac:dyDescent="0.3">
      <c r="A5322" s="15" t="s">
        <v>43033</v>
      </c>
      <c r="B5322" s="15" t="s">
        <v>10011</v>
      </c>
      <c r="C5322" s="15" t="s">
        <v>10012</v>
      </c>
      <c r="D5322" s="15" t="s">
        <v>10013</v>
      </c>
      <c r="E5322" s="15">
        <v>28.82</v>
      </c>
      <c r="F5322" s="42">
        <v>46198</v>
      </c>
    </row>
    <row r="5323" spans="1:6" x14ac:dyDescent="0.3">
      <c r="A5323" s="15" t="s">
        <v>43032</v>
      </c>
      <c r="B5323" s="15" t="s">
        <v>10014</v>
      </c>
      <c r="C5323" s="15" t="s">
        <v>800</v>
      </c>
      <c r="D5323" s="15" t="s">
        <v>10015</v>
      </c>
      <c r="E5323" s="15">
        <v>26.98</v>
      </c>
      <c r="F5323" s="42">
        <v>46198</v>
      </c>
    </row>
    <row r="5324" spans="1:6" x14ac:dyDescent="0.3">
      <c r="A5324" s="15" t="s">
        <v>43031</v>
      </c>
      <c r="B5324" s="15" t="s">
        <v>10016</v>
      </c>
      <c r="C5324" s="15" t="s">
        <v>10017</v>
      </c>
      <c r="D5324" s="15" t="s">
        <v>10018</v>
      </c>
      <c r="E5324" s="15">
        <v>26.98</v>
      </c>
      <c r="F5324" s="42">
        <v>46198</v>
      </c>
    </row>
    <row r="5325" spans="1:6" x14ac:dyDescent="0.3">
      <c r="A5325" s="15" t="s">
        <v>33499</v>
      </c>
      <c r="B5325" s="15" t="s">
        <v>795</v>
      </c>
      <c r="C5325" s="15" t="s">
        <v>795</v>
      </c>
      <c r="D5325" s="15" t="s">
        <v>795</v>
      </c>
      <c r="F5325" s="42"/>
    </row>
    <row r="5326" spans="1:6" x14ac:dyDescent="0.3">
      <c r="A5326" s="15" t="s">
        <v>33500</v>
      </c>
      <c r="B5326" s="15" t="s">
        <v>795</v>
      </c>
      <c r="C5326" s="15" t="s">
        <v>795</v>
      </c>
      <c r="D5326" s="15" t="s">
        <v>795</v>
      </c>
      <c r="F5326" s="42"/>
    </row>
    <row r="5327" spans="1:6" x14ac:dyDescent="0.3">
      <c r="A5327" s="15" t="s">
        <v>33499</v>
      </c>
      <c r="B5327" s="15" t="s">
        <v>795</v>
      </c>
      <c r="C5327" s="15" t="s">
        <v>795</v>
      </c>
      <c r="D5327" s="15" t="s">
        <v>795</v>
      </c>
      <c r="F5327" s="42"/>
    </row>
    <row r="5328" spans="1:6" x14ac:dyDescent="0.3">
      <c r="A5328" s="15" t="s">
        <v>43030</v>
      </c>
      <c r="B5328" s="15" t="s">
        <v>10019</v>
      </c>
      <c r="C5328" s="15" t="s">
        <v>800</v>
      </c>
      <c r="D5328" s="15" t="s">
        <v>10020</v>
      </c>
      <c r="E5328" s="15">
        <v>16.183499999999999</v>
      </c>
      <c r="F5328" s="42">
        <v>46198</v>
      </c>
    </row>
    <row r="5329" spans="1:6" x14ac:dyDescent="0.3">
      <c r="A5329" s="15" t="s">
        <v>43029</v>
      </c>
      <c r="B5329" s="15" t="s">
        <v>10021</v>
      </c>
      <c r="C5329" s="15" t="s">
        <v>800</v>
      </c>
      <c r="D5329" s="15" t="s">
        <v>10022</v>
      </c>
      <c r="E5329" s="15">
        <v>16.183199999999999</v>
      </c>
      <c r="F5329" s="42">
        <v>46198</v>
      </c>
    </row>
    <row r="5330" spans="1:6" x14ac:dyDescent="0.3">
      <c r="A5330" s="15" t="s">
        <v>43028</v>
      </c>
      <c r="B5330" s="15" t="s">
        <v>10023</v>
      </c>
      <c r="C5330" s="15" t="s">
        <v>800</v>
      </c>
      <c r="D5330" s="15" t="s">
        <v>10024</v>
      </c>
      <c r="E5330" s="15">
        <v>15.057</v>
      </c>
      <c r="F5330" s="42">
        <v>46198</v>
      </c>
    </row>
    <row r="5331" spans="1:6" x14ac:dyDescent="0.3">
      <c r="A5331" s="15" t="s">
        <v>43027</v>
      </c>
      <c r="B5331" s="15" t="s">
        <v>10025</v>
      </c>
      <c r="C5331" s="15" t="s">
        <v>800</v>
      </c>
      <c r="D5331" s="15" t="s">
        <v>10026</v>
      </c>
      <c r="E5331" s="15">
        <v>15.057</v>
      </c>
      <c r="F5331" s="42">
        <v>46198</v>
      </c>
    </row>
    <row r="5332" spans="1:6" x14ac:dyDescent="0.3">
      <c r="A5332" s="15" t="s">
        <v>33499</v>
      </c>
      <c r="B5332" s="15" t="s">
        <v>795</v>
      </c>
      <c r="C5332" s="15" t="s">
        <v>795</v>
      </c>
      <c r="D5332" s="15" t="s">
        <v>795</v>
      </c>
      <c r="F5332" s="42"/>
    </row>
    <row r="5333" spans="1:6" x14ac:dyDescent="0.3">
      <c r="A5333" s="15" t="s">
        <v>43026</v>
      </c>
      <c r="B5333" s="15" t="s">
        <v>795</v>
      </c>
      <c r="C5333" s="15" t="s">
        <v>795</v>
      </c>
      <c r="D5333" s="15" t="s">
        <v>795</v>
      </c>
      <c r="F5333" s="42"/>
    </row>
    <row r="5334" spans="1:6" x14ac:dyDescent="0.3">
      <c r="A5334" s="15" t="s">
        <v>33499</v>
      </c>
      <c r="B5334" s="15" t="s">
        <v>795</v>
      </c>
      <c r="C5334" s="15" t="s">
        <v>795</v>
      </c>
      <c r="D5334" s="15" t="s">
        <v>795</v>
      </c>
      <c r="F5334" s="42"/>
    </row>
    <row r="5335" spans="1:6" x14ac:dyDescent="0.3">
      <c r="A5335" s="15" t="s">
        <v>37122</v>
      </c>
      <c r="B5335" s="15" t="s">
        <v>795</v>
      </c>
      <c r="C5335" s="15" t="s">
        <v>795</v>
      </c>
      <c r="D5335" s="15" t="s">
        <v>795</v>
      </c>
      <c r="F5335" s="42"/>
    </row>
    <row r="5336" spans="1:6" x14ac:dyDescent="0.3">
      <c r="A5336" s="15" t="s">
        <v>33499</v>
      </c>
      <c r="B5336" s="15" t="s">
        <v>795</v>
      </c>
      <c r="C5336" s="15" t="s">
        <v>795</v>
      </c>
      <c r="D5336" s="15" t="s">
        <v>795</v>
      </c>
      <c r="F5336" s="42"/>
    </row>
    <row r="5337" spans="1:6" x14ac:dyDescent="0.3">
      <c r="A5337" s="15" t="s">
        <v>43025</v>
      </c>
      <c r="B5337" s="15" t="s">
        <v>10027</v>
      </c>
      <c r="C5337" s="15" t="s">
        <v>800</v>
      </c>
      <c r="D5337" s="15" t="s">
        <v>10028</v>
      </c>
      <c r="E5337" s="15">
        <v>1039.44</v>
      </c>
      <c r="F5337" s="42">
        <v>46198</v>
      </c>
    </row>
    <row r="5338" spans="1:6" x14ac:dyDescent="0.3">
      <c r="A5338" s="15" t="s">
        <v>43024</v>
      </c>
      <c r="B5338" s="15" t="s">
        <v>10029</v>
      </c>
      <c r="C5338" s="15" t="s">
        <v>800</v>
      </c>
      <c r="D5338" s="15" t="s">
        <v>10030</v>
      </c>
      <c r="E5338" s="15">
        <v>927.71</v>
      </c>
      <c r="F5338" s="42">
        <v>46198</v>
      </c>
    </row>
    <row r="5339" spans="1:6" x14ac:dyDescent="0.3">
      <c r="A5339" s="15" t="s">
        <v>43023</v>
      </c>
      <c r="B5339" s="15" t="s">
        <v>10031</v>
      </c>
      <c r="C5339" s="15" t="s">
        <v>10032</v>
      </c>
      <c r="D5339" s="15" t="s">
        <v>10033</v>
      </c>
      <c r="E5339" s="15">
        <v>209.18</v>
      </c>
      <c r="F5339" s="42">
        <v>46198</v>
      </c>
    </row>
    <row r="5340" spans="1:6" x14ac:dyDescent="0.3">
      <c r="A5340" s="15" t="s">
        <v>43022</v>
      </c>
      <c r="B5340" s="15" t="s">
        <v>10034</v>
      </c>
      <c r="C5340" s="15" t="s">
        <v>10035</v>
      </c>
      <c r="D5340" s="15" t="s">
        <v>10036</v>
      </c>
      <c r="E5340" s="15">
        <v>135.11000000000001</v>
      </c>
      <c r="F5340" s="42">
        <v>46198</v>
      </c>
    </row>
    <row r="5341" spans="1:6" x14ac:dyDescent="0.3">
      <c r="A5341" s="15" t="s">
        <v>33499</v>
      </c>
      <c r="B5341" s="15" t="s">
        <v>795</v>
      </c>
      <c r="C5341" s="15" t="s">
        <v>795</v>
      </c>
      <c r="D5341" s="15" t="s">
        <v>795</v>
      </c>
      <c r="F5341" s="42"/>
    </row>
    <row r="5342" spans="1:6" x14ac:dyDescent="0.3">
      <c r="A5342" s="15" t="s">
        <v>37087</v>
      </c>
      <c r="B5342" s="15" t="s">
        <v>795</v>
      </c>
      <c r="C5342" s="15" t="s">
        <v>795</v>
      </c>
      <c r="D5342" s="15" t="s">
        <v>795</v>
      </c>
      <c r="F5342" s="42"/>
    </row>
    <row r="5343" spans="1:6" x14ac:dyDescent="0.3">
      <c r="A5343" s="15" t="s">
        <v>33499</v>
      </c>
      <c r="B5343" s="15" t="s">
        <v>795</v>
      </c>
      <c r="C5343" s="15" t="s">
        <v>795</v>
      </c>
      <c r="D5343" s="15" t="s">
        <v>795</v>
      </c>
      <c r="F5343" s="42"/>
    </row>
    <row r="5344" spans="1:6" x14ac:dyDescent="0.3">
      <c r="A5344" s="15" t="s">
        <v>43021</v>
      </c>
      <c r="B5344" s="15" t="s">
        <v>10037</v>
      </c>
      <c r="C5344" s="15" t="s">
        <v>800</v>
      </c>
      <c r="D5344" s="15" t="s">
        <v>10038</v>
      </c>
      <c r="E5344" s="15">
        <v>37.96</v>
      </c>
      <c r="F5344" s="42">
        <v>46198</v>
      </c>
    </row>
    <row r="5345" spans="1:6" x14ac:dyDescent="0.3">
      <c r="A5345" s="15" t="s">
        <v>43020</v>
      </c>
      <c r="B5345" s="15" t="s">
        <v>10039</v>
      </c>
      <c r="C5345" s="15" t="s">
        <v>10040</v>
      </c>
      <c r="D5345" s="15" t="s">
        <v>10041</v>
      </c>
      <c r="E5345" s="15">
        <v>25.47</v>
      </c>
      <c r="F5345" s="42">
        <v>46198</v>
      </c>
    </row>
    <row r="5346" spans="1:6" x14ac:dyDescent="0.3">
      <c r="A5346" s="15" t="s">
        <v>43019</v>
      </c>
      <c r="B5346" s="15" t="s">
        <v>10042</v>
      </c>
      <c r="C5346" s="15" t="s">
        <v>800</v>
      </c>
      <c r="D5346" s="15" t="s">
        <v>10043</v>
      </c>
      <c r="E5346" s="15">
        <v>34.11</v>
      </c>
      <c r="F5346" s="42">
        <v>46198</v>
      </c>
    </row>
    <row r="5347" spans="1:6" x14ac:dyDescent="0.3">
      <c r="A5347" s="15" t="s">
        <v>43018</v>
      </c>
      <c r="B5347" s="15" t="s">
        <v>10044</v>
      </c>
      <c r="C5347" s="15" t="s">
        <v>10045</v>
      </c>
      <c r="D5347" s="15" t="s">
        <v>10046</v>
      </c>
      <c r="E5347" s="15">
        <v>19.899999999999999</v>
      </c>
      <c r="F5347" s="42">
        <v>46198</v>
      </c>
    </row>
    <row r="5348" spans="1:6" x14ac:dyDescent="0.3">
      <c r="A5348" s="15" t="s">
        <v>33499</v>
      </c>
      <c r="B5348" s="15" t="s">
        <v>795</v>
      </c>
      <c r="C5348" s="15" t="s">
        <v>795</v>
      </c>
      <c r="D5348" s="15" t="s">
        <v>795</v>
      </c>
      <c r="F5348" s="42"/>
    </row>
    <row r="5349" spans="1:6" x14ac:dyDescent="0.3">
      <c r="A5349" s="15" t="s">
        <v>37923</v>
      </c>
      <c r="B5349" s="15" t="s">
        <v>795</v>
      </c>
      <c r="C5349" s="15" t="s">
        <v>795</v>
      </c>
      <c r="D5349" s="15" t="s">
        <v>795</v>
      </c>
      <c r="F5349" s="42"/>
    </row>
    <row r="5350" spans="1:6" x14ac:dyDescent="0.3">
      <c r="A5350" s="15" t="s">
        <v>33499</v>
      </c>
      <c r="B5350" s="15" t="s">
        <v>795</v>
      </c>
      <c r="C5350" s="15" t="s">
        <v>795</v>
      </c>
      <c r="D5350" s="15" t="s">
        <v>795</v>
      </c>
      <c r="F5350" s="42"/>
    </row>
    <row r="5351" spans="1:6" x14ac:dyDescent="0.3">
      <c r="A5351" s="15" t="s">
        <v>43017</v>
      </c>
      <c r="B5351" s="15" t="s">
        <v>10047</v>
      </c>
      <c r="C5351" s="15" t="s">
        <v>800</v>
      </c>
      <c r="D5351" s="15" t="s">
        <v>10048</v>
      </c>
      <c r="E5351" s="15">
        <v>12.634</v>
      </c>
      <c r="F5351" s="42">
        <v>46198</v>
      </c>
    </row>
    <row r="5352" spans="1:6" x14ac:dyDescent="0.3">
      <c r="A5352" s="15" t="s">
        <v>43016</v>
      </c>
      <c r="B5352" s="15" t="s">
        <v>10049</v>
      </c>
      <c r="C5352" s="15" t="s">
        <v>10050</v>
      </c>
      <c r="D5352" s="15" t="s">
        <v>10051</v>
      </c>
      <c r="E5352" s="15">
        <v>12.634</v>
      </c>
      <c r="F5352" s="42">
        <v>46198</v>
      </c>
    </row>
    <row r="5353" spans="1:6" x14ac:dyDescent="0.3">
      <c r="A5353" s="15" t="s">
        <v>43015</v>
      </c>
      <c r="B5353" s="15" t="s">
        <v>10052</v>
      </c>
      <c r="C5353" s="15" t="s">
        <v>800</v>
      </c>
      <c r="D5353" s="15" t="s">
        <v>10053</v>
      </c>
      <c r="E5353" s="15">
        <v>12.212999999999999</v>
      </c>
      <c r="F5353" s="42">
        <v>46198</v>
      </c>
    </row>
    <row r="5354" spans="1:6" x14ac:dyDescent="0.3">
      <c r="A5354" s="15" t="s">
        <v>43014</v>
      </c>
      <c r="B5354" s="15" t="s">
        <v>10054</v>
      </c>
      <c r="C5354" s="15" t="s">
        <v>10055</v>
      </c>
      <c r="D5354" s="15" t="s">
        <v>10056</v>
      </c>
      <c r="E5354" s="15">
        <v>12.212999999999999</v>
      </c>
      <c r="F5354" s="42">
        <v>46198</v>
      </c>
    </row>
    <row r="5355" spans="1:6" x14ac:dyDescent="0.3">
      <c r="A5355" s="15" t="s">
        <v>33499</v>
      </c>
      <c r="B5355" s="15" t="s">
        <v>795</v>
      </c>
      <c r="C5355" s="15" t="s">
        <v>795</v>
      </c>
      <c r="D5355" s="15" t="s">
        <v>795</v>
      </c>
      <c r="F5355" s="42"/>
    </row>
    <row r="5356" spans="1:6" x14ac:dyDescent="0.3">
      <c r="A5356" s="15" t="s">
        <v>37073</v>
      </c>
      <c r="B5356" s="15" t="s">
        <v>795</v>
      </c>
      <c r="C5356" s="15" t="s">
        <v>795</v>
      </c>
      <c r="D5356" s="15" t="s">
        <v>795</v>
      </c>
      <c r="F5356" s="42"/>
    </row>
    <row r="5357" spans="1:6" x14ac:dyDescent="0.3">
      <c r="A5357" s="15" t="s">
        <v>33499</v>
      </c>
      <c r="B5357" s="15" t="s">
        <v>795</v>
      </c>
      <c r="C5357" s="15" t="s">
        <v>795</v>
      </c>
      <c r="D5357" s="15" t="s">
        <v>795</v>
      </c>
      <c r="F5357" s="42"/>
    </row>
    <row r="5358" spans="1:6" x14ac:dyDescent="0.3">
      <c r="A5358" s="15" t="s">
        <v>43013</v>
      </c>
      <c r="B5358" s="15" t="s">
        <v>10057</v>
      </c>
      <c r="C5358" s="15" t="s">
        <v>800</v>
      </c>
      <c r="D5358" s="15" t="s">
        <v>10058</v>
      </c>
      <c r="E5358" s="15">
        <v>163.785</v>
      </c>
      <c r="F5358" s="42">
        <v>46198</v>
      </c>
    </row>
    <row r="5359" spans="1:6" x14ac:dyDescent="0.3">
      <c r="A5359" s="15" t="s">
        <v>43012</v>
      </c>
      <c r="B5359" s="15" t="s">
        <v>10059</v>
      </c>
      <c r="C5359" s="15" t="s">
        <v>10060</v>
      </c>
      <c r="D5359" s="15" t="s">
        <v>10061</v>
      </c>
      <c r="E5359" s="15">
        <v>36.436</v>
      </c>
      <c r="F5359" s="42">
        <v>46198</v>
      </c>
    </row>
    <row r="5360" spans="1:6" x14ac:dyDescent="0.3">
      <c r="A5360" s="15" t="s">
        <v>43011</v>
      </c>
      <c r="B5360" s="15" t="s">
        <v>10062</v>
      </c>
      <c r="C5360" s="15" t="s">
        <v>800</v>
      </c>
      <c r="D5360" s="15" t="s">
        <v>10063</v>
      </c>
      <c r="E5360" s="15">
        <v>139.00899999999999</v>
      </c>
      <c r="F5360" s="42">
        <v>46198</v>
      </c>
    </row>
    <row r="5361" spans="1:6" x14ac:dyDescent="0.3">
      <c r="A5361" s="15" t="s">
        <v>43010</v>
      </c>
      <c r="B5361" s="15" t="s">
        <v>10064</v>
      </c>
      <c r="C5361" s="15" t="s">
        <v>10065</v>
      </c>
      <c r="D5361" s="15" t="s">
        <v>10066</v>
      </c>
      <c r="E5361" s="15">
        <v>27.492999999999999</v>
      </c>
      <c r="F5361" s="42">
        <v>46198</v>
      </c>
    </row>
    <row r="5362" spans="1:6" x14ac:dyDescent="0.3">
      <c r="A5362" s="15" t="s">
        <v>33499</v>
      </c>
      <c r="B5362" s="15" t="s">
        <v>795</v>
      </c>
      <c r="C5362" s="15" t="s">
        <v>795</v>
      </c>
      <c r="D5362" s="15" t="s">
        <v>795</v>
      </c>
      <c r="F5362" s="42"/>
    </row>
    <row r="5363" spans="1:6" x14ac:dyDescent="0.3">
      <c r="A5363" s="15" t="s">
        <v>37447</v>
      </c>
      <c r="B5363" s="15" t="s">
        <v>795</v>
      </c>
      <c r="C5363" s="15" t="s">
        <v>795</v>
      </c>
      <c r="D5363" s="15" t="s">
        <v>795</v>
      </c>
      <c r="F5363" s="42"/>
    </row>
    <row r="5364" spans="1:6" x14ac:dyDescent="0.3">
      <c r="A5364" s="15" t="s">
        <v>33499</v>
      </c>
      <c r="B5364" s="15" t="s">
        <v>795</v>
      </c>
      <c r="C5364" s="15" t="s">
        <v>795</v>
      </c>
      <c r="D5364" s="15" t="s">
        <v>795</v>
      </c>
      <c r="F5364" s="42"/>
    </row>
    <row r="5365" spans="1:6" x14ac:dyDescent="0.3">
      <c r="A5365" s="15" t="s">
        <v>43009</v>
      </c>
      <c r="B5365" s="15" t="s">
        <v>10067</v>
      </c>
      <c r="C5365" s="15" t="s">
        <v>10068</v>
      </c>
      <c r="D5365" s="15" t="s">
        <v>10069</v>
      </c>
      <c r="E5365" s="15">
        <v>29.74</v>
      </c>
      <c r="F5365" s="42">
        <v>46198</v>
      </c>
    </row>
    <row r="5366" spans="1:6" x14ac:dyDescent="0.3">
      <c r="A5366" s="15" t="s">
        <v>43008</v>
      </c>
      <c r="B5366" s="15" t="s">
        <v>10070</v>
      </c>
      <c r="C5366" s="15" t="s">
        <v>800</v>
      </c>
      <c r="D5366" s="15" t="s">
        <v>10071</v>
      </c>
      <c r="E5366" s="15">
        <v>55.31</v>
      </c>
      <c r="F5366" s="42">
        <v>46198</v>
      </c>
    </row>
    <row r="5367" spans="1:6" x14ac:dyDescent="0.3">
      <c r="A5367" s="15" t="s">
        <v>43007</v>
      </c>
      <c r="B5367" s="15" t="s">
        <v>10072</v>
      </c>
      <c r="C5367" s="15" t="s">
        <v>800</v>
      </c>
      <c r="D5367" s="15" t="s">
        <v>10073</v>
      </c>
      <c r="E5367" s="15">
        <v>107.11</v>
      </c>
      <c r="F5367" s="42">
        <v>46198</v>
      </c>
    </row>
    <row r="5368" spans="1:6" x14ac:dyDescent="0.3">
      <c r="A5368" s="15" t="s">
        <v>43006</v>
      </c>
      <c r="B5368" s="15" t="s">
        <v>10074</v>
      </c>
      <c r="C5368" s="15" t="s">
        <v>10075</v>
      </c>
      <c r="D5368" s="15" t="s">
        <v>10076</v>
      </c>
      <c r="E5368" s="15">
        <v>29.3</v>
      </c>
      <c r="F5368" s="42">
        <v>46198</v>
      </c>
    </row>
    <row r="5369" spans="1:6" x14ac:dyDescent="0.3">
      <c r="A5369" s="15" t="s">
        <v>43005</v>
      </c>
      <c r="B5369" s="15" t="s">
        <v>10077</v>
      </c>
      <c r="C5369" s="15" t="s">
        <v>800</v>
      </c>
      <c r="D5369" s="15" t="s">
        <v>10078</v>
      </c>
      <c r="E5369" s="15">
        <v>101.95</v>
      </c>
      <c r="F5369" s="42">
        <v>46198</v>
      </c>
    </row>
    <row r="5370" spans="1:6" x14ac:dyDescent="0.3">
      <c r="A5370" s="15" t="s">
        <v>43004</v>
      </c>
      <c r="B5370" s="15" t="s">
        <v>10079</v>
      </c>
      <c r="C5370" s="15" t="s">
        <v>800</v>
      </c>
      <c r="D5370" s="15" t="s">
        <v>10080</v>
      </c>
      <c r="E5370" s="15">
        <v>101.95</v>
      </c>
      <c r="F5370" s="42">
        <v>46198</v>
      </c>
    </row>
    <row r="5371" spans="1:6" x14ac:dyDescent="0.3">
      <c r="A5371" s="15" t="s">
        <v>43003</v>
      </c>
      <c r="B5371" s="15" t="s">
        <v>10081</v>
      </c>
      <c r="C5371" s="15" t="s">
        <v>10082</v>
      </c>
      <c r="D5371" s="15" t="s">
        <v>10083</v>
      </c>
      <c r="E5371" s="15">
        <v>28.76</v>
      </c>
      <c r="F5371" s="42">
        <v>46198</v>
      </c>
    </row>
    <row r="5372" spans="1:6" x14ac:dyDescent="0.3">
      <c r="A5372" s="15" t="s">
        <v>43002</v>
      </c>
      <c r="B5372" s="15" t="s">
        <v>10084</v>
      </c>
      <c r="C5372" s="15" t="s">
        <v>10085</v>
      </c>
      <c r="D5372" s="15" t="s">
        <v>10086</v>
      </c>
      <c r="E5372" s="15">
        <v>28.55</v>
      </c>
      <c r="F5372" s="42">
        <v>46198</v>
      </c>
    </row>
    <row r="5373" spans="1:6" x14ac:dyDescent="0.3">
      <c r="A5373" s="15" t="s">
        <v>43001</v>
      </c>
      <c r="B5373" s="15" t="s">
        <v>10087</v>
      </c>
      <c r="C5373" s="15" t="s">
        <v>800</v>
      </c>
      <c r="D5373" s="15" t="s">
        <v>10088</v>
      </c>
      <c r="E5373" s="15">
        <v>92.11</v>
      </c>
      <c r="F5373" s="42">
        <v>46198</v>
      </c>
    </row>
    <row r="5374" spans="1:6" x14ac:dyDescent="0.3">
      <c r="A5374" s="15" t="s">
        <v>43000</v>
      </c>
      <c r="B5374" s="15" t="s">
        <v>10089</v>
      </c>
      <c r="C5374" s="15" t="s">
        <v>10090</v>
      </c>
      <c r="D5374" s="15" t="s">
        <v>10091</v>
      </c>
      <c r="E5374" s="15">
        <v>33.54</v>
      </c>
      <c r="F5374" s="42">
        <v>46198</v>
      </c>
    </row>
    <row r="5375" spans="1:6" x14ac:dyDescent="0.3">
      <c r="A5375" s="15" t="s">
        <v>42999</v>
      </c>
      <c r="B5375" s="15" t="s">
        <v>10092</v>
      </c>
      <c r="C5375" s="15" t="s">
        <v>10093</v>
      </c>
      <c r="D5375" s="15" t="s">
        <v>10094</v>
      </c>
      <c r="E5375" s="15">
        <v>27.49</v>
      </c>
      <c r="F5375" s="42">
        <v>46198</v>
      </c>
    </row>
    <row r="5376" spans="1:6" x14ac:dyDescent="0.3">
      <c r="A5376" s="15" t="s">
        <v>42998</v>
      </c>
      <c r="B5376" s="15" t="s">
        <v>10095</v>
      </c>
      <c r="C5376" s="15" t="s">
        <v>800</v>
      </c>
      <c r="D5376" s="15" t="s">
        <v>10096</v>
      </c>
      <c r="E5376" s="15">
        <v>92.1</v>
      </c>
      <c r="F5376" s="42">
        <v>46198</v>
      </c>
    </row>
    <row r="5377" spans="1:6" x14ac:dyDescent="0.3">
      <c r="A5377" s="15" t="s">
        <v>33499</v>
      </c>
      <c r="B5377" s="15" t="s">
        <v>795</v>
      </c>
      <c r="C5377" s="15" t="s">
        <v>795</v>
      </c>
      <c r="D5377" s="15" t="s">
        <v>795</v>
      </c>
      <c r="F5377" s="42"/>
    </row>
    <row r="5378" spans="1:6" x14ac:dyDescent="0.3">
      <c r="A5378" s="15" t="s">
        <v>37566</v>
      </c>
      <c r="B5378" s="15" t="s">
        <v>795</v>
      </c>
      <c r="C5378" s="15" t="s">
        <v>795</v>
      </c>
      <c r="D5378" s="15" t="s">
        <v>795</v>
      </c>
      <c r="F5378" s="42"/>
    </row>
    <row r="5379" spans="1:6" x14ac:dyDescent="0.3">
      <c r="A5379" s="15" t="s">
        <v>33499</v>
      </c>
      <c r="B5379" s="15" t="s">
        <v>795</v>
      </c>
      <c r="C5379" s="15" t="s">
        <v>795</v>
      </c>
      <c r="D5379" s="15" t="s">
        <v>795</v>
      </c>
      <c r="F5379" s="42"/>
    </row>
    <row r="5380" spans="1:6" x14ac:dyDescent="0.3">
      <c r="A5380" s="15" t="s">
        <v>42997</v>
      </c>
      <c r="B5380" s="15" t="s">
        <v>10097</v>
      </c>
      <c r="C5380" s="15" t="s">
        <v>800</v>
      </c>
      <c r="D5380" s="15" t="s">
        <v>10098</v>
      </c>
      <c r="E5380" s="15">
        <v>29.389600000000002</v>
      </c>
      <c r="F5380" s="42">
        <v>46198</v>
      </c>
    </row>
    <row r="5381" spans="1:6" x14ac:dyDescent="0.3">
      <c r="A5381" s="15" t="s">
        <v>42996</v>
      </c>
      <c r="B5381" s="15" t="s">
        <v>10099</v>
      </c>
      <c r="C5381" s="15" t="s">
        <v>10100</v>
      </c>
      <c r="D5381" s="15" t="s">
        <v>10101</v>
      </c>
      <c r="E5381" s="15">
        <v>20.609300000000001</v>
      </c>
      <c r="F5381" s="42">
        <v>46198</v>
      </c>
    </row>
    <row r="5382" spans="1:6" x14ac:dyDescent="0.3">
      <c r="A5382" s="15" t="s">
        <v>42995</v>
      </c>
      <c r="B5382" s="15" t="s">
        <v>10102</v>
      </c>
      <c r="C5382" s="15" t="s">
        <v>800</v>
      </c>
      <c r="D5382" s="15" t="s">
        <v>10103</v>
      </c>
      <c r="E5382" s="15">
        <v>27.033300000000001</v>
      </c>
      <c r="F5382" s="42">
        <v>46198</v>
      </c>
    </row>
    <row r="5383" spans="1:6" x14ac:dyDescent="0.3">
      <c r="A5383" s="15" t="s">
        <v>42994</v>
      </c>
      <c r="B5383" s="15" t="s">
        <v>10104</v>
      </c>
      <c r="C5383" s="15" t="s">
        <v>10105</v>
      </c>
      <c r="D5383" s="15" t="s">
        <v>10106</v>
      </c>
      <c r="E5383" s="15">
        <v>17.8294</v>
      </c>
      <c r="F5383" s="42">
        <v>46198</v>
      </c>
    </row>
    <row r="5384" spans="1:6" x14ac:dyDescent="0.3">
      <c r="A5384" s="15" t="s">
        <v>33499</v>
      </c>
      <c r="B5384" s="15" t="s">
        <v>795</v>
      </c>
      <c r="C5384" s="15" t="s">
        <v>795</v>
      </c>
      <c r="D5384" s="15" t="s">
        <v>795</v>
      </c>
      <c r="F5384" s="42"/>
    </row>
    <row r="5385" spans="1:6" x14ac:dyDescent="0.3">
      <c r="A5385" s="15" t="s">
        <v>40284</v>
      </c>
      <c r="B5385" s="15" t="s">
        <v>795</v>
      </c>
      <c r="C5385" s="15" t="s">
        <v>795</v>
      </c>
      <c r="D5385" s="15" t="s">
        <v>795</v>
      </c>
      <c r="F5385" s="42"/>
    </row>
    <row r="5386" spans="1:6" x14ac:dyDescent="0.3">
      <c r="A5386" s="15" t="s">
        <v>33499</v>
      </c>
      <c r="B5386" s="15" t="s">
        <v>795</v>
      </c>
      <c r="C5386" s="15" t="s">
        <v>795</v>
      </c>
      <c r="D5386" s="15" t="s">
        <v>795</v>
      </c>
      <c r="F5386" s="42"/>
    </row>
    <row r="5387" spans="1:6" x14ac:dyDescent="0.3">
      <c r="A5387" s="15" t="s">
        <v>42993</v>
      </c>
      <c r="B5387" s="15" t="s">
        <v>10107</v>
      </c>
      <c r="C5387" s="15" t="s">
        <v>800</v>
      </c>
      <c r="D5387" s="15" t="s">
        <v>10108</v>
      </c>
      <c r="E5387" s="15">
        <v>290.05</v>
      </c>
      <c r="F5387" s="42">
        <v>46198</v>
      </c>
    </row>
    <row r="5388" spans="1:6" x14ac:dyDescent="0.3">
      <c r="A5388" s="15" t="s">
        <v>42992</v>
      </c>
      <c r="B5388" s="15" t="s">
        <v>10109</v>
      </c>
      <c r="C5388" s="15" t="s">
        <v>10110</v>
      </c>
      <c r="D5388" s="15" t="s">
        <v>10111</v>
      </c>
      <c r="E5388" s="15">
        <v>125.17</v>
      </c>
      <c r="F5388" s="42">
        <v>46198</v>
      </c>
    </row>
    <row r="5389" spans="1:6" x14ac:dyDescent="0.3">
      <c r="A5389" s="15" t="s">
        <v>42991</v>
      </c>
      <c r="B5389" s="15" t="s">
        <v>10112</v>
      </c>
      <c r="C5389" s="15" t="s">
        <v>800</v>
      </c>
      <c r="D5389" s="15" t="s">
        <v>10113</v>
      </c>
      <c r="E5389" s="15">
        <v>250.89</v>
      </c>
      <c r="F5389" s="42">
        <v>46198</v>
      </c>
    </row>
    <row r="5390" spans="1:6" x14ac:dyDescent="0.3">
      <c r="A5390" s="15" t="s">
        <v>42990</v>
      </c>
      <c r="B5390" s="15" t="s">
        <v>10114</v>
      </c>
      <c r="C5390" s="15" t="s">
        <v>10115</v>
      </c>
      <c r="D5390" s="15" t="s">
        <v>10116</v>
      </c>
      <c r="E5390" s="15">
        <v>81.489999999999995</v>
      </c>
      <c r="F5390" s="42">
        <v>46198</v>
      </c>
    </row>
    <row r="5391" spans="1:6" x14ac:dyDescent="0.3">
      <c r="A5391" s="15" t="s">
        <v>33499</v>
      </c>
      <c r="B5391" s="15" t="s">
        <v>795</v>
      </c>
      <c r="C5391" s="15" t="s">
        <v>795</v>
      </c>
      <c r="D5391" s="15" t="s">
        <v>795</v>
      </c>
      <c r="F5391" s="42"/>
    </row>
    <row r="5392" spans="1:6" x14ac:dyDescent="0.3">
      <c r="A5392" s="15" t="s">
        <v>37061</v>
      </c>
      <c r="B5392" s="15" t="s">
        <v>795</v>
      </c>
      <c r="C5392" s="15" t="s">
        <v>795</v>
      </c>
      <c r="D5392" s="15" t="s">
        <v>795</v>
      </c>
      <c r="F5392" s="42"/>
    </row>
    <row r="5393" spans="1:6" x14ac:dyDescent="0.3">
      <c r="A5393" s="15" t="s">
        <v>33499</v>
      </c>
      <c r="B5393" s="15" t="s">
        <v>795</v>
      </c>
      <c r="C5393" s="15" t="s">
        <v>795</v>
      </c>
      <c r="D5393" s="15" t="s">
        <v>795</v>
      </c>
      <c r="F5393" s="42"/>
    </row>
    <row r="5394" spans="1:6" x14ac:dyDescent="0.3">
      <c r="A5394" s="15" t="s">
        <v>42989</v>
      </c>
      <c r="B5394" s="15" t="s">
        <v>10117</v>
      </c>
      <c r="C5394" s="15" t="s">
        <v>800</v>
      </c>
      <c r="D5394" s="15" t="s">
        <v>10118</v>
      </c>
      <c r="E5394" s="15">
        <v>701.44</v>
      </c>
      <c r="F5394" s="42">
        <v>46198</v>
      </c>
    </row>
    <row r="5395" spans="1:6" x14ac:dyDescent="0.3">
      <c r="A5395" s="15" t="s">
        <v>42988</v>
      </c>
      <c r="B5395" s="15" t="s">
        <v>10119</v>
      </c>
      <c r="C5395" s="15" t="s">
        <v>10120</v>
      </c>
      <c r="D5395" s="15" t="s">
        <v>10121</v>
      </c>
      <c r="E5395" s="15">
        <v>104.619</v>
      </c>
      <c r="F5395" s="42">
        <v>46198</v>
      </c>
    </row>
    <row r="5396" spans="1:6" x14ac:dyDescent="0.3">
      <c r="A5396" s="15" t="s">
        <v>42987</v>
      </c>
      <c r="B5396" s="15" t="s">
        <v>10122</v>
      </c>
      <c r="C5396" s="15" t="s">
        <v>800</v>
      </c>
      <c r="D5396" s="15" t="s">
        <v>10123</v>
      </c>
      <c r="E5396" s="15">
        <v>621.76599999999996</v>
      </c>
      <c r="F5396" s="42">
        <v>46198</v>
      </c>
    </row>
    <row r="5397" spans="1:6" x14ac:dyDescent="0.3">
      <c r="A5397" s="15" t="s">
        <v>42986</v>
      </c>
      <c r="B5397" s="15" t="s">
        <v>10124</v>
      </c>
      <c r="C5397" s="15" t="s">
        <v>10125</v>
      </c>
      <c r="D5397" s="15" t="s">
        <v>10126</v>
      </c>
      <c r="E5397" s="15">
        <v>36.384999999999998</v>
      </c>
      <c r="F5397" s="42">
        <v>46198</v>
      </c>
    </row>
    <row r="5398" spans="1:6" x14ac:dyDescent="0.3">
      <c r="A5398" s="15" t="s">
        <v>33499</v>
      </c>
      <c r="B5398" s="15" t="s">
        <v>795</v>
      </c>
      <c r="C5398" s="15" t="s">
        <v>795</v>
      </c>
      <c r="D5398" s="15" t="s">
        <v>795</v>
      </c>
      <c r="F5398" s="42"/>
    </row>
    <row r="5399" spans="1:6" x14ac:dyDescent="0.3">
      <c r="A5399" s="15" t="s">
        <v>37895</v>
      </c>
      <c r="B5399" s="15" t="s">
        <v>795</v>
      </c>
      <c r="C5399" s="15" t="s">
        <v>795</v>
      </c>
      <c r="D5399" s="15" t="s">
        <v>795</v>
      </c>
      <c r="F5399" s="42"/>
    </row>
    <row r="5400" spans="1:6" x14ac:dyDescent="0.3">
      <c r="A5400" s="15" t="s">
        <v>33499</v>
      </c>
      <c r="B5400" s="15" t="s">
        <v>795</v>
      </c>
      <c r="C5400" s="15" t="s">
        <v>795</v>
      </c>
      <c r="D5400" s="15" t="s">
        <v>795</v>
      </c>
      <c r="F5400" s="42"/>
    </row>
    <row r="5401" spans="1:6" x14ac:dyDescent="0.3">
      <c r="A5401" s="15" t="s">
        <v>42985</v>
      </c>
      <c r="B5401" s="15" t="s">
        <v>10127</v>
      </c>
      <c r="C5401" s="15" t="s">
        <v>800</v>
      </c>
      <c r="D5401" s="15" t="s">
        <v>10128</v>
      </c>
      <c r="E5401" s="15">
        <v>105.93600000000001</v>
      </c>
      <c r="F5401" s="42">
        <v>46198</v>
      </c>
    </row>
    <row r="5402" spans="1:6" x14ac:dyDescent="0.3">
      <c r="A5402" s="15" t="s">
        <v>42984</v>
      </c>
      <c r="B5402" s="15" t="s">
        <v>10129</v>
      </c>
      <c r="C5402" s="15" t="s">
        <v>800</v>
      </c>
      <c r="D5402" s="15" t="s">
        <v>10130</v>
      </c>
      <c r="E5402" s="15">
        <v>88.88</v>
      </c>
      <c r="F5402" s="42">
        <v>46198</v>
      </c>
    </row>
    <row r="5403" spans="1:6" x14ac:dyDescent="0.3">
      <c r="A5403" s="15" t="s">
        <v>42983</v>
      </c>
      <c r="B5403" s="15" t="s">
        <v>10131</v>
      </c>
      <c r="C5403" s="15" t="s">
        <v>10132</v>
      </c>
      <c r="D5403" s="15" t="s">
        <v>10133</v>
      </c>
      <c r="E5403" s="15">
        <v>41.091000000000001</v>
      </c>
      <c r="F5403" s="42">
        <v>46198</v>
      </c>
    </row>
    <row r="5404" spans="1:6" x14ac:dyDescent="0.3">
      <c r="A5404" s="15" t="s">
        <v>42982</v>
      </c>
      <c r="B5404" s="15" t="s">
        <v>10134</v>
      </c>
      <c r="C5404" s="15" t="s">
        <v>10135</v>
      </c>
      <c r="D5404" s="15" t="s">
        <v>10136</v>
      </c>
      <c r="E5404" s="15">
        <v>33.896999999999998</v>
      </c>
      <c r="F5404" s="42">
        <v>46198</v>
      </c>
    </row>
    <row r="5405" spans="1:6" x14ac:dyDescent="0.3">
      <c r="A5405" s="15" t="s">
        <v>33499</v>
      </c>
      <c r="B5405" s="15" t="s">
        <v>795</v>
      </c>
      <c r="C5405" s="15" t="s">
        <v>795</v>
      </c>
      <c r="D5405" s="15" t="s">
        <v>795</v>
      </c>
      <c r="F5405" s="42"/>
    </row>
    <row r="5406" spans="1:6" x14ac:dyDescent="0.3">
      <c r="A5406" s="15" t="s">
        <v>37044</v>
      </c>
      <c r="B5406" s="15" t="s">
        <v>795</v>
      </c>
      <c r="C5406" s="15" t="s">
        <v>795</v>
      </c>
      <c r="D5406" s="15" t="s">
        <v>795</v>
      </c>
      <c r="F5406" s="42"/>
    </row>
    <row r="5407" spans="1:6" x14ac:dyDescent="0.3">
      <c r="A5407" s="15" t="s">
        <v>33499</v>
      </c>
      <c r="B5407" s="15" t="s">
        <v>795</v>
      </c>
      <c r="C5407" s="15" t="s">
        <v>795</v>
      </c>
      <c r="D5407" s="15" t="s">
        <v>795</v>
      </c>
      <c r="F5407" s="42"/>
    </row>
    <row r="5408" spans="1:6" x14ac:dyDescent="0.3">
      <c r="A5408" s="15" t="s">
        <v>42981</v>
      </c>
      <c r="B5408" s="15" t="s">
        <v>10137</v>
      </c>
      <c r="C5408" s="15" t="s">
        <v>800</v>
      </c>
      <c r="D5408" s="15" t="s">
        <v>10138</v>
      </c>
      <c r="E5408" s="15">
        <v>206.8759</v>
      </c>
      <c r="F5408" s="42">
        <v>46198</v>
      </c>
    </row>
    <row r="5409" spans="1:6" x14ac:dyDescent="0.3">
      <c r="A5409" s="15" t="s">
        <v>42980</v>
      </c>
      <c r="B5409" s="15" t="s">
        <v>10139</v>
      </c>
      <c r="C5409" s="15" t="s">
        <v>10140</v>
      </c>
      <c r="D5409" s="15" t="s">
        <v>10141</v>
      </c>
      <c r="E5409" s="15">
        <v>22.387799999999999</v>
      </c>
      <c r="F5409" s="42">
        <v>46198</v>
      </c>
    </row>
    <row r="5410" spans="1:6" x14ac:dyDescent="0.3">
      <c r="A5410" s="15" t="s">
        <v>42979</v>
      </c>
      <c r="B5410" s="15" t="s">
        <v>10142</v>
      </c>
      <c r="C5410" s="15" t="s">
        <v>800</v>
      </c>
      <c r="D5410" s="15" t="s">
        <v>10143</v>
      </c>
      <c r="E5410" s="15">
        <v>187.10059999999999</v>
      </c>
      <c r="F5410" s="42">
        <v>46198</v>
      </c>
    </row>
    <row r="5411" spans="1:6" x14ac:dyDescent="0.3">
      <c r="A5411" s="15" t="s">
        <v>42978</v>
      </c>
      <c r="B5411" s="15" t="s">
        <v>10144</v>
      </c>
      <c r="C5411" s="15" t="s">
        <v>10145</v>
      </c>
      <c r="D5411" s="15" t="s">
        <v>10146</v>
      </c>
      <c r="E5411" s="15">
        <v>19.411799999999999</v>
      </c>
      <c r="F5411" s="42">
        <v>46198</v>
      </c>
    </row>
    <row r="5412" spans="1:6" x14ac:dyDescent="0.3">
      <c r="A5412" s="15" t="s">
        <v>33499</v>
      </c>
      <c r="B5412" s="15" t="s">
        <v>795</v>
      </c>
      <c r="C5412" s="15" t="s">
        <v>795</v>
      </c>
      <c r="D5412" s="15" t="s">
        <v>795</v>
      </c>
      <c r="F5412" s="42"/>
    </row>
    <row r="5413" spans="1:6" x14ac:dyDescent="0.3">
      <c r="A5413" s="15" t="s">
        <v>37043</v>
      </c>
      <c r="B5413" s="15" t="s">
        <v>795</v>
      </c>
      <c r="C5413" s="15" t="s">
        <v>795</v>
      </c>
      <c r="D5413" s="15" t="s">
        <v>795</v>
      </c>
      <c r="F5413" s="42"/>
    </row>
    <row r="5414" spans="1:6" x14ac:dyDescent="0.3">
      <c r="A5414" s="15" t="s">
        <v>33499</v>
      </c>
      <c r="B5414" s="15" t="s">
        <v>795</v>
      </c>
      <c r="C5414" s="15" t="s">
        <v>795</v>
      </c>
      <c r="D5414" s="15" t="s">
        <v>795</v>
      </c>
      <c r="F5414" s="42"/>
    </row>
    <row r="5415" spans="1:6" x14ac:dyDescent="0.3">
      <c r="A5415" s="15" t="s">
        <v>42977</v>
      </c>
      <c r="B5415" s="15" t="s">
        <v>10147</v>
      </c>
      <c r="C5415" s="15" t="s">
        <v>800</v>
      </c>
      <c r="D5415" s="15" t="s">
        <v>10148</v>
      </c>
      <c r="E5415" s="15">
        <v>342.52699999999999</v>
      </c>
      <c r="F5415" s="42">
        <v>46198</v>
      </c>
    </row>
    <row r="5416" spans="1:6" x14ac:dyDescent="0.3">
      <c r="A5416" s="15" t="s">
        <v>42976</v>
      </c>
      <c r="B5416" s="15" t="s">
        <v>10149</v>
      </c>
      <c r="C5416" s="15" t="s">
        <v>800</v>
      </c>
      <c r="D5416" s="15" t="s">
        <v>10150</v>
      </c>
      <c r="E5416" s="15">
        <v>362.80599999999998</v>
      </c>
      <c r="F5416" s="42">
        <v>46198</v>
      </c>
    </row>
    <row r="5417" spans="1:6" x14ac:dyDescent="0.3">
      <c r="A5417" s="15" t="s">
        <v>42975</v>
      </c>
      <c r="B5417" s="15" t="s">
        <v>10151</v>
      </c>
      <c r="C5417" s="15" t="s">
        <v>800</v>
      </c>
      <c r="D5417" s="15" t="s">
        <v>10152</v>
      </c>
      <c r="E5417" s="15">
        <v>35.204999999999998</v>
      </c>
      <c r="F5417" s="42">
        <v>46198</v>
      </c>
    </row>
    <row r="5418" spans="1:6" x14ac:dyDescent="0.3">
      <c r="A5418" s="15" t="s">
        <v>42974</v>
      </c>
      <c r="B5418" s="15" t="s">
        <v>10153</v>
      </c>
      <c r="C5418" s="15" t="s">
        <v>800</v>
      </c>
      <c r="D5418" s="15" t="s">
        <v>10154</v>
      </c>
      <c r="E5418" s="15">
        <v>47.11</v>
      </c>
      <c r="F5418" s="42">
        <v>46198</v>
      </c>
    </row>
    <row r="5419" spans="1:6" x14ac:dyDescent="0.3">
      <c r="A5419" s="15" t="s">
        <v>33499</v>
      </c>
      <c r="B5419" s="15" t="s">
        <v>795</v>
      </c>
      <c r="C5419" s="15" t="s">
        <v>795</v>
      </c>
      <c r="D5419" s="15" t="s">
        <v>795</v>
      </c>
      <c r="F5419" s="42"/>
    </row>
    <row r="5420" spans="1:6" x14ac:dyDescent="0.3">
      <c r="A5420" s="15" t="s">
        <v>40598</v>
      </c>
      <c r="B5420" s="15" t="s">
        <v>795</v>
      </c>
      <c r="C5420" s="15" t="s">
        <v>795</v>
      </c>
      <c r="D5420" s="15" t="s">
        <v>795</v>
      </c>
      <c r="F5420" s="42"/>
    </row>
    <row r="5421" spans="1:6" x14ac:dyDescent="0.3">
      <c r="A5421" s="15" t="s">
        <v>33499</v>
      </c>
      <c r="B5421" s="15" t="s">
        <v>795</v>
      </c>
      <c r="C5421" s="15" t="s">
        <v>795</v>
      </c>
      <c r="D5421" s="15" t="s">
        <v>795</v>
      </c>
      <c r="F5421" s="42"/>
    </row>
    <row r="5422" spans="1:6" x14ac:dyDescent="0.3">
      <c r="A5422" s="15" t="s">
        <v>42973</v>
      </c>
      <c r="B5422" s="15" t="s">
        <v>10155</v>
      </c>
      <c r="C5422" s="15" t="s">
        <v>800</v>
      </c>
      <c r="D5422" s="15" t="s">
        <v>10156</v>
      </c>
      <c r="E5422" s="15">
        <v>11.45</v>
      </c>
      <c r="F5422" s="42">
        <v>46198</v>
      </c>
    </row>
    <row r="5423" spans="1:6" x14ac:dyDescent="0.3">
      <c r="A5423" s="15" t="s">
        <v>42972</v>
      </c>
      <c r="B5423" s="15" t="s">
        <v>10157</v>
      </c>
      <c r="C5423" s="15" t="s">
        <v>10158</v>
      </c>
      <c r="D5423" s="15" t="s">
        <v>10159</v>
      </c>
      <c r="E5423" s="15">
        <v>11.45</v>
      </c>
      <c r="F5423" s="42">
        <v>46198</v>
      </c>
    </row>
    <row r="5424" spans="1:6" x14ac:dyDescent="0.3">
      <c r="A5424" s="15" t="s">
        <v>42971</v>
      </c>
      <c r="B5424" s="15" t="s">
        <v>10160</v>
      </c>
      <c r="C5424" s="15" t="s">
        <v>800</v>
      </c>
      <c r="D5424" s="15" t="s">
        <v>10161</v>
      </c>
      <c r="E5424" s="15">
        <v>11.15</v>
      </c>
      <c r="F5424" s="42">
        <v>46198</v>
      </c>
    </row>
    <row r="5425" spans="1:6" x14ac:dyDescent="0.3">
      <c r="A5425" s="15" t="s">
        <v>42970</v>
      </c>
      <c r="B5425" s="15" t="s">
        <v>10162</v>
      </c>
      <c r="C5425" s="15" t="s">
        <v>10163</v>
      </c>
      <c r="D5425" s="15" t="s">
        <v>10164</v>
      </c>
      <c r="E5425" s="15">
        <v>11.15</v>
      </c>
      <c r="F5425" s="42">
        <v>46198</v>
      </c>
    </row>
    <row r="5426" spans="1:6" x14ac:dyDescent="0.3">
      <c r="A5426" s="15" t="s">
        <v>33499</v>
      </c>
      <c r="B5426" s="15" t="s">
        <v>795</v>
      </c>
      <c r="C5426" s="15" t="s">
        <v>795</v>
      </c>
      <c r="D5426" s="15" t="s">
        <v>795</v>
      </c>
      <c r="F5426" s="42"/>
    </row>
    <row r="5427" spans="1:6" x14ac:dyDescent="0.3">
      <c r="A5427" s="15" t="s">
        <v>36815</v>
      </c>
      <c r="B5427" s="15" t="s">
        <v>795</v>
      </c>
      <c r="C5427" s="15" t="s">
        <v>795</v>
      </c>
      <c r="D5427" s="15" t="s">
        <v>795</v>
      </c>
      <c r="F5427" s="42"/>
    </row>
    <row r="5428" spans="1:6" x14ac:dyDescent="0.3">
      <c r="A5428" s="15" t="s">
        <v>33499</v>
      </c>
      <c r="B5428" s="15" t="s">
        <v>795</v>
      </c>
      <c r="C5428" s="15" t="s">
        <v>795</v>
      </c>
      <c r="D5428" s="15" t="s">
        <v>795</v>
      </c>
      <c r="F5428" s="42"/>
    </row>
    <row r="5429" spans="1:6" x14ac:dyDescent="0.3">
      <c r="A5429" s="15" t="s">
        <v>42969</v>
      </c>
      <c r="B5429" s="15" t="s">
        <v>10165</v>
      </c>
      <c r="C5429" s="15" t="s">
        <v>800</v>
      </c>
      <c r="D5429" s="15" t="s">
        <v>10166</v>
      </c>
      <c r="E5429" s="15">
        <v>32.253</v>
      </c>
      <c r="F5429" s="42">
        <v>46198</v>
      </c>
    </row>
    <row r="5430" spans="1:6" x14ac:dyDescent="0.3">
      <c r="A5430" s="15" t="s">
        <v>42968</v>
      </c>
      <c r="B5430" s="15" t="s">
        <v>10167</v>
      </c>
      <c r="C5430" s="15" t="s">
        <v>10168</v>
      </c>
      <c r="D5430" s="15" t="s">
        <v>10169</v>
      </c>
      <c r="E5430" s="15">
        <v>22.454999999999998</v>
      </c>
      <c r="F5430" s="42">
        <v>46198</v>
      </c>
    </row>
    <row r="5431" spans="1:6" x14ac:dyDescent="0.3">
      <c r="A5431" s="15" t="s">
        <v>42967</v>
      </c>
      <c r="B5431" s="15" t="s">
        <v>10170</v>
      </c>
      <c r="C5431" s="15" t="s">
        <v>800</v>
      </c>
      <c r="D5431" s="15" t="s">
        <v>10171</v>
      </c>
      <c r="E5431" s="15">
        <v>29.215699999999998</v>
      </c>
      <c r="F5431" s="42">
        <v>46198</v>
      </c>
    </row>
    <row r="5432" spans="1:6" x14ac:dyDescent="0.3">
      <c r="A5432" s="15" t="s">
        <v>42966</v>
      </c>
      <c r="B5432" s="15" t="s">
        <v>10172</v>
      </c>
      <c r="C5432" s="15" t="s">
        <v>10173</v>
      </c>
      <c r="D5432" s="15" t="s">
        <v>10174</v>
      </c>
      <c r="E5432" s="15">
        <v>20.231300000000001</v>
      </c>
      <c r="F5432" s="42">
        <v>46198</v>
      </c>
    </row>
    <row r="5433" spans="1:6" x14ac:dyDescent="0.3">
      <c r="A5433" s="15" t="s">
        <v>33499</v>
      </c>
      <c r="B5433" s="15" t="s">
        <v>795</v>
      </c>
      <c r="C5433" s="15" t="s">
        <v>795</v>
      </c>
      <c r="D5433" s="15" t="s">
        <v>795</v>
      </c>
      <c r="F5433" s="42"/>
    </row>
    <row r="5434" spans="1:6" x14ac:dyDescent="0.3">
      <c r="A5434" s="15" t="s">
        <v>36764</v>
      </c>
      <c r="B5434" s="15" t="s">
        <v>795</v>
      </c>
      <c r="C5434" s="15" t="s">
        <v>795</v>
      </c>
      <c r="D5434" s="15" t="s">
        <v>795</v>
      </c>
      <c r="F5434" s="42"/>
    </row>
    <row r="5435" spans="1:6" x14ac:dyDescent="0.3">
      <c r="A5435" s="15" t="s">
        <v>33499</v>
      </c>
      <c r="B5435" s="15" t="s">
        <v>795</v>
      </c>
      <c r="C5435" s="15" t="s">
        <v>795</v>
      </c>
      <c r="D5435" s="15" t="s">
        <v>795</v>
      </c>
      <c r="F5435" s="42"/>
    </row>
    <row r="5436" spans="1:6" x14ac:dyDescent="0.3">
      <c r="A5436" s="15" t="s">
        <v>42965</v>
      </c>
      <c r="B5436" s="15" t="s">
        <v>10175</v>
      </c>
      <c r="C5436" s="15" t="s">
        <v>800</v>
      </c>
      <c r="D5436" s="15" t="s">
        <v>10176</v>
      </c>
      <c r="E5436" s="15">
        <v>1142.8800000000001</v>
      </c>
      <c r="F5436" s="42">
        <v>46198</v>
      </c>
    </row>
    <row r="5437" spans="1:6" x14ac:dyDescent="0.3">
      <c r="A5437" s="15" t="s">
        <v>42964</v>
      </c>
      <c r="B5437" s="15" t="s">
        <v>10177</v>
      </c>
      <c r="C5437" s="15" t="s">
        <v>10178</v>
      </c>
      <c r="D5437" s="15" t="s">
        <v>10179</v>
      </c>
      <c r="E5437" s="15">
        <v>53.39</v>
      </c>
      <c r="F5437" s="42">
        <v>46198</v>
      </c>
    </row>
    <row r="5438" spans="1:6" x14ac:dyDescent="0.3">
      <c r="A5438" s="15" t="s">
        <v>42963</v>
      </c>
      <c r="B5438" s="15" t="s">
        <v>10180</v>
      </c>
      <c r="C5438" s="15" t="s">
        <v>800</v>
      </c>
      <c r="D5438" s="15" t="s">
        <v>10181</v>
      </c>
      <c r="E5438" s="15">
        <v>1014.88</v>
      </c>
      <c r="F5438" s="42">
        <v>46198</v>
      </c>
    </row>
    <row r="5439" spans="1:6" x14ac:dyDescent="0.3">
      <c r="A5439" s="15" t="s">
        <v>42962</v>
      </c>
      <c r="B5439" s="15" t="s">
        <v>10182</v>
      </c>
      <c r="C5439" s="15" t="s">
        <v>10183</v>
      </c>
      <c r="D5439" s="15" t="s">
        <v>10184</v>
      </c>
      <c r="E5439" s="15">
        <v>29.78</v>
      </c>
      <c r="F5439" s="42">
        <v>46198</v>
      </c>
    </row>
    <row r="5440" spans="1:6" x14ac:dyDescent="0.3">
      <c r="A5440" s="15" t="s">
        <v>33499</v>
      </c>
      <c r="B5440" s="15" t="s">
        <v>795</v>
      </c>
      <c r="C5440" s="15" t="s">
        <v>795</v>
      </c>
      <c r="D5440" s="15" t="s">
        <v>795</v>
      </c>
      <c r="F5440" s="42"/>
    </row>
    <row r="5441" spans="1:6" x14ac:dyDescent="0.3">
      <c r="A5441" s="15" t="s">
        <v>37807</v>
      </c>
      <c r="B5441" s="15" t="s">
        <v>795</v>
      </c>
      <c r="C5441" s="15" t="s">
        <v>795</v>
      </c>
      <c r="D5441" s="15" t="s">
        <v>795</v>
      </c>
      <c r="F5441" s="42"/>
    </row>
    <row r="5442" spans="1:6" x14ac:dyDescent="0.3">
      <c r="A5442" s="15" t="s">
        <v>33499</v>
      </c>
      <c r="B5442" s="15" t="s">
        <v>795</v>
      </c>
      <c r="C5442" s="15" t="s">
        <v>795</v>
      </c>
      <c r="D5442" s="15" t="s">
        <v>795</v>
      </c>
      <c r="F5442" s="42"/>
    </row>
    <row r="5443" spans="1:6" x14ac:dyDescent="0.3">
      <c r="A5443" s="15" t="s">
        <v>42961</v>
      </c>
      <c r="B5443" s="15" t="s">
        <v>10185</v>
      </c>
      <c r="C5443" s="15" t="s">
        <v>800</v>
      </c>
      <c r="D5443" s="15" t="s">
        <v>10186</v>
      </c>
      <c r="E5443" s="15">
        <v>128.63</v>
      </c>
      <c r="F5443" s="42">
        <v>46198</v>
      </c>
    </row>
    <row r="5444" spans="1:6" x14ac:dyDescent="0.3">
      <c r="A5444" s="15" t="s">
        <v>42960</v>
      </c>
      <c r="B5444" s="15" t="s">
        <v>10187</v>
      </c>
      <c r="C5444" s="15" t="s">
        <v>10188</v>
      </c>
      <c r="D5444" s="15" t="s">
        <v>10189</v>
      </c>
      <c r="E5444" s="15">
        <v>54.79</v>
      </c>
      <c r="F5444" s="42">
        <v>46198</v>
      </c>
    </row>
    <row r="5445" spans="1:6" x14ac:dyDescent="0.3">
      <c r="A5445" s="15" t="s">
        <v>42959</v>
      </c>
      <c r="B5445" s="15" t="s">
        <v>10190</v>
      </c>
      <c r="C5445" s="15" t="s">
        <v>800</v>
      </c>
      <c r="D5445" s="15" t="s">
        <v>10191</v>
      </c>
      <c r="E5445" s="15">
        <v>107.52</v>
      </c>
      <c r="F5445" s="42">
        <v>46198</v>
      </c>
    </row>
    <row r="5446" spans="1:6" x14ac:dyDescent="0.3">
      <c r="A5446" s="15" t="s">
        <v>42958</v>
      </c>
      <c r="B5446" s="15" t="s">
        <v>10192</v>
      </c>
      <c r="C5446" s="15" t="s">
        <v>10193</v>
      </c>
      <c r="D5446" s="15" t="s">
        <v>10194</v>
      </c>
      <c r="E5446" s="15">
        <v>43.5</v>
      </c>
      <c r="F5446" s="42">
        <v>46198</v>
      </c>
    </row>
    <row r="5447" spans="1:6" x14ac:dyDescent="0.3">
      <c r="A5447" s="15" t="s">
        <v>33499</v>
      </c>
      <c r="B5447" s="15" t="s">
        <v>795</v>
      </c>
      <c r="C5447" s="15" t="s">
        <v>795</v>
      </c>
      <c r="D5447" s="15" t="s">
        <v>795</v>
      </c>
      <c r="F5447" s="42"/>
    </row>
    <row r="5448" spans="1:6" x14ac:dyDescent="0.3">
      <c r="A5448" s="15" t="s">
        <v>40577</v>
      </c>
      <c r="B5448" s="15" t="s">
        <v>795</v>
      </c>
      <c r="C5448" s="15" t="s">
        <v>795</v>
      </c>
      <c r="D5448" s="15" t="s">
        <v>795</v>
      </c>
      <c r="F5448" s="42"/>
    </row>
    <row r="5449" spans="1:6" x14ac:dyDescent="0.3">
      <c r="A5449" s="15" t="s">
        <v>33499</v>
      </c>
      <c r="B5449" s="15" t="s">
        <v>795</v>
      </c>
      <c r="C5449" s="15" t="s">
        <v>795</v>
      </c>
      <c r="D5449" s="15" t="s">
        <v>795</v>
      </c>
      <c r="F5449" s="42"/>
    </row>
    <row r="5450" spans="1:6" x14ac:dyDescent="0.3">
      <c r="A5450" s="15" t="s">
        <v>42957</v>
      </c>
      <c r="B5450" s="15" t="s">
        <v>10195</v>
      </c>
      <c r="C5450" s="15" t="s">
        <v>800</v>
      </c>
      <c r="D5450" s="15" t="s">
        <v>10196</v>
      </c>
      <c r="E5450" s="15">
        <v>9.9674999999999994</v>
      </c>
      <c r="F5450" s="42">
        <v>46198</v>
      </c>
    </row>
    <row r="5451" spans="1:6" x14ac:dyDescent="0.3">
      <c r="A5451" s="15" t="s">
        <v>42956</v>
      </c>
      <c r="B5451" s="15" t="s">
        <v>10197</v>
      </c>
      <c r="C5451" s="15" t="s">
        <v>10198</v>
      </c>
      <c r="D5451" s="15" t="s">
        <v>10199</v>
      </c>
      <c r="E5451" s="15">
        <v>9.9674999999999994</v>
      </c>
      <c r="F5451" s="42">
        <v>46198</v>
      </c>
    </row>
    <row r="5452" spans="1:6" x14ac:dyDescent="0.3">
      <c r="A5452" s="15" t="s">
        <v>42955</v>
      </c>
      <c r="B5452" s="15" t="s">
        <v>10200</v>
      </c>
      <c r="C5452" s="15" t="s">
        <v>800</v>
      </c>
      <c r="D5452" s="15" t="s">
        <v>10201</v>
      </c>
      <c r="E5452" s="15">
        <v>9.6710999999999991</v>
      </c>
      <c r="F5452" s="42">
        <v>46198</v>
      </c>
    </row>
    <row r="5453" spans="1:6" x14ac:dyDescent="0.3">
      <c r="A5453" s="15" t="s">
        <v>42954</v>
      </c>
      <c r="B5453" s="15" t="s">
        <v>10202</v>
      </c>
      <c r="C5453" s="15" t="s">
        <v>10203</v>
      </c>
      <c r="D5453" s="15" t="s">
        <v>10204</v>
      </c>
      <c r="E5453" s="15">
        <v>9.6710999999999991</v>
      </c>
      <c r="F5453" s="42">
        <v>46198</v>
      </c>
    </row>
    <row r="5454" spans="1:6" x14ac:dyDescent="0.3">
      <c r="A5454" s="15" t="s">
        <v>33499</v>
      </c>
      <c r="B5454" s="15" t="s">
        <v>795</v>
      </c>
      <c r="C5454" s="15" t="s">
        <v>795</v>
      </c>
      <c r="D5454" s="15" t="s">
        <v>795</v>
      </c>
      <c r="F5454" s="42"/>
    </row>
    <row r="5455" spans="1:6" x14ac:dyDescent="0.3">
      <c r="A5455" s="15" t="s">
        <v>40894</v>
      </c>
      <c r="B5455" s="15" t="s">
        <v>795</v>
      </c>
      <c r="C5455" s="15" t="s">
        <v>795</v>
      </c>
      <c r="D5455" s="15" t="s">
        <v>795</v>
      </c>
      <c r="F5455" s="42"/>
    </row>
    <row r="5456" spans="1:6" x14ac:dyDescent="0.3">
      <c r="A5456" s="15" t="s">
        <v>33499</v>
      </c>
      <c r="B5456" s="15" t="s">
        <v>795</v>
      </c>
      <c r="C5456" s="15" t="s">
        <v>795</v>
      </c>
      <c r="D5456" s="15" t="s">
        <v>795</v>
      </c>
      <c r="F5456" s="42"/>
    </row>
    <row r="5457" spans="1:6" x14ac:dyDescent="0.3">
      <c r="A5457" s="15" t="s">
        <v>42953</v>
      </c>
      <c r="B5457" s="15" t="s">
        <v>10205</v>
      </c>
      <c r="C5457" s="15" t="s">
        <v>800</v>
      </c>
      <c r="D5457" s="15" t="s">
        <v>10206</v>
      </c>
      <c r="E5457" s="15">
        <v>10.4749</v>
      </c>
      <c r="F5457" s="42">
        <v>46198</v>
      </c>
    </row>
    <row r="5458" spans="1:6" x14ac:dyDescent="0.3">
      <c r="A5458" s="15" t="s">
        <v>42952</v>
      </c>
      <c r="B5458" s="15" t="s">
        <v>10207</v>
      </c>
      <c r="C5458" s="15" t="s">
        <v>10208</v>
      </c>
      <c r="D5458" s="15" t="s">
        <v>10209</v>
      </c>
      <c r="E5458" s="15">
        <v>10.4748</v>
      </c>
      <c r="F5458" s="42">
        <v>46198</v>
      </c>
    </row>
    <row r="5459" spans="1:6" x14ac:dyDescent="0.3">
      <c r="A5459" s="15" t="s">
        <v>42951</v>
      </c>
      <c r="B5459" s="15" t="s">
        <v>10210</v>
      </c>
      <c r="C5459" s="15" t="s">
        <v>800</v>
      </c>
      <c r="D5459" s="15" t="s">
        <v>10211</v>
      </c>
      <c r="E5459" s="15">
        <v>10.310499999999999</v>
      </c>
      <c r="F5459" s="42">
        <v>46198</v>
      </c>
    </row>
    <row r="5460" spans="1:6" x14ac:dyDescent="0.3">
      <c r="A5460" s="15" t="s">
        <v>42950</v>
      </c>
      <c r="B5460" s="15" t="s">
        <v>10212</v>
      </c>
      <c r="C5460" s="15" t="s">
        <v>10213</v>
      </c>
      <c r="D5460" s="15" t="s">
        <v>10214</v>
      </c>
      <c r="E5460" s="15">
        <v>10.310499999999999</v>
      </c>
      <c r="F5460" s="42">
        <v>46198</v>
      </c>
    </row>
    <row r="5461" spans="1:6" x14ac:dyDescent="0.3">
      <c r="A5461" s="15" t="s">
        <v>33499</v>
      </c>
      <c r="B5461" s="15" t="s">
        <v>795</v>
      </c>
      <c r="C5461" s="15" t="s">
        <v>795</v>
      </c>
      <c r="D5461" s="15" t="s">
        <v>795</v>
      </c>
      <c r="F5461" s="42"/>
    </row>
    <row r="5462" spans="1:6" x14ac:dyDescent="0.3">
      <c r="A5462" s="15" t="s">
        <v>139</v>
      </c>
      <c r="B5462" s="15" t="s">
        <v>795</v>
      </c>
      <c r="C5462" s="15" t="s">
        <v>795</v>
      </c>
      <c r="D5462" s="15" t="s">
        <v>795</v>
      </c>
      <c r="F5462" s="42"/>
    </row>
    <row r="5463" spans="1:6" x14ac:dyDescent="0.3">
      <c r="A5463" s="15" t="s">
        <v>33499</v>
      </c>
      <c r="B5463" s="15" t="s">
        <v>795</v>
      </c>
      <c r="C5463" s="15" t="s">
        <v>795</v>
      </c>
      <c r="D5463" s="15" t="s">
        <v>795</v>
      </c>
      <c r="F5463" s="42"/>
    </row>
    <row r="5464" spans="1:6" x14ac:dyDescent="0.3">
      <c r="A5464" s="15" t="s">
        <v>42949</v>
      </c>
      <c r="B5464" s="15" t="s">
        <v>10215</v>
      </c>
      <c r="C5464" s="15" t="s">
        <v>800</v>
      </c>
      <c r="D5464" s="15" t="s">
        <v>10216</v>
      </c>
      <c r="E5464" s="15">
        <v>404.072</v>
      </c>
      <c r="F5464" s="42">
        <v>46198</v>
      </c>
    </row>
    <row r="5465" spans="1:6" x14ac:dyDescent="0.3">
      <c r="A5465" s="15" t="s">
        <v>42948</v>
      </c>
      <c r="B5465" s="15" t="s">
        <v>10217</v>
      </c>
      <c r="C5465" s="15" t="s">
        <v>800</v>
      </c>
      <c r="D5465" s="15" t="s">
        <v>10218</v>
      </c>
      <c r="E5465" s="15">
        <v>348.61900000000003</v>
      </c>
      <c r="F5465" s="42">
        <v>46198</v>
      </c>
    </row>
    <row r="5466" spans="1:6" x14ac:dyDescent="0.3">
      <c r="A5466" s="15" t="s">
        <v>42947</v>
      </c>
      <c r="B5466" s="15" t="s">
        <v>10219</v>
      </c>
      <c r="C5466" s="15" t="s">
        <v>10220</v>
      </c>
      <c r="D5466" s="15" t="s">
        <v>10221</v>
      </c>
      <c r="E5466" s="15">
        <v>71.302000000000007</v>
      </c>
      <c r="F5466" s="42">
        <v>46198</v>
      </c>
    </row>
    <row r="5467" spans="1:6" x14ac:dyDescent="0.3">
      <c r="A5467" s="15" t="s">
        <v>42946</v>
      </c>
      <c r="B5467" s="15" t="s">
        <v>10222</v>
      </c>
      <c r="C5467" s="15" t="s">
        <v>10223</v>
      </c>
      <c r="D5467" s="15" t="s">
        <v>10224</v>
      </c>
      <c r="E5467" s="15">
        <v>60.820999999999998</v>
      </c>
      <c r="F5467" s="42">
        <v>46198</v>
      </c>
    </row>
    <row r="5468" spans="1:6" x14ac:dyDescent="0.3">
      <c r="A5468" s="15" t="s">
        <v>33499</v>
      </c>
      <c r="B5468" s="15" t="s">
        <v>795</v>
      </c>
      <c r="C5468" s="15" t="s">
        <v>795</v>
      </c>
      <c r="D5468" s="15" t="s">
        <v>795</v>
      </c>
      <c r="F5468" s="42"/>
    </row>
    <row r="5469" spans="1:6" x14ac:dyDescent="0.3">
      <c r="A5469" s="15" t="s">
        <v>37618</v>
      </c>
      <c r="B5469" s="15" t="s">
        <v>795</v>
      </c>
      <c r="C5469" s="15" t="s">
        <v>795</v>
      </c>
      <c r="D5469" s="15" t="s">
        <v>795</v>
      </c>
      <c r="F5469" s="42"/>
    </row>
    <row r="5470" spans="1:6" x14ac:dyDescent="0.3">
      <c r="A5470" s="15" t="s">
        <v>33499</v>
      </c>
      <c r="B5470" s="15" t="s">
        <v>795</v>
      </c>
      <c r="C5470" s="15" t="s">
        <v>795</v>
      </c>
      <c r="D5470" s="15" t="s">
        <v>795</v>
      </c>
      <c r="F5470" s="42"/>
    </row>
    <row r="5471" spans="1:6" x14ac:dyDescent="0.3">
      <c r="A5471" s="15" t="s">
        <v>42945</v>
      </c>
      <c r="B5471" s="15" t="s">
        <v>10225</v>
      </c>
      <c r="C5471" s="15" t="s">
        <v>800</v>
      </c>
      <c r="D5471" s="15" t="s">
        <v>10226</v>
      </c>
      <c r="E5471" s="15">
        <v>44.915300000000002</v>
      </c>
      <c r="F5471" s="42">
        <v>46198</v>
      </c>
    </row>
    <row r="5472" spans="1:6" x14ac:dyDescent="0.3">
      <c r="A5472" s="15" t="s">
        <v>42944</v>
      </c>
      <c r="B5472" s="15" t="s">
        <v>10227</v>
      </c>
      <c r="C5472" s="15" t="s">
        <v>10228</v>
      </c>
      <c r="D5472" s="15" t="s">
        <v>10229</v>
      </c>
      <c r="E5472" s="15">
        <v>35.634700000000002</v>
      </c>
      <c r="F5472" s="42">
        <v>46198</v>
      </c>
    </row>
    <row r="5473" spans="1:6" x14ac:dyDescent="0.3">
      <c r="A5473" s="15" t="s">
        <v>42943</v>
      </c>
      <c r="B5473" s="15" t="s">
        <v>10230</v>
      </c>
      <c r="C5473" s="15" t="s">
        <v>800</v>
      </c>
      <c r="D5473" s="15" t="s">
        <v>10231</v>
      </c>
      <c r="E5473" s="15">
        <v>38.568800000000003</v>
      </c>
      <c r="F5473" s="42">
        <v>46198</v>
      </c>
    </row>
    <row r="5474" spans="1:6" x14ac:dyDescent="0.3">
      <c r="A5474" s="15" t="s">
        <v>42942</v>
      </c>
      <c r="B5474" s="15" t="s">
        <v>10232</v>
      </c>
      <c r="C5474" s="15" t="s">
        <v>10233</v>
      </c>
      <c r="D5474" s="15" t="s">
        <v>10234</v>
      </c>
      <c r="E5474" s="15">
        <v>31.2273</v>
      </c>
      <c r="F5474" s="42">
        <v>46198</v>
      </c>
    </row>
    <row r="5475" spans="1:6" x14ac:dyDescent="0.3">
      <c r="A5475" s="15" t="s">
        <v>33499</v>
      </c>
      <c r="B5475" s="15" t="s">
        <v>795</v>
      </c>
      <c r="C5475" s="15" t="s">
        <v>795</v>
      </c>
      <c r="D5475" s="15" t="s">
        <v>795</v>
      </c>
      <c r="F5475" s="42"/>
    </row>
    <row r="5476" spans="1:6" x14ac:dyDescent="0.3">
      <c r="A5476" s="15" t="s">
        <v>39301</v>
      </c>
      <c r="B5476" s="15" t="s">
        <v>795</v>
      </c>
      <c r="C5476" s="15" t="s">
        <v>795</v>
      </c>
      <c r="D5476" s="15" t="s">
        <v>795</v>
      </c>
      <c r="F5476" s="42"/>
    </row>
    <row r="5477" spans="1:6" x14ac:dyDescent="0.3">
      <c r="A5477" s="15" t="s">
        <v>33499</v>
      </c>
      <c r="B5477" s="15" t="s">
        <v>795</v>
      </c>
      <c r="C5477" s="15" t="s">
        <v>795</v>
      </c>
      <c r="D5477" s="15" t="s">
        <v>795</v>
      </c>
      <c r="F5477" s="42"/>
    </row>
    <row r="5478" spans="1:6" x14ac:dyDescent="0.3">
      <c r="A5478" s="15" t="s">
        <v>42941</v>
      </c>
      <c r="B5478" s="15" t="s">
        <v>10235</v>
      </c>
      <c r="C5478" s="15" t="s">
        <v>10236</v>
      </c>
      <c r="D5478" s="15" t="s">
        <v>10237</v>
      </c>
      <c r="E5478" s="15">
        <v>21.771899999999999</v>
      </c>
      <c r="F5478" s="42">
        <v>46198</v>
      </c>
    </row>
    <row r="5479" spans="1:6" x14ac:dyDescent="0.3">
      <c r="A5479" s="15" t="s">
        <v>42940</v>
      </c>
      <c r="B5479" s="15" t="s">
        <v>10238</v>
      </c>
      <c r="C5479" s="15" t="s">
        <v>800</v>
      </c>
      <c r="D5479" s="15" t="s">
        <v>10239</v>
      </c>
      <c r="E5479" s="15">
        <v>30.057600000000001</v>
      </c>
      <c r="F5479" s="42">
        <v>46198</v>
      </c>
    </row>
    <row r="5480" spans="1:6" x14ac:dyDescent="0.3">
      <c r="A5480" s="15" t="s">
        <v>42939</v>
      </c>
      <c r="B5480" s="15" t="s">
        <v>10240</v>
      </c>
      <c r="C5480" s="15" t="s">
        <v>800</v>
      </c>
      <c r="D5480" s="15" t="s">
        <v>10241</v>
      </c>
      <c r="E5480" s="15">
        <v>26.911100000000001</v>
      </c>
      <c r="F5480" s="42">
        <v>46198</v>
      </c>
    </row>
    <row r="5481" spans="1:6" x14ac:dyDescent="0.3">
      <c r="A5481" s="15" t="s">
        <v>42938</v>
      </c>
      <c r="B5481" s="15" t="s">
        <v>10242</v>
      </c>
      <c r="C5481" s="15" t="s">
        <v>10243</v>
      </c>
      <c r="D5481" s="15" t="s">
        <v>10244</v>
      </c>
      <c r="E5481" s="15">
        <v>18.9453</v>
      </c>
      <c r="F5481" s="42">
        <v>46198</v>
      </c>
    </row>
    <row r="5482" spans="1:6" x14ac:dyDescent="0.3">
      <c r="A5482" s="15" t="s">
        <v>33499</v>
      </c>
      <c r="B5482" s="15" t="s">
        <v>795</v>
      </c>
      <c r="C5482" s="15" t="s">
        <v>795</v>
      </c>
      <c r="D5482" s="15" t="s">
        <v>795</v>
      </c>
      <c r="F5482" s="42"/>
    </row>
    <row r="5483" spans="1:6" x14ac:dyDescent="0.3">
      <c r="A5483" s="15" t="s">
        <v>37780</v>
      </c>
      <c r="B5483" s="15" t="s">
        <v>795</v>
      </c>
      <c r="C5483" s="15" t="s">
        <v>795</v>
      </c>
      <c r="D5483" s="15" t="s">
        <v>795</v>
      </c>
      <c r="F5483" s="42"/>
    </row>
    <row r="5484" spans="1:6" x14ac:dyDescent="0.3">
      <c r="A5484" s="15" t="s">
        <v>33499</v>
      </c>
      <c r="B5484" s="15" t="s">
        <v>795</v>
      </c>
      <c r="C5484" s="15" t="s">
        <v>795</v>
      </c>
      <c r="D5484" s="15" t="s">
        <v>795</v>
      </c>
      <c r="F5484" s="42"/>
    </row>
    <row r="5485" spans="1:6" x14ac:dyDescent="0.3">
      <c r="A5485" s="15" t="s">
        <v>42937</v>
      </c>
      <c r="B5485" s="15" t="s">
        <v>758</v>
      </c>
      <c r="C5485" s="15" t="s">
        <v>800</v>
      </c>
      <c r="D5485" s="15" t="s">
        <v>115</v>
      </c>
      <c r="E5485" s="15">
        <v>175.41399999999999</v>
      </c>
      <c r="F5485" s="42">
        <v>46198</v>
      </c>
    </row>
    <row r="5486" spans="1:6" x14ac:dyDescent="0.3">
      <c r="A5486" s="15" t="s">
        <v>42936</v>
      </c>
      <c r="B5486" s="15" t="s">
        <v>10245</v>
      </c>
      <c r="C5486" s="15" t="s">
        <v>10246</v>
      </c>
      <c r="D5486" s="15" t="s">
        <v>10247</v>
      </c>
      <c r="E5486" s="15">
        <v>82.254999999999995</v>
      </c>
      <c r="F5486" s="42">
        <v>46198</v>
      </c>
    </row>
    <row r="5487" spans="1:6" x14ac:dyDescent="0.3">
      <c r="A5487" s="15" t="s">
        <v>42935</v>
      </c>
      <c r="B5487" s="15" t="s">
        <v>10248</v>
      </c>
      <c r="C5487" s="15" t="s">
        <v>800</v>
      </c>
      <c r="D5487" s="15" t="s">
        <v>10249</v>
      </c>
      <c r="E5487" s="15">
        <v>154.52600000000001</v>
      </c>
      <c r="F5487" s="42">
        <v>46198</v>
      </c>
    </row>
    <row r="5488" spans="1:6" x14ac:dyDescent="0.3">
      <c r="A5488" s="15" t="s">
        <v>42934</v>
      </c>
      <c r="B5488" s="15" t="s">
        <v>10250</v>
      </c>
      <c r="C5488" s="15" t="s">
        <v>10251</v>
      </c>
      <c r="D5488" s="15" t="s">
        <v>10252</v>
      </c>
      <c r="E5488" s="15">
        <v>47.529000000000003</v>
      </c>
      <c r="F5488" s="42">
        <v>46198</v>
      </c>
    </row>
    <row r="5489" spans="1:6" x14ac:dyDescent="0.3">
      <c r="A5489" s="15" t="s">
        <v>33499</v>
      </c>
      <c r="B5489" s="15" t="s">
        <v>795</v>
      </c>
      <c r="C5489" s="15" t="s">
        <v>795</v>
      </c>
      <c r="D5489" s="15" t="s">
        <v>795</v>
      </c>
      <c r="F5489" s="42"/>
    </row>
    <row r="5490" spans="1:6" x14ac:dyDescent="0.3">
      <c r="A5490" s="15" t="s">
        <v>37742</v>
      </c>
      <c r="B5490" s="15" t="s">
        <v>795</v>
      </c>
      <c r="C5490" s="15" t="s">
        <v>795</v>
      </c>
      <c r="D5490" s="15" t="s">
        <v>795</v>
      </c>
      <c r="F5490" s="42"/>
    </row>
    <row r="5491" spans="1:6" x14ac:dyDescent="0.3">
      <c r="A5491" s="15" t="s">
        <v>33499</v>
      </c>
      <c r="B5491" s="15" t="s">
        <v>795</v>
      </c>
      <c r="C5491" s="15" t="s">
        <v>795</v>
      </c>
      <c r="D5491" s="15" t="s">
        <v>795</v>
      </c>
      <c r="F5491" s="42"/>
    </row>
    <row r="5492" spans="1:6" x14ac:dyDescent="0.3">
      <c r="A5492" s="15" t="s">
        <v>42933</v>
      </c>
      <c r="B5492" s="15" t="s">
        <v>10253</v>
      </c>
      <c r="C5492" s="15" t="s">
        <v>800</v>
      </c>
      <c r="D5492" s="15" t="s">
        <v>10254</v>
      </c>
      <c r="E5492" s="15">
        <v>39.124400000000001</v>
      </c>
      <c r="F5492" s="42">
        <v>46198</v>
      </c>
    </row>
    <row r="5493" spans="1:6" x14ac:dyDescent="0.3">
      <c r="A5493" s="15" t="s">
        <v>42932</v>
      </c>
      <c r="B5493" s="15" t="s">
        <v>10255</v>
      </c>
      <c r="C5493" s="15" t="s">
        <v>800</v>
      </c>
      <c r="D5493" s="15" t="s">
        <v>10256</v>
      </c>
      <c r="E5493" s="15">
        <v>35.535600000000002</v>
      </c>
      <c r="F5493" s="42">
        <v>46198</v>
      </c>
    </row>
    <row r="5494" spans="1:6" x14ac:dyDescent="0.3">
      <c r="A5494" s="15" t="s">
        <v>42931</v>
      </c>
      <c r="B5494" s="15" t="s">
        <v>10257</v>
      </c>
      <c r="C5494" s="15" t="s">
        <v>10258</v>
      </c>
      <c r="D5494" s="15" t="s">
        <v>10259</v>
      </c>
      <c r="E5494" s="15">
        <v>27.652699999999999</v>
      </c>
      <c r="F5494" s="42">
        <v>46198</v>
      </c>
    </row>
    <row r="5495" spans="1:6" x14ac:dyDescent="0.3">
      <c r="A5495" s="15" t="s">
        <v>42930</v>
      </c>
      <c r="B5495" s="15" t="s">
        <v>10260</v>
      </c>
      <c r="C5495" s="15" t="s">
        <v>10261</v>
      </c>
      <c r="D5495" s="15" t="s">
        <v>10262</v>
      </c>
      <c r="E5495" s="15">
        <v>25.228999999999999</v>
      </c>
      <c r="F5495" s="42">
        <v>46198</v>
      </c>
    </row>
    <row r="5496" spans="1:6" x14ac:dyDescent="0.3">
      <c r="A5496" s="15" t="s">
        <v>33499</v>
      </c>
      <c r="B5496" s="15" t="s">
        <v>795</v>
      </c>
      <c r="C5496" s="15" t="s">
        <v>795</v>
      </c>
      <c r="D5496" s="15" t="s">
        <v>795</v>
      </c>
      <c r="F5496" s="42"/>
    </row>
    <row r="5497" spans="1:6" x14ac:dyDescent="0.3">
      <c r="A5497" s="15" t="s">
        <v>38348</v>
      </c>
      <c r="B5497" s="15" t="s">
        <v>795</v>
      </c>
      <c r="C5497" s="15" t="s">
        <v>795</v>
      </c>
      <c r="D5497" s="15" t="s">
        <v>795</v>
      </c>
      <c r="F5497" s="42"/>
    </row>
    <row r="5498" spans="1:6" x14ac:dyDescent="0.3">
      <c r="A5498" s="15" t="s">
        <v>33499</v>
      </c>
      <c r="B5498" s="15" t="s">
        <v>795</v>
      </c>
      <c r="C5498" s="15" t="s">
        <v>795</v>
      </c>
      <c r="D5498" s="15" t="s">
        <v>795</v>
      </c>
      <c r="F5498" s="42"/>
    </row>
    <row r="5499" spans="1:6" x14ac:dyDescent="0.3">
      <c r="A5499" s="15" t="s">
        <v>42929</v>
      </c>
      <c r="B5499" s="15" t="s">
        <v>10263</v>
      </c>
      <c r="C5499" s="15" t="s">
        <v>10264</v>
      </c>
      <c r="D5499" s="15" t="s">
        <v>10265</v>
      </c>
      <c r="E5499" s="15">
        <v>43.474899999999998</v>
      </c>
      <c r="F5499" s="42">
        <v>46198</v>
      </c>
    </row>
    <row r="5500" spans="1:6" x14ac:dyDescent="0.3">
      <c r="A5500" s="15" t="s">
        <v>42928</v>
      </c>
      <c r="B5500" s="15" t="s">
        <v>10266</v>
      </c>
      <c r="C5500" s="15" t="s">
        <v>10267</v>
      </c>
      <c r="D5500" s="15" t="s">
        <v>10268</v>
      </c>
      <c r="E5500" s="15">
        <v>43.513300000000001</v>
      </c>
      <c r="F5500" s="42">
        <v>46198</v>
      </c>
    </row>
    <row r="5501" spans="1:6" x14ac:dyDescent="0.3">
      <c r="A5501" s="15" t="s">
        <v>42927</v>
      </c>
      <c r="B5501" s="15" t="s">
        <v>10269</v>
      </c>
      <c r="C5501" s="15" t="s">
        <v>10270</v>
      </c>
      <c r="D5501" s="15" t="s">
        <v>10271</v>
      </c>
      <c r="E5501" s="15">
        <v>43.624400000000001</v>
      </c>
      <c r="F5501" s="42">
        <v>46198</v>
      </c>
    </row>
    <row r="5502" spans="1:6" x14ac:dyDescent="0.3">
      <c r="A5502" s="15" t="s">
        <v>42926</v>
      </c>
      <c r="B5502" s="15" t="s">
        <v>10272</v>
      </c>
      <c r="C5502" s="15" t="s">
        <v>10273</v>
      </c>
      <c r="D5502" s="15" t="s">
        <v>10274</v>
      </c>
      <c r="E5502" s="15">
        <v>37.347999999999999</v>
      </c>
      <c r="F5502" s="42">
        <v>46198</v>
      </c>
    </row>
    <row r="5503" spans="1:6" x14ac:dyDescent="0.3">
      <c r="A5503" s="15" t="s">
        <v>42925</v>
      </c>
      <c r="B5503" s="15" t="s">
        <v>10275</v>
      </c>
      <c r="C5503" s="15" t="s">
        <v>10276</v>
      </c>
      <c r="D5503" s="15" t="s">
        <v>10277</v>
      </c>
      <c r="E5503" s="15">
        <v>36.322200000000002</v>
      </c>
      <c r="F5503" s="42">
        <v>46198</v>
      </c>
    </row>
    <row r="5504" spans="1:6" x14ac:dyDescent="0.3">
      <c r="A5504" s="15" t="s">
        <v>42924</v>
      </c>
      <c r="B5504" s="15" t="s">
        <v>10278</v>
      </c>
      <c r="C5504" s="15" t="s">
        <v>10279</v>
      </c>
      <c r="D5504" s="15" t="s">
        <v>10280</v>
      </c>
      <c r="E5504" s="15">
        <v>36.308900000000001</v>
      </c>
      <c r="F5504" s="42">
        <v>46198</v>
      </c>
    </row>
    <row r="5505" spans="1:6" x14ac:dyDescent="0.3">
      <c r="A5505" s="15" t="s">
        <v>42923</v>
      </c>
      <c r="B5505" s="15" t="s">
        <v>10281</v>
      </c>
      <c r="C5505" s="15" t="s">
        <v>800</v>
      </c>
      <c r="D5505" s="15" t="s">
        <v>10282</v>
      </c>
      <c r="E5505" s="15">
        <v>44.156799999999997</v>
      </c>
      <c r="F5505" s="42">
        <v>46198</v>
      </c>
    </row>
    <row r="5506" spans="1:6" x14ac:dyDescent="0.3">
      <c r="A5506" s="15" t="s">
        <v>42922</v>
      </c>
      <c r="B5506" s="15" t="s">
        <v>10283</v>
      </c>
      <c r="C5506" s="15" t="s">
        <v>800</v>
      </c>
      <c r="D5506" s="15" t="s">
        <v>10284</v>
      </c>
      <c r="E5506" s="15">
        <v>36.313099999999999</v>
      </c>
      <c r="F5506" s="42">
        <v>46198</v>
      </c>
    </row>
    <row r="5507" spans="1:6" x14ac:dyDescent="0.3">
      <c r="A5507" s="15" t="s">
        <v>33499</v>
      </c>
      <c r="B5507" s="15" t="s">
        <v>795</v>
      </c>
      <c r="C5507" s="15" t="s">
        <v>795</v>
      </c>
      <c r="D5507" s="15" t="s">
        <v>795</v>
      </c>
      <c r="F5507" s="42"/>
    </row>
    <row r="5508" spans="1:6" x14ac:dyDescent="0.3">
      <c r="A5508" s="15" t="s">
        <v>208</v>
      </c>
      <c r="B5508" s="15" t="s">
        <v>795</v>
      </c>
      <c r="C5508" s="15" t="s">
        <v>795</v>
      </c>
      <c r="D5508" s="15" t="s">
        <v>795</v>
      </c>
      <c r="F5508" s="42"/>
    </row>
    <row r="5509" spans="1:6" x14ac:dyDescent="0.3">
      <c r="A5509" s="15" t="s">
        <v>33499</v>
      </c>
      <c r="B5509" s="15" t="s">
        <v>795</v>
      </c>
      <c r="C5509" s="15" t="s">
        <v>795</v>
      </c>
      <c r="D5509" s="15" t="s">
        <v>795</v>
      </c>
      <c r="F5509" s="42"/>
    </row>
    <row r="5510" spans="1:6" x14ac:dyDescent="0.3">
      <c r="A5510" s="15" t="s">
        <v>42921</v>
      </c>
      <c r="B5510" s="15" t="s">
        <v>10285</v>
      </c>
      <c r="C5510" s="15" t="s">
        <v>10286</v>
      </c>
      <c r="D5510" s="15" t="s">
        <v>10287</v>
      </c>
      <c r="E5510" s="15">
        <v>70.411199999999994</v>
      </c>
      <c r="F5510" s="42">
        <v>46198</v>
      </c>
    </row>
    <row r="5511" spans="1:6" x14ac:dyDescent="0.3">
      <c r="A5511" s="15" t="s">
        <v>42920</v>
      </c>
      <c r="B5511" s="15" t="s">
        <v>10288</v>
      </c>
      <c r="C5511" s="15" t="s">
        <v>800</v>
      </c>
      <c r="D5511" s="15" t="s">
        <v>10289</v>
      </c>
      <c r="E5511" s="15">
        <v>272.46879999999999</v>
      </c>
      <c r="F5511" s="42">
        <v>46198</v>
      </c>
    </row>
    <row r="5512" spans="1:6" x14ac:dyDescent="0.3">
      <c r="A5512" s="15" t="s">
        <v>42919</v>
      </c>
      <c r="B5512" s="15" t="s">
        <v>10290</v>
      </c>
      <c r="C5512" s="15" t="s">
        <v>800</v>
      </c>
      <c r="D5512" s="15" t="s">
        <v>10291</v>
      </c>
      <c r="E5512" s="15">
        <v>1607.0893000000001</v>
      </c>
      <c r="F5512" s="42">
        <v>46198</v>
      </c>
    </row>
    <row r="5513" spans="1:6" x14ac:dyDescent="0.3">
      <c r="A5513" s="15" t="s">
        <v>42918</v>
      </c>
      <c r="B5513" s="15" t="s">
        <v>10292</v>
      </c>
      <c r="C5513" s="15" t="s">
        <v>10293</v>
      </c>
      <c r="D5513" s="15" t="s">
        <v>10294</v>
      </c>
      <c r="E5513" s="15">
        <v>258.73079999999999</v>
      </c>
      <c r="F5513" s="42">
        <v>43255</v>
      </c>
    </row>
    <row r="5514" spans="1:6" x14ac:dyDescent="0.3">
      <c r="A5514" s="15" t="s">
        <v>42917</v>
      </c>
      <c r="B5514" s="15" t="s">
        <v>10295</v>
      </c>
      <c r="C5514" s="15" t="s">
        <v>10296</v>
      </c>
      <c r="D5514" s="15" t="s">
        <v>10297</v>
      </c>
      <c r="E5514" s="15">
        <v>61.737000000000002</v>
      </c>
      <c r="F5514" s="42">
        <v>46198</v>
      </c>
    </row>
    <row r="5515" spans="1:6" x14ac:dyDescent="0.3">
      <c r="A5515" s="15" t="s">
        <v>42916</v>
      </c>
      <c r="B5515" s="15" t="s">
        <v>10298</v>
      </c>
      <c r="C5515" s="15" t="s">
        <v>800</v>
      </c>
      <c r="D5515" s="15" t="s">
        <v>10299</v>
      </c>
      <c r="E5515" s="15">
        <v>250.18709999999999</v>
      </c>
      <c r="F5515" s="42">
        <v>46198</v>
      </c>
    </row>
    <row r="5516" spans="1:6" x14ac:dyDescent="0.3">
      <c r="A5516" s="15" t="s">
        <v>42915</v>
      </c>
      <c r="B5516" s="15" t="s">
        <v>10300</v>
      </c>
      <c r="C5516" s="15" t="s">
        <v>800</v>
      </c>
      <c r="D5516" s="15" t="s">
        <v>10301</v>
      </c>
      <c r="E5516" s="15">
        <v>1485.4259999999999</v>
      </c>
      <c r="F5516" s="42">
        <v>46198</v>
      </c>
    </row>
    <row r="5517" spans="1:6" x14ac:dyDescent="0.3">
      <c r="A5517" s="15" t="s">
        <v>33499</v>
      </c>
      <c r="B5517" s="15" t="s">
        <v>795</v>
      </c>
      <c r="C5517" s="15" t="s">
        <v>795</v>
      </c>
      <c r="D5517" s="15" t="s">
        <v>795</v>
      </c>
      <c r="F5517" s="42"/>
    </row>
    <row r="5518" spans="1:6" x14ac:dyDescent="0.3">
      <c r="A5518" s="15" t="s">
        <v>37523</v>
      </c>
      <c r="B5518" s="15" t="s">
        <v>795</v>
      </c>
      <c r="C5518" s="15" t="s">
        <v>795</v>
      </c>
      <c r="D5518" s="15" t="s">
        <v>795</v>
      </c>
      <c r="F5518" s="42"/>
    </row>
    <row r="5519" spans="1:6" x14ac:dyDescent="0.3">
      <c r="A5519" s="15" t="s">
        <v>33499</v>
      </c>
      <c r="B5519" s="15" t="s">
        <v>795</v>
      </c>
      <c r="C5519" s="15" t="s">
        <v>795</v>
      </c>
      <c r="D5519" s="15" t="s">
        <v>795</v>
      </c>
      <c r="F5519" s="42"/>
    </row>
    <row r="5520" spans="1:6" x14ac:dyDescent="0.3">
      <c r="A5520" s="15" t="s">
        <v>42914</v>
      </c>
      <c r="B5520" s="15" t="s">
        <v>10302</v>
      </c>
      <c r="C5520" s="15" t="s">
        <v>800</v>
      </c>
      <c r="D5520" s="15" t="s">
        <v>10303</v>
      </c>
      <c r="E5520" s="15">
        <v>12.82</v>
      </c>
      <c r="F5520" s="42">
        <v>46198</v>
      </c>
    </row>
    <row r="5521" spans="1:6" x14ac:dyDescent="0.3">
      <c r="A5521" s="15" t="s">
        <v>42913</v>
      </c>
      <c r="B5521" s="15" t="s">
        <v>10304</v>
      </c>
      <c r="C5521" s="15" t="s">
        <v>10305</v>
      </c>
      <c r="D5521" s="15" t="s">
        <v>10306</v>
      </c>
      <c r="E5521" s="15">
        <v>11.63</v>
      </c>
      <c r="F5521" s="42">
        <v>46198</v>
      </c>
    </row>
    <row r="5522" spans="1:6" x14ac:dyDescent="0.3">
      <c r="A5522" s="15" t="s">
        <v>42912</v>
      </c>
      <c r="B5522" s="15" t="s">
        <v>10307</v>
      </c>
      <c r="C5522" s="15" t="s">
        <v>800</v>
      </c>
      <c r="D5522" s="15" t="s">
        <v>10308</v>
      </c>
      <c r="E5522" s="15">
        <v>12.31</v>
      </c>
      <c r="F5522" s="42">
        <v>46198</v>
      </c>
    </row>
    <row r="5523" spans="1:6" x14ac:dyDescent="0.3">
      <c r="A5523" s="15" t="s">
        <v>42911</v>
      </c>
      <c r="B5523" s="15" t="s">
        <v>10309</v>
      </c>
      <c r="C5523" s="15" t="s">
        <v>10310</v>
      </c>
      <c r="D5523" s="15" t="s">
        <v>10311</v>
      </c>
      <c r="E5523" s="15">
        <v>11.42</v>
      </c>
      <c r="F5523" s="42">
        <v>46198</v>
      </c>
    </row>
    <row r="5524" spans="1:6" x14ac:dyDescent="0.3">
      <c r="A5524" s="15" t="s">
        <v>33499</v>
      </c>
      <c r="B5524" s="15" t="s">
        <v>795</v>
      </c>
      <c r="C5524" s="15" t="s">
        <v>795</v>
      </c>
      <c r="D5524" s="15" t="s">
        <v>795</v>
      </c>
      <c r="F5524" s="42"/>
    </row>
    <row r="5525" spans="1:6" x14ac:dyDescent="0.3">
      <c r="A5525" s="15" t="s">
        <v>40216</v>
      </c>
      <c r="B5525" s="15" t="s">
        <v>795</v>
      </c>
      <c r="C5525" s="15" t="s">
        <v>795</v>
      </c>
      <c r="D5525" s="15" t="s">
        <v>795</v>
      </c>
      <c r="F5525" s="42"/>
    </row>
    <row r="5526" spans="1:6" x14ac:dyDescent="0.3">
      <c r="A5526" s="15" t="s">
        <v>33499</v>
      </c>
      <c r="B5526" s="15" t="s">
        <v>795</v>
      </c>
      <c r="C5526" s="15" t="s">
        <v>795</v>
      </c>
      <c r="D5526" s="15" t="s">
        <v>795</v>
      </c>
      <c r="F5526" s="42"/>
    </row>
    <row r="5527" spans="1:6" x14ac:dyDescent="0.3">
      <c r="A5527" s="15" t="s">
        <v>42910</v>
      </c>
      <c r="B5527" s="15" t="s">
        <v>10312</v>
      </c>
      <c r="C5527" s="15" t="s">
        <v>800</v>
      </c>
      <c r="D5527" s="15" t="s">
        <v>10313</v>
      </c>
      <c r="E5527" s="15">
        <v>124.039</v>
      </c>
      <c r="F5527" s="42">
        <v>46198</v>
      </c>
    </row>
    <row r="5528" spans="1:6" x14ac:dyDescent="0.3">
      <c r="A5528" s="15" t="s">
        <v>42909</v>
      </c>
      <c r="B5528" s="15" t="s">
        <v>10314</v>
      </c>
      <c r="C5528" s="15" t="s">
        <v>800</v>
      </c>
      <c r="D5528" s="15" t="s">
        <v>10315</v>
      </c>
      <c r="E5528" s="15">
        <v>137.35290000000001</v>
      </c>
      <c r="F5528" s="42">
        <v>46198</v>
      </c>
    </row>
    <row r="5529" spans="1:6" x14ac:dyDescent="0.3">
      <c r="A5529" s="15" t="s">
        <v>42908</v>
      </c>
      <c r="B5529" s="15" t="s">
        <v>10316</v>
      </c>
      <c r="C5529" s="15" t="s">
        <v>10317</v>
      </c>
      <c r="D5529" s="15" t="s">
        <v>10318</v>
      </c>
      <c r="E5529" s="15">
        <v>63.954599999999999</v>
      </c>
      <c r="F5529" s="42">
        <v>46198</v>
      </c>
    </row>
    <row r="5530" spans="1:6" x14ac:dyDescent="0.3">
      <c r="A5530" s="15" t="s">
        <v>42907</v>
      </c>
      <c r="B5530" s="15" t="s">
        <v>10319</v>
      </c>
      <c r="C5530" s="15" t="s">
        <v>10320</v>
      </c>
      <c r="D5530" s="15" t="s">
        <v>10321</v>
      </c>
      <c r="E5530" s="15">
        <v>75.713300000000004</v>
      </c>
      <c r="F5530" s="42">
        <v>46198</v>
      </c>
    </row>
    <row r="5531" spans="1:6" x14ac:dyDescent="0.3">
      <c r="A5531" s="15" t="s">
        <v>33499</v>
      </c>
      <c r="B5531" s="15" t="s">
        <v>795</v>
      </c>
      <c r="C5531" s="15" t="s">
        <v>795</v>
      </c>
      <c r="D5531" s="15" t="s">
        <v>795</v>
      </c>
      <c r="F5531" s="42"/>
    </row>
    <row r="5532" spans="1:6" x14ac:dyDescent="0.3">
      <c r="A5532" s="15" t="s">
        <v>40209</v>
      </c>
      <c r="B5532" s="15" t="s">
        <v>795</v>
      </c>
      <c r="C5532" s="15" t="s">
        <v>795</v>
      </c>
      <c r="D5532" s="15" t="s">
        <v>795</v>
      </c>
      <c r="F5532" s="42"/>
    </row>
    <row r="5533" spans="1:6" x14ac:dyDescent="0.3">
      <c r="A5533" s="15" t="s">
        <v>33499</v>
      </c>
      <c r="B5533" s="15" t="s">
        <v>795</v>
      </c>
      <c r="C5533" s="15" t="s">
        <v>795</v>
      </c>
      <c r="D5533" s="15" t="s">
        <v>795</v>
      </c>
      <c r="F5533" s="42"/>
    </row>
    <row r="5534" spans="1:6" x14ac:dyDescent="0.3">
      <c r="A5534" s="15" t="s">
        <v>42906</v>
      </c>
      <c r="B5534" s="15" t="s">
        <v>10322</v>
      </c>
      <c r="C5534" s="15" t="s">
        <v>800</v>
      </c>
      <c r="D5534" s="15" t="s">
        <v>10323</v>
      </c>
      <c r="E5534" s="15">
        <v>9.09</v>
      </c>
      <c r="F5534" s="42">
        <v>46198</v>
      </c>
    </row>
    <row r="5535" spans="1:6" x14ac:dyDescent="0.3">
      <c r="A5535" s="15" t="s">
        <v>42905</v>
      </c>
      <c r="B5535" s="15" t="s">
        <v>10324</v>
      </c>
      <c r="C5535" s="15" t="s">
        <v>800</v>
      </c>
      <c r="D5535" s="15" t="s">
        <v>10325</v>
      </c>
      <c r="E5535" s="15">
        <v>8.94</v>
      </c>
      <c r="F5535" s="42">
        <v>46198</v>
      </c>
    </row>
    <row r="5536" spans="1:6" x14ac:dyDescent="0.3">
      <c r="A5536" s="15" t="s">
        <v>33499</v>
      </c>
      <c r="B5536" s="15" t="s">
        <v>795</v>
      </c>
      <c r="C5536" s="15" t="s">
        <v>795</v>
      </c>
      <c r="D5536" s="15" t="s">
        <v>795</v>
      </c>
      <c r="F5536" s="42"/>
    </row>
    <row r="5537" spans="1:6" x14ac:dyDescent="0.3">
      <c r="A5537" s="15" t="s">
        <v>33636</v>
      </c>
      <c r="B5537" s="15" t="s">
        <v>795</v>
      </c>
      <c r="C5537" s="15" t="s">
        <v>795</v>
      </c>
      <c r="D5537" s="15" t="s">
        <v>795</v>
      </c>
      <c r="F5537" s="42"/>
    </row>
    <row r="5538" spans="1:6" x14ac:dyDescent="0.3">
      <c r="A5538" s="15" t="s">
        <v>33499</v>
      </c>
      <c r="B5538" s="15" t="s">
        <v>795</v>
      </c>
      <c r="C5538" s="15" t="s">
        <v>795</v>
      </c>
      <c r="D5538" s="15" t="s">
        <v>795</v>
      </c>
      <c r="F5538" s="42"/>
    </row>
    <row r="5539" spans="1:6" x14ac:dyDescent="0.3">
      <c r="A5539" s="15" t="s">
        <v>42904</v>
      </c>
      <c r="B5539" s="15" t="s">
        <v>10326</v>
      </c>
      <c r="C5539" s="15" t="s">
        <v>10327</v>
      </c>
      <c r="D5539" s="15" t="s">
        <v>10328</v>
      </c>
      <c r="E5539" s="15">
        <v>368.20330000000001</v>
      </c>
      <c r="F5539" s="42">
        <v>46198</v>
      </c>
    </row>
    <row r="5540" spans="1:6" x14ac:dyDescent="0.3">
      <c r="A5540" s="15" t="s">
        <v>42903</v>
      </c>
      <c r="B5540" s="15" t="s">
        <v>10329</v>
      </c>
      <c r="C5540" s="15" t="s">
        <v>10330</v>
      </c>
      <c r="D5540" s="15" t="s">
        <v>10331</v>
      </c>
      <c r="E5540" s="15">
        <v>291.95999999999998</v>
      </c>
      <c r="F5540" s="42">
        <v>46198</v>
      </c>
    </row>
    <row r="5541" spans="1:6" x14ac:dyDescent="0.3">
      <c r="A5541" s="15" t="s">
        <v>42902</v>
      </c>
      <c r="B5541" s="15" t="s">
        <v>10332</v>
      </c>
      <c r="C5541" s="15" t="s">
        <v>800</v>
      </c>
      <c r="D5541" s="15" t="s">
        <v>10333</v>
      </c>
      <c r="E5541" s="15">
        <v>706.42610000000002</v>
      </c>
      <c r="F5541" s="42">
        <v>46198</v>
      </c>
    </row>
    <row r="5542" spans="1:6" x14ac:dyDescent="0.3">
      <c r="A5542" s="15" t="s">
        <v>42901</v>
      </c>
      <c r="B5542" s="15" t="s">
        <v>10334</v>
      </c>
      <c r="C5542" s="15" t="s">
        <v>800</v>
      </c>
      <c r="D5542" s="15" t="s">
        <v>10335</v>
      </c>
      <c r="E5542" s="15">
        <v>646.23479999999995</v>
      </c>
      <c r="F5542" s="42">
        <v>46198</v>
      </c>
    </row>
    <row r="5543" spans="1:6" x14ac:dyDescent="0.3">
      <c r="A5543" s="15" t="s">
        <v>33499</v>
      </c>
      <c r="B5543" s="15" t="s">
        <v>795</v>
      </c>
      <c r="C5543" s="15" t="s">
        <v>795</v>
      </c>
      <c r="D5543" s="15" t="s">
        <v>795</v>
      </c>
      <c r="F5543" s="42"/>
    </row>
    <row r="5544" spans="1:6" x14ac:dyDescent="0.3">
      <c r="A5544" s="15" t="s">
        <v>37414</v>
      </c>
      <c r="B5544" s="15" t="s">
        <v>795</v>
      </c>
      <c r="C5544" s="15" t="s">
        <v>795</v>
      </c>
      <c r="D5544" s="15" t="s">
        <v>795</v>
      </c>
      <c r="F5544" s="42"/>
    </row>
    <row r="5545" spans="1:6" x14ac:dyDescent="0.3">
      <c r="A5545" s="15" t="s">
        <v>33499</v>
      </c>
      <c r="B5545" s="15" t="s">
        <v>795</v>
      </c>
      <c r="C5545" s="15" t="s">
        <v>795</v>
      </c>
      <c r="D5545" s="15" t="s">
        <v>795</v>
      </c>
      <c r="F5545" s="42"/>
    </row>
    <row r="5546" spans="1:6" x14ac:dyDescent="0.3">
      <c r="A5546" s="15" t="s">
        <v>42900</v>
      </c>
      <c r="B5546" s="15" t="s">
        <v>10336</v>
      </c>
      <c r="C5546" s="15" t="s">
        <v>10337</v>
      </c>
      <c r="D5546" s="15" t="s">
        <v>10338</v>
      </c>
      <c r="E5546" s="15">
        <v>34.848100000000002</v>
      </c>
      <c r="F5546" s="42">
        <v>46198</v>
      </c>
    </row>
    <row r="5547" spans="1:6" x14ac:dyDescent="0.3">
      <c r="A5547" s="15" t="s">
        <v>42899</v>
      </c>
      <c r="B5547" s="15" t="s">
        <v>10339</v>
      </c>
      <c r="C5547" s="15" t="s">
        <v>800</v>
      </c>
      <c r="D5547" s="15" t="s">
        <v>10340</v>
      </c>
      <c r="E5547" s="15">
        <v>101.01860000000001</v>
      </c>
      <c r="F5547" s="42">
        <v>46198</v>
      </c>
    </row>
    <row r="5548" spans="1:6" x14ac:dyDescent="0.3">
      <c r="A5548" s="15" t="s">
        <v>42898</v>
      </c>
      <c r="B5548" s="15" t="s">
        <v>10341</v>
      </c>
      <c r="C5548" s="15" t="s">
        <v>800</v>
      </c>
      <c r="D5548" s="15" t="s">
        <v>10342</v>
      </c>
      <c r="E5548" s="15">
        <v>88.925700000000006</v>
      </c>
      <c r="F5548" s="42">
        <v>46198</v>
      </c>
    </row>
    <row r="5549" spans="1:6" x14ac:dyDescent="0.3">
      <c r="A5549" s="15" t="s">
        <v>42897</v>
      </c>
      <c r="B5549" s="15" t="s">
        <v>10343</v>
      </c>
      <c r="C5549" s="15" t="s">
        <v>10344</v>
      </c>
      <c r="D5549" s="15" t="s">
        <v>10345</v>
      </c>
      <c r="E5549" s="15">
        <v>30.0121</v>
      </c>
      <c r="F5549" s="42">
        <v>46198</v>
      </c>
    </row>
    <row r="5550" spans="1:6" x14ac:dyDescent="0.3">
      <c r="A5550" s="15" t="s">
        <v>33499</v>
      </c>
      <c r="B5550" s="15" t="s">
        <v>795</v>
      </c>
      <c r="C5550" s="15" t="s">
        <v>795</v>
      </c>
      <c r="D5550" s="15" t="s">
        <v>795</v>
      </c>
      <c r="F5550" s="42"/>
    </row>
    <row r="5551" spans="1:6" x14ac:dyDescent="0.3">
      <c r="A5551" s="15" t="s">
        <v>33519</v>
      </c>
      <c r="B5551" s="15" t="s">
        <v>795</v>
      </c>
      <c r="C5551" s="15" t="s">
        <v>795</v>
      </c>
      <c r="D5551" s="15" t="s">
        <v>795</v>
      </c>
      <c r="F5551" s="42"/>
    </row>
    <row r="5552" spans="1:6" x14ac:dyDescent="0.3">
      <c r="A5552" s="15" t="s">
        <v>33499</v>
      </c>
      <c r="B5552" s="15" t="s">
        <v>795</v>
      </c>
      <c r="C5552" s="15" t="s">
        <v>795</v>
      </c>
      <c r="D5552" s="15" t="s">
        <v>795</v>
      </c>
      <c r="F5552" s="42"/>
    </row>
    <row r="5553" spans="1:6" x14ac:dyDescent="0.3">
      <c r="A5553" s="15" t="s">
        <v>42896</v>
      </c>
      <c r="B5553" s="15" t="s">
        <v>10346</v>
      </c>
      <c r="C5553" s="15" t="s">
        <v>800</v>
      </c>
      <c r="D5553" s="15" t="s">
        <v>10347</v>
      </c>
      <c r="E5553" s="15">
        <v>574.85879999999997</v>
      </c>
      <c r="F5553" s="42">
        <v>46198</v>
      </c>
    </row>
    <row r="5554" spans="1:6" x14ac:dyDescent="0.3">
      <c r="A5554" s="15" t="s">
        <v>42895</v>
      </c>
      <c r="B5554" s="15" t="s">
        <v>10348</v>
      </c>
      <c r="C5554" s="15" t="s">
        <v>10349</v>
      </c>
      <c r="D5554" s="15" t="s">
        <v>10350</v>
      </c>
      <c r="E5554" s="15">
        <v>106.2162</v>
      </c>
      <c r="F5554" s="42">
        <v>46198</v>
      </c>
    </row>
    <row r="5555" spans="1:6" x14ac:dyDescent="0.3">
      <c r="A5555" s="15" t="s">
        <v>42894</v>
      </c>
      <c r="B5555" s="15" t="s">
        <v>10351</v>
      </c>
      <c r="C5555" s="15" t="s">
        <v>10352</v>
      </c>
      <c r="D5555" s="15" t="s">
        <v>10353</v>
      </c>
      <c r="E5555" s="15">
        <v>74.034999999999997</v>
      </c>
      <c r="F5555" s="42">
        <v>46198</v>
      </c>
    </row>
    <row r="5556" spans="1:6" x14ac:dyDescent="0.3">
      <c r="A5556" s="15" t="s">
        <v>42893</v>
      </c>
      <c r="B5556" s="15" t="s">
        <v>10354</v>
      </c>
      <c r="C5556" s="15" t="s">
        <v>800</v>
      </c>
      <c r="D5556" s="15" t="s">
        <v>10355</v>
      </c>
      <c r="E5556" s="15">
        <v>499.02010000000001</v>
      </c>
      <c r="F5556" s="42">
        <v>46198</v>
      </c>
    </row>
    <row r="5557" spans="1:6" x14ac:dyDescent="0.3">
      <c r="A5557" s="15" t="s">
        <v>33499</v>
      </c>
      <c r="B5557" s="15" t="s">
        <v>795</v>
      </c>
      <c r="C5557" s="15" t="s">
        <v>795</v>
      </c>
      <c r="D5557" s="15" t="s">
        <v>795</v>
      </c>
      <c r="F5557" s="42"/>
    </row>
    <row r="5558" spans="1:6" x14ac:dyDescent="0.3">
      <c r="A5558" s="15" t="s">
        <v>39242</v>
      </c>
      <c r="B5558" s="15" t="s">
        <v>795</v>
      </c>
      <c r="C5558" s="15" t="s">
        <v>795</v>
      </c>
      <c r="D5558" s="15" t="s">
        <v>795</v>
      </c>
      <c r="F5558" s="42"/>
    </row>
    <row r="5559" spans="1:6" x14ac:dyDescent="0.3">
      <c r="A5559" s="15" t="s">
        <v>33499</v>
      </c>
      <c r="B5559" s="15" t="s">
        <v>795</v>
      </c>
      <c r="C5559" s="15" t="s">
        <v>795</v>
      </c>
      <c r="D5559" s="15" t="s">
        <v>795</v>
      </c>
      <c r="F5559" s="42"/>
    </row>
    <row r="5560" spans="1:6" x14ac:dyDescent="0.3">
      <c r="A5560" s="15" t="s">
        <v>47160</v>
      </c>
      <c r="B5560" s="15" t="s">
        <v>47161</v>
      </c>
      <c r="C5560" s="15" t="s">
        <v>800</v>
      </c>
      <c r="D5560" s="15" t="s">
        <v>47162</v>
      </c>
      <c r="E5560" s="15">
        <v>10.141400000000001</v>
      </c>
      <c r="F5560" s="42">
        <v>46198</v>
      </c>
    </row>
    <row r="5561" spans="1:6" x14ac:dyDescent="0.3">
      <c r="A5561" s="15" t="s">
        <v>47163</v>
      </c>
      <c r="B5561" s="15" t="s">
        <v>47164</v>
      </c>
      <c r="C5561" s="15" t="s">
        <v>47165</v>
      </c>
      <c r="D5561" s="15" t="s">
        <v>47166</v>
      </c>
      <c r="E5561" s="15">
        <v>10.141299999999999</v>
      </c>
      <c r="F5561" s="42">
        <v>46198</v>
      </c>
    </row>
    <row r="5562" spans="1:6" x14ac:dyDescent="0.3">
      <c r="A5562" s="15" t="s">
        <v>47167</v>
      </c>
      <c r="B5562" s="15" t="s">
        <v>47168</v>
      </c>
      <c r="C5562" s="15" t="s">
        <v>800</v>
      </c>
      <c r="D5562" s="15" t="s">
        <v>47169</v>
      </c>
      <c r="E5562" s="15">
        <v>10.132400000000001</v>
      </c>
      <c r="F5562" s="42">
        <v>46198</v>
      </c>
    </row>
    <row r="5563" spans="1:6" x14ac:dyDescent="0.3">
      <c r="A5563" s="15" t="s">
        <v>47170</v>
      </c>
      <c r="B5563" s="15" t="s">
        <v>47171</v>
      </c>
      <c r="C5563" s="15" t="s">
        <v>47172</v>
      </c>
      <c r="D5563" s="15" t="s">
        <v>47173</v>
      </c>
      <c r="E5563" s="15">
        <v>10.132400000000001</v>
      </c>
      <c r="F5563" s="42">
        <v>46198</v>
      </c>
    </row>
    <row r="5564" spans="1:6" x14ac:dyDescent="0.3">
      <c r="A5564" s="15" t="s">
        <v>33499</v>
      </c>
      <c r="B5564" s="15" t="s">
        <v>795</v>
      </c>
      <c r="C5564" s="15" t="s">
        <v>795</v>
      </c>
      <c r="D5564" s="15" t="s">
        <v>795</v>
      </c>
      <c r="F5564" s="42"/>
    </row>
    <row r="5565" spans="1:6" x14ac:dyDescent="0.3">
      <c r="A5565" s="15" t="s">
        <v>33504</v>
      </c>
      <c r="B5565" s="15" t="s">
        <v>795</v>
      </c>
      <c r="C5565" s="15" t="s">
        <v>795</v>
      </c>
      <c r="D5565" s="15" t="s">
        <v>795</v>
      </c>
      <c r="F5565" s="42"/>
    </row>
    <row r="5566" spans="1:6" x14ac:dyDescent="0.3">
      <c r="A5566" s="15" t="s">
        <v>33499</v>
      </c>
      <c r="B5566" s="15" t="s">
        <v>795</v>
      </c>
      <c r="C5566" s="15" t="s">
        <v>795</v>
      </c>
      <c r="D5566" s="15" t="s">
        <v>795</v>
      </c>
      <c r="F5566" s="42"/>
    </row>
    <row r="5567" spans="1:6" x14ac:dyDescent="0.3">
      <c r="A5567" s="15" t="s">
        <v>42892</v>
      </c>
      <c r="B5567" s="15" t="s">
        <v>10356</v>
      </c>
      <c r="C5567" s="15" t="s">
        <v>800</v>
      </c>
      <c r="D5567" s="15" t="s">
        <v>10357</v>
      </c>
      <c r="E5567" s="15">
        <v>28.54</v>
      </c>
      <c r="F5567" s="42">
        <v>46198</v>
      </c>
    </row>
    <row r="5568" spans="1:6" x14ac:dyDescent="0.3">
      <c r="A5568" s="15" t="s">
        <v>42891</v>
      </c>
      <c r="B5568" s="15" t="s">
        <v>10358</v>
      </c>
      <c r="C5568" s="15" t="s">
        <v>10359</v>
      </c>
      <c r="D5568" s="15" t="s">
        <v>10360</v>
      </c>
      <c r="E5568" s="15">
        <v>28.54</v>
      </c>
      <c r="F5568" s="42">
        <v>46198</v>
      </c>
    </row>
    <row r="5569" spans="1:6" x14ac:dyDescent="0.3">
      <c r="A5569" s="15" t="s">
        <v>42890</v>
      </c>
      <c r="B5569" s="15" t="s">
        <v>10361</v>
      </c>
      <c r="C5569" s="15" t="s">
        <v>800</v>
      </c>
      <c r="D5569" s="15" t="s">
        <v>10362</v>
      </c>
      <c r="E5569" s="15">
        <v>26.32</v>
      </c>
      <c r="F5569" s="42">
        <v>46198</v>
      </c>
    </row>
    <row r="5570" spans="1:6" x14ac:dyDescent="0.3">
      <c r="A5570" s="15" t="s">
        <v>42889</v>
      </c>
      <c r="B5570" s="15" t="s">
        <v>10363</v>
      </c>
      <c r="C5570" s="15" t="s">
        <v>10364</v>
      </c>
      <c r="D5570" s="15" t="s">
        <v>10365</v>
      </c>
      <c r="E5570" s="15">
        <v>26.32</v>
      </c>
      <c r="F5570" s="42">
        <v>46198</v>
      </c>
    </row>
    <row r="5571" spans="1:6" x14ac:dyDescent="0.3">
      <c r="A5571" s="15" t="s">
        <v>33499</v>
      </c>
      <c r="B5571" s="15" t="s">
        <v>795</v>
      </c>
      <c r="C5571" s="15" t="s">
        <v>795</v>
      </c>
      <c r="D5571" s="15" t="s">
        <v>795</v>
      </c>
      <c r="F5571" s="42"/>
    </row>
    <row r="5572" spans="1:6" x14ac:dyDescent="0.3">
      <c r="A5572" s="15" t="s">
        <v>33500</v>
      </c>
      <c r="B5572" s="15" t="s">
        <v>795</v>
      </c>
      <c r="C5572" s="15" t="s">
        <v>795</v>
      </c>
      <c r="D5572" s="15" t="s">
        <v>795</v>
      </c>
      <c r="F5572" s="42"/>
    </row>
    <row r="5573" spans="1:6" x14ac:dyDescent="0.3">
      <c r="A5573" s="15" t="s">
        <v>33499</v>
      </c>
      <c r="B5573" s="15" t="s">
        <v>795</v>
      </c>
      <c r="C5573" s="15" t="s">
        <v>795</v>
      </c>
      <c r="D5573" s="15" t="s">
        <v>795</v>
      </c>
      <c r="F5573" s="42"/>
    </row>
    <row r="5574" spans="1:6" x14ac:dyDescent="0.3">
      <c r="A5574" s="15" t="s">
        <v>42888</v>
      </c>
      <c r="B5574" s="15" t="s">
        <v>10366</v>
      </c>
      <c r="C5574" s="15" t="s">
        <v>800</v>
      </c>
      <c r="D5574" s="15" t="s">
        <v>10367</v>
      </c>
      <c r="E5574" s="15">
        <v>198.0153</v>
      </c>
      <c r="F5574" s="42">
        <v>46198</v>
      </c>
    </row>
    <row r="5575" spans="1:6" x14ac:dyDescent="0.3">
      <c r="A5575" s="15" t="s">
        <v>42887</v>
      </c>
      <c r="B5575" s="15" t="s">
        <v>10368</v>
      </c>
      <c r="C5575" s="15" t="s">
        <v>10369</v>
      </c>
      <c r="D5575" s="15" t="s">
        <v>10370</v>
      </c>
      <c r="E5575" s="15">
        <v>97.3065</v>
      </c>
      <c r="F5575" s="42">
        <v>46198</v>
      </c>
    </row>
    <row r="5576" spans="1:6" x14ac:dyDescent="0.3">
      <c r="A5576" s="15" t="s">
        <v>42886</v>
      </c>
      <c r="B5576" s="15" t="s">
        <v>10371</v>
      </c>
      <c r="C5576" s="15" t="s">
        <v>800</v>
      </c>
      <c r="D5576" s="15" t="s">
        <v>10372</v>
      </c>
      <c r="E5576" s="15">
        <v>183.26920000000001</v>
      </c>
      <c r="F5576" s="42">
        <v>46198</v>
      </c>
    </row>
    <row r="5577" spans="1:6" x14ac:dyDescent="0.3">
      <c r="A5577" s="15" t="s">
        <v>42885</v>
      </c>
      <c r="B5577" s="15" t="s">
        <v>10373</v>
      </c>
      <c r="C5577" s="15" t="s">
        <v>10374</v>
      </c>
      <c r="D5577" s="15" t="s">
        <v>10375</v>
      </c>
      <c r="E5577" s="15">
        <v>89.280799999999999</v>
      </c>
      <c r="F5577" s="42">
        <v>46198</v>
      </c>
    </row>
    <row r="5578" spans="1:6" x14ac:dyDescent="0.3">
      <c r="A5578" s="15" t="s">
        <v>33499</v>
      </c>
      <c r="B5578" s="15" t="s">
        <v>795</v>
      </c>
      <c r="C5578" s="15" t="s">
        <v>795</v>
      </c>
      <c r="D5578" s="15" t="s">
        <v>795</v>
      </c>
      <c r="F5578" s="42"/>
    </row>
    <row r="5579" spans="1:6" x14ac:dyDescent="0.3">
      <c r="A5579" s="15" t="s">
        <v>40172</v>
      </c>
      <c r="B5579" s="15" t="s">
        <v>795</v>
      </c>
      <c r="C5579" s="15" t="s">
        <v>795</v>
      </c>
      <c r="D5579" s="15" t="s">
        <v>795</v>
      </c>
      <c r="F5579" s="42"/>
    </row>
    <row r="5580" spans="1:6" x14ac:dyDescent="0.3">
      <c r="A5580" s="15" t="s">
        <v>33499</v>
      </c>
      <c r="B5580" s="15" t="s">
        <v>795</v>
      </c>
      <c r="C5580" s="15" t="s">
        <v>795</v>
      </c>
      <c r="D5580" s="15" t="s">
        <v>795</v>
      </c>
      <c r="F5580" s="42"/>
    </row>
    <row r="5581" spans="1:6" x14ac:dyDescent="0.3">
      <c r="A5581" s="15" t="s">
        <v>42884</v>
      </c>
      <c r="B5581" s="15" t="s">
        <v>10376</v>
      </c>
      <c r="C5581" s="15" t="s">
        <v>800</v>
      </c>
      <c r="D5581" s="15" t="s">
        <v>10377</v>
      </c>
      <c r="E5581" s="15">
        <v>14.013</v>
      </c>
      <c r="F5581" s="42">
        <v>46198</v>
      </c>
    </row>
    <row r="5582" spans="1:6" x14ac:dyDescent="0.3">
      <c r="A5582" s="15" t="s">
        <v>42883</v>
      </c>
      <c r="B5582" s="15" t="s">
        <v>10378</v>
      </c>
      <c r="C5582" s="15" t="s">
        <v>800</v>
      </c>
      <c r="D5582" s="15" t="s">
        <v>10379</v>
      </c>
      <c r="E5582" s="15">
        <v>13.467000000000001</v>
      </c>
      <c r="F5582" s="42">
        <v>46198</v>
      </c>
    </row>
    <row r="5583" spans="1:6" x14ac:dyDescent="0.3">
      <c r="A5583" s="15" t="s">
        <v>33499</v>
      </c>
      <c r="B5583" s="15" t="s">
        <v>795</v>
      </c>
      <c r="C5583" s="15" t="s">
        <v>795</v>
      </c>
      <c r="D5583" s="15" t="s">
        <v>795</v>
      </c>
      <c r="F5583" s="42"/>
    </row>
    <row r="5584" spans="1:6" x14ac:dyDescent="0.3">
      <c r="A5584" s="15" t="s">
        <v>42882</v>
      </c>
      <c r="B5584" s="15" t="s">
        <v>795</v>
      </c>
      <c r="C5584" s="15" t="s">
        <v>795</v>
      </c>
      <c r="D5584" s="15" t="s">
        <v>795</v>
      </c>
      <c r="F5584" s="42"/>
    </row>
    <row r="5585" spans="1:6" x14ac:dyDescent="0.3">
      <c r="A5585" s="15" t="s">
        <v>33499</v>
      </c>
      <c r="B5585" s="15" t="s">
        <v>795</v>
      </c>
      <c r="C5585" s="15" t="s">
        <v>795</v>
      </c>
      <c r="D5585" s="15" t="s">
        <v>795</v>
      </c>
      <c r="F5585" s="42"/>
    </row>
    <row r="5586" spans="1:6" x14ac:dyDescent="0.3">
      <c r="A5586" s="15" t="s">
        <v>37122</v>
      </c>
      <c r="B5586" s="15" t="s">
        <v>795</v>
      </c>
      <c r="C5586" s="15" t="s">
        <v>795</v>
      </c>
      <c r="D5586" s="15" t="s">
        <v>795</v>
      </c>
      <c r="F5586" s="42"/>
    </row>
    <row r="5587" spans="1:6" x14ac:dyDescent="0.3">
      <c r="A5587" s="15" t="s">
        <v>33499</v>
      </c>
      <c r="B5587" s="15" t="s">
        <v>795</v>
      </c>
      <c r="C5587" s="15" t="s">
        <v>795</v>
      </c>
      <c r="D5587" s="15" t="s">
        <v>795</v>
      </c>
      <c r="F5587" s="42"/>
    </row>
    <row r="5588" spans="1:6" x14ac:dyDescent="0.3">
      <c r="A5588" s="15" t="s">
        <v>42881</v>
      </c>
      <c r="B5588" s="15" t="s">
        <v>10380</v>
      </c>
      <c r="C5588" s="15" t="s">
        <v>800</v>
      </c>
      <c r="D5588" s="15" t="s">
        <v>10381</v>
      </c>
      <c r="E5588" s="15">
        <v>569.26</v>
      </c>
      <c r="F5588" s="42">
        <v>46198</v>
      </c>
    </row>
    <row r="5589" spans="1:6" x14ac:dyDescent="0.3">
      <c r="A5589" s="15" t="s">
        <v>42880</v>
      </c>
      <c r="B5589" s="15" t="s">
        <v>10382</v>
      </c>
      <c r="C5589" s="15" t="s">
        <v>10383</v>
      </c>
      <c r="D5589" s="15" t="s">
        <v>10384</v>
      </c>
      <c r="E5589" s="15">
        <v>91.56</v>
      </c>
      <c r="F5589" s="42">
        <v>46198</v>
      </c>
    </row>
    <row r="5590" spans="1:6" x14ac:dyDescent="0.3">
      <c r="A5590" s="15" t="s">
        <v>42879</v>
      </c>
      <c r="B5590" s="15" t="s">
        <v>10385</v>
      </c>
      <c r="C5590" s="15" t="s">
        <v>800</v>
      </c>
      <c r="D5590" s="15" t="s">
        <v>10386</v>
      </c>
      <c r="E5590" s="15">
        <v>511.97</v>
      </c>
      <c r="F5590" s="42">
        <v>46198</v>
      </c>
    </row>
    <row r="5591" spans="1:6" x14ac:dyDescent="0.3">
      <c r="A5591" s="15" t="s">
        <v>42878</v>
      </c>
      <c r="B5591" s="15" t="s">
        <v>10387</v>
      </c>
      <c r="C5591" s="15" t="s">
        <v>10388</v>
      </c>
      <c r="D5591" s="15" t="s">
        <v>10389</v>
      </c>
      <c r="E5591" s="15">
        <v>38.11</v>
      </c>
      <c r="F5591" s="42">
        <v>46198</v>
      </c>
    </row>
    <row r="5592" spans="1:6" x14ac:dyDescent="0.3">
      <c r="A5592" s="15" t="s">
        <v>33499</v>
      </c>
      <c r="B5592" s="15" t="s">
        <v>795</v>
      </c>
      <c r="C5592" s="15" t="s">
        <v>795</v>
      </c>
      <c r="D5592" s="15" t="s">
        <v>795</v>
      </c>
      <c r="F5592" s="42"/>
    </row>
    <row r="5593" spans="1:6" x14ac:dyDescent="0.3">
      <c r="A5593" s="15" t="s">
        <v>37087</v>
      </c>
      <c r="B5593" s="15" t="s">
        <v>795</v>
      </c>
      <c r="C5593" s="15" t="s">
        <v>795</v>
      </c>
      <c r="D5593" s="15" t="s">
        <v>795</v>
      </c>
      <c r="F5593" s="42"/>
    </row>
    <row r="5594" spans="1:6" x14ac:dyDescent="0.3">
      <c r="A5594" s="15" t="s">
        <v>33499</v>
      </c>
      <c r="B5594" s="15" t="s">
        <v>795</v>
      </c>
      <c r="C5594" s="15" t="s">
        <v>795</v>
      </c>
      <c r="D5594" s="15" t="s">
        <v>795</v>
      </c>
      <c r="F5594" s="42"/>
    </row>
    <row r="5595" spans="1:6" x14ac:dyDescent="0.3">
      <c r="A5595" s="15" t="s">
        <v>42877</v>
      </c>
      <c r="B5595" s="15" t="s">
        <v>10390</v>
      </c>
      <c r="C5595" s="15" t="s">
        <v>800</v>
      </c>
      <c r="D5595" s="15" t="s">
        <v>10391</v>
      </c>
      <c r="E5595" s="15">
        <v>68.790000000000006</v>
      </c>
      <c r="F5595" s="42">
        <v>46198</v>
      </c>
    </row>
    <row r="5596" spans="1:6" x14ac:dyDescent="0.3">
      <c r="A5596" s="15" t="s">
        <v>42876</v>
      </c>
      <c r="B5596" s="15" t="s">
        <v>10392</v>
      </c>
      <c r="C5596" s="15" t="s">
        <v>10393</v>
      </c>
      <c r="D5596" s="15" t="s">
        <v>10394</v>
      </c>
      <c r="E5596" s="15">
        <v>24.92</v>
      </c>
      <c r="F5596" s="42">
        <v>46198</v>
      </c>
    </row>
    <row r="5597" spans="1:6" x14ac:dyDescent="0.3">
      <c r="A5597" s="15" t="s">
        <v>42875</v>
      </c>
      <c r="B5597" s="15" t="s">
        <v>10395</v>
      </c>
      <c r="C5597" s="15" t="s">
        <v>800</v>
      </c>
      <c r="D5597" s="15" t="s">
        <v>10396</v>
      </c>
      <c r="E5597" s="15">
        <v>59.32</v>
      </c>
      <c r="F5597" s="42">
        <v>46198</v>
      </c>
    </row>
    <row r="5598" spans="1:6" x14ac:dyDescent="0.3">
      <c r="A5598" s="15" t="s">
        <v>42874</v>
      </c>
      <c r="B5598" s="15" t="s">
        <v>10397</v>
      </c>
      <c r="C5598" s="15" t="s">
        <v>10398</v>
      </c>
      <c r="D5598" s="15" t="s">
        <v>10399</v>
      </c>
      <c r="E5598" s="15">
        <v>17.37</v>
      </c>
      <c r="F5598" s="42">
        <v>46198</v>
      </c>
    </row>
    <row r="5599" spans="1:6" x14ac:dyDescent="0.3">
      <c r="A5599" s="15" t="s">
        <v>33499</v>
      </c>
      <c r="B5599" s="15" t="s">
        <v>795</v>
      </c>
      <c r="C5599" s="15" t="s">
        <v>795</v>
      </c>
      <c r="D5599" s="15" t="s">
        <v>795</v>
      </c>
      <c r="F5599" s="42"/>
    </row>
    <row r="5600" spans="1:6" x14ac:dyDescent="0.3">
      <c r="A5600" s="15" t="s">
        <v>37923</v>
      </c>
      <c r="B5600" s="15" t="s">
        <v>795</v>
      </c>
      <c r="C5600" s="15" t="s">
        <v>795</v>
      </c>
      <c r="D5600" s="15" t="s">
        <v>795</v>
      </c>
      <c r="F5600" s="42"/>
    </row>
    <row r="5601" spans="1:6" x14ac:dyDescent="0.3">
      <c r="A5601" s="15" t="s">
        <v>33499</v>
      </c>
      <c r="B5601" s="15" t="s">
        <v>795</v>
      </c>
      <c r="C5601" s="15" t="s">
        <v>795</v>
      </c>
      <c r="D5601" s="15" t="s">
        <v>795</v>
      </c>
      <c r="F5601" s="42"/>
    </row>
    <row r="5602" spans="1:6" x14ac:dyDescent="0.3">
      <c r="A5602" s="15" t="s">
        <v>42873</v>
      </c>
      <c r="B5602" s="15" t="s">
        <v>10400</v>
      </c>
      <c r="C5602" s="15" t="s">
        <v>800</v>
      </c>
      <c r="D5602" s="15" t="s">
        <v>10401</v>
      </c>
      <c r="E5602" s="15">
        <v>10.220000000000001</v>
      </c>
      <c r="F5602" s="42">
        <v>46198</v>
      </c>
    </row>
    <row r="5603" spans="1:6" x14ac:dyDescent="0.3">
      <c r="A5603" s="15" t="s">
        <v>42872</v>
      </c>
      <c r="B5603" s="15" t="s">
        <v>10402</v>
      </c>
      <c r="C5603" s="15" t="s">
        <v>10403</v>
      </c>
      <c r="D5603" s="15" t="s">
        <v>10404</v>
      </c>
      <c r="E5603" s="15">
        <v>10.220000000000001</v>
      </c>
      <c r="F5603" s="42">
        <v>46198</v>
      </c>
    </row>
    <row r="5604" spans="1:6" x14ac:dyDescent="0.3">
      <c r="A5604" s="15" t="s">
        <v>42871</v>
      </c>
      <c r="B5604" s="15" t="s">
        <v>10405</v>
      </c>
      <c r="C5604" s="15" t="s">
        <v>800</v>
      </c>
      <c r="D5604" s="15" t="s">
        <v>10406</v>
      </c>
      <c r="E5604" s="15">
        <v>9.9410000000000007</v>
      </c>
      <c r="F5604" s="42">
        <v>46198</v>
      </c>
    </row>
    <row r="5605" spans="1:6" x14ac:dyDescent="0.3">
      <c r="A5605" s="15" t="s">
        <v>42870</v>
      </c>
      <c r="B5605" s="15" t="s">
        <v>10407</v>
      </c>
      <c r="C5605" s="15" t="s">
        <v>10408</v>
      </c>
      <c r="D5605" s="15" t="s">
        <v>10409</v>
      </c>
      <c r="E5605" s="15">
        <v>9.9410000000000007</v>
      </c>
      <c r="F5605" s="42">
        <v>46198</v>
      </c>
    </row>
    <row r="5606" spans="1:6" x14ac:dyDescent="0.3">
      <c r="A5606" s="15" t="s">
        <v>33499</v>
      </c>
      <c r="B5606" s="15" t="s">
        <v>795</v>
      </c>
      <c r="C5606" s="15" t="s">
        <v>795</v>
      </c>
      <c r="D5606" s="15" t="s">
        <v>795</v>
      </c>
      <c r="F5606" s="42"/>
    </row>
    <row r="5607" spans="1:6" x14ac:dyDescent="0.3">
      <c r="A5607" s="15" t="s">
        <v>37073</v>
      </c>
      <c r="B5607" s="15" t="s">
        <v>795</v>
      </c>
      <c r="C5607" s="15" t="s">
        <v>795</v>
      </c>
      <c r="D5607" s="15" t="s">
        <v>795</v>
      </c>
      <c r="F5607" s="42"/>
    </row>
    <row r="5608" spans="1:6" x14ac:dyDescent="0.3">
      <c r="A5608" s="15" t="s">
        <v>33499</v>
      </c>
      <c r="B5608" s="15" t="s">
        <v>795</v>
      </c>
      <c r="C5608" s="15" t="s">
        <v>795</v>
      </c>
      <c r="D5608" s="15" t="s">
        <v>795</v>
      </c>
      <c r="F5608" s="42"/>
    </row>
    <row r="5609" spans="1:6" x14ac:dyDescent="0.3">
      <c r="A5609" s="15" t="s">
        <v>42869</v>
      </c>
      <c r="B5609" s="15" t="s">
        <v>10410</v>
      </c>
      <c r="C5609" s="15" t="s">
        <v>800</v>
      </c>
      <c r="D5609" s="15" t="s">
        <v>10411</v>
      </c>
      <c r="E5609" s="15">
        <v>76.893000000000001</v>
      </c>
      <c r="F5609" s="42">
        <v>46198</v>
      </c>
    </row>
    <row r="5610" spans="1:6" x14ac:dyDescent="0.3">
      <c r="A5610" s="15" t="s">
        <v>42868</v>
      </c>
      <c r="B5610" s="15" t="s">
        <v>10412</v>
      </c>
      <c r="C5610" s="15" t="s">
        <v>10413</v>
      </c>
      <c r="D5610" s="15" t="s">
        <v>10414</v>
      </c>
      <c r="E5610" s="15">
        <v>21.195</v>
      </c>
      <c r="F5610" s="42">
        <v>46198</v>
      </c>
    </row>
    <row r="5611" spans="1:6" x14ac:dyDescent="0.3">
      <c r="A5611" s="15" t="s">
        <v>42867</v>
      </c>
      <c r="B5611" s="15" t="s">
        <v>10415</v>
      </c>
      <c r="C5611" s="15" t="s">
        <v>800</v>
      </c>
      <c r="D5611" s="15" t="s">
        <v>10416</v>
      </c>
      <c r="E5611" s="15">
        <v>89.275999999999996</v>
      </c>
      <c r="F5611" s="42">
        <v>46198</v>
      </c>
    </row>
    <row r="5612" spans="1:6" x14ac:dyDescent="0.3">
      <c r="A5612" s="15" t="s">
        <v>42866</v>
      </c>
      <c r="B5612" s="15" t="s">
        <v>10417</v>
      </c>
      <c r="C5612" s="15" t="s">
        <v>10418</v>
      </c>
      <c r="D5612" s="15" t="s">
        <v>10419</v>
      </c>
      <c r="E5612" s="15">
        <v>28.100999999999999</v>
      </c>
      <c r="F5612" s="42">
        <v>46198</v>
      </c>
    </row>
    <row r="5613" spans="1:6" x14ac:dyDescent="0.3">
      <c r="A5613" s="15" t="s">
        <v>33499</v>
      </c>
      <c r="B5613" s="15" t="s">
        <v>795</v>
      </c>
      <c r="C5613" s="15" t="s">
        <v>795</v>
      </c>
      <c r="D5613" s="15" t="s">
        <v>795</v>
      </c>
      <c r="F5613" s="42"/>
    </row>
    <row r="5614" spans="1:6" x14ac:dyDescent="0.3">
      <c r="A5614" s="15" t="s">
        <v>37447</v>
      </c>
      <c r="B5614" s="15" t="s">
        <v>795</v>
      </c>
      <c r="C5614" s="15" t="s">
        <v>795</v>
      </c>
      <c r="D5614" s="15" t="s">
        <v>795</v>
      </c>
      <c r="F5614" s="42"/>
    </row>
    <row r="5615" spans="1:6" x14ac:dyDescent="0.3">
      <c r="A5615" s="15" t="s">
        <v>33499</v>
      </c>
      <c r="B5615" s="15" t="s">
        <v>795</v>
      </c>
      <c r="C5615" s="15" t="s">
        <v>795</v>
      </c>
      <c r="D5615" s="15" t="s">
        <v>795</v>
      </c>
      <c r="F5615" s="42"/>
    </row>
    <row r="5616" spans="1:6" x14ac:dyDescent="0.3">
      <c r="A5616" s="15" t="s">
        <v>42865</v>
      </c>
      <c r="B5616" s="15" t="s">
        <v>10420</v>
      </c>
      <c r="C5616" s="15" t="s">
        <v>800</v>
      </c>
      <c r="D5616" s="15" t="s">
        <v>10421</v>
      </c>
      <c r="E5616" s="15">
        <v>17.75</v>
      </c>
      <c r="F5616" s="42">
        <v>46198</v>
      </c>
    </row>
    <row r="5617" spans="1:6" x14ac:dyDescent="0.3">
      <c r="A5617" s="15" t="s">
        <v>42864</v>
      </c>
      <c r="B5617" s="15" t="s">
        <v>10422</v>
      </c>
      <c r="C5617" s="15" t="s">
        <v>10423</v>
      </c>
      <c r="D5617" s="15" t="s">
        <v>10424</v>
      </c>
      <c r="E5617" s="15">
        <v>17.71</v>
      </c>
      <c r="F5617" s="42">
        <v>46198</v>
      </c>
    </row>
    <row r="5618" spans="1:6" x14ac:dyDescent="0.3">
      <c r="A5618" s="15" t="s">
        <v>42863</v>
      </c>
      <c r="B5618" s="15" t="s">
        <v>10425</v>
      </c>
      <c r="C5618" s="15" t="s">
        <v>800</v>
      </c>
      <c r="D5618" s="15" t="s">
        <v>10426</v>
      </c>
      <c r="E5618" s="15">
        <v>16.63</v>
      </c>
      <c r="F5618" s="42">
        <v>46198</v>
      </c>
    </row>
    <row r="5619" spans="1:6" x14ac:dyDescent="0.3">
      <c r="A5619" s="15" t="s">
        <v>42862</v>
      </c>
      <c r="B5619" s="15" t="s">
        <v>10427</v>
      </c>
      <c r="C5619" s="15" t="s">
        <v>10428</v>
      </c>
      <c r="D5619" s="15" t="s">
        <v>10429</v>
      </c>
      <c r="E5619" s="15">
        <v>16.63</v>
      </c>
      <c r="F5619" s="42">
        <v>46198</v>
      </c>
    </row>
    <row r="5620" spans="1:6" x14ac:dyDescent="0.3">
      <c r="A5620" s="15" t="s">
        <v>33499</v>
      </c>
      <c r="B5620" s="15" t="s">
        <v>795</v>
      </c>
      <c r="C5620" s="15" t="s">
        <v>795</v>
      </c>
      <c r="D5620" s="15" t="s">
        <v>795</v>
      </c>
      <c r="F5620" s="42"/>
    </row>
    <row r="5621" spans="1:6" x14ac:dyDescent="0.3">
      <c r="A5621" s="15" t="s">
        <v>37566</v>
      </c>
      <c r="B5621" s="15" t="s">
        <v>795</v>
      </c>
      <c r="C5621" s="15" t="s">
        <v>795</v>
      </c>
      <c r="D5621" s="15" t="s">
        <v>795</v>
      </c>
      <c r="F5621" s="42"/>
    </row>
    <row r="5622" spans="1:6" x14ac:dyDescent="0.3">
      <c r="A5622" s="15" t="s">
        <v>33499</v>
      </c>
      <c r="B5622" s="15" t="s">
        <v>795</v>
      </c>
      <c r="C5622" s="15" t="s">
        <v>795</v>
      </c>
      <c r="D5622" s="15" t="s">
        <v>795</v>
      </c>
      <c r="F5622" s="42"/>
    </row>
    <row r="5623" spans="1:6" x14ac:dyDescent="0.3">
      <c r="A5623" s="15" t="s">
        <v>42861</v>
      </c>
      <c r="B5623" s="15" t="s">
        <v>10430</v>
      </c>
      <c r="C5623" s="15" t="s">
        <v>800</v>
      </c>
      <c r="D5623" s="15" t="s">
        <v>10431</v>
      </c>
      <c r="E5623" s="15">
        <v>253.72659999999999</v>
      </c>
      <c r="F5623" s="42">
        <v>46198</v>
      </c>
    </row>
    <row r="5624" spans="1:6" x14ac:dyDescent="0.3">
      <c r="A5624" s="15" t="s">
        <v>42860</v>
      </c>
      <c r="B5624" s="15" t="s">
        <v>10432</v>
      </c>
      <c r="C5624" s="15" t="s">
        <v>10433</v>
      </c>
      <c r="D5624" s="15" t="s">
        <v>10434</v>
      </c>
      <c r="E5624" s="15">
        <v>25.7822</v>
      </c>
      <c r="F5624" s="42">
        <v>46198</v>
      </c>
    </row>
    <row r="5625" spans="1:6" x14ac:dyDescent="0.3">
      <c r="A5625" s="15" t="s">
        <v>42859</v>
      </c>
      <c r="B5625" s="15" t="s">
        <v>10435</v>
      </c>
      <c r="C5625" s="15" t="s">
        <v>10436</v>
      </c>
      <c r="D5625" s="15" t="s">
        <v>10437</v>
      </c>
      <c r="E5625" s="15">
        <v>21.220600000000001</v>
      </c>
      <c r="F5625" s="42">
        <v>46198</v>
      </c>
    </row>
    <row r="5626" spans="1:6" x14ac:dyDescent="0.3">
      <c r="A5626" s="15" t="s">
        <v>42858</v>
      </c>
      <c r="B5626" s="15" t="s">
        <v>10438</v>
      </c>
      <c r="C5626" s="15" t="s">
        <v>800</v>
      </c>
      <c r="D5626" s="15" t="s">
        <v>10439</v>
      </c>
      <c r="E5626" s="15">
        <v>217.52510000000001</v>
      </c>
      <c r="F5626" s="42">
        <v>46198</v>
      </c>
    </row>
    <row r="5627" spans="1:6" x14ac:dyDescent="0.3">
      <c r="A5627" s="15" t="s">
        <v>33499</v>
      </c>
      <c r="B5627" s="15" t="s">
        <v>795</v>
      </c>
      <c r="C5627" s="15" t="s">
        <v>795</v>
      </c>
      <c r="D5627" s="15" t="s">
        <v>795</v>
      </c>
      <c r="F5627" s="42"/>
    </row>
    <row r="5628" spans="1:6" x14ac:dyDescent="0.3">
      <c r="A5628" s="15" t="s">
        <v>40284</v>
      </c>
      <c r="B5628" s="15" t="s">
        <v>795</v>
      </c>
      <c r="C5628" s="15" t="s">
        <v>795</v>
      </c>
      <c r="D5628" s="15" t="s">
        <v>795</v>
      </c>
      <c r="F5628" s="42"/>
    </row>
    <row r="5629" spans="1:6" x14ac:dyDescent="0.3">
      <c r="A5629" s="15" t="s">
        <v>33499</v>
      </c>
      <c r="B5629" s="15" t="s">
        <v>795</v>
      </c>
      <c r="C5629" s="15" t="s">
        <v>795</v>
      </c>
      <c r="D5629" s="15" t="s">
        <v>795</v>
      </c>
      <c r="F5629" s="42"/>
    </row>
    <row r="5630" spans="1:6" x14ac:dyDescent="0.3">
      <c r="A5630" s="15" t="s">
        <v>42857</v>
      </c>
      <c r="B5630" s="15" t="s">
        <v>10440</v>
      </c>
      <c r="C5630" s="15" t="s">
        <v>800</v>
      </c>
      <c r="D5630" s="15" t="s">
        <v>10441</v>
      </c>
      <c r="E5630" s="15">
        <v>71.41</v>
      </c>
      <c r="F5630" s="42">
        <v>46198</v>
      </c>
    </row>
    <row r="5631" spans="1:6" x14ac:dyDescent="0.3">
      <c r="A5631" s="15" t="s">
        <v>42856</v>
      </c>
      <c r="B5631" s="15" t="s">
        <v>10442</v>
      </c>
      <c r="C5631" s="15" t="s">
        <v>10443</v>
      </c>
      <c r="D5631" s="15" t="s">
        <v>10444</v>
      </c>
      <c r="E5631" s="15">
        <v>52.05</v>
      </c>
      <c r="F5631" s="42">
        <v>46198</v>
      </c>
    </row>
    <row r="5632" spans="1:6" x14ac:dyDescent="0.3">
      <c r="A5632" s="15" t="s">
        <v>42855</v>
      </c>
      <c r="B5632" s="15" t="s">
        <v>10445</v>
      </c>
      <c r="C5632" s="15" t="s">
        <v>800</v>
      </c>
      <c r="D5632" s="15" t="s">
        <v>10446</v>
      </c>
      <c r="E5632" s="15">
        <v>61.15</v>
      </c>
      <c r="F5632" s="42">
        <v>46198</v>
      </c>
    </row>
    <row r="5633" spans="1:6" x14ac:dyDescent="0.3">
      <c r="A5633" s="15" t="s">
        <v>42854</v>
      </c>
      <c r="B5633" s="15" t="s">
        <v>10447</v>
      </c>
      <c r="C5633" s="15" t="s">
        <v>10448</v>
      </c>
      <c r="D5633" s="15" t="s">
        <v>10449</v>
      </c>
      <c r="E5633" s="15">
        <v>28.24</v>
      </c>
      <c r="F5633" s="42">
        <v>46198</v>
      </c>
    </row>
    <row r="5634" spans="1:6" x14ac:dyDescent="0.3">
      <c r="A5634" s="15" t="s">
        <v>33499</v>
      </c>
      <c r="B5634" s="15" t="s">
        <v>795</v>
      </c>
      <c r="C5634" s="15" t="s">
        <v>795</v>
      </c>
      <c r="D5634" s="15" t="s">
        <v>795</v>
      </c>
      <c r="F5634" s="42"/>
    </row>
    <row r="5635" spans="1:6" x14ac:dyDescent="0.3">
      <c r="A5635" s="15" t="s">
        <v>37061</v>
      </c>
      <c r="B5635" s="15" t="s">
        <v>795</v>
      </c>
      <c r="C5635" s="15" t="s">
        <v>795</v>
      </c>
      <c r="D5635" s="15" t="s">
        <v>795</v>
      </c>
      <c r="F5635" s="42"/>
    </row>
    <row r="5636" spans="1:6" x14ac:dyDescent="0.3">
      <c r="A5636" s="15" t="s">
        <v>33499</v>
      </c>
      <c r="B5636" s="15" t="s">
        <v>795</v>
      </c>
      <c r="C5636" s="15" t="s">
        <v>795</v>
      </c>
      <c r="D5636" s="15" t="s">
        <v>795</v>
      </c>
      <c r="F5636" s="42"/>
    </row>
    <row r="5637" spans="1:6" x14ac:dyDescent="0.3">
      <c r="A5637" s="15" t="s">
        <v>42853</v>
      </c>
      <c r="B5637" s="15" t="s">
        <v>10450</v>
      </c>
      <c r="C5637" s="15" t="s">
        <v>800</v>
      </c>
      <c r="D5637" s="15" t="s">
        <v>10451</v>
      </c>
      <c r="E5637" s="15">
        <v>506.43</v>
      </c>
      <c r="F5637" s="42">
        <v>46198</v>
      </c>
    </row>
    <row r="5638" spans="1:6" x14ac:dyDescent="0.3">
      <c r="A5638" s="15" t="s">
        <v>42852</v>
      </c>
      <c r="B5638" s="15" t="s">
        <v>10452</v>
      </c>
      <c r="C5638" s="15" t="s">
        <v>10453</v>
      </c>
      <c r="D5638" s="15" t="s">
        <v>10454</v>
      </c>
      <c r="E5638" s="15">
        <v>27.062999999999999</v>
      </c>
      <c r="F5638" s="42">
        <v>46198</v>
      </c>
    </row>
    <row r="5639" spans="1:6" x14ac:dyDescent="0.3">
      <c r="A5639" s="15" t="s">
        <v>42851</v>
      </c>
      <c r="B5639" s="15" t="s">
        <v>10455</v>
      </c>
      <c r="C5639" s="15" t="s">
        <v>800</v>
      </c>
      <c r="D5639" s="15" t="s">
        <v>10456</v>
      </c>
      <c r="E5639" s="15">
        <v>459.24</v>
      </c>
      <c r="F5639" s="42">
        <v>46198</v>
      </c>
    </row>
    <row r="5640" spans="1:6" x14ac:dyDescent="0.3">
      <c r="A5640" s="15" t="s">
        <v>42850</v>
      </c>
      <c r="B5640" s="15" t="s">
        <v>10457</v>
      </c>
      <c r="C5640" s="15" t="s">
        <v>10458</v>
      </c>
      <c r="D5640" s="15" t="s">
        <v>10459</v>
      </c>
      <c r="E5640" s="15">
        <v>23.414999999999999</v>
      </c>
      <c r="F5640" s="42">
        <v>46198</v>
      </c>
    </row>
    <row r="5641" spans="1:6" x14ac:dyDescent="0.3">
      <c r="A5641" s="15" t="s">
        <v>33499</v>
      </c>
      <c r="B5641" s="15" t="s">
        <v>795</v>
      </c>
      <c r="C5641" s="15" t="s">
        <v>795</v>
      </c>
      <c r="D5641" s="15" t="s">
        <v>795</v>
      </c>
      <c r="F5641" s="42"/>
    </row>
    <row r="5642" spans="1:6" x14ac:dyDescent="0.3">
      <c r="A5642" s="15" t="s">
        <v>37895</v>
      </c>
      <c r="B5642" s="15" t="s">
        <v>795</v>
      </c>
      <c r="C5642" s="15" t="s">
        <v>795</v>
      </c>
      <c r="D5642" s="15" t="s">
        <v>795</v>
      </c>
      <c r="F5642" s="42"/>
    </row>
    <row r="5643" spans="1:6" x14ac:dyDescent="0.3">
      <c r="A5643" s="15" t="s">
        <v>33499</v>
      </c>
      <c r="B5643" s="15" t="s">
        <v>795</v>
      </c>
      <c r="C5643" s="15" t="s">
        <v>795</v>
      </c>
      <c r="D5643" s="15" t="s">
        <v>795</v>
      </c>
      <c r="F5643" s="42"/>
    </row>
    <row r="5644" spans="1:6" x14ac:dyDescent="0.3">
      <c r="A5644" s="15" t="s">
        <v>42849</v>
      </c>
      <c r="B5644" s="15" t="s">
        <v>10460</v>
      </c>
      <c r="C5644" s="15" t="s">
        <v>10461</v>
      </c>
      <c r="D5644" s="15" t="s">
        <v>10462</v>
      </c>
      <c r="E5644" s="15">
        <v>37.71</v>
      </c>
      <c r="F5644" s="42">
        <v>46198</v>
      </c>
    </row>
    <row r="5645" spans="1:6" x14ac:dyDescent="0.3">
      <c r="A5645" s="15" t="s">
        <v>42848</v>
      </c>
      <c r="B5645" s="15" t="s">
        <v>10463</v>
      </c>
      <c r="C5645" s="15" t="s">
        <v>800</v>
      </c>
      <c r="D5645" s="15" t="s">
        <v>10464</v>
      </c>
      <c r="E5645" s="15">
        <v>95.54</v>
      </c>
      <c r="F5645" s="42">
        <v>46198</v>
      </c>
    </row>
    <row r="5646" spans="1:6" x14ac:dyDescent="0.3">
      <c r="A5646" s="15" t="s">
        <v>42847</v>
      </c>
      <c r="B5646" s="15" t="s">
        <v>10465</v>
      </c>
      <c r="C5646" s="15" t="s">
        <v>10466</v>
      </c>
      <c r="D5646" s="15" t="s">
        <v>10467</v>
      </c>
      <c r="E5646" s="15">
        <v>80.56</v>
      </c>
      <c r="F5646" s="42">
        <v>46198</v>
      </c>
    </row>
    <row r="5647" spans="1:6" x14ac:dyDescent="0.3">
      <c r="A5647" s="15" t="s">
        <v>42846</v>
      </c>
      <c r="B5647" s="15" t="s">
        <v>10468</v>
      </c>
      <c r="C5647" s="15" t="s">
        <v>10469</v>
      </c>
      <c r="D5647" s="15" t="s">
        <v>10470</v>
      </c>
      <c r="E5647" s="15">
        <v>66.61</v>
      </c>
      <c r="F5647" s="42">
        <v>46198</v>
      </c>
    </row>
    <row r="5648" spans="1:6" x14ac:dyDescent="0.3">
      <c r="A5648" s="15" t="s">
        <v>42845</v>
      </c>
      <c r="B5648" s="15" t="s">
        <v>10471</v>
      </c>
      <c r="C5648" s="15" t="s">
        <v>800</v>
      </c>
      <c r="D5648" s="15" t="s">
        <v>10472</v>
      </c>
      <c r="E5648" s="15">
        <v>82.07</v>
      </c>
      <c r="F5648" s="42">
        <v>46198</v>
      </c>
    </row>
    <row r="5649" spans="1:6" x14ac:dyDescent="0.3">
      <c r="A5649" s="15" t="s">
        <v>42844</v>
      </c>
      <c r="B5649" s="15" t="s">
        <v>10473</v>
      </c>
      <c r="C5649" s="15" t="s">
        <v>10474</v>
      </c>
      <c r="D5649" s="15" t="s">
        <v>10475</v>
      </c>
      <c r="E5649" s="15">
        <v>25.86</v>
      </c>
      <c r="F5649" s="42">
        <v>46198</v>
      </c>
    </row>
    <row r="5650" spans="1:6" x14ac:dyDescent="0.3">
      <c r="A5650" s="15" t="s">
        <v>42843</v>
      </c>
      <c r="B5650" s="15" t="s">
        <v>10476</v>
      </c>
      <c r="C5650" s="15" t="s">
        <v>800</v>
      </c>
      <c r="D5650" s="15" t="s">
        <v>10477</v>
      </c>
      <c r="E5650" s="15">
        <v>82.57</v>
      </c>
      <c r="F5650" s="42">
        <v>46198</v>
      </c>
    </row>
    <row r="5651" spans="1:6" x14ac:dyDescent="0.3">
      <c r="A5651" s="15" t="s">
        <v>42842</v>
      </c>
      <c r="B5651" s="15" t="s">
        <v>10478</v>
      </c>
      <c r="C5651" s="15" t="s">
        <v>800</v>
      </c>
      <c r="D5651" s="15" t="s">
        <v>10479</v>
      </c>
      <c r="E5651" s="15">
        <v>81.489999999999995</v>
      </c>
      <c r="F5651" s="42">
        <v>46198</v>
      </c>
    </row>
    <row r="5652" spans="1:6" x14ac:dyDescent="0.3">
      <c r="A5652" s="15" t="s">
        <v>33499</v>
      </c>
      <c r="B5652" s="15" t="s">
        <v>795</v>
      </c>
      <c r="C5652" s="15" t="s">
        <v>795</v>
      </c>
      <c r="D5652" s="15" t="s">
        <v>795</v>
      </c>
      <c r="F5652" s="42"/>
    </row>
    <row r="5653" spans="1:6" x14ac:dyDescent="0.3">
      <c r="A5653" s="15" t="s">
        <v>37044</v>
      </c>
      <c r="B5653" s="15" t="s">
        <v>795</v>
      </c>
      <c r="C5653" s="15" t="s">
        <v>795</v>
      </c>
      <c r="D5653" s="15" t="s">
        <v>795</v>
      </c>
      <c r="F5653" s="42"/>
    </row>
    <row r="5654" spans="1:6" x14ac:dyDescent="0.3">
      <c r="A5654" s="15" t="s">
        <v>33499</v>
      </c>
      <c r="B5654" s="15" t="s">
        <v>795</v>
      </c>
      <c r="C5654" s="15" t="s">
        <v>795</v>
      </c>
      <c r="D5654" s="15" t="s">
        <v>795</v>
      </c>
      <c r="F5654" s="42"/>
    </row>
    <row r="5655" spans="1:6" x14ac:dyDescent="0.3">
      <c r="A5655" s="15" t="s">
        <v>42841</v>
      </c>
      <c r="B5655" s="15" t="s">
        <v>10480</v>
      </c>
      <c r="C5655" s="15" t="s">
        <v>10481</v>
      </c>
      <c r="D5655" s="15" t="s">
        <v>10482</v>
      </c>
      <c r="E5655" s="15">
        <v>49.09</v>
      </c>
      <c r="F5655" s="42">
        <v>46198</v>
      </c>
    </row>
    <row r="5656" spans="1:6" x14ac:dyDescent="0.3">
      <c r="A5656" s="15" t="s">
        <v>42840</v>
      </c>
      <c r="B5656" s="15" t="s">
        <v>10483</v>
      </c>
      <c r="C5656" s="15" t="s">
        <v>10484</v>
      </c>
      <c r="D5656" s="15" t="s">
        <v>10485</v>
      </c>
      <c r="E5656" s="15">
        <v>42.059600000000003</v>
      </c>
      <c r="F5656" s="42">
        <v>46198</v>
      </c>
    </row>
    <row r="5657" spans="1:6" x14ac:dyDescent="0.3">
      <c r="A5657" s="15" t="s">
        <v>42839</v>
      </c>
      <c r="B5657" s="15" t="s">
        <v>10486</v>
      </c>
      <c r="C5657" s="15" t="s">
        <v>800</v>
      </c>
      <c r="D5657" s="15" t="s">
        <v>10487</v>
      </c>
      <c r="E5657" s="15">
        <v>1116.4448</v>
      </c>
      <c r="F5657" s="42">
        <v>46198</v>
      </c>
    </row>
    <row r="5658" spans="1:6" x14ac:dyDescent="0.3">
      <c r="A5658" s="15" t="s">
        <v>42838</v>
      </c>
      <c r="B5658" s="15" t="s">
        <v>10488</v>
      </c>
      <c r="C5658" s="15" t="s">
        <v>800</v>
      </c>
      <c r="D5658" s="15" t="s">
        <v>10489</v>
      </c>
      <c r="E5658" s="15">
        <v>1001.6288</v>
      </c>
      <c r="F5658" s="42">
        <v>46198</v>
      </c>
    </row>
    <row r="5659" spans="1:6" x14ac:dyDescent="0.3">
      <c r="A5659" s="15" t="s">
        <v>33499</v>
      </c>
      <c r="B5659" s="15" t="s">
        <v>795</v>
      </c>
      <c r="C5659" s="15" t="s">
        <v>795</v>
      </c>
      <c r="D5659" s="15" t="s">
        <v>795</v>
      </c>
      <c r="F5659" s="42"/>
    </row>
    <row r="5660" spans="1:6" x14ac:dyDescent="0.3">
      <c r="A5660" s="15" t="s">
        <v>37881</v>
      </c>
      <c r="B5660" s="15" t="s">
        <v>795</v>
      </c>
      <c r="C5660" s="15" t="s">
        <v>795</v>
      </c>
      <c r="D5660" s="15" t="s">
        <v>795</v>
      </c>
      <c r="F5660" s="42"/>
    </row>
    <row r="5661" spans="1:6" x14ac:dyDescent="0.3">
      <c r="A5661" s="15" t="s">
        <v>33499</v>
      </c>
      <c r="B5661" s="15" t="s">
        <v>795</v>
      </c>
      <c r="C5661" s="15" t="s">
        <v>795</v>
      </c>
      <c r="D5661" s="15" t="s">
        <v>795</v>
      </c>
      <c r="F5661" s="42"/>
    </row>
    <row r="5662" spans="1:6" x14ac:dyDescent="0.3">
      <c r="A5662" s="15" t="s">
        <v>42837</v>
      </c>
      <c r="B5662" s="15" t="s">
        <v>10490</v>
      </c>
      <c r="C5662" s="15" t="s">
        <v>800</v>
      </c>
      <c r="D5662" s="15" t="s">
        <v>10491</v>
      </c>
      <c r="E5662" s="15">
        <v>51.91</v>
      </c>
      <c r="F5662" s="42">
        <v>46198</v>
      </c>
    </row>
    <row r="5663" spans="1:6" x14ac:dyDescent="0.3">
      <c r="A5663" s="15" t="s">
        <v>42836</v>
      </c>
      <c r="B5663" s="15" t="s">
        <v>10492</v>
      </c>
      <c r="C5663" s="15" t="s">
        <v>800</v>
      </c>
      <c r="D5663" s="15" t="s">
        <v>10493</v>
      </c>
      <c r="E5663" s="15">
        <v>42.76</v>
      </c>
      <c r="F5663" s="42">
        <v>46198</v>
      </c>
    </row>
    <row r="5664" spans="1:6" x14ac:dyDescent="0.3">
      <c r="A5664" s="15" t="s">
        <v>42835</v>
      </c>
      <c r="B5664" s="15" t="s">
        <v>10494</v>
      </c>
      <c r="C5664" s="15" t="s">
        <v>10495</v>
      </c>
      <c r="D5664" s="15" t="s">
        <v>10496</v>
      </c>
      <c r="E5664" s="15">
        <v>30.06</v>
      </c>
      <c r="F5664" s="42">
        <v>46198</v>
      </c>
    </row>
    <row r="5665" spans="1:6" x14ac:dyDescent="0.3">
      <c r="A5665" s="15" t="s">
        <v>42834</v>
      </c>
      <c r="B5665" s="15" t="s">
        <v>10497</v>
      </c>
      <c r="C5665" s="15" t="s">
        <v>10498</v>
      </c>
      <c r="D5665" s="15" t="s">
        <v>10499</v>
      </c>
      <c r="E5665" s="15">
        <v>29.18</v>
      </c>
      <c r="F5665" s="42">
        <v>46198</v>
      </c>
    </row>
    <row r="5666" spans="1:6" x14ac:dyDescent="0.3">
      <c r="A5666" s="15" t="s">
        <v>42833</v>
      </c>
      <c r="B5666" s="15" t="s">
        <v>10500</v>
      </c>
      <c r="C5666" s="15" t="s">
        <v>10501</v>
      </c>
      <c r="D5666" s="15" t="s">
        <v>10502</v>
      </c>
      <c r="E5666" s="15">
        <v>23.18</v>
      </c>
      <c r="F5666" s="42">
        <v>46198</v>
      </c>
    </row>
    <row r="5667" spans="1:6" x14ac:dyDescent="0.3">
      <c r="A5667" s="15" t="s">
        <v>42832</v>
      </c>
      <c r="B5667" s="15" t="s">
        <v>10503</v>
      </c>
      <c r="C5667" s="15" t="s">
        <v>10504</v>
      </c>
      <c r="D5667" s="15" t="s">
        <v>10505</v>
      </c>
      <c r="E5667" s="15">
        <v>28.96</v>
      </c>
      <c r="F5667" s="42">
        <v>46198</v>
      </c>
    </row>
    <row r="5668" spans="1:6" x14ac:dyDescent="0.3">
      <c r="A5668" s="15" t="s">
        <v>42831</v>
      </c>
      <c r="B5668" s="15" t="s">
        <v>10506</v>
      </c>
      <c r="C5668" s="15" t="s">
        <v>10507</v>
      </c>
      <c r="D5668" s="15" t="s">
        <v>10508</v>
      </c>
      <c r="E5668" s="15">
        <v>24.09</v>
      </c>
      <c r="F5668" s="42">
        <v>46198</v>
      </c>
    </row>
    <row r="5669" spans="1:6" x14ac:dyDescent="0.3">
      <c r="A5669" s="15" t="s">
        <v>42830</v>
      </c>
      <c r="B5669" s="15" t="s">
        <v>10509</v>
      </c>
      <c r="C5669" s="15" t="s">
        <v>10510</v>
      </c>
      <c r="D5669" s="15" t="s">
        <v>10511</v>
      </c>
      <c r="E5669" s="15">
        <v>25.67</v>
      </c>
      <c r="F5669" s="42">
        <v>46198</v>
      </c>
    </row>
    <row r="5670" spans="1:6" x14ac:dyDescent="0.3">
      <c r="A5670" s="15" t="s">
        <v>42829</v>
      </c>
      <c r="B5670" s="15" t="s">
        <v>10512</v>
      </c>
      <c r="C5670" s="15" t="s">
        <v>10513</v>
      </c>
      <c r="D5670" s="15" t="s">
        <v>10514</v>
      </c>
      <c r="E5670" s="15">
        <v>24.63</v>
      </c>
      <c r="F5670" s="42">
        <v>46198</v>
      </c>
    </row>
    <row r="5671" spans="1:6" x14ac:dyDescent="0.3">
      <c r="A5671" s="15" t="s">
        <v>42828</v>
      </c>
      <c r="B5671" s="15" t="s">
        <v>10515</v>
      </c>
      <c r="C5671" s="15" t="s">
        <v>10516</v>
      </c>
      <c r="D5671" s="15" t="s">
        <v>10517</v>
      </c>
      <c r="E5671" s="15">
        <v>25.53</v>
      </c>
      <c r="F5671" s="42">
        <v>46198</v>
      </c>
    </row>
    <row r="5672" spans="1:6" x14ac:dyDescent="0.3">
      <c r="A5672" s="15" t="s">
        <v>33499</v>
      </c>
      <c r="B5672" s="15" t="s">
        <v>795</v>
      </c>
      <c r="C5672" s="15" t="s">
        <v>795</v>
      </c>
      <c r="D5672" s="15" t="s">
        <v>795</v>
      </c>
      <c r="F5672" s="42"/>
    </row>
    <row r="5673" spans="1:6" x14ac:dyDescent="0.3">
      <c r="A5673" s="15" t="s">
        <v>37043</v>
      </c>
      <c r="B5673" s="15" t="s">
        <v>795</v>
      </c>
      <c r="C5673" s="15" t="s">
        <v>795</v>
      </c>
      <c r="D5673" s="15" t="s">
        <v>795</v>
      </c>
      <c r="F5673" s="42"/>
    </row>
    <row r="5674" spans="1:6" x14ac:dyDescent="0.3">
      <c r="A5674" s="15" t="s">
        <v>33499</v>
      </c>
      <c r="B5674" s="15" t="s">
        <v>795</v>
      </c>
      <c r="C5674" s="15" t="s">
        <v>795</v>
      </c>
      <c r="D5674" s="15" t="s">
        <v>795</v>
      </c>
      <c r="F5674" s="42"/>
    </row>
    <row r="5675" spans="1:6" x14ac:dyDescent="0.3">
      <c r="A5675" s="15" t="s">
        <v>42827</v>
      </c>
      <c r="B5675" s="15" t="s">
        <v>10518</v>
      </c>
      <c r="C5675" s="15" t="s">
        <v>800</v>
      </c>
      <c r="D5675" s="15" t="s">
        <v>10519</v>
      </c>
      <c r="E5675" s="15">
        <v>1217.44</v>
      </c>
      <c r="F5675" s="42">
        <v>46198</v>
      </c>
    </row>
    <row r="5676" spans="1:6" x14ac:dyDescent="0.3">
      <c r="A5676" s="15" t="s">
        <v>42826</v>
      </c>
      <c r="B5676" s="15" t="s">
        <v>10520</v>
      </c>
      <c r="C5676" s="15" t="s">
        <v>800</v>
      </c>
      <c r="D5676" s="15" t="s">
        <v>10521</v>
      </c>
      <c r="E5676" s="15">
        <v>1119.4469999999999</v>
      </c>
      <c r="F5676" s="42">
        <v>46198</v>
      </c>
    </row>
    <row r="5677" spans="1:6" x14ac:dyDescent="0.3">
      <c r="A5677" s="15" t="s">
        <v>42825</v>
      </c>
      <c r="B5677" s="15" t="s">
        <v>10522</v>
      </c>
      <c r="C5677" s="15" t="s">
        <v>10523</v>
      </c>
      <c r="D5677" s="15" t="s">
        <v>10524</v>
      </c>
      <c r="E5677" s="15">
        <v>61.658000000000001</v>
      </c>
      <c r="F5677" s="42">
        <v>46198</v>
      </c>
    </row>
    <row r="5678" spans="1:6" x14ac:dyDescent="0.3">
      <c r="A5678" s="15" t="s">
        <v>42824</v>
      </c>
      <c r="B5678" s="15" t="s">
        <v>10525</v>
      </c>
      <c r="C5678" s="15" t="s">
        <v>10526</v>
      </c>
      <c r="D5678" s="15" t="s">
        <v>10527</v>
      </c>
      <c r="E5678" s="15">
        <v>51.265999999999998</v>
      </c>
      <c r="F5678" s="42">
        <v>46198</v>
      </c>
    </row>
    <row r="5679" spans="1:6" x14ac:dyDescent="0.3">
      <c r="A5679" s="15" t="s">
        <v>33499</v>
      </c>
      <c r="B5679" s="15" t="s">
        <v>795</v>
      </c>
      <c r="C5679" s="15" t="s">
        <v>795</v>
      </c>
      <c r="D5679" s="15" t="s">
        <v>795</v>
      </c>
      <c r="F5679" s="42"/>
    </row>
    <row r="5680" spans="1:6" x14ac:dyDescent="0.3">
      <c r="A5680" s="15" t="s">
        <v>36815</v>
      </c>
      <c r="B5680" s="15" t="s">
        <v>795</v>
      </c>
      <c r="C5680" s="15" t="s">
        <v>795</v>
      </c>
      <c r="D5680" s="15" t="s">
        <v>795</v>
      </c>
      <c r="F5680" s="42"/>
    </row>
    <row r="5681" spans="1:6" x14ac:dyDescent="0.3">
      <c r="A5681" s="15" t="s">
        <v>33499</v>
      </c>
      <c r="B5681" s="15" t="s">
        <v>795</v>
      </c>
      <c r="C5681" s="15" t="s">
        <v>795</v>
      </c>
      <c r="D5681" s="15" t="s">
        <v>795</v>
      </c>
      <c r="F5681" s="42"/>
    </row>
    <row r="5682" spans="1:6" x14ac:dyDescent="0.3">
      <c r="A5682" s="15" t="s">
        <v>42823</v>
      </c>
      <c r="B5682" s="15" t="s">
        <v>10528</v>
      </c>
      <c r="C5682" s="15" t="s">
        <v>800</v>
      </c>
      <c r="D5682" s="15" t="s">
        <v>10529</v>
      </c>
      <c r="E5682" s="15">
        <v>528.27459999999996</v>
      </c>
      <c r="F5682" s="42">
        <v>46198</v>
      </c>
    </row>
    <row r="5683" spans="1:6" x14ac:dyDescent="0.3">
      <c r="A5683" s="15" t="s">
        <v>42822</v>
      </c>
      <c r="B5683" s="15" t="s">
        <v>10530</v>
      </c>
      <c r="C5683" s="15" t="s">
        <v>10531</v>
      </c>
      <c r="D5683" s="15" t="s">
        <v>10532</v>
      </c>
      <c r="E5683" s="15">
        <v>39.526499999999999</v>
      </c>
      <c r="F5683" s="42">
        <v>46198</v>
      </c>
    </row>
    <row r="5684" spans="1:6" x14ac:dyDescent="0.3">
      <c r="A5684" s="15" t="s">
        <v>42821</v>
      </c>
      <c r="B5684" s="15" t="s">
        <v>10533</v>
      </c>
      <c r="C5684" s="15" t="s">
        <v>800</v>
      </c>
      <c r="D5684" s="15" t="s">
        <v>10534</v>
      </c>
      <c r="E5684" s="15">
        <v>471.86239999999998</v>
      </c>
      <c r="F5684" s="42">
        <v>46198</v>
      </c>
    </row>
    <row r="5685" spans="1:6" x14ac:dyDescent="0.3">
      <c r="A5685" s="15" t="s">
        <v>42820</v>
      </c>
      <c r="B5685" s="15" t="s">
        <v>10535</v>
      </c>
      <c r="C5685" s="15" t="s">
        <v>10536</v>
      </c>
      <c r="D5685" s="15" t="s">
        <v>10537</v>
      </c>
      <c r="E5685" s="15">
        <v>41.799500000000002</v>
      </c>
      <c r="F5685" s="42">
        <v>46198</v>
      </c>
    </row>
    <row r="5686" spans="1:6" x14ac:dyDescent="0.3">
      <c r="A5686" s="15" t="s">
        <v>33499</v>
      </c>
      <c r="B5686" s="15" t="s">
        <v>795</v>
      </c>
      <c r="C5686" s="15" t="s">
        <v>795</v>
      </c>
      <c r="D5686" s="15" t="s">
        <v>795</v>
      </c>
      <c r="F5686" s="42"/>
    </row>
    <row r="5687" spans="1:6" x14ac:dyDescent="0.3">
      <c r="A5687" s="15" t="s">
        <v>36764</v>
      </c>
      <c r="B5687" s="15" t="s">
        <v>795</v>
      </c>
      <c r="C5687" s="15" t="s">
        <v>795</v>
      </c>
      <c r="D5687" s="15" t="s">
        <v>795</v>
      </c>
      <c r="F5687" s="42"/>
    </row>
    <row r="5688" spans="1:6" x14ac:dyDescent="0.3">
      <c r="A5688" s="15" t="s">
        <v>33499</v>
      </c>
      <c r="B5688" s="15" t="s">
        <v>795</v>
      </c>
      <c r="C5688" s="15" t="s">
        <v>795</v>
      </c>
      <c r="D5688" s="15" t="s">
        <v>795</v>
      </c>
      <c r="F5688" s="42"/>
    </row>
    <row r="5689" spans="1:6" x14ac:dyDescent="0.3">
      <c r="A5689" s="15" t="s">
        <v>42819</v>
      </c>
      <c r="B5689" s="15" t="s">
        <v>10538</v>
      </c>
      <c r="C5689" s="15" t="s">
        <v>800</v>
      </c>
      <c r="D5689" s="15" t="s">
        <v>10539</v>
      </c>
      <c r="E5689" s="15">
        <v>37.590000000000003</v>
      </c>
      <c r="F5689" s="42">
        <v>43945</v>
      </c>
    </row>
    <row r="5690" spans="1:6" x14ac:dyDescent="0.3">
      <c r="A5690" s="15" t="s">
        <v>42818</v>
      </c>
      <c r="B5690" s="15" t="s">
        <v>10540</v>
      </c>
      <c r="C5690" s="15" t="s">
        <v>10541</v>
      </c>
      <c r="D5690" s="15" t="s">
        <v>10542</v>
      </c>
      <c r="E5690" s="15">
        <v>60.56</v>
      </c>
      <c r="F5690" s="42">
        <v>46198</v>
      </c>
    </row>
    <row r="5691" spans="1:6" x14ac:dyDescent="0.3">
      <c r="A5691" s="15" t="s">
        <v>42817</v>
      </c>
      <c r="B5691" s="15" t="s">
        <v>10543</v>
      </c>
      <c r="C5691" s="15" t="s">
        <v>800</v>
      </c>
      <c r="D5691" s="15" t="s">
        <v>10544</v>
      </c>
      <c r="E5691" s="15">
        <v>108.44</v>
      </c>
      <c r="F5691" s="42">
        <v>46198</v>
      </c>
    </row>
    <row r="5692" spans="1:6" x14ac:dyDescent="0.3">
      <c r="A5692" s="15" t="s">
        <v>42816</v>
      </c>
      <c r="B5692" s="15" t="s">
        <v>10545</v>
      </c>
      <c r="C5692" s="15" t="s">
        <v>10546</v>
      </c>
      <c r="D5692" s="15" t="s">
        <v>10547</v>
      </c>
      <c r="E5692" s="15">
        <v>29.24</v>
      </c>
      <c r="F5692" s="42">
        <v>46198</v>
      </c>
    </row>
    <row r="5693" spans="1:6" x14ac:dyDescent="0.3">
      <c r="A5693" s="15" t="s">
        <v>42815</v>
      </c>
      <c r="B5693" s="15" t="s">
        <v>10548</v>
      </c>
      <c r="C5693" s="15" t="s">
        <v>800</v>
      </c>
      <c r="D5693" s="15" t="s">
        <v>10549</v>
      </c>
      <c r="E5693" s="15">
        <v>119.69</v>
      </c>
      <c r="F5693" s="42">
        <v>46198</v>
      </c>
    </row>
    <row r="5694" spans="1:6" x14ac:dyDescent="0.3">
      <c r="A5694" s="15" t="s">
        <v>33499</v>
      </c>
      <c r="B5694" s="15" t="s">
        <v>795</v>
      </c>
      <c r="C5694" s="15" t="s">
        <v>795</v>
      </c>
      <c r="D5694" s="15" t="s">
        <v>795</v>
      </c>
      <c r="F5694" s="42"/>
    </row>
    <row r="5695" spans="1:6" x14ac:dyDescent="0.3">
      <c r="A5695" s="15" t="s">
        <v>37807</v>
      </c>
      <c r="B5695" s="15" t="s">
        <v>795</v>
      </c>
      <c r="C5695" s="15" t="s">
        <v>795</v>
      </c>
      <c r="D5695" s="15" t="s">
        <v>795</v>
      </c>
      <c r="F5695" s="42"/>
    </row>
    <row r="5696" spans="1:6" x14ac:dyDescent="0.3">
      <c r="A5696" s="15" t="s">
        <v>33499</v>
      </c>
      <c r="B5696" s="15" t="s">
        <v>795</v>
      </c>
      <c r="C5696" s="15" t="s">
        <v>795</v>
      </c>
      <c r="D5696" s="15" t="s">
        <v>795</v>
      </c>
      <c r="F5696" s="42"/>
    </row>
    <row r="5697" spans="1:6" x14ac:dyDescent="0.3">
      <c r="A5697" s="15" t="s">
        <v>42814</v>
      </c>
      <c r="B5697" s="15" t="s">
        <v>10550</v>
      </c>
      <c r="C5697" s="15" t="s">
        <v>800</v>
      </c>
      <c r="D5697" s="15" t="s">
        <v>10551</v>
      </c>
      <c r="E5697" s="15">
        <v>85.9</v>
      </c>
      <c r="F5697" s="42">
        <v>46198</v>
      </c>
    </row>
    <row r="5698" spans="1:6" x14ac:dyDescent="0.3">
      <c r="A5698" s="15" t="s">
        <v>42813</v>
      </c>
      <c r="B5698" s="15" t="s">
        <v>10552</v>
      </c>
      <c r="C5698" s="15" t="s">
        <v>10553</v>
      </c>
      <c r="D5698" s="15" t="s">
        <v>10554</v>
      </c>
      <c r="E5698" s="15">
        <v>34.86</v>
      </c>
      <c r="F5698" s="42">
        <v>46198</v>
      </c>
    </row>
    <row r="5699" spans="1:6" x14ac:dyDescent="0.3">
      <c r="A5699" s="15" t="s">
        <v>42812</v>
      </c>
      <c r="B5699" s="15" t="s">
        <v>10555</v>
      </c>
      <c r="C5699" s="15" t="s">
        <v>800</v>
      </c>
      <c r="D5699" s="15" t="s">
        <v>10556</v>
      </c>
      <c r="E5699" s="15">
        <v>70.73</v>
      </c>
      <c r="F5699" s="42">
        <v>46198</v>
      </c>
    </row>
    <row r="5700" spans="1:6" x14ac:dyDescent="0.3">
      <c r="A5700" s="15" t="s">
        <v>42811</v>
      </c>
      <c r="B5700" s="15" t="s">
        <v>10557</v>
      </c>
      <c r="C5700" s="15" t="s">
        <v>10558</v>
      </c>
      <c r="D5700" s="15" t="s">
        <v>10559</v>
      </c>
      <c r="E5700" s="15">
        <v>26.2</v>
      </c>
      <c r="F5700" s="42">
        <v>46198</v>
      </c>
    </row>
    <row r="5701" spans="1:6" x14ac:dyDescent="0.3">
      <c r="A5701" s="15" t="s">
        <v>33499</v>
      </c>
      <c r="B5701" s="15" t="s">
        <v>795</v>
      </c>
      <c r="C5701" s="15" t="s">
        <v>795</v>
      </c>
      <c r="D5701" s="15" t="s">
        <v>795</v>
      </c>
      <c r="F5701" s="42"/>
    </row>
    <row r="5702" spans="1:6" x14ac:dyDescent="0.3">
      <c r="A5702" s="15" t="s">
        <v>40577</v>
      </c>
      <c r="B5702" s="15" t="s">
        <v>795</v>
      </c>
      <c r="C5702" s="15" t="s">
        <v>795</v>
      </c>
      <c r="D5702" s="15" t="s">
        <v>795</v>
      </c>
      <c r="F5702" s="42"/>
    </row>
    <row r="5703" spans="1:6" x14ac:dyDescent="0.3">
      <c r="A5703" s="15" t="s">
        <v>33499</v>
      </c>
      <c r="B5703" s="15" t="s">
        <v>795</v>
      </c>
      <c r="C5703" s="15" t="s">
        <v>795</v>
      </c>
      <c r="D5703" s="15" t="s">
        <v>795</v>
      </c>
      <c r="F5703" s="42"/>
    </row>
    <row r="5704" spans="1:6" x14ac:dyDescent="0.3">
      <c r="A5704" s="15" t="s">
        <v>42810</v>
      </c>
      <c r="B5704" s="15" t="s">
        <v>10560</v>
      </c>
      <c r="C5704" s="15" t="s">
        <v>800</v>
      </c>
      <c r="D5704" s="15" t="s">
        <v>10561</v>
      </c>
      <c r="E5704" s="15">
        <v>19.194199999999999</v>
      </c>
      <c r="F5704" s="42">
        <v>46198</v>
      </c>
    </row>
    <row r="5705" spans="1:6" x14ac:dyDescent="0.3">
      <c r="A5705" s="15" t="s">
        <v>42809</v>
      </c>
      <c r="B5705" s="15" t="s">
        <v>10562</v>
      </c>
      <c r="C5705" s="15" t="s">
        <v>10563</v>
      </c>
      <c r="D5705" s="15" t="s">
        <v>10564</v>
      </c>
      <c r="E5705" s="15">
        <v>18.216699999999999</v>
      </c>
      <c r="F5705" s="42">
        <v>46198</v>
      </c>
    </row>
    <row r="5706" spans="1:6" x14ac:dyDescent="0.3">
      <c r="A5706" s="15" t="s">
        <v>42808</v>
      </c>
      <c r="B5706" s="15" t="s">
        <v>10565</v>
      </c>
      <c r="C5706" s="15" t="s">
        <v>800</v>
      </c>
      <c r="D5706" s="15" t="s">
        <v>10566</v>
      </c>
      <c r="E5706" s="15">
        <v>17.186800000000002</v>
      </c>
      <c r="F5706" s="42">
        <v>46198</v>
      </c>
    </row>
    <row r="5707" spans="1:6" x14ac:dyDescent="0.3">
      <c r="A5707" s="15" t="s">
        <v>42807</v>
      </c>
      <c r="B5707" s="15" t="s">
        <v>10567</v>
      </c>
      <c r="C5707" s="15" t="s">
        <v>10568</v>
      </c>
      <c r="D5707" s="15" t="s">
        <v>10569</v>
      </c>
      <c r="E5707" s="15">
        <v>16.215800000000002</v>
      </c>
      <c r="F5707" s="42">
        <v>46198</v>
      </c>
    </row>
    <row r="5708" spans="1:6" x14ac:dyDescent="0.3">
      <c r="A5708" s="15" t="s">
        <v>33499</v>
      </c>
      <c r="B5708" s="15" t="s">
        <v>795</v>
      </c>
      <c r="C5708" s="15" t="s">
        <v>795</v>
      </c>
      <c r="D5708" s="15" t="s">
        <v>795</v>
      </c>
      <c r="F5708" s="42"/>
    </row>
    <row r="5709" spans="1:6" x14ac:dyDescent="0.3">
      <c r="A5709" s="15" t="s">
        <v>38568</v>
      </c>
      <c r="B5709" s="15" t="s">
        <v>795</v>
      </c>
      <c r="C5709" s="15" t="s">
        <v>795</v>
      </c>
      <c r="D5709" s="15" t="s">
        <v>795</v>
      </c>
      <c r="F5709" s="42"/>
    </row>
    <row r="5710" spans="1:6" x14ac:dyDescent="0.3">
      <c r="A5710" s="15" t="s">
        <v>33499</v>
      </c>
      <c r="B5710" s="15" t="s">
        <v>795</v>
      </c>
      <c r="C5710" s="15" t="s">
        <v>795</v>
      </c>
      <c r="D5710" s="15" t="s">
        <v>795</v>
      </c>
      <c r="F5710" s="42"/>
    </row>
    <row r="5711" spans="1:6" x14ac:dyDescent="0.3">
      <c r="A5711" s="15" t="s">
        <v>42806</v>
      </c>
      <c r="B5711" s="15" t="s">
        <v>10570</v>
      </c>
      <c r="C5711" s="15" t="s">
        <v>800</v>
      </c>
      <c r="D5711" s="15" t="s">
        <v>10571</v>
      </c>
      <c r="E5711" s="15">
        <v>9.9103999999999992</v>
      </c>
      <c r="F5711" s="42">
        <v>46198</v>
      </c>
    </row>
    <row r="5712" spans="1:6" x14ac:dyDescent="0.3">
      <c r="A5712" s="15" t="s">
        <v>33499</v>
      </c>
      <c r="B5712" s="15" t="s">
        <v>795</v>
      </c>
      <c r="C5712" s="15" t="s">
        <v>795</v>
      </c>
      <c r="D5712" s="15" t="s">
        <v>795</v>
      </c>
      <c r="F5712" s="42"/>
    </row>
    <row r="5713" spans="1:6" x14ac:dyDescent="0.3">
      <c r="A5713" s="15" t="s">
        <v>40894</v>
      </c>
      <c r="B5713" s="15" t="s">
        <v>795</v>
      </c>
      <c r="C5713" s="15" t="s">
        <v>795</v>
      </c>
      <c r="D5713" s="15" t="s">
        <v>795</v>
      </c>
      <c r="F5713" s="42"/>
    </row>
    <row r="5714" spans="1:6" x14ac:dyDescent="0.3">
      <c r="A5714" s="15" t="s">
        <v>33499</v>
      </c>
      <c r="B5714" s="15" t="s">
        <v>795</v>
      </c>
      <c r="C5714" s="15" t="s">
        <v>795</v>
      </c>
      <c r="D5714" s="15" t="s">
        <v>795</v>
      </c>
      <c r="F5714" s="42"/>
    </row>
    <row r="5715" spans="1:6" x14ac:dyDescent="0.3">
      <c r="A5715" s="15" t="s">
        <v>42805</v>
      </c>
      <c r="B5715" s="15" t="s">
        <v>10572</v>
      </c>
      <c r="C5715" s="15" t="s">
        <v>10573</v>
      </c>
      <c r="D5715" s="15" t="s">
        <v>10574</v>
      </c>
      <c r="E5715" s="15">
        <v>72.231999999999999</v>
      </c>
      <c r="F5715" s="42">
        <v>46198</v>
      </c>
    </row>
    <row r="5716" spans="1:6" x14ac:dyDescent="0.3">
      <c r="A5716" s="15" t="s">
        <v>42804</v>
      </c>
      <c r="B5716" s="15" t="s">
        <v>10575</v>
      </c>
      <c r="C5716" s="15" t="s">
        <v>800</v>
      </c>
      <c r="D5716" s="15" t="s">
        <v>10576</v>
      </c>
      <c r="E5716" s="15">
        <v>175.3553</v>
      </c>
      <c r="F5716" s="42">
        <v>46198</v>
      </c>
    </row>
    <row r="5717" spans="1:6" x14ac:dyDescent="0.3">
      <c r="A5717" s="15" t="s">
        <v>42803</v>
      </c>
      <c r="B5717" s="15" t="s">
        <v>10577</v>
      </c>
      <c r="C5717" s="15" t="s">
        <v>10578</v>
      </c>
      <c r="D5717" s="15" t="s">
        <v>10579</v>
      </c>
      <c r="E5717" s="15">
        <v>71.727099999999993</v>
      </c>
      <c r="F5717" s="42">
        <v>46198</v>
      </c>
    </row>
    <row r="5718" spans="1:6" x14ac:dyDescent="0.3">
      <c r="A5718" s="15" t="s">
        <v>42802</v>
      </c>
      <c r="B5718" s="15" t="s">
        <v>10580</v>
      </c>
      <c r="C5718" s="15" t="s">
        <v>10581</v>
      </c>
      <c r="D5718" s="15" t="s">
        <v>10582</v>
      </c>
      <c r="E5718" s="15">
        <v>70.403099999999995</v>
      </c>
      <c r="F5718" s="42">
        <v>46198</v>
      </c>
    </row>
    <row r="5719" spans="1:6" x14ac:dyDescent="0.3">
      <c r="A5719" s="15" t="s">
        <v>42801</v>
      </c>
      <c r="B5719" s="15" t="s">
        <v>10583</v>
      </c>
      <c r="C5719" s="15" t="s">
        <v>10584</v>
      </c>
      <c r="D5719" s="15" t="s">
        <v>10585</v>
      </c>
      <c r="E5719" s="15">
        <v>71.577500000000001</v>
      </c>
      <c r="F5719" s="42">
        <v>46198</v>
      </c>
    </row>
    <row r="5720" spans="1:6" x14ac:dyDescent="0.3">
      <c r="A5720" s="15" t="s">
        <v>42800</v>
      </c>
      <c r="B5720" s="15" t="s">
        <v>10586</v>
      </c>
      <c r="C5720" s="15" t="s">
        <v>10587</v>
      </c>
      <c r="D5720" s="15" t="s">
        <v>10588</v>
      </c>
      <c r="E5720" s="15">
        <v>72.244900000000001</v>
      </c>
      <c r="F5720" s="42">
        <v>46198</v>
      </c>
    </row>
    <row r="5721" spans="1:6" x14ac:dyDescent="0.3">
      <c r="A5721" s="15" t="s">
        <v>42799</v>
      </c>
      <c r="B5721" s="15" t="s">
        <v>10589</v>
      </c>
      <c r="C5721" s="15" t="s">
        <v>10590</v>
      </c>
      <c r="D5721" s="15" t="s">
        <v>10591</v>
      </c>
      <c r="E5721" s="15">
        <v>30.156300000000002</v>
      </c>
      <c r="F5721" s="42">
        <v>46198</v>
      </c>
    </row>
    <row r="5722" spans="1:6" x14ac:dyDescent="0.3">
      <c r="A5722" s="15" t="s">
        <v>42798</v>
      </c>
      <c r="B5722" s="15" t="s">
        <v>10592</v>
      </c>
      <c r="C5722" s="15" t="s">
        <v>800</v>
      </c>
      <c r="D5722" s="15" t="s">
        <v>10593</v>
      </c>
      <c r="E5722" s="15">
        <v>151.0667</v>
      </c>
      <c r="F5722" s="42">
        <v>46198</v>
      </c>
    </row>
    <row r="5723" spans="1:6" x14ac:dyDescent="0.3">
      <c r="A5723" s="15" t="s">
        <v>42797</v>
      </c>
      <c r="B5723" s="15" t="s">
        <v>10594</v>
      </c>
      <c r="C5723" s="15" t="s">
        <v>10595</v>
      </c>
      <c r="D5723" s="15" t="s">
        <v>10596</v>
      </c>
      <c r="E5723" s="15">
        <v>24.764600000000002</v>
      </c>
      <c r="F5723" s="42">
        <v>46198</v>
      </c>
    </row>
    <row r="5724" spans="1:6" x14ac:dyDescent="0.3">
      <c r="A5724" s="15" t="s">
        <v>42796</v>
      </c>
      <c r="B5724" s="15" t="s">
        <v>10597</v>
      </c>
      <c r="C5724" s="15" t="s">
        <v>10598</v>
      </c>
      <c r="D5724" s="15" t="s">
        <v>10599</v>
      </c>
      <c r="E5724" s="15">
        <v>29.325600000000001</v>
      </c>
      <c r="F5724" s="42">
        <v>46198</v>
      </c>
    </row>
    <row r="5725" spans="1:6" x14ac:dyDescent="0.3">
      <c r="A5725" s="15" t="s">
        <v>42795</v>
      </c>
      <c r="B5725" s="15" t="s">
        <v>10600</v>
      </c>
      <c r="C5725" s="15" t="s">
        <v>10601</v>
      </c>
      <c r="D5725" s="15" t="s">
        <v>10602</v>
      </c>
      <c r="E5725" s="15">
        <v>23.472899999999999</v>
      </c>
      <c r="F5725" s="42">
        <v>46198</v>
      </c>
    </row>
    <row r="5726" spans="1:6" x14ac:dyDescent="0.3">
      <c r="A5726" s="15" t="s">
        <v>42794</v>
      </c>
      <c r="B5726" s="15" t="s">
        <v>10603</v>
      </c>
      <c r="C5726" s="15" t="s">
        <v>10604</v>
      </c>
      <c r="D5726" s="15" t="s">
        <v>10605</v>
      </c>
      <c r="E5726" s="15">
        <v>34.0916</v>
      </c>
      <c r="F5726" s="42">
        <v>46198</v>
      </c>
    </row>
    <row r="5727" spans="1:6" x14ac:dyDescent="0.3">
      <c r="A5727" s="15" t="s">
        <v>33499</v>
      </c>
      <c r="B5727" s="15" t="s">
        <v>795</v>
      </c>
      <c r="C5727" s="15" t="s">
        <v>795</v>
      </c>
      <c r="D5727" s="15" t="s">
        <v>795</v>
      </c>
      <c r="F5727" s="42"/>
    </row>
    <row r="5728" spans="1:6" x14ac:dyDescent="0.3">
      <c r="A5728" s="15" t="s">
        <v>139</v>
      </c>
      <c r="B5728" s="15" t="s">
        <v>795</v>
      </c>
      <c r="C5728" s="15" t="s">
        <v>795</v>
      </c>
      <c r="D5728" s="15" t="s">
        <v>795</v>
      </c>
      <c r="F5728" s="42"/>
    </row>
    <row r="5729" spans="1:6" x14ac:dyDescent="0.3">
      <c r="A5729" s="15" t="s">
        <v>33499</v>
      </c>
      <c r="B5729" s="15" t="s">
        <v>795</v>
      </c>
      <c r="C5729" s="15" t="s">
        <v>795</v>
      </c>
      <c r="D5729" s="15" t="s">
        <v>795</v>
      </c>
      <c r="F5729" s="42"/>
    </row>
    <row r="5730" spans="1:6" x14ac:dyDescent="0.3">
      <c r="A5730" s="15" t="s">
        <v>42793</v>
      </c>
      <c r="B5730" s="15" t="s">
        <v>10606</v>
      </c>
      <c r="C5730" s="15" t="s">
        <v>800</v>
      </c>
      <c r="D5730" s="15" t="s">
        <v>10607</v>
      </c>
      <c r="E5730" s="15">
        <v>653.53399999999999</v>
      </c>
      <c r="F5730" s="42">
        <v>46198</v>
      </c>
    </row>
    <row r="5731" spans="1:6" x14ac:dyDescent="0.3">
      <c r="A5731" s="15" t="s">
        <v>42792</v>
      </c>
      <c r="B5731" s="15" t="s">
        <v>10608</v>
      </c>
      <c r="C5731" s="15" t="s">
        <v>800</v>
      </c>
      <c r="D5731" s="15" t="s">
        <v>10609</v>
      </c>
      <c r="E5731" s="15">
        <v>562.298</v>
      </c>
      <c r="F5731" s="42">
        <v>46198</v>
      </c>
    </row>
    <row r="5732" spans="1:6" x14ac:dyDescent="0.3">
      <c r="A5732" s="15" t="s">
        <v>42791</v>
      </c>
      <c r="B5732" s="15" t="s">
        <v>10610</v>
      </c>
      <c r="C5732" s="15" t="s">
        <v>10611</v>
      </c>
      <c r="D5732" s="15" t="s">
        <v>10612</v>
      </c>
      <c r="E5732" s="15">
        <v>86.432000000000002</v>
      </c>
      <c r="F5732" s="42">
        <v>46198</v>
      </c>
    </row>
    <row r="5733" spans="1:6" x14ac:dyDescent="0.3">
      <c r="A5733" s="15" t="s">
        <v>42790</v>
      </c>
      <c r="B5733" s="15" t="s">
        <v>10613</v>
      </c>
      <c r="C5733" s="15" t="s">
        <v>10614</v>
      </c>
      <c r="D5733" s="15" t="s">
        <v>10615</v>
      </c>
      <c r="E5733" s="15">
        <v>72.582999999999998</v>
      </c>
      <c r="F5733" s="42">
        <v>46198</v>
      </c>
    </row>
    <row r="5734" spans="1:6" x14ac:dyDescent="0.3">
      <c r="A5734" s="15" t="s">
        <v>33499</v>
      </c>
      <c r="B5734" s="15" t="s">
        <v>795</v>
      </c>
      <c r="C5734" s="15" t="s">
        <v>795</v>
      </c>
      <c r="D5734" s="15" t="s">
        <v>795</v>
      </c>
      <c r="F5734" s="42"/>
    </row>
    <row r="5735" spans="1:6" x14ac:dyDescent="0.3">
      <c r="A5735" s="15" t="s">
        <v>37618</v>
      </c>
      <c r="B5735" s="15" t="s">
        <v>795</v>
      </c>
      <c r="C5735" s="15" t="s">
        <v>795</v>
      </c>
      <c r="D5735" s="15" t="s">
        <v>795</v>
      </c>
      <c r="F5735" s="42"/>
    </row>
    <row r="5736" spans="1:6" x14ac:dyDescent="0.3">
      <c r="A5736" s="15" t="s">
        <v>33499</v>
      </c>
      <c r="B5736" s="15" t="s">
        <v>795</v>
      </c>
      <c r="C5736" s="15" t="s">
        <v>795</v>
      </c>
      <c r="D5736" s="15" t="s">
        <v>795</v>
      </c>
      <c r="F5736" s="42"/>
    </row>
    <row r="5737" spans="1:6" x14ac:dyDescent="0.3">
      <c r="A5737" s="15" t="s">
        <v>42789</v>
      </c>
      <c r="B5737" s="15" t="s">
        <v>10616</v>
      </c>
      <c r="C5737" s="15" t="s">
        <v>800</v>
      </c>
      <c r="D5737" s="15" t="s">
        <v>10617</v>
      </c>
      <c r="E5737" s="15">
        <v>61.162599999999998</v>
      </c>
      <c r="F5737" s="42">
        <v>46198</v>
      </c>
    </row>
    <row r="5738" spans="1:6" x14ac:dyDescent="0.3">
      <c r="A5738" s="15" t="s">
        <v>42788</v>
      </c>
      <c r="B5738" s="15" t="s">
        <v>10618</v>
      </c>
      <c r="C5738" s="15" t="s">
        <v>10619</v>
      </c>
      <c r="D5738" s="15" t="s">
        <v>10620</v>
      </c>
      <c r="E5738" s="15">
        <v>38.514200000000002</v>
      </c>
      <c r="F5738" s="42">
        <v>46198</v>
      </c>
    </row>
    <row r="5739" spans="1:6" x14ac:dyDescent="0.3">
      <c r="A5739" s="15" t="s">
        <v>42787</v>
      </c>
      <c r="B5739" s="15" t="s">
        <v>10621</v>
      </c>
      <c r="C5739" s="15" t="s">
        <v>800</v>
      </c>
      <c r="D5739" s="15" t="s">
        <v>10622</v>
      </c>
      <c r="E5739" s="15">
        <v>53.256799999999998</v>
      </c>
      <c r="F5739" s="42">
        <v>46198</v>
      </c>
    </row>
    <row r="5740" spans="1:6" x14ac:dyDescent="0.3">
      <c r="A5740" s="15" t="s">
        <v>42786</v>
      </c>
      <c r="B5740" s="15" t="s">
        <v>10623</v>
      </c>
      <c r="C5740" s="15" t="s">
        <v>10624</v>
      </c>
      <c r="D5740" s="15" t="s">
        <v>10625</v>
      </c>
      <c r="E5740" s="15">
        <v>32.163800000000002</v>
      </c>
      <c r="F5740" s="42">
        <v>46198</v>
      </c>
    </row>
    <row r="5741" spans="1:6" x14ac:dyDescent="0.3">
      <c r="A5741" s="15" t="s">
        <v>33499</v>
      </c>
      <c r="B5741" s="15" t="s">
        <v>795</v>
      </c>
      <c r="C5741" s="15" t="s">
        <v>795</v>
      </c>
      <c r="D5741" s="15" t="s">
        <v>795</v>
      </c>
      <c r="F5741" s="42"/>
    </row>
    <row r="5742" spans="1:6" x14ac:dyDescent="0.3">
      <c r="A5742" s="15" t="s">
        <v>39301</v>
      </c>
      <c r="B5742" s="15" t="s">
        <v>795</v>
      </c>
      <c r="C5742" s="15" t="s">
        <v>795</v>
      </c>
      <c r="D5742" s="15" t="s">
        <v>795</v>
      </c>
      <c r="F5742" s="42"/>
    </row>
    <row r="5743" spans="1:6" x14ac:dyDescent="0.3">
      <c r="A5743" s="15" t="s">
        <v>33499</v>
      </c>
      <c r="B5743" s="15" t="s">
        <v>795</v>
      </c>
      <c r="C5743" s="15" t="s">
        <v>795</v>
      </c>
      <c r="D5743" s="15" t="s">
        <v>795</v>
      </c>
      <c r="F5743" s="42"/>
    </row>
    <row r="5744" spans="1:6" x14ac:dyDescent="0.3">
      <c r="A5744" s="15" t="s">
        <v>42785</v>
      </c>
      <c r="B5744" s="15" t="s">
        <v>10626</v>
      </c>
      <c r="C5744" s="15" t="s">
        <v>10627</v>
      </c>
      <c r="D5744" s="15" t="s">
        <v>10628</v>
      </c>
      <c r="E5744" s="15">
        <v>17.4971</v>
      </c>
      <c r="F5744" s="42">
        <v>46198</v>
      </c>
    </row>
    <row r="5745" spans="1:6" x14ac:dyDescent="0.3">
      <c r="A5745" s="15" t="s">
        <v>42784</v>
      </c>
      <c r="B5745" s="15" t="s">
        <v>10629</v>
      </c>
      <c r="C5745" s="15" t="s">
        <v>800</v>
      </c>
      <c r="D5745" s="15" t="s">
        <v>10630</v>
      </c>
      <c r="E5745" s="15">
        <v>25.114699999999999</v>
      </c>
      <c r="F5745" s="42">
        <v>46198</v>
      </c>
    </row>
    <row r="5746" spans="1:6" x14ac:dyDescent="0.3">
      <c r="A5746" s="15" t="s">
        <v>42783</v>
      </c>
      <c r="B5746" s="15" t="s">
        <v>10631</v>
      </c>
      <c r="C5746" s="15" t="s">
        <v>800</v>
      </c>
      <c r="D5746" s="15" t="s">
        <v>10632</v>
      </c>
      <c r="E5746" s="15">
        <v>22.045999999999999</v>
      </c>
      <c r="F5746" s="42">
        <v>46198</v>
      </c>
    </row>
    <row r="5747" spans="1:6" x14ac:dyDescent="0.3">
      <c r="A5747" s="15" t="s">
        <v>42782</v>
      </c>
      <c r="B5747" s="15" t="s">
        <v>10633</v>
      </c>
      <c r="C5747" s="15" t="s">
        <v>10634</v>
      </c>
      <c r="D5747" s="15" t="s">
        <v>10635</v>
      </c>
      <c r="E5747" s="15">
        <v>14.7058</v>
      </c>
      <c r="F5747" s="42">
        <v>46198</v>
      </c>
    </row>
    <row r="5748" spans="1:6" x14ac:dyDescent="0.3">
      <c r="A5748" s="15" t="s">
        <v>33499</v>
      </c>
      <c r="B5748" s="15" t="s">
        <v>795</v>
      </c>
      <c r="C5748" s="15" t="s">
        <v>795</v>
      </c>
      <c r="D5748" s="15" t="s">
        <v>795</v>
      </c>
      <c r="F5748" s="42"/>
    </row>
    <row r="5749" spans="1:6" x14ac:dyDescent="0.3">
      <c r="A5749" s="15" t="s">
        <v>37780</v>
      </c>
      <c r="B5749" s="15" t="s">
        <v>795</v>
      </c>
      <c r="C5749" s="15" t="s">
        <v>795</v>
      </c>
      <c r="D5749" s="15" t="s">
        <v>795</v>
      </c>
      <c r="F5749" s="42"/>
    </row>
    <row r="5750" spans="1:6" x14ac:dyDescent="0.3">
      <c r="A5750" s="15" t="s">
        <v>33499</v>
      </c>
      <c r="B5750" s="15" t="s">
        <v>795</v>
      </c>
      <c r="C5750" s="15" t="s">
        <v>795</v>
      </c>
      <c r="D5750" s="15" t="s">
        <v>795</v>
      </c>
      <c r="F5750" s="42"/>
    </row>
    <row r="5751" spans="1:6" x14ac:dyDescent="0.3">
      <c r="A5751" s="15" t="s">
        <v>42781</v>
      </c>
      <c r="B5751" s="15" t="s">
        <v>10636</v>
      </c>
      <c r="C5751" s="15" t="s">
        <v>800</v>
      </c>
      <c r="D5751" s="15" t="s">
        <v>10637</v>
      </c>
      <c r="E5751" s="15">
        <v>126.52200000000001</v>
      </c>
      <c r="F5751" s="42">
        <v>46198</v>
      </c>
    </row>
    <row r="5752" spans="1:6" x14ac:dyDescent="0.3">
      <c r="A5752" s="15" t="s">
        <v>42780</v>
      </c>
      <c r="B5752" s="15" t="s">
        <v>10638</v>
      </c>
      <c r="C5752" s="15" t="s">
        <v>800</v>
      </c>
      <c r="D5752" s="15" t="s">
        <v>10639</v>
      </c>
      <c r="E5752" s="15">
        <v>111.232</v>
      </c>
      <c r="F5752" s="42">
        <v>46198</v>
      </c>
    </row>
    <row r="5753" spans="1:6" x14ac:dyDescent="0.3">
      <c r="A5753" s="15" t="s">
        <v>42779</v>
      </c>
      <c r="B5753" s="15" t="s">
        <v>10640</v>
      </c>
      <c r="C5753" s="15" t="s">
        <v>10641</v>
      </c>
      <c r="D5753" s="15" t="s">
        <v>10642</v>
      </c>
      <c r="E5753" s="15">
        <v>66.043999999999997</v>
      </c>
      <c r="F5753" s="42">
        <v>46198</v>
      </c>
    </row>
    <row r="5754" spans="1:6" x14ac:dyDescent="0.3">
      <c r="A5754" s="15" t="s">
        <v>42778</v>
      </c>
      <c r="B5754" s="15" t="s">
        <v>10643</v>
      </c>
      <c r="C5754" s="15" t="s">
        <v>10644</v>
      </c>
      <c r="D5754" s="15" t="s">
        <v>10645</v>
      </c>
      <c r="E5754" s="15">
        <v>28.491</v>
      </c>
      <c r="F5754" s="42">
        <v>46198</v>
      </c>
    </row>
    <row r="5755" spans="1:6" x14ac:dyDescent="0.3">
      <c r="A5755" s="15" t="s">
        <v>33499</v>
      </c>
      <c r="B5755" s="15" t="s">
        <v>795</v>
      </c>
      <c r="C5755" s="15" t="s">
        <v>795</v>
      </c>
      <c r="D5755" s="15" t="s">
        <v>795</v>
      </c>
      <c r="F5755" s="42"/>
    </row>
    <row r="5756" spans="1:6" x14ac:dyDescent="0.3">
      <c r="A5756" s="15" t="s">
        <v>37742</v>
      </c>
      <c r="B5756" s="15" t="s">
        <v>795</v>
      </c>
      <c r="C5756" s="15" t="s">
        <v>795</v>
      </c>
      <c r="D5756" s="15" t="s">
        <v>795</v>
      </c>
      <c r="F5756" s="42"/>
    </row>
    <row r="5757" spans="1:6" x14ac:dyDescent="0.3">
      <c r="A5757" s="15" t="s">
        <v>33499</v>
      </c>
      <c r="B5757" s="15" t="s">
        <v>795</v>
      </c>
      <c r="C5757" s="15" t="s">
        <v>795</v>
      </c>
      <c r="D5757" s="15" t="s">
        <v>795</v>
      </c>
      <c r="F5757" s="42"/>
    </row>
    <row r="5758" spans="1:6" x14ac:dyDescent="0.3">
      <c r="A5758" s="15" t="s">
        <v>42777</v>
      </c>
      <c r="B5758" s="15" t="s">
        <v>10646</v>
      </c>
      <c r="C5758" s="15" t="s">
        <v>800</v>
      </c>
      <c r="D5758" s="15" t="s">
        <v>10647</v>
      </c>
      <c r="E5758" s="15">
        <v>13.9779</v>
      </c>
      <c r="F5758" s="42">
        <v>46198</v>
      </c>
    </row>
    <row r="5759" spans="1:6" x14ac:dyDescent="0.3">
      <c r="A5759" s="15" t="s">
        <v>42776</v>
      </c>
      <c r="B5759" s="15" t="s">
        <v>10648</v>
      </c>
      <c r="C5759" s="15" t="s">
        <v>10649</v>
      </c>
      <c r="D5759" s="15" t="s">
        <v>10650</v>
      </c>
      <c r="E5759" s="15">
        <v>12.5992</v>
      </c>
      <c r="F5759" s="42">
        <v>46198</v>
      </c>
    </row>
    <row r="5760" spans="1:6" x14ac:dyDescent="0.3">
      <c r="A5760" s="15" t="s">
        <v>42775</v>
      </c>
      <c r="B5760" s="15" t="s">
        <v>10651</v>
      </c>
      <c r="C5760" s="15" t="s">
        <v>800</v>
      </c>
      <c r="D5760" s="15" t="s">
        <v>10652</v>
      </c>
      <c r="E5760" s="15">
        <v>13.560700000000001</v>
      </c>
      <c r="F5760" s="42">
        <v>46198</v>
      </c>
    </row>
    <row r="5761" spans="1:6" x14ac:dyDescent="0.3">
      <c r="A5761" s="15" t="s">
        <v>42774</v>
      </c>
      <c r="B5761" s="15" t="s">
        <v>10653</v>
      </c>
      <c r="C5761" s="15" t="s">
        <v>10654</v>
      </c>
      <c r="D5761" s="15" t="s">
        <v>10655</v>
      </c>
      <c r="E5761" s="15">
        <v>12.0787</v>
      </c>
      <c r="F5761" s="42">
        <v>46198</v>
      </c>
    </row>
    <row r="5762" spans="1:6" x14ac:dyDescent="0.3">
      <c r="A5762" s="15" t="s">
        <v>33499</v>
      </c>
      <c r="B5762" s="15" t="s">
        <v>795</v>
      </c>
      <c r="C5762" s="15" t="s">
        <v>795</v>
      </c>
      <c r="D5762" s="15" t="s">
        <v>795</v>
      </c>
      <c r="F5762" s="42"/>
    </row>
    <row r="5763" spans="1:6" x14ac:dyDescent="0.3">
      <c r="A5763" s="15" t="s">
        <v>208</v>
      </c>
      <c r="B5763" s="15" t="s">
        <v>795</v>
      </c>
      <c r="C5763" s="15" t="s">
        <v>795</v>
      </c>
      <c r="D5763" s="15" t="s">
        <v>795</v>
      </c>
      <c r="F5763" s="42"/>
    </row>
    <row r="5764" spans="1:6" x14ac:dyDescent="0.3">
      <c r="A5764" s="15" t="s">
        <v>33499</v>
      </c>
      <c r="B5764" s="15" t="s">
        <v>795</v>
      </c>
      <c r="C5764" s="15" t="s">
        <v>795</v>
      </c>
      <c r="D5764" s="15" t="s">
        <v>795</v>
      </c>
      <c r="F5764" s="42"/>
    </row>
    <row r="5765" spans="1:6" x14ac:dyDescent="0.3">
      <c r="A5765" s="15" t="s">
        <v>42773</v>
      </c>
      <c r="B5765" s="15" t="s">
        <v>10656</v>
      </c>
      <c r="C5765" s="15" t="s">
        <v>800</v>
      </c>
      <c r="D5765" s="15" t="s">
        <v>10657</v>
      </c>
      <c r="E5765" s="15">
        <v>90.028199999999998</v>
      </c>
      <c r="F5765" s="42">
        <v>46198</v>
      </c>
    </row>
    <row r="5766" spans="1:6" x14ac:dyDescent="0.3">
      <c r="A5766" s="15" t="s">
        <v>42772</v>
      </c>
      <c r="B5766" s="15" t="s">
        <v>10658</v>
      </c>
      <c r="C5766" s="15" t="s">
        <v>10659</v>
      </c>
      <c r="D5766" s="15" t="s">
        <v>10660</v>
      </c>
      <c r="E5766" s="15">
        <v>40.247900000000001</v>
      </c>
      <c r="F5766" s="42">
        <v>46198</v>
      </c>
    </row>
    <row r="5767" spans="1:6" x14ac:dyDescent="0.3">
      <c r="A5767" s="15" t="s">
        <v>42771</v>
      </c>
      <c r="B5767" s="15" t="s">
        <v>10661</v>
      </c>
      <c r="C5767" s="15" t="s">
        <v>800</v>
      </c>
      <c r="D5767" s="15" t="s">
        <v>10662</v>
      </c>
      <c r="E5767" s="15">
        <v>101.1917</v>
      </c>
      <c r="F5767" s="42">
        <v>46198</v>
      </c>
    </row>
    <row r="5768" spans="1:6" x14ac:dyDescent="0.3">
      <c r="A5768" s="15" t="s">
        <v>42770</v>
      </c>
      <c r="B5768" s="15" t="s">
        <v>10663</v>
      </c>
      <c r="C5768" s="15" t="s">
        <v>800</v>
      </c>
      <c r="D5768" s="15" t="s">
        <v>10664</v>
      </c>
      <c r="E5768" s="15">
        <v>101.1917</v>
      </c>
      <c r="F5768" s="42">
        <v>46198</v>
      </c>
    </row>
    <row r="5769" spans="1:6" x14ac:dyDescent="0.3">
      <c r="A5769" s="15" t="s">
        <v>42769</v>
      </c>
      <c r="B5769" s="15" t="s">
        <v>10665</v>
      </c>
      <c r="C5769" s="15" t="s">
        <v>10666</v>
      </c>
      <c r="D5769" s="15" t="s">
        <v>10667</v>
      </c>
      <c r="E5769" s="15">
        <v>26.321400000000001</v>
      </c>
      <c r="F5769" s="42">
        <v>46198</v>
      </c>
    </row>
    <row r="5770" spans="1:6" x14ac:dyDescent="0.3">
      <c r="A5770" s="15" t="s">
        <v>42768</v>
      </c>
      <c r="B5770" s="15" t="s">
        <v>10668</v>
      </c>
      <c r="C5770" s="15" t="s">
        <v>800</v>
      </c>
      <c r="D5770" s="15" t="s">
        <v>10669</v>
      </c>
      <c r="E5770" s="15">
        <v>90.028199999999998</v>
      </c>
      <c r="F5770" s="42">
        <v>46198</v>
      </c>
    </row>
    <row r="5771" spans="1:6" x14ac:dyDescent="0.3">
      <c r="A5771" s="15" t="s">
        <v>42767</v>
      </c>
      <c r="B5771" s="15" t="s">
        <v>10670</v>
      </c>
      <c r="C5771" s="15" t="s">
        <v>800</v>
      </c>
      <c r="D5771" s="15" t="s">
        <v>10671</v>
      </c>
      <c r="E5771" s="15">
        <v>34.136600000000001</v>
      </c>
      <c r="F5771" s="42">
        <v>43893</v>
      </c>
    </row>
    <row r="5772" spans="1:6" x14ac:dyDescent="0.3">
      <c r="A5772" s="15" t="s">
        <v>33499</v>
      </c>
      <c r="B5772" s="15" t="s">
        <v>795</v>
      </c>
      <c r="C5772" s="15" t="s">
        <v>795</v>
      </c>
      <c r="D5772" s="15" t="s">
        <v>795</v>
      </c>
      <c r="F5772" s="42"/>
    </row>
    <row r="5773" spans="1:6" x14ac:dyDescent="0.3">
      <c r="A5773" s="15" t="s">
        <v>37523</v>
      </c>
      <c r="B5773" s="15" t="s">
        <v>795</v>
      </c>
      <c r="C5773" s="15" t="s">
        <v>795</v>
      </c>
      <c r="D5773" s="15" t="s">
        <v>795</v>
      </c>
      <c r="F5773" s="42"/>
    </row>
    <row r="5774" spans="1:6" x14ac:dyDescent="0.3">
      <c r="A5774" s="15" t="s">
        <v>33499</v>
      </c>
      <c r="B5774" s="15" t="s">
        <v>795</v>
      </c>
      <c r="C5774" s="15" t="s">
        <v>795</v>
      </c>
      <c r="D5774" s="15" t="s">
        <v>795</v>
      </c>
      <c r="F5774" s="42"/>
    </row>
    <row r="5775" spans="1:6" x14ac:dyDescent="0.3">
      <c r="A5775" s="15" t="s">
        <v>42766</v>
      </c>
      <c r="B5775" s="15" t="s">
        <v>10672</v>
      </c>
      <c r="C5775" s="15" t="s">
        <v>800</v>
      </c>
      <c r="D5775" s="15" t="s">
        <v>10673</v>
      </c>
      <c r="E5775" s="15">
        <v>22.38</v>
      </c>
      <c r="F5775" s="42">
        <v>43674</v>
      </c>
    </row>
    <row r="5776" spans="1:6" x14ac:dyDescent="0.3">
      <c r="A5776" s="15" t="s">
        <v>42765</v>
      </c>
      <c r="B5776" s="15" t="s">
        <v>10674</v>
      </c>
      <c r="C5776" s="15" t="s">
        <v>800</v>
      </c>
      <c r="D5776" s="15" t="s">
        <v>10675</v>
      </c>
      <c r="E5776" s="15">
        <v>24.02</v>
      </c>
      <c r="F5776" s="42">
        <v>43674</v>
      </c>
    </row>
    <row r="5777" spans="1:6" x14ac:dyDescent="0.3">
      <c r="A5777" s="15" t="s">
        <v>42764</v>
      </c>
      <c r="B5777" s="15" t="s">
        <v>10676</v>
      </c>
      <c r="C5777" s="15" t="s">
        <v>10677</v>
      </c>
      <c r="D5777" s="15" t="s">
        <v>10678</v>
      </c>
      <c r="E5777" s="15">
        <v>26.71</v>
      </c>
      <c r="F5777" s="42">
        <v>46198</v>
      </c>
    </row>
    <row r="5778" spans="1:6" x14ac:dyDescent="0.3">
      <c r="A5778" s="15" t="s">
        <v>42763</v>
      </c>
      <c r="B5778" s="15" t="s">
        <v>10679</v>
      </c>
      <c r="C5778" s="15" t="s">
        <v>800</v>
      </c>
      <c r="D5778" s="15" t="s">
        <v>10680</v>
      </c>
      <c r="E5778" s="15">
        <v>396.28</v>
      </c>
      <c r="F5778" s="42">
        <v>46198</v>
      </c>
    </row>
    <row r="5779" spans="1:6" x14ac:dyDescent="0.3">
      <c r="A5779" s="15" t="s">
        <v>42762</v>
      </c>
      <c r="B5779" s="15" t="s">
        <v>10681</v>
      </c>
      <c r="C5779" s="15" t="s">
        <v>10682</v>
      </c>
      <c r="D5779" s="15" t="s">
        <v>10683</v>
      </c>
      <c r="E5779" s="15">
        <v>18.440000000000001</v>
      </c>
      <c r="F5779" s="42">
        <v>46198</v>
      </c>
    </row>
    <row r="5780" spans="1:6" x14ac:dyDescent="0.3">
      <c r="A5780" s="15" t="s">
        <v>42761</v>
      </c>
      <c r="B5780" s="15" t="s">
        <v>10684</v>
      </c>
      <c r="C5780" s="15" t="s">
        <v>800</v>
      </c>
      <c r="D5780" s="15" t="s">
        <v>10685</v>
      </c>
      <c r="E5780" s="15">
        <v>329.23</v>
      </c>
      <c r="F5780" s="42">
        <v>46198</v>
      </c>
    </row>
    <row r="5781" spans="1:6" x14ac:dyDescent="0.3">
      <c r="A5781" s="15" t="s">
        <v>42760</v>
      </c>
      <c r="B5781" s="15" t="s">
        <v>10686</v>
      </c>
      <c r="C5781" s="15" t="s">
        <v>800</v>
      </c>
      <c r="D5781" s="15" t="s">
        <v>10687</v>
      </c>
      <c r="E5781" s="15">
        <v>34.74</v>
      </c>
      <c r="F5781" s="42">
        <v>43674</v>
      </c>
    </row>
    <row r="5782" spans="1:6" x14ac:dyDescent="0.3">
      <c r="A5782" s="15" t="s">
        <v>42759</v>
      </c>
      <c r="B5782" s="15" t="s">
        <v>10688</v>
      </c>
      <c r="C5782" s="15" t="s">
        <v>800</v>
      </c>
      <c r="D5782" s="15" t="s">
        <v>10689</v>
      </c>
      <c r="E5782" s="15">
        <v>11.63</v>
      </c>
      <c r="F5782" s="42">
        <v>43674</v>
      </c>
    </row>
    <row r="5783" spans="1:6" x14ac:dyDescent="0.3">
      <c r="A5783" s="15" t="s">
        <v>33499</v>
      </c>
      <c r="B5783" s="15" t="s">
        <v>795</v>
      </c>
      <c r="C5783" s="15" t="s">
        <v>795</v>
      </c>
      <c r="D5783" s="15" t="s">
        <v>795</v>
      </c>
      <c r="F5783" s="42"/>
    </row>
    <row r="5784" spans="1:6" x14ac:dyDescent="0.3">
      <c r="A5784" s="15" t="s">
        <v>40535</v>
      </c>
      <c r="B5784" s="15" t="s">
        <v>795</v>
      </c>
      <c r="C5784" s="15" t="s">
        <v>795</v>
      </c>
      <c r="D5784" s="15" t="s">
        <v>795</v>
      </c>
      <c r="F5784" s="42"/>
    </row>
    <row r="5785" spans="1:6" x14ac:dyDescent="0.3">
      <c r="A5785" s="15" t="s">
        <v>33499</v>
      </c>
      <c r="B5785" s="15" t="s">
        <v>795</v>
      </c>
      <c r="C5785" s="15" t="s">
        <v>795</v>
      </c>
      <c r="D5785" s="15" t="s">
        <v>795</v>
      </c>
      <c r="F5785" s="42"/>
    </row>
    <row r="5786" spans="1:6" x14ac:dyDescent="0.3">
      <c r="A5786" s="15" t="s">
        <v>42758</v>
      </c>
      <c r="B5786" s="15" t="s">
        <v>10690</v>
      </c>
      <c r="C5786" s="15" t="s">
        <v>800</v>
      </c>
      <c r="D5786" s="15" t="s">
        <v>10691</v>
      </c>
      <c r="E5786" s="15">
        <v>9.5917999999999992</v>
      </c>
      <c r="F5786" s="42">
        <v>46198</v>
      </c>
    </row>
    <row r="5787" spans="1:6" x14ac:dyDescent="0.3">
      <c r="A5787" s="15" t="s">
        <v>42757</v>
      </c>
      <c r="B5787" s="15" t="s">
        <v>800</v>
      </c>
      <c r="C5787" s="15" t="s">
        <v>10692</v>
      </c>
      <c r="D5787" s="15" t="s">
        <v>10693</v>
      </c>
      <c r="E5787" s="15">
        <v>9.5991999999999997</v>
      </c>
      <c r="F5787" s="42">
        <v>46198</v>
      </c>
    </row>
    <row r="5788" spans="1:6" x14ac:dyDescent="0.3">
      <c r="A5788" s="15" t="s">
        <v>42756</v>
      </c>
      <c r="B5788" s="15" t="s">
        <v>10694</v>
      </c>
      <c r="C5788" s="15" t="s">
        <v>800</v>
      </c>
      <c r="D5788" s="15" t="s">
        <v>10695</v>
      </c>
      <c r="E5788" s="15">
        <v>9.5775000000000006</v>
      </c>
      <c r="F5788" s="42">
        <v>46198</v>
      </c>
    </row>
    <row r="5789" spans="1:6" x14ac:dyDescent="0.3">
      <c r="A5789" s="15" t="s">
        <v>42755</v>
      </c>
      <c r="B5789" s="15" t="s">
        <v>800</v>
      </c>
      <c r="C5789" s="15" t="s">
        <v>10696</v>
      </c>
      <c r="D5789" s="15" t="s">
        <v>10697</v>
      </c>
      <c r="E5789" s="15">
        <v>9.5774000000000008</v>
      </c>
      <c r="F5789" s="42">
        <v>46198</v>
      </c>
    </row>
    <row r="5790" spans="1:6" x14ac:dyDescent="0.3">
      <c r="A5790" s="15" t="s">
        <v>33499</v>
      </c>
      <c r="B5790" s="15" t="s">
        <v>795</v>
      </c>
      <c r="C5790" s="15" t="s">
        <v>795</v>
      </c>
      <c r="D5790" s="15" t="s">
        <v>795</v>
      </c>
      <c r="F5790" s="42"/>
    </row>
    <row r="5791" spans="1:6" x14ac:dyDescent="0.3">
      <c r="A5791" s="15" t="s">
        <v>40216</v>
      </c>
      <c r="B5791" s="15" t="s">
        <v>795</v>
      </c>
      <c r="C5791" s="15" t="s">
        <v>795</v>
      </c>
      <c r="D5791" s="15" t="s">
        <v>795</v>
      </c>
      <c r="F5791" s="42"/>
    </row>
    <row r="5792" spans="1:6" x14ac:dyDescent="0.3">
      <c r="A5792" s="15" t="s">
        <v>33499</v>
      </c>
      <c r="B5792" s="15" t="s">
        <v>795</v>
      </c>
      <c r="C5792" s="15" t="s">
        <v>795</v>
      </c>
      <c r="D5792" s="15" t="s">
        <v>795</v>
      </c>
      <c r="F5792" s="42"/>
    </row>
    <row r="5793" spans="1:6" x14ac:dyDescent="0.3">
      <c r="A5793" s="15" t="s">
        <v>42754</v>
      </c>
      <c r="B5793" s="15" t="s">
        <v>10698</v>
      </c>
      <c r="C5793" s="15" t="s">
        <v>800</v>
      </c>
      <c r="D5793" s="15" t="s">
        <v>10699</v>
      </c>
      <c r="E5793" s="15">
        <v>16.683</v>
      </c>
      <c r="F5793" s="42">
        <v>46198</v>
      </c>
    </row>
    <row r="5794" spans="1:6" x14ac:dyDescent="0.3">
      <c r="A5794" s="15" t="s">
        <v>42753</v>
      </c>
      <c r="B5794" s="15" t="s">
        <v>10700</v>
      </c>
      <c r="C5794" s="15" t="s">
        <v>800</v>
      </c>
      <c r="D5794" s="15" t="s">
        <v>10701</v>
      </c>
      <c r="E5794" s="15">
        <v>15.6983</v>
      </c>
      <c r="F5794" s="42">
        <v>46198</v>
      </c>
    </row>
    <row r="5795" spans="1:6" x14ac:dyDescent="0.3">
      <c r="A5795" s="15" t="s">
        <v>42752</v>
      </c>
      <c r="B5795" s="15" t="s">
        <v>10702</v>
      </c>
      <c r="C5795" s="15" t="s">
        <v>10703</v>
      </c>
      <c r="D5795" s="15" t="s">
        <v>10704</v>
      </c>
      <c r="E5795" s="15">
        <v>16.751899999999999</v>
      </c>
      <c r="F5795" s="42">
        <v>46198</v>
      </c>
    </row>
    <row r="5796" spans="1:6" x14ac:dyDescent="0.3">
      <c r="A5796" s="15" t="s">
        <v>42751</v>
      </c>
      <c r="B5796" s="15" t="s">
        <v>10705</v>
      </c>
      <c r="C5796" s="15" t="s">
        <v>10706</v>
      </c>
      <c r="D5796" s="15" t="s">
        <v>10707</v>
      </c>
      <c r="E5796" s="15">
        <v>15.6114</v>
      </c>
      <c r="F5796" s="42">
        <v>46198</v>
      </c>
    </row>
    <row r="5797" spans="1:6" x14ac:dyDescent="0.3">
      <c r="A5797" s="15" t="s">
        <v>33499</v>
      </c>
      <c r="B5797" s="15" t="s">
        <v>795</v>
      </c>
      <c r="C5797" s="15" t="s">
        <v>795</v>
      </c>
      <c r="D5797" s="15" t="s">
        <v>795</v>
      </c>
      <c r="F5797" s="42"/>
    </row>
    <row r="5798" spans="1:6" x14ac:dyDescent="0.3">
      <c r="A5798" s="15" t="s">
        <v>40209</v>
      </c>
      <c r="B5798" s="15" t="s">
        <v>795</v>
      </c>
      <c r="C5798" s="15" t="s">
        <v>795</v>
      </c>
      <c r="D5798" s="15" t="s">
        <v>795</v>
      </c>
      <c r="F5798" s="42"/>
    </row>
    <row r="5799" spans="1:6" x14ac:dyDescent="0.3">
      <c r="A5799" s="15" t="s">
        <v>33499</v>
      </c>
      <c r="B5799" s="15" t="s">
        <v>795</v>
      </c>
      <c r="C5799" s="15" t="s">
        <v>795</v>
      </c>
      <c r="D5799" s="15" t="s">
        <v>795</v>
      </c>
      <c r="F5799" s="42"/>
    </row>
    <row r="5800" spans="1:6" x14ac:dyDescent="0.3">
      <c r="A5800" s="15" t="s">
        <v>42750</v>
      </c>
      <c r="B5800" s="15" t="s">
        <v>10708</v>
      </c>
      <c r="C5800" s="15" t="s">
        <v>800</v>
      </c>
      <c r="D5800" s="15" t="s">
        <v>10709</v>
      </c>
      <c r="E5800" s="15">
        <v>9.14</v>
      </c>
      <c r="F5800" s="42">
        <v>46198</v>
      </c>
    </row>
    <row r="5801" spans="1:6" x14ac:dyDescent="0.3">
      <c r="A5801" s="15" t="s">
        <v>42749</v>
      </c>
      <c r="B5801" s="15" t="s">
        <v>10710</v>
      </c>
      <c r="C5801" s="15" t="s">
        <v>800</v>
      </c>
      <c r="D5801" s="15" t="s">
        <v>10711</v>
      </c>
      <c r="E5801" s="15">
        <v>8.9499999999999993</v>
      </c>
      <c r="F5801" s="42">
        <v>46198</v>
      </c>
    </row>
    <row r="5802" spans="1:6" x14ac:dyDescent="0.3">
      <c r="A5802" s="15" t="s">
        <v>33499</v>
      </c>
      <c r="B5802" s="15" t="s">
        <v>795</v>
      </c>
      <c r="C5802" s="15" t="s">
        <v>795</v>
      </c>
      <c r="D5802" s="15" t="s">
        <v>795</v>
      </c>
      <c r="F5802" s="42"/>
    </row>
    <row r="5803" spans="1:6" x14ac:dyDescent="0.3">
      <c r="A5803" s="15" t="s">
        <v>33636</v>
      </c>
      <c r="B5803" s="15" t="s">
        <v>795</v>
      </c>
      <c r="C5803" s="15" t="s">
        <v>795</v>
      </c>
      <c r="D5803" s="15" t="s">
        <v>795</v>
      </c>
      <c r="F5803" s="42"/>
    </row>
    <row r="5804" spans="1:6" x14ac:dyDescent="0.3">
      <c r="A5804" s="15" t="s">
        <v>33499</v>
      </c>
      <c r="B5804" s="15" t="s">
        <v>795</v>
      </c>
      <c r="C5804" s="15" t="s">
        <v>795</v>
      </c>
      <c r="D5804" s="15" t="s">
        <v>795</v>
      </c>
      <c r="F5804" s="42"/>
    </row>
    <row r="5805" spans="1:6" x14ac:dyDescent="0.3">
      <c r="A5805" s="15" t="s">
        <v>42748</v>
      </c>
      <c r="B5805" s="15" t="s">
        <v>10712</v>
      </c>
      <c r="C5805" s="15" t="s">
        <v>10713</v>
      </c>
      <c r="D5805" s="15" t="s">
        <v>10714</v>
      </c>
      <c r="E5805" s="15">
        <v>68.287400000000005</v>
      </c>
      <c r="F5805" s="42">
        <v>46198</v>
      </c>
    </row>
    <row r="5806" spans="1:6" x14ac:dyDescent="0.3">
      <c r="A5806" s="15" t="s">
        <v>42747</v>
      </c>
      <c r="B5806" s="15" t="s">
        <v>10715</v>
      </c>
      <c r="C5806" s="15" t="s">
        <v>10716</v>
      </c>
      <c r="D5806" s="15" t="s">
        <v>10717</v>
      </c>
      <c r="E5806" s="15">
        <v>53.699599999999997</v>
      </c>
      <c r="F5806" s="42">
        <v>46198</v>
      </c>
    </row>
    <row r="5807" spans="1:6" x14ac:dyDescent="0.3">
      <c r="A5807" s="15" t="s">
        <v>42746</v>
      </c>
      <c r="B5807" s="15" t="s">
        <v>10718</v>
      </c>
      <c r="C5807" s="15" t="s">
        <v>800</v>
      </c>
      <c r="D5807" s="15" t="s">
        <v>10719</v>
      </c>
      <c r="E5807" s="15">
        <v>105.22020000000001</v>
      </c>
      <c r="F5807" s="42">
        <v>46198</v>
      </c>
    </row>
    <row r="5808" spans="1:6" x14ac:dyDescent="0.3">
      <c r="A5808" s="15" t="s">
        <v>42745</v>
      </c>
      <c r="B5808" s="15" t="s">
        <v>10720</v>
      </c>
      <c r="C5808" s="15" t="s">
        <v>800</v>
      </c>
      <c r="D5808" s="15" t="s">
        <v>10721</v>
      </c>
      <c r="E5808" s="15">
        <v>94.394599999999997</v>
      </c>
      <c r="F5808" s="42">
        <v>46198</v>
      </c>
    </row>
    <row r="5809" spans="1:6" x14ac:dyDescent="0.3">
      <c r="A5809" s="15" t="s">
        <v>33499</v>
      </c>
      <c r="B5809" s="15" t="s">
        <v>795</v>
      </c>
      <c r="C5809" s="15" t="s">
        <v>795</v>
      </c>
      <c r="D5809" s="15" t="s">
        <v>795</v>
      </c>
      <c r="F5809" s="42"/>
    </row>
    <row r="5810" spans="1:6" x14ac:dyDescent="0.3">
      <c r="A5810" s="15" t="s">
        <v>37414</v>
      </c>
      <c r="B5810" s="15" t="s">
        <v>795</v>
      </c>
      <c r="C5810" s="15" t="s">
        <v>795</v>
      </c>
      <c r="D5810" s="15" t="s">
        <v>795</v>
      </c>
      <c r="F5810" s="42"/>
    </row>
    <row r="5811" spans="1:6" x14ac:dyDescent="0.3">
      <c r="A5811" s="15" t="s">
        <v>33499</v>
      </c>
      <c r="B5811" s="15" t="s">
        <v>795</v>
      </c>
      <c r="C5811" s="15" t="s">
        <v>795</v>
      </c>
      <c r="D5811" s="15" t="s">
        <v>795</v>
      </c>
      <c r="F5811" s="42"/>
    </row>
    <row r="5812" spans="1:6" x14ac:dyDescent="0.3">
      <c r="A5812" s="15" t="s">
        <v>42744</v>
      </c>
      <c r="B5812" s="15" t="s">
        <v>800</v>
      </c>
      <c r="C5812" s="15" t="s">
        <v>10722</v>
      </c>
      <c r="D5812" s="15" t="s">
        <v>10723</v>
      </c>
      <c r="E5812" s="15">
        <v>16.375</v>
      </c>
      <c r="F5812" s="42">
        <v>46198</v>
      </c>
    </row>
    <row r="5813" spans="1:6" x14ac:dyDescent="0.3">
      <c r="A5813" s="15" t="s">
        <v>42743</v>
      </c>
      <c r="B5813" s="15" t="s">
        <v>10724</v>
      </c>
      <c r="C5813" s="15" t="s">
        <v>800</v>
      </c>
      <c r="D5813" s="15" t="s">
        <v>10725</v>
      </c>
      <c r="E5813" s="15">
        <v>15.050599999999999</v>
      </c>
      <c r="F5813" s="42">
        <v>46198</v>
      </c>
    </row>
    <row r="5814" spans="1:6" x14ac:dyDescent="0.3">
      <c r="A5814" s="15" t="s">
        <v>42742</v>
      </c>
      <c r="B5814" s="15" t="s">
        <v>10726</v>
      </c>
      <c r="C5814" s="15" t="s">
        <v>800</v>
      </c>
      <c r="D5814" s="15" t="s">
        <v>10727</v>
      </c>
      <c r="E5814" s="15">
        <v>16.375</v>
      </c>
      <c r="F5814" s="42">
        <v>46198</v>
      </c>
    </row>
    <row r="5815" spans="1:6" x14ac:dyDescent="0.3">
      <c r="A5815" s="15" t="s">
        <v>42741</v>
      </c>
      <c r="B5815" s="15" t="s">
        <v>800</v>
      </c>
      <c r="C5815" s="15" t="s">
        <v>10728</v>
      </c>
      <c r="D5815" s="15" t="s">
        <v>10729</v>
      </c>
      <c r="E5815" s="15">
        <v>15.050599999999999</v>
      </c>
      <c r="F5815" s="42">
        <v>46198</v>
      </c>
    </row>
    <row r="5816" spans="1:6" x14ac:dyDescent="0.3">
      <c r="A5816" s="15" t="s">
        <v>42740</v>
      </c>
      <c r="B5816" s="15" t="s">
        <v>10730</v>
      </c>
      <c r="C5816" s="15" t="s">
        <v>800</v>
      </c>
      <c r="D5816" s="15" t="s">
        <v>10731</v>
      </c>
      <c r="E5816" s="15">
        <v>22.5532</v>
      </c>
      <c r="F5816" s="42">
        <v>46198</v>
      </c>
    </row>
    <row r="5817" spans="1:6" x14ac:dyDescent="0.3">
      <c r="A5817" s="15" t="s">
        <v>42739</v>
      </c>
      <c r="B5817" s="15" t="s">
        <v>10732</v>
      </c>
      <c r="C5817" s="15" t="s">
        <v>800</v>
      </c>
      <c r="D5817" s="15" t="s">
        <v>10733</v>
      </c>
      <c r="E5817" s="15">
        <v>20.762</v>
      </c>
      <c r="F5817" s="42">
        <v>46198</v>
      </c>
    </row>
    <row r="5818" spans="1:6" x14ac:dyDescent="0.3">
      <c r="A5818" s="15" t="s">
        <v>33499</v>
      </c>
      <c r="B5818" s="15" t="s">
        <v>795</v>
      </c>
      <c r="C5818" s="15" t="s">
        <v>795</v>
      </c>
      <c r="D5818" s="15" t="s">
        <v>795</v>
      </c>
      <c r="F5818" s="42"/>
    </row>
    <row r="5819" spans="1:6" x14ac:dyDescent="0.3">
      <c r="A5819" s="15" t="s">
        <v>33519</v>
      </c>
      <c r="B5819" s="15" t="s">
        <v>795</v>
      </c>
      <c r="C5819" s="15" t="s">
        <v>795</v>
      </c>
      <c r="D5819" s="15" t="s">
        <v>795</v>
      </c>
      <c r="F5819" s="42"/>
    </row>
    <row r="5820" spans="1:6" x14ac:dyDescent="0.3">
      <c r="A5820" s="15" t="s">
        <v>33499</v>
      </c>
      <c r="B5820" s="15" t="s">
        <v>795</v>
      </c>
      <c r="C5820" s="15" t="s">
        <v>795</v>
      </c>
      <c r="D5820" s="15" t="s">
        <v>795</v>
      </c>
      <c r="F5820" s="42"/>
    </row>
    <row r="5821" spans="1:6" x14ac:dyDescent="0.3">
      <c r="A5821" s="15" t="s">
        <v>42738</v>
      </c>
      <c r="B5821" s="15" t="s">
        <v>10734</v>
      </c>
      <c r="C5821" s="15" t="s">
        <v>800</v>
      </c>
      <c r="D5821" s="15" t="s">
        <v>10735</v>
      </c>
      <c r="E5821" s="15">
        <v>585.49749999999995</v>
      </c>
      <c r="F5821" s="42">
        <v>46198</v>
      </c>
    </row>
    <row r="5822" spans="1:6" x14ac:dyDescent="0.3">
      <c r="A5822" s="15" t="s">
        <v>42737</v>
      </c>
      <c r="B5822" s="15" t="s">
        <v>10736</v>
      </c>
      <c r="C5822" s="15" t="s">
        <v>800</v>
      </c>
      <c r="D5822" s="15" t="s">
        <v>10737</v>
      </c>
      <c r="E5822" s="15">
        <v>505.23509999999999</v>
      </c>
      <c r="F5822" s="42">
        <v>46198</v>
      </c>
    </row>
    <row r="5823" spans="1:6" x14ac:dyDescent="0.3">
      <c r="A5823" s="15" t="s">
        <v>42736</v>
      </c>
      <c r="B5823" s="15" t="s">
        <v>10738</v>
      </c>
      <c r="C5823" s="15" t="s">
        <v>10739</v>
      </c>
      <c r="D5823" s="15" t="s">
        <v>10740</v>
      </c>
      <c r="E5823" s="15">
        <v>124.196</v>
      </c>
      <c r="F5823" s="42">
        <v>46198</v>
      </c>
    </row>
    <row r="5824" spans="1:6" x14ac:dyDescent="0.3">
      <c r="A5824" s="15" t="s">
        <v>42735</v>
      </c>
      <c r="B5824" s="15" t="s">
        <v>10741</v>
      </c>
      <c r="C5824" s="15" t="s">
        <v>10742</v>
      </c>
      <c r="D5824" s="15" t="s">
        <v>10743</v>
      </c>
      <c r="E5824" s="15">
        <v>101.2842</v>
      </c>
      <c r="F5824" s="42">
        <v>46198</v>
      </c>
    </row>
    <row r="5825" spans="1:6" x14ac:dyDescent="0.3">
      <c r="A5825" s="15" t="s">
        <v>33499</v>
      </c>
      <c r="B5825" s="15" t="s">
        <v>795</v>
      </c>
      <c r="C5825" s="15" t="s">
        <v>795</v>
      </c>
      <c r="D5825" s="15" t="s">
        <v>795</v>
      </c>
      <c r="F5825" s="42"/>
    </row>
    <row r="5826" spans="1:6" x14ac:dyDescent="0.3">
      <c r="A5826" s="15" t="s">
        <v>38009</v>
      </c>
      <c r="B5826" s="15" t="s">
        <v>795</v>
      </c>
      <c r="C5826" s="15" t="s">
        <v>795</v>
      </c>
      <c r="D5826" s="15" t="s">
        <v>795</v>
      </c>
      <c r="F5826" s="42"/>
    </row>
    <row r="5827" spans="1:6" x14ac:dyDescent="0.3">
      <c r="A5827" s="15" t="s">
        <v>33499</v>
      </c>
      <c r="B5827" s="15" t="s">
        <v>795</v>
      </c>
      <c r="C5827" s="15" t="s">
        <v>795</v>
      </c>
      <c r="D5827" s="15" t="s">
        <v>795</v>
      </c>
      <c r="F5827" s="42"/>
    </row>
    <row r="5828" spans="1:6" x14ac:dyDescent="0.3">
      <c r="A5828" s="15" t="s">
        <v>42734</v>
      </c>
      <c r="B5828" s="15" t="s">
        <v>10744</v>
      </c>
      <c r="C5828" s="15" t="s">
        <v>800</v>
      </c>
      <c r="D5828" s="15" t="s">
        <v>10745</v>
      </c>
      <c r="E5828" s="15">
        <v>164.88</v>
      </c>
      <c r="F5828" s="42">
        <v>46198</v>
      </c>
    </row>
    <row r="5829" spans="1:6" x14ac:dyDescent="0.3">
      <c r="A5829" s="15" t="s">
        <v>42733</v>
      </c>
      <c r="B5829" s="15" t="s">
        <v>10746</v>
      </c>
      <c r="C5829" s="15" t="s">
        <v>10747</v>
      </c>
      <c r="D5829" s="15" t="s">
        <v>10748</v>
      </c>
      <c r="E5829" s="15">
        <v>72.63</v>
      </c>
      <c r="F5829" s="42">
        <v>46198</v>
      </c>
    </row>
    <row r="5830" spans="1:6" x14ac:dyDescent="0.3">
      <c r="A5830" s="15" t="s">
        <v>42732</v>
      </c>
      <c r="B5830" s="15" t="s">
        <v>10749</v>
      </c>
      <c r="C5830" s="15" t="s">
        <v>800</v>
      </c>
      <c r="D5830" s="15" t="s">
        <v>10750</v>
      </c>
      <c r="E5830" s="15">
        <v>155.55000000000001</v>
      </c>
      <c r="F5830" s="42">
        <v>46198</v>
      </c>
    </row>
    <row r="5831" spans="1:6" x14ac:dyDescent="0.3">
      <c r="A5831" s="15" t="s">
        <v>42731</v>
      </c>
      <c r="B5831" s="15" t="s">
        <v>10751</v>
      </c>
      <c r="C5831" s="15" t="s">
        <v>10752</v>
      </c>
      <c r="D5831" s="15" t="s">
        <v>10753</v>
      </c>
      <c r="E5831" s="15">
        <v>68.14</v>
      </c>
      <c r="F5831" s="42">
        <v>46198</v>
      </c>
    </row>
    <row r="5832" spans="1:6" x14ac:dyDescent="0.3">
      <c r="A5832" s="15" t="s">
        <v>33499</v>
      </c>
      <c r="B5832" s="15" t="s">
        <v>795</v>
      </c>
      <c r="C5832" s="15" t="s">
        <v>795</v>
      </c>
      <c r="D5832" s="15" t="s">
        <v>795</v>
      </c>
      <c r="F5832" s="42"/>
    </row>
    <row r="5833" spans="1:6" x14ac:dyDescent="0.3">
      <c r="A5833" s="15" t="s">
        <v>33504</v>
      </c>
      <c r="B5833" s="15" t="s">
        <v>795</v>
      </c>
      <c r="C5833" s="15" t="s">
        <v>795</v>
      </c>
      <c r="D5833" s="15" t="s">
        <v>795</v>
      </c>
      <c r="F5833" s="42"/>
    </row>
    <row r="5834" spans="1:6" x14ac:dyDescent="0.3">
      <c r="A5834" s="15" t="s">
        <v>33499</v>
      </c>
      <c r="B5834" s="15" t="s">
        <v>795</v>
      </c>
      <c r="C5834" s="15" t="s">
        <v>795</v>
      </c>
      <c r="D5834" s="15" t="s">
        <v>795</v>
      </c>
      <c r="F5834" s="42"/>
    </row>
    <row r="5835" spans="1:6" x14ac:dyDescent="0.3">
      <c r="A5835" s="15" t="s">
        <v>42730</v>
      </c>
      <c r="B5835" s="15" t="s">
        <v>10754</v>
      </c>
      <c r="C5835" s="15" t="s">
        <v>800</v>
      </c>
      <c r="D5835" s="15" t="s">
        <v>10755</v>
      </c>
      <c r="E5835" s="15">
        <v>24.69</v>
      </c>
      <c r="F5835" s="42">
        <v>46198</v>
      </c>
    </row>
    <row r="5836" spans="1:6" x14ac:dyDescent="0.3">
      <c r="A5836" s="15" t="s">
        <v>42729</v>
      </c>
      <c r="B5836" s="15" t="s">
        <v>10756</v>
      </c>
      <c r="C5836" s="15" t="s">
        <v>10757</v>
      </c>
      <c r="D5836" s="15" t="s">
        <v>10758</v>
      </c>
      <c r="E5836" s="15">
        <v>24.69</v>
      </c>
      <c r="F5836" s="42">
        <v>46198</v>
      </c>
    </row>
    <row r="5837" spans="1:6" x14ac:dyDescent="0.3">
      <c r="A5837" s="15" t="s">
        <v>42728</v>
      </c>
      <c r="B5837" s="15" t="s">
        <v>10759</v>
      </c>
      <c r="C5837" s="15" t="s">
        <v>800</v>
      </c>
      <c r="D5837" s="15" t="s">
        <v>10760</v>
      </c>
      <c r="E5837" s="15">
        <v>23.06</v>
      </c>
      <c r="F5837" s="42">
        <v>46198</v>
      </c>
    </row>
    <row r="5838" spans="1:6" x14ac:dyDescent="0.3">
      <c r="A5838" s="15" t="s">
        <v>42727</v>
      </c>
      <c r="B5838" s="15" t="s">
        <v>10761</v>
      </c>
      <c r="C5838" s="15" t="s">
        <v>10762</v>
      </c>
      <c r="D5838" s="15" t="s">
        <v>10763</v>
      </c>
      <c r="E5838" s="15">
        <v>23.06</v>
      </c>
      <c r="F5838" s="42">
        <v>46198</v>
      </c>
    </row>
    <row r="5839" spans="1:6" x14ac:dyDescent="0.3">
      <c r="A5839" s="15" t="s">
        <v>33499</v>
      </c>
      <c r="B5839" s="15" t="s">
        <v>795</v>
      </c>
      <c r="C5839" s="15" t="s">
        <v>795</v>
      </c>
      <c r="D5839" s="15" t="s">
        <v>795</v>
      </c>
      <c r="F5839" s="42"/>
    </row>
    <row r="5840" spans="1:6" x14ac:dyDescent="0.3">
      <c r="A5840" s="15" t="s">
        <v>33500</v>
      </c>
      <c r="B5840" s="15" t="s">
        <v>795</v>
      </c>
      <c r="C5840" s="15" t="s">
        <v>795</v>
      </c>
      <c r="D5840" s="15" t="s">
        <v>795</v>
      </c>
      <c r="F5840" s="42"/>
    </row>
    <row r="5841" spans="1:6" x14ac:dyDescent="0.3">
      <c r="A5841" s="15" t="s">
        <v>33499</v>
      </c>
      <c r="B5841" s="15" t="s">
        <v>795</v>
      </c>
      <c r="C5841" s="15" t="s">
        <v>795</v>
      </c>
      <c r="D5841" s="15" t="s">
        <v>795</v>
      </c>
      <c r="F5841" s="42"/>
    </row>
    <row r="5842" spans="1:6" x14ac:dyDescent="0.3">
      <c r="A5842" s="15" t="s">
        <v>42726</v>
      </c>
      <c r="B5842" s="15" t="s">
        <v>10764</v>
      </c>
      <c r="C5842" s="15" t="s">
        <v>800</v>
      </c>
      <c r="D5842" s="15" t="s">
        <v>10765</v>
      </c>
      <c r="E5842" s="15">
        <v>288.6361</v>
      </c>
      <c r="F5842" s="42">
        <v>46198</v>
      </c>
    </row>
    <row r="5843" spans="1:6" x14ac:dyDescent="0.3">
      <c r="A5843" s="15" t="s">
        <v>42725</v>
      </c>
      <c r="B5843" s="15" t="s">
        <v>10766</v>
      </c>
      <c r="C5843" s="15" t="s">
        <v>10767</v>
      </c>
      <c r="D5843" s="15" t="s">
        <v>10768</v>
      </c>
      <c r="E5843" s="15">
        <v>61.347499999999997</v>
      </c>
      <c r="F5843" s="42">
        <v>46198</v>
      </c>
    </row>
    <row r="5844" spans="1:6" x14ac:dyDescent="0.3">
      <c r="A5844" s="15" t="s">
        <v>42724</v>
      </c>
      <c r="B5844" s="15" t="s">
        <v>10769</v>
      </c>
      <c r="C5844" s="15" t="s">
        <v>800</v>
      </c>
      <c r="D5844" s="15" t="s">
        <v>10770</v>
      </c>
      <c r="E5844" s="15">
        <v>261.3091</v>
      </c>
      <c r="F5844" s="42">
        <v>46198</v>
      </c>
    </row>
    <row r="5845" spans="1:6" x14ac:dyDescent="0.3">
      <c r="A5845" s="15" t="s">
        <v>42723</v>
      </c>
      <c r="B5845" s="15" t="s">
        <v>10771</v>
      </c>
      <c r="C5845" s="15" t="s">
        <v>10772</v>
      </c>
      <c r="D5845" s="15" t="s">
        <v>10773</v>
      </c>
      <c r="E5845" s="15">
        <v>51.491900000000001</v>
      </c>
      <c r="F5845" s="42">
        <v>46198</v>
      </c>
    </row>
    <row r="5846" spans="1:6" x14ac:dyDescent="0.3">
      <c r="A5846" s="15" t="s">
        <v>33499</v>
      </c>
      <c r="B5846" s="15" t="s">
        <v>795</v>
      </c>
      <c r="C5846" s="15" t="s">
        <v>795</v>
      </c>
      <c r="D5846" s="15" t="s">
        <v>795</v>
      </c>
      <c r="F5846" s="42"/>
    </row>
    <row r="5847" spans="1:6" x14ac:dyDescent="0.3">
      <c r="A5847" s="15" t="s">
        <v>40172</v>
      </c>
      <c r="B5847" s="15" t="s">
        <v>795</v>
      </c>
      <c r="C5847" s="15" t="s">
        <v>795</v>
      </c>
      <c r="D5847" s="15" t="s">
        <v>795</v>
      </c>
      <c r="F5847" s="42"/>
    </row>
    <row r="5848" spans="1:6" x14ac:dyDescent="0.3">
      <c r="A5848" s="15" t="s">
        <v>33499</v>
      </c>
      <c r="B5848" s="15" t="s">
        <v>795</v>
      </c>
      <c r="C5848" s="15" t="s">
        <v>795</v>
      </c>
      <c r="D5848" s="15" t="s">
        <v>795</v>
      </c>
      <c r="F5848" s="42"/>
    </row>
    <row r="5849" spans="1:6" x14ac:dyDescent="0.3">
      <c r="A5849" s="15" t="s">
        <v>42722</v>
      </c>
      <c r="B5849" s="15" t="s">
        <v>10774</v>
      </c>
      <c r="C5849" s="15" t="s">
        <v>800</v>
      </c>
      <c r="D5849" s="15" t="s">
        <v>10775</v>
      </c>
      <c r="E5849" s="15">
        <v>15.539</v>
      </c>
      <c r="F5849" s="42">
        <v>46198</v>
      </c>
    </row>
    <row r="5850" spans="1:6" x14ac:dyDescent="0.3">
      <c r="A5850" s="15" t="s">
        <v>42721</v>
      </c>
      <c r="B5850" s="15" t="s">
        <v>10776</v>
      </c>
      <c r="C5850" s="15" t="s">
        <v>10777</v>
      </c>
      <c r="D5850" s="15" t="s">
        <v>10778</v>
      </c>
      <c r="E5850" s="15">
        <v>15.539</v>
      </c>
      <c r="F5850" s="42">
        <v>46198</v>
      </c>
    </row>
    <row r="5851" spans="1:6" x14ac:dyDescent="0.3">
      <c r="A5851" s="15" t="s">
        <v>42720</v>
      </c>
      <c r="B5851" s="15" t="s">
        <v>10779</v>
      </c>
      <c r="C5851" s="15" t="s">
        <v>800</v>
      </c>
      <c r="D5851" s="15" t="s">
        <v>10780</v>
      </c>
      <c r="E5851" s="15">
        <v>14.648</v>
      </c>
      <c r="F5851" s="42">
        <v>46198</v>
      </c>
    </row>
    <row r="5852" spans="1:6" x14ac:dyDescent="0.3">
      <c r="A5852" s="15" t="s">
        <v>42719</v>
      </c>
      <c r="B5852" s="15" t="s">
        <v>10781</v>
      </c>
      <c r="C5852" s="15" t="s">
        <v>10782</v>
      </c>
      <c r="D5852" s="15" t="s">
        <v>10783</v>
      </c>
      <c r="E5852" s="15">
        <v>14.648</v>
      </c>
      <c r="F5852" s="42">
        <v>46198</v>
      </c>
    </row>
    <row r="5853" spans="1:6" x14ac:dyDescent="0.3">
      <c r="A5853" s="15" t="s">
        <v>33499</v>
      </c>
      <c r="B5853" s="15" t="s">
        <v>795</v>
      </c>
      <c r="C5853" s="15" t="s">
        <v>795</v>
      </c>
      <c r="D5853" s="15" t="s">
        <v>795</v>
      </c>
      <c r="F5853" s="42"/>
    </row>
    <row r="5854" spans="1:6" x14ac:dyDescent="0.3">
      <c r="A5854" s="15" t="s">
        <v>42718</v>
      </c>
      <c r="B5854" s="15" t="s">
        <v>795</v>
      </c>
      <c r="C5854" s="15" t="s">
        <v>795</v>
      </c>
      <c r="D5854" s="15" t="s">
        <v>795</v>
      </c>
      <c r="F5854" s="42"/>
    </row>
    <row r="5855" spans="1:6" x14ac:dyDescent="0.3">
      <c r="A5855" s="15" t="s">
        <v>33499</v>
      </c>
      <c r="B5855" s="15" t="s">
        <v>795</v>
      </c>
      <c r="C5855" s="15" t="s">
        <v>795</v>
      </c>
      <c r="D5855" s="15" t="s">
        <v>795</v>
      </c>
      <c r="F5855" s="42"/>
    </row>
    <row r="5856" spans="1:6" x14ac:dyDescent="0.3">
      <c r="A5856" s="15" t="s">
        <v>37122</v>
      </c>
      <c r="B5856" s="15" t="s">
        <v>795</v>
      </c>
      <c r="C5856" s="15" t="s">
        <v>795</v>
      </c>
      <c r="D5856" s="15" t="s">
        <v>795</v>
      </c>
      <c r="F5856" s="42"/>
    </row>
    <row r="5857" spans="1:6" x14ac:dyDescent="0.3">
      <c r="A5857" s="15" t="s">
        <v>33499</v>
      </c>
      <c r="B5857" s="15" t="s">
        <v>795</v>
      </c>
      <c r="C5857" s="15" t="s">
        <v>795</v>
      </c>
      <c r="D5857" s="15" t="s">
        <v>795</v>
      </c>
      <c r="F5857" s="42"/>
    </row>
    <row r="5858" spans="1:6" x14ac:dyDescent="0.3">
      <c r="A5858" s="15" t="s">
        <v>42717</v>
      </c>
      <c r="B5858" s="15" t="s">
        <v>10784</v>
      </c>
      <c r="C5858" s="15" t="s">
        <v>800</v>
      </c>
      <c r="D5858" s="15" t="s">
        <v>10785</v>
      </c>
      <c r="E5858" s="15">
        <v>933.64</v>
      </c>
      <c r="F5858" s="42">
        <v>46198</v>
      </c>
    </row>
    <row r="5859" spans="1:6" x14ac:dyDescent="0.3">
      <c r="A5859" s="15" t="s">
        <v>42716</v>
      </c>
      <c r="B5859" s="15" t="s">
        <v>10786</v>
      </c>
      <c r="C5859" s="15" t="s">
        <v>800</v>
      </c>
      <c r="D5859" s="15" t="s">
        <v>10787</v>
      </c>
      <c r="E5859" s="15">
        <v>99.68</v>
      </c>
      <c r="F5859" s="42">
        <v>46198</v>
      </c>
    </row>
    <row r="5860" spans="1:6" x14ac:dyDescent="0.3">
      <c r="A5860" s="15" t="s">
        <v>42715</v>
      </c>
      <c r="B5860" s="15" t="s">
        <v>10788</v>
      </c>
      <c r="C5860" s="15" t="s">
        <v>10789</v>
      </c>
      <c r="D5860" s="15" t="s">
        <v>10790</v>
      </c>
      <c r="E5860" s="15">
        <v>58</v>
      </c>
      <c r="F5860" s="42">
        <v>46198</v>
      </c>
    </row>
    <row r="5861" spans="1:6" x14ac:dyDescent="0.3">
      <c r="A5861" s="15" t="s">
        <v>42714</v>
      </c>
      <c r="B5861" s="15" t="s">
        <v>10791</v>
      </c>
      <c r="C5861" s="15" t="s">
        <v>800</v>
      </c>
      <c r="D5861" s="15" t="s">
        <v>10792</v>
      </c>
      <c r="E5861" s="15">
        <v>831.61</v>
      </c>
      <c r="F5861" s="42">
        <v>46198</v>
      </c>
    </row>
    <row r="5862" spans="1:6" x14ac:dyDescent="0.3">
      <c r="A5862" s="15" t="s">
        <v>33499</v>
      </c>
      <c r="B5862" s="15" t="s">
        <v>795</v>
      </c>
      <c r="C5862" s="15" t="s">
        <v>795</v>
      </c>
      <c r="D5862" s="15" t="s">
        <v>795</v>
      </c>
      <c r="F5862" s="42"/>
    </row>
    <row r="5863" spans="1:6" x14ac:dyDescent="0.3">
      <c r="A5863" s="15" t="s">
        <v>37087</v>
      </c>
      <c r="B5863" s="15" t="s">
        <v>795</v>
      </c>
      <c r="C5863" s="15" t="s">
        <v>795</v>
      </c>
      <c r="D5863" s="15" t="s">
        <v>795</v>
      </c>
      <c r="F5863" s="42"/>
    </row>
    <row r="5864" spans="1:6" x14ac:dyDescent="0.3">
      <c r="A5864" s="15" t="s">
        <v>33499</v>
      </c>
      <c r="B5864" s="15" t="s">
        <v>795</v>
      </c>
      <c r="C5864" s="15" t="s">
        <v>795</v>
      </c>
      <c r="D5864" s="15" t="s">
        <v>795</v>
      </c>
      <c r="F5864" s="42"/>
    </row>
    <row r="5865" spans="1:6" x14ac:dyDescent="0.3">
      <c r="A5865" s="15" t="s">
        <v>42713</v>
      </c>
      <c r="B5865" s="15" t="s">
        <v>10793</v>
      </c>
      <c r="C5865" s="15" t="s">
        <v>800</v>
      </c>
      <c r="D5865" s="15" t="s">
        <v>10794</v>
      </c>
      <c r="E5865" s="15">
        <v>139.63</v>
      </c>
      <c r="F5865" s="42">
        <v>46198</v>
      </c>
    </row>
    <row r="5866" spans="1:6" x14ac:dyDescent="0.3">
      <c r="A5866" s="15" t="s">
        <v>42712</v>
      </c>
      <c r="B5866" s="15" t="s">
        <v>10795</v>
      </c>
      <c r="C5866" s="15" t="s">
        <v>10796</v>
      </c>
      <c r="D5866" s="15" t="s">
        <v>10797</v>
      </c>
      <c r="E5866" s="15">
        <v>54.12</v>
      </c>
      <c r="F5866" s="42">
        <v>46198</v>
      </c>
    </row>
    <row r="5867" spans="1:6" x14ac:dyDescent="0.3">
      <c r="A5867" s="15" t="s">
        <v>42711</v>
      </c>
      <c r="B5867" s="15" t="s">
        <v>10798</v>
      </c>
      <c r="C5867" s="15" t="s">
        <v>800</v>
      </c>
      <c r="D5867" s="15" t="s">
        <v>10799</v>
      </c>
      <c r="E5867" s="15">
        <v>119</v>
      </c>
      <c r="F5867" s="42">
        <v>46198</v>
      </c>
    </row>
    <row r="5868" spans="1:6" x14ac:dyDescent="0.3">
      <c r="A5868" s="15" t="s">
        <v>42710</v>
      </c>
      <c r="B5868" s="15" t="s">
        <v>10800</v>
      </c>
      <c r="C5868" s="15" t="s">
        <v>10801</v>
      </c>
      <c r="D5868" s="15" t="s">
        <v>10802</v>
      </c>
      <c r="E5868" s="15">
        <v>40.57</v>
      </c>
      <c r="F5868" s="42">
        <v>46198</v>
      </c>
    </row>
    <row r="5869" spans="1:6" x14ac:dyDescent="0.3">
      <c r="A5869" s="15" t="s">
        <v>33499</v>
      </c>
      <c r="B5869" s="15" t="s">
        <v>795</v>
      </c>
      <c r="C5869" s="15" t="s">
        <v>795</v>
      </c>
      <c r="D5869" s="15" t="s">
        <v>795</v>
      </c>
      <c r="F5869" s="42"/>
    </row>
    <row r="5870" spans="1:6" x14ac:dyDescent="0.3">
      <c r="A5870" s="15" t="s">
        <v>37073</v>
      </c>
      <c r="B5870" s="15" t="s">
        <v>795</v>
      </c>
      <c r="C5870" s="15" t="s">
        <v>795</v>
      </c>
      <c r="D5870" s="15" t="s">
        <v>795</v>
      </c>
      <c r="F5870" s="42"/>
    </row>
    <row r="5871" spans="1:6" x14ac:dyDescent="0.3">
      <c r="A5871" s="15" t="s">
        <v>33499</v>
      </c>
      <c r="B5871" s="15" t="s">
        <v>795</v>
      </c>
      <c r="C5871" s="15" t="s">
        <v>795</v>
      </c>
      <c r="D5871" s="15" t="s">
        <v>795</v>
      </c>
      <c r="F5871" s="42"/>
    </row>
    <row r="5872" spans="1:6" x14ac:dyDescent="0.3">
      <c r="A5872" s="15" t="s">
        <v>42709</v>
      </c>
      <c r="B5872" s="15" t="s">
        <v>10803</v>
      </c>
      <c r="C5872" s="15" t="s">
        <v>800</v>
      </c>
      <c r="D5872" s="15" t="s">
        <v>10804</v>
      </c>
      <c r="E5872" s="15">
        <v>19.649000000000001</v>
      </c>
      <c r="F5872" s="42">
        <v>46198</v>
      </c>
    </row>
    <row r="5873" spans="1:6" x14ac:dyDescent="0.3">
      <c r="A5873" s="15" t="s">
        <v>42708</v>
      </c>
      <c r="B5873" s="15" t="s">
        <v>10805</v>
      </c>
      <c r="C5873" s="15" t="s">
        <v>800</v>
      </c>
      <c r="D5873" s="15" t="s">
        <v>10806</v>
      </c>
      <c r="E5873" s="15">
        <v>18.507999999999999</v>
      </c>
      <c r="F5873" s="42">
        <v>46198</v>
      </c>
    </row>
    <row r="5874" spans="1:6" x14ac:dyDescent="0.3">
      <c r="A5874" s="15" t="s">
        <v>42707</v>
      </c>
      <c r="B5874" s="15" t="s">
        <v>10807</v>
      </c>
      <c r="C5874" s="15" t="s">
        <v>10808</v>
      </c>
      <c r="D5874" s="15" t="s">
        <v>10809</v>
      </c>
      <c r="E5874" s="15">
        <v>19.631</v>
      </c>
      <c r="F5874" s="42">
        <v>46198</v>
      </c>
    </row>
    <row r="5875" spans="1:6" x14ac:dyDescent="0.3">
      <c r="A5875" s="15" t="s">
        <v>42706</v>
      </c>
      <c r="B5875" s="15" t="s">
        <v>10810</v>
      </c>
      <c r="C5875" s="15" t="s">
        <v>10811</v>
      </c>
      <c r="D5875" s="15" t="s">
        <v>10812</v>
      </c>
      <c r="E5875" s="15">
        <v>17.361000000000001</v>
      </c>
      <c r="F5875" s="42">
        <v>46198</v>
      </c>
    </row>
    <row r="5876" spans="1:6" x14ac:dyDescent="0.3">
      <c r="A5876" s="15" t="s">
        <v>33499</v>
      </c>
      <c r="B5876" s="15" t="s">
        <v>795</v>
      </c>
      <c r="C5876" s="15" t="s">
        <v>795</v>
      </c>
      <c r="D5876" s="15" t="s">
        <v>795</v>
      </c>
      <c r="F5876" s="42"/>
    </row>
    <row r="5877" spans="1:6" x14ac:dyDescent="0.3">
      <c r="A5877" s="15" t="s">
        <v>37447</v>
      </c>
      <c r="B5877" s="15" t="s">
        <v>795</v>
      </c>
      <c r="C5877" s="15" t="s">
        <v>795</v>
      </c>
      <c r="D5877" s="15" t="s">
        <v>795</v>
      </c>
      <c r="F5877" s="42"/>
    </row>
    <row r="5878" spans="1:6" x14ac:dyDescent="0.3">
      <c r="A5878" s="15" t="s">
        <v>33499</v>
      </c>
      <c r="B5878" s="15" t="s">
        <v>795</v>
      </c>
      <c r="C5878" s="15" t="s">
        <v>795</v>
      </c>
      <c r="D5878" s="15" t="s">
        <v>795</v>
      </c>
      <c r="F5878" s="42"/>
    </row>
    <row r="5879" spans="1:6" x14ac:dyDescent="0.3">
      <c r="A5879" s="15" t="s">
        <v>42705</v>
      </c>
      <c r="B5879" s="15" t="s">
        <v>10813</v>
      </c>
      <c r="C5879" s="15" t="s">
        <v>800</v>
      </c>
      <c r="D5879" s="15" t="s">
        <v>10814</v>
      </c>
      <c r="E5879" s="15">
        <v>10.33</v>
      </c>
      <c r="F5879" s="42">
        <v>46198</v>
      </c>
    </row>
    <row r="5880" spans="1:6" x14ac:dyDescent="0.3">
      <c r="A5880" s="15" t="s">
        <v>42704</v>
      </c>
      <c r="B5880" s="15" t="s">
        <v>10815</v>
      </c>
      <c r="C5880" s="15" t="s">
        <v>10816</v>
      </c>
      <c r="D5880" s="15" t="s">
        <v>10817</v>
      </c>
      <c r="E5880" s="15">
        <v>10.33</v>
      </c>
      <c r="F5880" s="42">
        <v>46198</v>
      </c>
    </row>
    <row r="5881" spans="1:6" x14ac:dyDescent="0.3">
      <c r="A5881" s="15" t="s">
        <v>42703</v>
      </c>
      <c r="B5881" s="15" t="s">
        <v>10818</v>
      </c>
      <c r="C5881" s="15" t="s">
        <v>800</v>
      </c>
      <c r="D5881" s="15" t="s">
        <v>10819</v>
      </c>
      <c r="E5881" s="15">
        <v>10.24</v>
      </c>
      <c r="F5881" s="42">
        <v>46198</v>
      </c>
    </row>
    <row r="5882" spans="1:6" x14ac:dyDescent="0.3">
      <c r="A5882" s="15" t="s">
        <v>42702</v>
      </c>
      <c r="B5882" s="15" t="s">
        <v>10820</v>
      </c>
      <c r="C5882" s="15" t="s">
        <v>10821</v>
      </c>
      <c r="D5882" s="15" t="s">
        <v>10822</v>
      </c>
      <c r="E5882" s="15">
        <v>10.24</v>
      </c>
      <c r="F5882" s="42">
        <v>46198</v>
      </c>
    </row>
    <row r="5883" spans="1:6" x14ac:dyDescent="0.3">
      <c r="A5883" s="15" t="s">
        <v>33499</v>
      </c>
      <c r="B5883" s="15" t="s">
        <v>795</v>
      </c>
      <c r="C5883" s="15" t="s">
        <v>795</v>
      </c>
      <c r="D5883" s="15" t="s">
        <v>795</v>
      </c>
      <c r="F5883" s="42"/>
    </row>
    <row r="5884" spans="1:6" x14ac:dyDescent="0.3">
      <c r="A5884" s="15" t="s">
        <v>37566</v>
      </c>
      <c r="B5884" s="15" t="s">
        <v>795</v>
      </c>
      <c r="C5884" s="15" t="s">
        <v>795</v>
      </c>
      <c r="D5884" s="15" t="s">
        <v>795</v>
      </c>
      <c r="F5884" s="42"/>
    </row>
    <row r="5885" spans="1:6" x14ac:dyDescent="0.3">
      <c r="A5885" s="15" t="s">
        <v>33499</v>
      </c>
      <c r="B5885" s="15" t="s">
        <v>795</v>
      </c>
      <c r="C5885" s="15" t="s">
        <v>795</v>
      </c>
      <c r="D5885" s="15" t="s">
        <v>795</v>
      </c>
      <c r="F5885" s="42"/>
    </row>
    <row r="5886" spans="1:6" x14ac:dyDescent="0.3">
      <c r="A5886" s="15" t="s">
        <v>42701</v>
      </c>
      <c r="B5886" s="15" t="s">
        <v>10823</v>
      </c>
      <c r="C5886" s="15" t="s">
        <v>800</v>
      </c>
      <c r="D5886" s="15" t="s">
        <v>10824</v>
      </c>
      <c r="E5886" s="15">
        <v>133.02879999999999</v>
      </c>
      <c r="F5886" s="42">
        <v>46198</v>
      </c>
    </row>
    <row r="5887" spans="1:6" x14ac:dyDescent="0.3">
      <c r="A5887" s="15" t="s">
        <v>42700</v>
      </c>
      <c r="B5887" s="15" t="s">
        <v>10825</v>
      </c>
      <c r="C5887" s="15" t="s">
        <v>10826</v>
      </c>
      <c r="D5887" s="15" t="s">
        <v>10827</v>
      </c>
      <c r="E5887" s="15">
        <v>73.538899999999998</v>
      </c>
      <c r="F5887" s="42">
        <v>46198</v>
      </c>
    </row>
    <row r="5888" spans="1:6" x14ac:dyDescent="0.3">
      <c r="A5888" s="15" t="s">
        <v>42699</v>
      </c>
      <c r="B5888" s="15" t="s">
        <v>10828</v>
      </c>
      <c r="C5888" s="15" t="s">
        <v>800</v>
      </c>
      <c r="D5888" s="15" t="s">
        <v>10829</v>
      </c>
      <c r="E5888" s="15">
        <v>110.2705</v>
      </c>
      <c r="F5888" s="42">
        <v>46198</v>
      </c>
    </row>
    <row r="5889" spans="1:6" x14ac:dyDescent="0.3">
      <c r="A5889" s="15" t="s">
        <v>42698</v>
      </c>
      <c r="B5889" s="15" t="s">
        <v>10830</v>
      </c>
      <c r="C5889" s="15" t="s">
        <v>10831</v>
      </c>
      <c r="D5889" s="15" t="s">
        <v>10832</v>
      </c>
      <c r="E5889" s="15">
        <v>57.398800000000001</v>
      </c>
      <c r="F5889" s="42">
        <v>46198</v>
      </c>
    </row>
    <row r="5890" spans="1:6" x14ac:dyDescent="0.3">
      <c r="A5890" s="15" t="s">
        <v>33499</v>
      </c>
      <c r="B5890" s="15" t="s">
        <v>795</v>
      </c>
      <c r="C5890" s="15" t="s">
        <v>795</v>
      </c>
      <c r="D5890" s="15" t="s">
        <v>795</v>
      </c>
      <c r="F5890" s="42"/>
    </row>
    <row r="5891" spans="1:6" x14ac:dyDescent="0.3">
      <c r="A5891" s="15" t="s">
        <v>40284</v>
      </c>
      <c r="B5891" s="15" t="s">
        <v>795</v>
      </c>
      <c r="C5891" s="15" t="s">
        <v>795</v>
      </c>
      <c r="D5891" s="15" t="s">
        <v>795</v>
      </c>
      <c r="F5891" s="42"/>
    </row>
    <row r="5892" spans="1:6" x14ac:dyDescent="0.3">
      <c r="A5892" s="15" t="s">
        <v>33499</v>
      </c>
      <c r="B5892" s="15" t="s">
        <v>795</v>
      </c>
      <c r="C5892" s="15" t="s">
        <v>795</v>
      </c>
      <c r="D5892" s="15" t="s">
        <v>795</v>
      </c>
      <c r="F5892" s="42"/>
    </row>
    <row r="5893" spans="1:6" x14ac:dyDescent="0.3">
      <c r="A5893" s="15" t="s">
        <v>42697</v>
      </c>
      <c r="B5893" s="15" t="s">
        <v>10833</v>
      </c>
      <c r="C5893" s="15" t="s">
        <v>800</v>
      </c>
      <c r="D5893" s="15" t="s">
        <v>10834</v>
      </c>
      <c r="E5893" s="15">
        <v>18.91</v>
      </c>
      <c r="F5893" s="42">
        <v>46198</v>
      </c>
    </row>
    <row r="5894" spans="1:6" x14ac:dyDescent="0.3">
      <c r="A5894" s="15" t="s">
        <v>42696</v>
      </c>
      <c r="B5894" s="15" t="s">
        <v>10835</v>
      </c>
      <c r="C5894" s="15" t="s">
        <v>10836</v>
      </c>
      <c r="D5894" s="15" t="s">
        <v>10837</v>
      </c>
      <c r="E5894" s="15">
        <v>17.420000000000002</v>
      </c>
      <c r="F5894" s="42">
        <v>46198</v>
      </c>
    </row>
    <row r="5895" spans="1:6" x14ac:dyDescent="0.3">
      <c r="A5895" s="15" t="s">
        <v>42695</v>
      </c>
      <c r="B5895" s="15" t="s">
        <v>10838</v>
      </c>
      <c r="C5895" s="15" t="s">
        <v>800</v>
      </c>
      <c r="D5895" s="15" t="s">
        <v>10839</v>
      </c>
      <c r="E5895" s="15">
        <v>18</v>
      </c>
      <c r="F5895" s="42">
        <v>46198</v>
      </c>
    </row>
    <row r="5896" spans="1:6" x14ac:dyDescent="0.3">
      <c r="A5896" s="15" t="s">
        <v>42694</v>
      </c>
      <c r="B5896" s="15" t="s">
        <v>10840</v>
      </c>
      <c r="C5896" s="15" t="s">
        <v>10841</v>
      </c>
      <c r="D5896" s="15" t="s">
        <v>10842</v>
      </c>
      <c r="E5896" s="15">
        <v>16.559999999999999</v>
      </c>
      <c r="F5896" s="42">
        <v>46198</v>
      </c>
    </row>
    <row r="5897" spans="1:6" x14ac:dyDescent="0.3">
      <c r="A5897" s="15" t="s">
        <v>33499</v>
      </c>
      <c r="B5897" s="15" t="s">
        <v>795</v>
      </c>
      <c r="C5897" s="15" t="s">
        <v>795</v>
      </c>
      <c r="D5897" s="15" t="s">
        <v>795</v>
      </c>
      <c r="F5897" s="42"/>
    </row>
    <row r="5898" spans="1:6" x14ac:dyDescent="0.3">
      <c r="A5898" s="15" t="s">
        <v>37061</v>
      </c>
      <c r="B5898" s="15" t="s">
        <v>795</v>
      </c>
      <c r="C5898" s="15" t="s">
        <v>795</v>
      </c>
      <c r="D5898" s="15" t="s">
        <v>795</v>
      </c>
      <c r="F5898" s="42"/>
    </row>
    <row r="5899" spans="1:6" x14ac:dyDescent="0.3">
      <c r="A5899" s="15" t="s">
        <v>33499</v>
      </c>
      <c r="B5899" s="15" t="s">
        <v>795</v>
      </c>
      <c r="C5899" s="15" t="s">
        <v>795</v>
      </c>
      <c r="D5899" s="15" t="s">
        <v>795</v>
      </c>
      <c r="F5899" s="42"/>
    </row>
    <row r="5900" spans="1:6" x14ac:dyDescent="0.3">
      <c r="A5900" s="15" t="s">
        <v>42693</v>
      </c>
      <c r="B5900" s="15" t="s">
        <v>10843</v>
      </c>
      <c r="C5900" s="15" t="s">
        <v>800</v>
      </c>
      <c r="D5900" s="15" t="s">
        <v>10844</v>
      </c>
      <c r="E5900" s="15">
        <v>171.86799999999999</v>
      </c>
      <c r="F5900" s="42">
        <v>46198</v>
      </c>
    </row>
    <row r="5901" spans="1:6" x14ac:dyDescent="0.3">
      <c r="A5901" s="15" t="s">
        <v>42692</v>
      </c>
      <c r="B5901" s="15" t="s">
        <v>10845</v>
      </c>
      <c r="C5901" s="15" t="s">
        <v>10846</v>
      </c>
      <c r="D5901" s="15" t="s">
        <v>10847</v>
      </c>
      <c r="E5901" s="15">
        <v>68.632999999999996</v>
      </c>
      <c r="F5901" s="42">
        <v>46198</v>
      </c>
    </row>
    <row r="5902" spans="1:6" x14ac:dyDescent="0.3">
      <c r="A5902" s="15" t="s">
        <v>42691</v>
      </c>
      <c r="B5902" s="15" t="s">
        <v>10848</v>
      </c>
      <c r="C5902" s="15" t="s">
        <v>800</v>
      </c>
      <c r="D5902" s="15" t="s">
        <v>10849</v>
      </c>
      <c r="E5902" s="15">
        <v>153.21700000000001</v>
      </c>
      <c r="F5902" s="42">
        <v>46198</v>
      </c>
    </row>
    <row r="5903" spans="1:6" x14ac:dyDescent="0.3">
      <c r="A5903" s="15" t="s">
        <v>42690</v>
      </c>
      <c r="B5903" s="15" t="s">
        <v>10850</v>
      </c>
      <c r="C5903" s="15" t="s">
        <v>10851</v>
      </c>
      <c r="D5903" s="15" t="s">
        <v>10852</v>
      </c>
      <c r="E5903" s="15">
        <v>29.184000000000001</v>
      </c>
      <c r="F5903" s="42">
        <v>46198</v>
      </c>
    </row>
    <row r="5904" spans="1:6" x14ac:dyDescent="0.3">
      <c r="A5904" s="15" t="s">
        <v>33499</v>
      </c>
      <c r="B5904" s="15" t="s">
        <v>795</v>
      </c>
      <c r="C5904" s="15" t="s">
        <v>795</v>
      </c>
      <c r="D5904" s="15" t="s">
        <v>795</v>
      </c>
      <c r="F5904" s="42"/>
    </row>
    <row r="5905" spans="1:6" x14ac:dyDescent="0.3">
      <c r="A5905" s="15" t="s">
        <v>37895</v>
      </c>
      <c r="B5905" s="15" t="s">
        <v>795</v>
      </c>
      <c r="C5905" s="15" t="s">
        <v>795</v>
      </c>
      <c r="D5905" s="15" t="s">
        <v>795</v>
      </c>
      <c r="F5905" s="42"/>
    </row>
    <row r="5906" spans="1:6" x14ac:dyDescent="0.3">
      <c r="A5906" s="15" t="s">
        <v>33499</v>
      </c>
      <c r="B5906" s="15" t="s">
        <v>795</v>
      </c>
      <c r="C5906" s="15" t="s">
        <v>795</v>
      </c>
      <c r="D5906" s="15" t="s">
        <v>795</v>
      </c>
      <c r="F5906" s="42"/>
    </row>
    <row r="5907" spans="1:6" x14ac:dyDescent="0.3">
      <c r="A5907" s="15" t="s">
        <v>42689</v>
      </c>
      <c r="B5907" s="15" t="s">
        <v>10853</v>
      </c>
      <c r="C5907" s="15" t="s">
        <v>800</v>
      </c>
      <c r="D5907" s="15" t="s">
        <v>10854</v>
      </c>
      <c r="E5907" s="15">
        <v>125.863</v>
      </c>
      <c r="F5907" s="42">
        <v>46198</v>
      </c>
    </row>
    <row r="5908" spans="1:6" x14ac:dyDescent="0.3">
      <c r="A5908" s="15" t="s">
        <v>42688</v>
      </c>
      <c r="B5908" s="15" t="s">
        <v>10855</v>
      </c>
      <c r="C5908" s="15" t="s">
        <v>10856</v>
      </c>
      <c r="D5908" s="15" t="s">
        <v>10857</v>
      </c>
      <c r="E5908" s="15">
        <v>91.775999999999996</v>
      </c>
      <c r="F5908" s="42">
        <v>46198</v>
      </c>
    </row>
    <row r="5909" spans="1:6" x14ac:dyDescent="0.3">
      <c r="A5909" s="15" t="s">
        <v>42687</v>
      </c>
      <c r="B5909" s="15" t="s">
        <v>10858</v>
      </c>
      <c r="C5909" s="15" t="s">
        <v>800</v>
      </c>
      <c r="D5909" s="15" t="s">
        <v>10859</v>
      </c>
      <c r="E5909" s="15">
        <v>106.55500000000001</v>
      </c>
      <c r="F5909" s="42">
        <v>46198</v>
      </c>
    </row>
    <row r="5910" spans="1:6" x14ac:dyDescent="0.3">
      <c r="A5910" s="15" t="s">
        <v>42686</v>
      </c>
      <c r="B5910" s="15" t="s">
        <v>10860</v>
      </c>
      <c r="C5910" s="15" t="s">
        <v>10861</v>
      </c>
      <c r="D5910" s="15" t="s">
        <v>10862</v>
      </c>
      <c r="E5910" s="15">
        <v>61.432000000000002</v>
      </c>
      <c r="F5910" s="42">
        <v>46198</v>
      </c>
    </row>
    <row r="5911" spans="1:6" x14ac:dyDescent="0.3">
      <c r="A5911" s="15" t="s">
        <v>33499</v>
      </c>
      <c r="B5911" s="15" t="s">
        <v>795</v>
      </c>
      <c r="C5911" s="15" t="s">
        <v>795</v>
      </c>
      <c r="D5911" s="15" t="s">
        <v>795</v>
      </c>
      <c r="F5911" s="42"/>
    </row>
    <row r="5912" spans="1:6" x14ac:dyDescent="0.3">
      <c r="A5912" s="15" t="s">
        <v>37044</v>
      </c>
      <c r="B5912" s="15" t="s">
        <v>795</v>
      </c>
      <c r="C5912" s="15" t="s">
        <v>795</v>
      </c>
      <c r="D5912" s="15" t="s">
        <v>795</v>
      </c>
      <c r="F5912" s="42"/>
    </row>
    <row r="5913" spans="1:6" x14ac:dyDescent="0.3">
      <c r="A5913" s="15" t="s">
        <v>33499</v>
      </c>
      <c r="B5913" s="15" t="s">
        <v>795</v>
      </c>
      <c r="C5913" s="15" t="s">
        <v>795</v>
      </c>
      <c r="D5913" s="15" t="s">
        <v>795</v>
      </c>
      <c r="F5913" s="42"/>
    </row>
    <row r="5914" spans="1:6" x14ac:dyDescent="0.3">
      <c r="A5914" s="15" t="s">
        <v>42685</v>
      </c>
      <c r="B5914" s="15" t="s">
        <v>10863</v>
      </c>
      <c r="C5914" s="15" t="s">
        <v>800</v>
      </c>
      <c r="D5914" s="15" t="s">
        <v>10864</v>
      </c>
      <c r="E5914" s="15">
        <v>3118.6212999999998</v>
      </c>
      <c r="F5914" s="42">
        <v>46198</v>
      </c>
    </row>
    <row r="5915" spans="1:6" x14ac:dyDescent="0.3">
      <c r="A5915" s="15" t="s">
        <v>42684</v>
      </c>
      <c r="B5915" s="15" t="s">
        <v>10865</v>
      </c>
      <c r="C5915" s="15" t="s">
        <v>10866</v>
      </c>
      <c r="D5915" s="15" t="s">
        <v>10867</v>
      </c>
      <c r="E5915" s="15">
        <v>113.2749</v>
      </c>
      <c r="F5915" s="42">
        <v>46198</v>
      </c>
    </row>
    <row r="5916" spans="1:6" x14ac:dyDescent="0.3">
      <c r="A5916" s="15" t="s">
        <v>42683</v>
      </c>
      <c r="B5916" s="15" t="s">
        <v>10868</v>
      </c>
      <c r="C5916" s="15" t="s">
        <v>10869</v>
      </c>
      <c r="D5916" s="15" t="s">
        <v>10870</v>
      </c>
      <c r="E5916" s="15">
        <v>93.501999999999995</v>
      </c>
      <c r="F5916" s="42">
        <v>46198</v>
      </c>
    </row>
    <row r="5917" spans="1:6" x14ac:dyDescent="0.3">
      <c r="A5917" s="15" t="s">
        <v>42682</v>
      </c>
      <c r="B5917" s="15" t="s">
        <v>10871</v>
      </c>
      <c r="C5917" s="15" t="s">
        <v>800</v>
      </c>
      <c r="D5917" s="15" t="s">
        <v>10872</v>
      </c>
      <c r="E5917" s="15">
        <v>2754.0405999999998</v>
      </c>
      <c r="F5917" s="42">
        <v>46198</v>
      </c>
    </row>
    <row r="5918" spans="1:6" x14ac:dyDescent="0.3">
      <c r="A5918" s="15" t="s">
        <v>33499</v>
      </c>
      <c r="B5918" s="15" t="s">
        <v>795</v>
      </c>
      <c r="C5918" s="15" t="s">
        <v>795</v>
      </c>
      <c r="D5918" s="15" t="s">
        <v>795</v>
      </c>
      <c r="F5918" s="42"/>
    </row>
    <row r="5919" spans="1:6" x14ac:dyDescent="0.3">
      <c r="A5919" s="15" t="s">
        <v>37043</v>
      </c>
      <c r="B5919" s="15" t="s">
        <v>795</v>
      </c>
      <c r="C5919" s="15" t="s">
        <v>795</v>
      </c>
      <c r="D5919" s="15" t="s">
        <v>795</v>
      </c>
      <c r="F5919" s="42"/>
    </row>
    <row r="5920" spans="1:6" x14ac:dyDescent="0.3">
      <c r="A5920" s="15" t="s">
        <v>33499</v>
      </c>
      <c r="B5920" s="15" t="s">
        <v>795</v>
      </c>
      <c r="C5920" s="15" t="s">
        <v>795</v>
      </c>
      <c r="D5920" s="15" t="s">
        <v>795</v>
      </c>
      <c r="F5920" s="42"/>
    </row>
    <row r="5921" spans="1:6" x14ac:dyDescent="0.3">
      <c r="A5921" s="15" t="s">
        <v>42681</v>
      </c>
      <c r="B5921" s="15" t="s">
        <v>10873</v>
      </c>
      <c r="C5921" s="15" t="s">
        <v>800</v>
      </c>
      <c r="D5921" s="15" t="s">
        <v>10874</v>
      </c>
      <c r="E5921" s="15">
        <v>226.91499999999999</v>
      </c>
      <c r="F5921" s="42">
        <v>46198</v>
      </c>
    </row>
    <row r="5922" spans="1:6" x14ac:dyDescent="0.3">
      <c r="A5922" s="15" t="s">
        <v>42680</v>
      </c>
      <c r="B5922" s="15" t="s">
        <v>10875</v>
      </c>
      <c r="C5922" s="15" t="s">
        <v>800</v>
      </c>
      <c r="D5922" s="15" t="s">
        <v>10876</v>
      </c>
      <c r="E5922" s="15">
        <v>204.864</v>
      </c>
      <c r="F5922" s="42">
        <v>46198</v>
      </c>
    </row>
    <row r="5923" spans="1:6" x14ac:dyDescent="0.3">
      <c r="A5923" s="15" t="s">
        <v>42679</v>
      </c>
      <c r="B5923" s="15" t="s">
        <v>10877</v>
      </c>
      <c r="C5923" s="15" t="s">
        <v>10878</v>
      </c>
      <c r="D5923" s="15" t="s">
        <v>10879</v>
      </c>
      <c r="E5923" s="15">
        <v>80.572999999999993</v>
      </c>
      <c r="F5923" s="42">
        <v>46198</v>
      </c>
    </row>
    <row r="5924" spans="1:6" x14ac:dyDescent="0.3">
      <c r="A5924" s="15" t="s">
        <v>42678</v>
      </c>
      <c r="B5924" s="15" t="s">
        <v>10880</v>
      </c>
      <c r="C5924" s="15" t="s">
        <v>10881</v>
      </c>
      <c r="D5924" s="15" t="s">
        <v>10882</v>
      </c>
      <c r="E5924" s="15">
        <v>51.398000000000003</v>
      </c>
      <c r="F5924" s="42">
        <v>46198</v>
      </c>
    </row>
    <row r="5925" spans="1:6" x14ac:dyDescent="0.3">
      <c r="A5925" s="15" t="s">
        <v>33499</v>
      </c>
      <c r="B5925" s="15" t="s">
        <v>795</v>
      </c>
      <c r="C5925" s="15" t="s">
        <v>795</v>
      </c>
      <c r="D5925" s="15" t="s">
        <v>795</v>
      </c>
      <c r="F5925" s="42"/>
    </row>
    <row r="5926" spans="1:6" x14ac:dyDescent="0.3">
      <c r="A5926" s="15" t="s">
        <v>40598</v>
      </c>
      <c r="B5926" s="15" t="s">
        <v>795</v>
      </c>
      <c r="C5926" s="15" t="s">
        <v>795</v>
      </c>
      <c r="D5926" s="15" t="s">
        <v>795</v>
      </c>
      <c r="F5926" s="42"/>
    </row>
    <row r="5927" spans="1:6" x14ac:dyDescent="0.3">
      <c r="A5927" s="15" t="s">
        <v>33499</v>
      </c>
      <c r="B5927" s="15" t="s">
        <v>795</v>
      </c>
      <c r="C5927" s="15" t="s">
        <v>795</v>
      </c>
      <c r="D5927" s="15" t="s">
        <v>795</v>
      </c>
      <c r="F5927" s="42"/>
    </row>
    <row r="5928" spans="1:6" x14ac:dyDescent="0.3">
      <c r="A5928" s="15" t="s">
        <v>42677</v>
      </c>
      <c r="B5928" s="15" t="s">
        <v>10883</v>
      </c>
      <c r="C5928" s="15" t="s">
        <v>800</v>
      </c>
      <c r="D5928" s="15" t="s">
        <v>10884</v>
      </c>
      <c r="E5928" s="15">
        <v>13.69</v>
      </c>
      <c r="F5928" s="42">
        <v>46198</v>
      </c>
    </row>
    <row r="5929" spans="1:6" x14ac:dyDescent="0.3">
      <c r="A5929" s="15" t="s">
        <v>42676</v>
      </c>
      <c r="B5929" s="15" t="s">
        <v>10885</v>
      </c>
      <c r="C5929" s="15" t="s">
        <v>10886</v>
      </c>
      <c r="D5929" s="15" t="s">
        <v>10887</v>
      </c>
      <c r="E5929" s="15">
        <v>13.69</v>
      </c>
      <c r="F5929" s="42">
        <v>46198</v>
      </c>
    </row>
    <row r="5930" spans="1:6" x14ac:dyDescent="0.3">
      <c r="A5930" s="15" t="s">
        <v>42675</v>
      </c>
      <c r="B5930" s="15" t="s">
        <v>10888</v>
      </c>
      <c r="C5930" s="15" t="s">
        <v>800</v>
      </c>
      <c r="D5930" s="15" t="s">
        <v>10889</v>
      </c>
      <c r="E5930" s="15">
        <v>13.43</v>
      </c>
      <c r="F5930" s="42">
        <v>46198</v>
      </c>
    </row>
    <row r="5931" spans="1:6" x14ac:dyDescent="0.3">
      <c r="A5931" s="15" t="s">
        <v>42674</v>
      </c>
      <c r="B5931" s="15" t="s">
        <v>10890</v>
      </c>
      <c r="C5931" s="15" t="s">
        <v>10891</v>
      </c>
      <c r="D5931" s="15" t="s">
        <v>10892</v>
      </c>
      <c r="E5931" s="15">
        <v>13.43</v>
      </c>
      <c r="F5931" s="42">
        <v>46198</v>
      </c>
    </row>
    <row r="5932" spans="1:6" x14ac:dyDescent="0.3">
      <c r="A5932" s="15" t="s">
        <v>33499</v>
      </c>
      <c r="B5932" s="15" t="s">
        <v>795</v>
      </c>
      <c r="C5932" s="15" t="s">
        <v>795</v>
      </c>
      <c r="D5932" s="15" t="s">
        <v>795</v>
      </c>
      <c r="F5932" s="42"/>
    </row>
    <row r="5933" spans="1:6" x14ac:dyDescent="0.3">
      <c r="A5933" s="15" t="s">
        <v>36815</v>
      </c>
      <c r="B5933" s="15" t="s">
        <v>795</v>
      </c>
      <c r="C5933" s="15" t="s">
        <v>795</v>
      </c>
      <c r="D5933" s="15" t="s">
        <v>795</v>
      </c>
      <c r="F5933" s="42"/>
    </row>
    <row r="5934" spans="1:6" x14ac:dyDescent="0.3">
      <c r="A5934" s="15" t="s">
        <v>33499</v>
      </c>
      <c r="B5934" s="15" t="s">
        <v>795</v>
      </c>
      <c r="C5934" s="15" t="s">
        <v>795</v>
      </c>
      <c r="D5934" s="15" t="s">
        <v>795</v>
      </c>
      <c r="F5934" s="42"/>
    </row>
    <row r="5935" spans="1:6" x14ac:dyDescent="0.3">
      <c r="A5935" s="15" t="s">
        <v>42673</v>
      </c>
      <c r="B5935" s="15" t="s">
        <v>10893</v>
      </c>
      <c r="C5935" s="15" t="s">
        <v>800</v>
      </c>
      <c r="D5935" s="15" t="s">
        <v>10894</v>
      </c>
      <c r="E5935" s="15">
        <v>520.07399999999996</v>
      </c>
      <c r="F5935" s="42">
        <v>46198</v>
      </c>
    </row>
    <row r="5936" spans="1:6" x14ac:dyDescent="0.3">
      <c r="A5936" s="15" t="s">
        <v>42672</v>
      </c>
      <c r="B5936" s="15" t="s">
        <v>10895</v>
      </c>
      <c r="C5936" s="15" t="s">
        <v>10896</v>
      </c>
      <c r="D5936" s="15" t="s">
        <v>10897</v>
      </c>
      <c r="E5936" s="15">
        <v>99.261799999999994</v>
      </c>
      <c r="F5936" s="42">
        <v>46198</v>
      </c>
    </row>
    <row r="5937" spans="1:6" x14ac:dyDescent="0.3">
      <c r="A5937" s="15" t="s">
        <v>42671</v>
      </c>
      <c r="B5937" s="15" t="s">
        <v>10898</v>
      </c>
      <c r="C5937" s="15" t="s">
        <v>800</v>
      </c>
      <c r="D5937" s="15" t="s">
        <v>10899</v>
      </c>
      <c r="E5937" s="15">
        <v>455.6293</v>
      </c>
      <c r="F5937" s="42">
        <v>46198</v>
      </c>
    </row>
    <row r="5938" spans="1:6" x14ac:dyDescent="0.3">
      <c r="A5938" s="15" t="s">
        <v>42670</v>
      </c>
      <c r="B5938" s="15" t="s">
        <v>10900</v>
      </c>
      <c r="C5938" s="15" t="s">
        <v>10901</v>
      </c>
      <c r="D5938" s="15" t="s">
        <v>10902</v>
      </c>
      <c r="E5938" s="15">
        <v>85.531999999999996</v>
      </c>
      <c r="F5938" s="42">
        <v>46198</v>
      </c>
    </row>
    <row r="5939" spans="1:6" x14ac:dyDescent="0.3">
      <c r="A5939" s="15" t="s">
        <v>33499</v>
      </c>
      <c r="B5939" s="15" t="s">
        <v>795</v>
      </c>
      <c r="C5939" s="15" t="s">
        <v>795</v>
      </c>
      <c r="D5939" s="15" t="s">
        <v>795</v>
      </c>
      <c r="F5939" s="42"/>
    </row>
    <row r="5940" spans="1:6" x14ac:dyDescent="0.3">
      <c r="A5940" s="15" t="s">
        <v>36764</v>
      </c>
      <c r="B5940" s="15" t="s">
        <v>795</v>
      </c>
      <c r="C5940" s="15" t="s">
        <v>795</v>
      </c>
      <c r="D5940" s="15" t="s">
        <v>795</v>
      </c>
      <c r="F5940" s="42"/>
    </row>
    <row r="5941" spans="1:6" x14ac:dyDescent="0.3">
      <c r="A5941" s="15" t="s">
        <v>33499</v>
      </c>
      <c r="B5941" s="15" t="s">
        <v>795</v>
      </c>
      <c r="C5941" s="15" t="s">
        <v>795</v>
      </c>
      <c r="D5941" s="15" t="s">
        <v>795</v>
      </c>
      <c r="F5941" s="42"/>
    </row>
    <row r="5942" spans="1:6" x14ac:dyDescent="0.3">
      <c r="A5942" s="15" t="s">
        <v>42669</v>
      </c>
      <c r="B5942" s="15" t="s">
        <v>10903</v>
      </c>
      <c r="C5942" s="15" t="s">
        <v>800</v>
      </c>
      <c r="D5942" s="15" t="s">
        <v>10904</v>
      </c>
      <c r="E5942" s="15">
        <v>382.14</v>
      </c>
      <c r="F5942" s="42">
        <v>46198</v>
      </c>
    </row>
    <row r="5943" spans="1:6" x14ac:dyDescent="0.3">
      <c r="A5943" s="15" t="s">
        <v>42668</v>
      </c>
      <c r="B5943" s="15" t="s">
        <v>10905</v>
      </c>
      <c r="C5943" s="15" t="s">
        <v>10906</v>
      </c>
      <c r="D5943" s="15" t="s">
        <v>10907</v>
      </c>
      <c r="E5943" s="15">
        <v>70.790000000000006</v>
      </c>
      <c r="F5943" s="42">
        <v>46198</v>
      </c>
    </row>
    <row r="5944" spans="1:6" x14ac:dyDescent="0.3">
      <c r="A5944" s="15" t="s">
        <v>42667</v>
      </c>
      <c r="B5944" s="15" t="s">
        <v>10908</v>
      </c>
      <c r="C5944" s="15" t="s">
        <v>800</v>
      </c>
      <c r="D5944" s="15" t="s">
        <v>10909</v>
      </c>
      <c r="E5944" s="15">
        <v>338.49</v>
      </c>
      <c r="F5944" s="42">
        <v>46198</v>
      </c>
    </row>
    <row r="5945" spans="1:6" x14ac:dyDescent="0.3">
      <c r="A5945" s="15" t="s">
        <v>42666</v>
      </c>
      <c r="B5945" s="15" t="s">
        <v>10910</v>
      </c>
      <c r="C5945" s="15" t="s">
        <v>10911</v>
      </c>
      <c r="D5945" s="15" t="s">
        <v>10912</v>
      </c>
      <c r="E5945" s="15">
        <v>43.86</v>
      </c>
      <c r="F5945" s="42">
        <v>46198</v>
      </c>
    </row>
    <row r="5946" spans="1:6" x14ac:dyDescent="0.3">
      <c r="A5946" s="15" t="s">
        <v>33499</v>
      </c>
      <c r="B5946" s="15" t="s">
        <v>795</v>
      </c>
      <c r="C5946" s="15" t="s">
        <v>795</v>
      </c>
      <c r="D5946" s="15" t="s">
        <v>795</v>
      </c>
      <c r="F5946" s="42"/>
    </row>
    <row r="5947" spans="1:6" x14ac:dyDescent="0.3">
      <c r="A5947" s="15" t="s">
        <v>37807</v>
      </c>
      <c r="B5947" s="15" t="s">
        <v>795</v>
      </c>
      <c r="C5947" s="15" t="s">
        <v>795</v>
      </c>
      <c r="D5947" s="15" t="s">
        <v>795</v>
      </c>
      <c r="F5947" s="42"/>
    </row>
    <row r="5948" spans="1:6" x14ac:dyDescent="0.3">
      <c r="A5948" s="15" t="s">
        <v>33499</v>
      </c>
      <c r="B5948" s="15" t="s">
        <v>795</v>
      </c>
      <c r="C5948" s="15" t="s">
        <v>795</v>
      </c>
      <c r="D5948" s="15" t="s">
        <v>795</v>
      </c>
      <c r="F5948" s="42"/>
    </row>
    <row r="5949" spans="1:6" x14ac:dyDescent="0.3">
      <c r="A5949" s="15" t="s">
        <v>42665</v>
      </c>
      <c r="B5949" s="15" t="s">
        <v>10913</v>
      </c>
      <c r="C5949" s="15" t="s">
        <v>800</v>
      </c>
      <c r="D5949" s="15" t="s">
        <v>10914</v>
      </c>
      <c r="E5949" s="15">
        <v>235.25</v>
      </c>
      <c r="F5949" s="42">
        <v>46198</v>
      </c>
    </row>
    <row r="5950" spans="1:6" x14ac:dyDescent="0.3">
      <c r="A5950" s="15" t="s">
        <v>42664</v>
      </c>
      <c r="B5950" s="15" t="s">
        <v>10915</v>
      </c>
      <c r="C5950" s="15" t="s">
        <v>10916</v>
      </c>
      <c r="D5950" s="15" t="s">
        <v>10917</v>
      </c>
      <c r="E5950" s="15">
        <v>82.13</v>
      </c>
      <c r="F5950" s="42">
        <v>46198</v>
      </c>
    </row>
    <row r="5951" spans="1:6" x14ac:dyDescent="0.3">
      <c r="A5951" s="15" t="s">
        <v>42663</v>
      </c>
      <c r="B5951" s="15" t="s">
        <v>10918</v>
      </c>
      <c r="C5951" s="15" t="s">
        <v>800</v>
      </c>
      <c r="D5951" s="15" t="s">
        <v>10919</v>
      </c>
      <c r="E5951" s="15">
        <v>193.61</v>
      </c>
      <c r="F5951" s="42">
        <v>46198</v>
      </c>
    </row>
    <row r="5952" spans="1:6" x14ac:dyDescent="0.3">
      <c r="A5952" s="15" t="s">
        <v>42662</v>
      </c>
      <c r="B5952" s="15" t="s">
        <v>10920</v>
      </c>
      <c r="C5952" s="15" t="s">
        <v>10921</v>
      </c>
      <c r="D5952" s="15" t="s">
        <v>10922</v>
      </c>
      <c r="E5952" s="15">
        <v>60.34</v>
      </c>
      <c r="F5952" s="42">
        <v>46198</v>
      </c>
    </row>
    <row r="5953" spans="1:6" x14ac:dyDescent="0.3">
      <c r="A5953" s="15" t="s">
        <v>33499</v>
      </c>
      <c r="B5953" s="15" t="s">
        <v>795</v>
      </c>
      <c r="C5953" s="15" t="s">
        <v>795</v>
      </c>
      <c r="D5953" s="15" t="s">
        <v>795</v>
      </c>
      <c r="F5953" s="42"/>
    </row>
    <row r="5954" spans="1:6" x14ac:dyDescent="0.3">
      <c r="A5954" s="15" t="s">
        <v>40577</v>
      </c>
      <c r="B5954" s="15" t="s">
        <v>795</v>
      </c>
      <c r="C5954" s="15" t="s">
        <v>795</v>
      </c>
      <c r="D5954" s="15" t="s">
        <v>795</v>
      </c>
      <c r="F5954" s="42"/>
    </row>
    <row r="5955" spans="1:6" x14ac:dyDescent="0.3">
      <c r="A5955" s="15" t="s">
        <v>33499</v>
      </c>
      <c r="B5955" s="15" t="s">
        <v>795</v>
      </c>
      <c r="C5955" s="15" t="s">
        <v>795</v>
      </c>
      <c r="D5955" s="15" t="s">
        <v>795</v>
      </c>
      <c r="F5955" s="42"/>
    </row>
    <row r="5956" spans="1:6" x14ac:dyDescent="0.3">
      <c r="A5956" s="15" t="s">
        <v>42661</v>
      </c>
      <c r="B5956" s="15" t="s">
        <v>10923</v>
      </c>
      <c r="C5956" s="15" t="s">
        <v>800</v>
      </c>
      <c r="D5956" s="15" t="s">
        <v>10924</v>
      </c>
      <c r="E5956" s="15">
        <v>25.0914</v>
      </c>
      <c r="F5956" s="42">
        <v>46198</v>
      </c>
    </row>
    <row r="5957" spans="1:6" x14ac:dyDescent="0.3">
      <c r="A5957" s="15" t="s">
        <v>42660</v>
      </c>
      <c r="B5957" s="15" t="s">
        <v>10925</v>
      </c>
      <c r="C5957" s="15" t="s">
        <v>10926</v>
      </c>
      <c r="D5957" s="15" t="s">
        <v>10927</v>
      </c>
      <c r="E5957" s="15">
        <v>23.005400000000002</v>
      </c>
      <c r="F5957" s="42">
        <v>46198</v>
      </c>
    </row>
    <row r="5958" spans="1:6" x14ac:dyDescent="0.3">
      <c r="A5958" s="15" t="s">
        <v>42659</v>
      </c>
      <c r="B5958" s="15" t="s">
        <v>10928</v>
      </c>
      <c r="C5958" s="15" t="s">
        <v>800</v>
      </c>
      <c r="D5958" s="15" t="s">
        <v>10929</v>
      </c>
      <c r="E5958" s="15">
        <v>22.630400000000002</v>
      </c>
      <c r="F5958" s="42">
        <v>46198</v>
      </c>
    </row>
    <row r="5959" spans="1:6" x14ac:dyDescent="0.3">
      <c r="A5959" s="15" t="s">
        <v>42658</v>
      </c>
      <c r="B5959" s="15" t="s">
        <v>10930</v>
      </c>
      <c r="C5959" s="15" t="s">
        <v>10931</v>
      </c>
      <c r="D5959" s="15" t="s">
        <v>10932</v>
      </c>
      <c r="E5959" s="15">
        <v>20.590800000000002</v>
      </c>
      <c r="F5959" s="42">
        <v>46198</v>
      </c>
    </row>
    <row r="5960" spans="1:6" x14ac:dyDescent="0.3">
      <c r="A5960" s="15" t="s">
        <v>33499</v>
      </c>
      <c r="B5960" s="15" t="s">
        <v>795</v>
      </c>
      <c r="C5960" s="15" t="s">
        <v>795</v>
      </c>
      <c r="D5960" s="15" t="s">
        <v>795</v>
      </c>
      <c r="F5960" s="42"/>
    </row>
    <row r="5961" spans="1:6" x14ac:dyDescent="0.3">
      <c r="A5961" s="15" t="s">
        <v>40894</v>
      </c>
      <c r="B5961" s="15" t="s">
        <v>795</v>
      </c>
      <c r="C5961" s="15" t="s">
        <v>795</v>
      </c>
      <c r="D5961" s="15" t="s">
        <v>795</v>
      </c>
      <c r="F5961" s="42"/>
    </row>
    <row r="5962" spans="1:6" x14ac:dyDescent="0.3">
      <c r="A5962" s="15" t="s">
        <v>33499</v>
      </c>
      <c r="B5962" s="15" t="s">
        <v>795</v>
      </c>
      <c r="C5962" s="15" t="s">
        <v>795</v>
      </c>
      <c r="D5962" s="15" t="s">
        <v>795</v>
      </c>
      <c r="F5962" s="42"/>
    </row>
    <row r="5963" spans="1:6" x14ac:dyDescent="0.3">
      <c r="A5963" s="15" t="s">
        <v>42657</v>
      </c>
      <c r="B5963" s="15" t="s">
        <v>10933</v>
      </c>
      <c r="C5963" s="15" t="s">
        <v>800</v>
      </c>
      <c r="D5963" s="15" t="s">
        <v>10934</v>
      </c>
      <c r="E5963" s="15">
        <v>21.937899999999999</v>
      </c>
      <c r="F5963" s="42">
        <v>46198</v>
      </c>
    </row>
    <row r="5964" spans="1:6" x14ac:dyDescent="0.3">
      <c r="A5964" s="15" t="s">
        <v>42656</v>
      </c>
      <c r="B5964" s="15" t="s">
        <v>10935</v>
      </c>
      <c r="C5964" s="15" t="s">
        <v>10936</v>
      </c>
      <c r="D5964" s="15" t="s">
        <v>10937</v>
      </c>
      <c r="E5964" s="15">
        <v>21.937799999999999</v>
      </c>
      <c r="F5964" s="42">
        <v>46198</v>
      </c>
    </row>
    <row r="5965" spans="1:6" x14ac:dyDescent="0.3">
      <c r="A5965" s="15" t="s">
        <v>42655</v>
      </c>
      <c r="B5965" s="15" t="s">
        <v>10938</v>
      </c>
      <c r="C5965" s="15" t="s">
        <v>800</v>
      </c>
      <c r="D5965" s="15" t="s">
        <v>10939</v>
      </c>
      <c r="E5965" s="15">
        <v>20.616700000000002</v>
      </c>
      <c r="F5965" s="42">
        <v>46198</v>
      </c>
    </row>
    <row r="5966" spans="1:6" x14ac:dyDescent="0.3">
      <c r="A5966" s="15" t="s">
        <v>42654</v>
      </c>
      <c r="B5966" s="15" t="s">
        <v>10940</v>
      </c>
      <c r="C5966" s="15" t="s">
        <v>10941</v>
      </c>
      <c r="D5966" s="15" t="s">
        <v>10942</v>
      </c>
      <c r="E5966" s="15">
        <v>20.616700000000002</v>
      </c>
      <c r="F5966" s="42">
        <v>46198</v>
      </c>
    </row>
    <row r="5967" spans="1:6" x14ac:dyDescent="0.3">
      <c r="A5967" s="15" t="s">
        <v>33499</v>
      </c>
      <c r="B5967" s="15" t="s">
        <v>795</v>
      </c>
      <c r="C5967" s="15" t="s">
        <v>795</v>
      </c>
      <c r="D5967" s="15" t="s">
        <v>795</v>
      </c>
      <c r="F5967" s="42"/>
    </row>
    <row r="5968" spans="1:6" x14ac:dyDescent="0.3">
      <c r="A5968" s="15" t="s">
        <v>139</v>
      </c>
      <c r="B5968" s="15" t="s">
        <v>795</v>
      </c>
      <c r="C5968" s="15" t="s">
        <v>795</v>
      </c>
      <c r="D5968" s="15" t="s">
        <v>795</v>
      </c>
      <c r="F5968" s="42"/>
    </row>
    <row r="5969" spans="1:6" x14ac:dyDescent="0.3">
      <c r="A5969" s="15" t="s">
        <v>33499</v>
      </c>
      <c r="B5969" s="15" t="s">
        <v>795</v>
      </c>
      <c r="C5969" s="15" t="s">
        <v>795</v>
      </c>
      <c r="D5969" s="15" t="s">
        <v>795</v>
      </c>
      <c r="F5969" s="42"/>
    </row>
    <row r="5970" spans="1:6" x14ac:dyDescent="0.3">
      <c r="A5970" s="15" t="s">
        <v>42653</v>
      </c>
      <c r="B5970" s="15" t="s">
        <v>10943</v>
      </c>
      <c r="C5970" s="15" t="s">
        <v>10944</v>
      </c>
      <c r="D5970" s="15" t="s">
        <v>10945</v>
      </c>
      <c r="E5970" s="15">
        <v>100.254</v>
      </c>
      <c r="F5970" s="42">
        <v>46198</v>
      </c>
    </row>
    <row r="5971" spans="1:6" x14ac:dyDescent="0.3">
      <c r="A5971" s="15" t="s">
        <v>42652</v>
      </c>
      <c r="B5971" s="15" t="s">
        <v>10946</v>
      </c>
      <c r="C5971" s="15" t="s">
        <v>800</v>
      </c>
      <c r="D5971" s="15" t="s">
        <v>10947</v>
      </c>
      <c r="E5971" s="15">
        <v>168.27199999999999</v>
      </c>
      <c r="F5971" s="42">
        <v>46198</v>
      </c>
    </row>
    <row r="5972" spans="1:6" x14ac:dyDescent="0.3">
      <c r="A5972" s="15" t="s">
        <v>42651</v>
      </c>
      <c r="B5972" s="15" t="s">
        <v>10948</v>
      </c>
      <c r="C5972" s="15" t="s">
        <v>800</v>
      </c>
      <c r="D5972" s="15" t="s">
        <v>10949</v>
      </c>
      <c r="E5972" s="15">
        <v>144.00800000000001</v>
      </c>
      <c r="F5972" s="42">
        <v>46198</v>
      </c>
    </row>
    <row r="5973" spans="1:6" x14ac:dyDescent="0.3">
      <c r="A5973" s="15" t="s">
        <v>42650</v>
      </c>
      <c r="B5973" s="15" t="s">
        <v>10950</v>
      </c>
      <c r="C5973" s="15" t="s">
        <v>10951</v>
      </c>
      <c r="D5973" s="15" t="s">
        <v>10952</v>
      </c>
      <c r="E5973" s="15">
        <v>79.093000000000004</v>
      </c>
      <c r="F5973" s="42">
        <v>46198</v>
      </c>
    </row>
    <row r="5974" spans="1:6" x14ac:dyDescent="0.3">
      <c r="A5974" s="15" t="s">
        <v>33499</v>
      </c>
      <c r="B5974" s="15" t="s">
        <v>795</v>
      </c>
      <c r="C5974" s="15" t="s">
        <v>795</v>
      </c>
      <c r="D5974" s="15" t="s">
        <v>795</v>
      </c>
      <c r="F5974" s="42"/>
    </row>
    <row r="5975" spans="1:6" x14ac:dyDescent="0.3">
      <c r="A5975" s="15" t="s">
        <v>37618</v>
      </c>
      <c r="B5975" s="15" t="s">
        <v>795</v>
      </c>
      <c r="C5975" s="15" t="s">
        <v>795</v>
      </c>
      <c r="D5975" s="15" t="s">
        <v>795</v>
      </c>
      <c r="F5975" s="42"/>
    </row>
    <row r="5976" spans="1:6" x14ac:dyDescent="0.3">
      <c r="A5976" s="15" t="s">
        <v>33499</v>
      </c>
      <c r="B5976" s="15" t="s">
        <v>795</v>
      </c>
      <c r="C5976" s="15" t="s">
        <v>795</v>
      </c>
      <c r="D5976" s="15" t="s">
        <v>795</v>
      </c>
      <c r="F5976" s="42"/>
    </row>
    <row r="5977" spans="1:6" x14ac:dyDescent="0.3">
      <c r="A5977" s="15" t="s">
        <v>42649</v>
      </c>
      <c r="B5977" s="15" t="s">
        <v>10953</v>
      </c>
      <c r="C5977" s="15" t="s">
        <v>800</v>
      </c>
      <c r="D5977" s="15" t="s">
        <v>10954</v>
      </c>
      <c r="E5977" s="15">
        <v>34.155999999999999</v>
      </c>
      <c r="F5977" s="42">
        <v>46198</v>
      </c>
    </row>
    <row r="5978" spans="1:6" x14ac:dyDescent="0.3">
      <c r="A5978" s="15" t="s">
        <v>42648</v>
      </c>
      <c r="B5978" s="15" t="s">
        <v>10955</v>
      </c>
      <c r="C5978" s="15" t="s">
        <v>10956</v>
      </c>
      <c r="D5978" s="15" t="s">
        <v>10957</v>
      </c>
      <c r="E5978" s="15">
        <v>32.086399999999998</v>
      </c>
      <c r="F5978" s="42">
        <v>46198</v>
      </c>
    </row>
    <row r="5979" spans="1:6" x14ac:dyDescent="0.3">
      <c r="A5979" s="15" t="s">
        <v>42647</v>
      </c>
      <c r="B5979" s="15" t="s">
        <v>10958</v>
      </c>
      <c r="C5979" s="15" t="s">
        <v>800</v>
      </c>
      <c r="D5979" s="15" t="s">
        <v>10959</v>
      </c>
      <c r="E5979" s="15">
        <v>30.2424</v>
      </c>
      <c r="F5979" s="42">
        <v>46198</v>
      </c>
    </row>
    <row r="5980" spans="1:6" x14ac:dyDescent="0.3">
      <c r="A5980" s="15" t="s">
        <v>42646</v>
      </c>
      <c r="B5980" s="15" t="s">
        <v>10960</v>
      </c>
      <c r="C5980" s="15" t="s">
        <v>10961</v>
      </c>
      <c r="D5980" s="15" t="s">
        <v>10962</v>
      </c>
      <c r="E5980" s="15">
        <v>28.383099999999999</v>
      </c>
      <c r="F5980" s="42">
        <v>46198</v>
      </c>
    </row>
    <row r="5981" spans="1:6" x14ac:dyDescent="0.3">
      <c r="A5981" s="15" t="s">
        <v>33499</v>
      </c>
      <c r="B5981" s="15" t="s">
        <v>795</v>
      </c>
      <c r="C5981" s="15" t="s">
        <v>795</v>
      </c>
      <c r="D5981" s="15" t="s">
        <v>795</v>
      </c>
      <c r="F5981" s="42"/>
    </row>
    <row r="5982" spans="1:6" x14ac:dyDescent="0.3">
      <c r="A5982" s="15" t="s">
        <v>39301</v>
      </c>
      <c r="B5982" s="15" t="s">
        <v>795</v>
      </c>
      <c r="C5982" s="15" t="s">
        <v>795</v>
      </c>
      <c r="D5982" s="15" t="s">
        <v>795</v>
      </c>
      <c r="F5982" s="42"/>
    </row>
    <row r="5983" spans="1:6" x14ac:dyDescent="0.3">
      <c r="A5983" s="15" t="s">
        <v>33499</v>
      </c>
      <c r="B5983" s="15" t="s">
        <v>795</v>
      </c>
      <c r="C5983" s="15" t="s">
        <v>795</v>
      </c>
      <c r="D5983" s="15" t="s">
        <v>795</v>
      </c>
      <c r="F5983" s="42"/>
    </row>
    <row r="5984" spans="1:6" x14ac:dyDescent="0.3">
      <c r="A5984" s="15" t="s">
        <v>42645</v>
      </c>
      <c r="B5984" s="15" t="s">
        <v>10963</v>
      </c>
      <c r="C5984" s="15" t="s">
        <v>10964</v>
      </c>
      <c r="D5984" s="15" t="s">
        <v>10965</v>
      </c>
      <c r="E5984" s="15">
        <v>31.5624</v>
      </c>
      <c r="F5984" s="42">
        <v>46198</v>
      </c>
    </row>
    <row r="5985" spans="1:6" x14ac:dyDescent="0.3">
      <c r="A5985" s="15" t="s">
        <v>42644</v>
      </c>
      <c r="B5985" s="15" t="s">
        <v>10966</v>
      </c>
      <c r="C5985" s="15" t="s">
        <v>800</v>
      </c>
      <c r="D5985" s="15" t="s">
        <v>10967</v>
      </c>
      <c r="E5985" s="15">
        <v>41.599299999999999</v>
      </c>
      <c r="F5985" s="42">
        <v>46198</v>
      </c>
    </row>
    <row r="5986" spans="1:6" x14ac:dyDescent="0.3">
      <c r="A5986" s="15" t="s">
        <v>42643</v>
      </c>
      <c r="B5986" s="15" t="s">
        <v>10968</v>
      </c>
      <c r="C5986" s="15" t="s">
        <v>800</v>
      </c>
      <c r="D5986" s="15" t="s">
        <v>10969</v>
      </c>
      <c r="E5986" s="15">
        <v>36.288499999999999</v>
      </c>
      <c r="F5986" s="42">
        <v>46198</v>
      </c>
    </row>
    <row r="5987" spans="1:6" x14ac:dyDescent="0.3">
      <c r="A5987" s="15" t="s">
        <v>42642</v>
      </c>
      <c r="B5987" s="15" t="s">
        <v>10970</v>
      </c>
      <c r="C5987" s="15" t="s">
        <v>10971</v>
      </c>
      <c r="D5987" s="15" t="s">
        <v>10972</v>
      </c>
      <c r="E5987" s="15">
        <v>26.641500000000001</v>
      </c>
      <c r="F5987" s="42">
        <v>46198</v>
      </c>
    </row>
    <row r="5988" spans="1:6" x14ac:dyDescent="0.3">
      <c r="A5988" s="15" t="s">
        <v>33499</v>
      </c>
      <c r="B5988" s="15" t="s">
        <v>795</v>
      </c>
      <c r="C5988" s="15" t="s">
        <v>795</v>
      </c>
      <c r="D5988" s="15" t="s">
        <v>795</v>
      </c>
      <c r="F5988" s="42"/>
    </row>
    <row r="5989" spans="1:6" x14ac:dyDescent="0.3">
      <c r="A5989" s="15" t="s">
        <v>37780</v>
      </c>
      <c r="B5989" s="15" t="s">
        <v>795</v>
      </c>
      <c r="C5989" s="15" t="s">
        <v>795</v>
      </c>
      <c r="D5989" s="15" t="s">
        <v>795</v>
      </c>
      <c r="F5989" s="42"/>
    </row>
    <row r="5990" spans="1:6" x14ac:dyDescent="0.3">
      <c r="A5990" s="15" t="s">
        <v>33499</v>
      </c>
      <c r="B5990" s="15" t="s">
        <v>795</v>
      </c>
      <c r="C5990" s="15" t="s">
        <v>795</v>
      </c>
      <c r="D5990" s="15" t="s">
        <v>795</v>
      </c>
      <c r="F5990" s="42"/>
    </row>
    <row r="5991" spans="1:6" x14ac:dyDescent="0.3">
      <c r="A5991" s="15" t="s">
        <v>42641</v>
      </c>
      <c r="B5991" s="15" t="s">
        <v>10973</v>
      </c>
      <c r="C5991" s="15" t="s">
        <v>800</v>
      </c>
      <c r="D5991" s="15" t="s">
        <v>10974</v>
      </c>
      <c r="E5991" s="15">
        <v>38.738</v>
      </c>
      <c r="F5991" s="42">
        <v>46198</v>
      </c>
    </row>
    <row r="5992" spans="1:6" x14ac:dyDescent="0.3">
      <c r="A5992" s="15" t="s">
        <v>42640</v>
      </c>
      <c r="B5992" s="15" t="s">
        <v>10975</v>
      </c>
      <c r="C5992" s="15" t="s">
        <v>10976</v>
      </c>
      <c r="D5992" s="15" t="s">
        <v>10977</v>
      </c>
      <c r="E5992" s="15">
        <v>27.815999999999999</v>
      </c>
      <c r="F5992" s="42">
        <v>46198</v>
      </c>
    </row>
    <row r="5993" spans="1:6" x14ac:dyDescent="0.3">
      <c r="A5993" s="15" t="s">
        <v>42639</v>
      </c>
      <c r="B5993" s="15" t="s">
        <v>10978</v>
      </c>
      <c r="C5993" s="15" t="s">
        <v>10979</v>
      </c>
      <c r="D5993" s="15" t="s">
        <v>10980</v>
      </c>
      <c r="E5993" s="15">
        <v>25.297999999999998</v>
      </c>
      <c r="F5993" s="42">
        <v>46198</v>
      </c>
    </row>
    <row r="5994" spans="1:6" x14ac:dyDescent="0.3">
      <c r="A5994" s="15" t="s">
        <v>42638</v>
      </c>
      <c r="B5994" s="15" t="s">
        <v>10981</v>
      </c>
      <c r="C5994" s="15" t="s">
        <v>800</v>
      </c>
      <c r="D5994" s="15" t="s">
        <v>10982</v>
      </c>
      <c r="E5994" s="15">
        <v>42.326000000000001</v>
      </c>
      <c r="F5994" s="42">
        <v>46198</v>
      </c>
    </row>
    <row r="5995" spans="1:6" x14ac:dyDescent="0.3">
      <c r="A5995" s="15" t="s">
        <v>33499</v>
      </c>
      <c r="B5995" s="15" t="s">
        <v>795</v>
      </c>
      <c r="C5995" s="15" t="s">
        <v>795</v>
      </c>
      <c r="D5995" s="15" t="s">
        <v>795</v>
      </c>
      <c r="F5995" s="42"/>
    </row>
    <row r="5996" spans="1:6" x14ac:dyDescent="0.3">
      <c r="A5996" s="15" t="s">
        <v>37742</v>
      </c>
      <c r="B5996" s="15" t="s">
        <v>795</v>
      </c>
      <c r="C5996" s="15" t="s">
        <v>795</v>
      </c>
      <c r="D5996" s="15" t="s">
        <v>795</v>
      </c>
      <c r="F5996" s="42"/>
    </row>
    <row r="5997" spans="1:6" x14ac:dyDescent="0.3">
      <c r="A5997" s="15" t="s">
        <v>33499</v>
      </c>
      <c r="B5997" s="15" t="s">
        <v>795</v>
      </c>
      <c r="C5997" s="15" t="s">
        <v>795</v>
      </c>
      <c r="D5997" s="15" t="s">
        <v>795</v>
      </c>
      <c r="F5997" s="42"/>
    </row>
    <row r="5998" spans="1:6" x14ac:dyDescent="0.3">
      <c r="A5998" s="15" t="s">
        <v>42637</v>
      </c>
      <c r="B5998" s="15" t="s">
        <v>10983</v>
      </c>
      <c r="C5998" s="15" t="s">
        <v>10984</v>
      </c>
      <c r="D5998" s="15" t="s">
        <v>10985</v>
      </c>
      <c r="E5998" s="15">
        <v>44.19</v>
      </c>
      <c r="F5998" s="42">
        <v>46198</v>
      </c>
    </row>
    <row r="5999" spans="1:6" x14ac:dyDescent="0.3">
      <c r="A5999" s="15" t="s">
        <v>42636</v>
      </c>
      <c r="B5999" s="15" t="s">
        <v>10986</v>
      </c>
      <c r="C5999" s="15" t="s">
        <v>800</v>
      </c>
      <c r="D5999" s="15" t="s">
        <v>10987</v>
      </c>
      <c r="E5999" s="15">
        <v>108.34139999999999</v>
      </c>
      <c r="F5999" s="42">
        <v>46198</v>
      </c>
    </row>
    <row r="6000" spans="1:6" x14ac:dyDescent="0.3">
      <c r="A6000" s="15" t="s">
        <v>42635</v>
      </c>
      <c r="B6000" s="15" t="s">
        <v>10988</v>
      </c>
      <c r="C6000" s="15" t="s">
        <v>10989</v>
      </c>
      <c r="D6000" s="15" t="s">
        <v>10990</v>
      </c>
      <c r="E6000" s="15">
        <v>42.422499999999999</v>
      </c>
      <c r="F6000" s="42">
        <v>46198</v>
      </c>
    </row>
    <row r="6001" spans="1:6" x14ac:dyDescent="0.3">
      <c r="A6001" s="15" t="s">
        <v>42634</v>
      </c>
      <c r="B6001" s="15" t="s">
        <v>10991</v>
      </c>
      <c r="C6001" s="15" t="s">
        <v>800</v>
      </c>
      <c r="D6001" s="15" t="s">
        <v>10992</v>
      </c>
      <c r="E6001" s="15">
        <v>93.876300000000001</v>
      </c>
      <c r="F6001" s="42">
        <v>46198</v>
      </c>
    </row>
    <row r="6002" spans="1:6" x14ac:dyDescent="0.3">
      <c r="A6002" s="15" t="s">
        <v>33499</v>
      </c>
      <c r="B6002" s="15" t="s">
        <v>795</v>
      </c>
      <c r="C6002" s="15" t="s">
        <v>795</v>
      </c>
      <c r="D6002" s="15" t="s">
        <v>795</v>
      </c>
      <c r="F6002" s="42"/>
    </row>
    <row r="6003" spans="1:6" x14ac:dyDescent="0.3">
      <c r="A6003" s="15" t="s">
        <v>208</v>
      </c>
      <c r="B6003" s="15" t="s">
        <v>795</v>
      </c>
      <c r="C6003" s="15" t="s">
        <v>795</v>
      </c>
      <c r="D6003" s="15" t="s">
        <v>795</v>
      </c>
      <c r="F6003" s="42"/>
    </row>
    <row r="6004" spans="1:6" x14ac:dyDescent="0.3">
      <c r="A6004" s="15" t="s">
        <v>33499</v>
      </c>
      <c r="B6004" s="15" t="s">
        <v>795</v>
      </c>
      <c r="C6004" s="15" t="s">
        <v>795</v>
      </c>
      <c r="D6004" s="15" t="s">
        <v>795</v>
      </c>
      <c r="F6004" s="42"/>
    </row>
    <row r="6005" spans="1:6" x14ac:dyDescent="0.3">
      <c r="A6005" s="15" t="s">
        <v>42633</v>
      </c>
      <c r="B6005" s="15" t="s">
        <v>10993</v>
      </c>
      <c r="C6005" s="15" t="s">
        <v>10994</v>
      </c>
      <c r="D6005" s="15" t="s">
        <v>10995</v>
      </c>
      <c r="E6005" s="15">
        <v>191.39510000000001</v>
      </c>
      <c r="F6005" s="42">
        <v>46198</v>
      </c>
    </row>
    <row r="6006" spans="1:6" x14ac:dyDescent="0.3">
      <c r="A6006" s="15" t="s">
        <v>42632</v>
      </c>
      <c r="B6006" s="15" t="s">
        <v>10996</v>
      </c>
      <c r="C6006" s="15" t="s">
        <v>800</v>
      </c>
      <c r="D6006" s="15" t="s">
        <v>10997</v>
      </c>
      <c r="E6006" s="15">
        <v>819.77710000000002</v>
      </c>
      <c r="F6006" s="42">
        <v>46198</v>
      </c>
    </row>
    <row r="6007" spans="1:6" x14ac:dyDescent="0.3">
      <c r="A6007" s="15" t="s">
        <v>42631</v>
      </c>
      <c r="B6007" s="15" t="s">
        <v>10998</v>
      </c>
      <c r="C6007" s="15" t="s">
        <v>800</v>
      </c>
      <c r="D6007" s="15" t="s">
        <v>10999</v>
      </c>
      <c r="E6007" s="15">
        <v>4934.3586999999998</v>
      </c>
      <c r="F6007" s="42">
        <v>46198</v>
      </c>
    </row>
    <row r="6008" spans="1:6" x14ac:dyDescent="0.3">
      <c r="A6008" s="15" t="s">
        <v>42630</v>
      </c>
      <c r="B6008" s="15" t="s">
        <v>11000</v>
      </c>
      <c r="C6008" s="15" t="s">
        <v>11001</v>
      </c>
      <c r="D6008" s="15" t="s">
        <v>11002</v>
      </c>
      <c r="E6008" s="15">
        <v>120.2454</v>
      </c>
      <c r="F6008" s="42">
        <v>46198</v>
      </c>
    </row>
    <row r="6009" spans="1:6" x14ac:dyDescent="0.3">
      <c r="A6009" s="15" t="s">
        <v>42629</v>
      </c>
      <c r="B6009" s="15" t="s">
        <v>11003</v>
      </c>
      <c r="C6009" s="15" t="s">
        <v>11004</v>
      </c>
      <c r="D6009" s="15" t="s">
        <v>11005</v>
      </c>
      <c r="E6009" s="15">
        <v>1362.7045000000001</v>
      </c>
      <c r="F6009" s="42">
        <v>46198</v>
      </c>
    </row>
    <row r="6010" spans="1:6" x14ac:dyDescent="0.3">
      <c r="A6010" s="15" t="s">
        <v>42628</v>
      </c>
      <c r="B6010" s="15" t="s">
        <v>11006</v>
      </c>
      <c r="C6010" s="15" t="s">
        <v>800</v>
      </c>
      <c r="D6010" s="15" t="s">
        <v>11007</v>
      </c>
      <c r="E6010" s="15">
        <v>744.33180000000004</v>
      </c>
      <c r="F6010" s="42">
        <v>46198</v>
      </c>
    </row>
    <row r="6011" spans="1:6" x14ac:dyDescent="0.3">
      <c r="A6011" s="15" t="s">
        <v>42627</v>
      </c>
      <c r="B6011" s="15" t="s">
        <v>11008</v>
      </c>
      <c r="C6011" s="15" t="s">
        <v>800</v>
      </c>
      <c r="D6011" s="15" t="s">
        <v>11009</v>
      </c>
      <c r="E6011" s="15">
        <v>4471.2366000000002</v>
      </c>
      <c r="F6011" s="42">
        <v>46198</v>
      </c>
    </row>
    <row r="6012" spans="1:6" x14ac:dyDescent="0.3">
      <c r="A6012" s="15" t="s">
        <v>33499</v>
      </c>
      <c r="B6012" s="15" t="s">
        <v>795</v>
      </c>
      <c r="C6012" s="15" t="s">
        <v>795</v>
      </c>
      <c r="D6012" s="15" t="s">
        <v>795</v>
      </c>
      <c r="F6012" s="42"/>
    </row>
    <row r="6013" spans="1:6" x14ac:dyDescent="0.3">
      <c r="A6013" s="15" t="s">
        <v>37523</v>
      </c>
      <c r="B6013" s="15" t="s">
        <v>795</v>
      </c>
      <c r="C6013" s="15" t="s">
        <v>795</v>
      </c>
      <c r="D6013" s="15" t="s">
        <v>795</v>
      </c>
      <c r="F6013" s="42"/>
    </row>
    <row r="6014" spans="1:6" x14ac:dyDescent="0.3">
      <c r="A6014" s="15" t="s">
        <v>33499</v>
      </c>
      <c r="B6014" s="15" t="s">
        <v>795</v>
      </c>
      <c r="C6014" s="15" t="s">
        <v>795</v>
      </c>
      <c r="D6014" s="15" t="s">
        <v>795</v>
      </c>
      <c r="F6014" s="42"/>
    </row>
    <row r="6015" spans="1:6" x14ac:dyDescent="0.3">
      <c r="A6015" s="15" t="s">
        <v>42626</v>
      </c>
      <c r="B6015" s="15" t="s">
        <v>11010</v>
      </c>
      <c r="C6015" s="15" t="s">
        <v>11011</v>
      </c>
      <c r="D6015" s="15" t="s">
        <v>11012</v>
      </c>
      <c r="E6015" s="15">
        <v>62.74</v>
      </c>
      <c r="F6015" s="42">
        <v>46198</v>
      </c>
    </row>
    <row r="6016" spans="1:6" x14ac:dyDescent="0.3">
      <c r="A6016" s="15" t="s">
        <v>42625</v>
      </c>
      <c r="B6016" s="15" t="s">
        <v>11013</v>
      </c>
      <c r="C6016" s="15" t="s">
        <v>800</v>
      </c>
      <c r="D6016" s="15" t="s">
        <v>11014</v>
      </c>
      <c r="E6016" s="15">
        <v>75.7</v>
      </c>
      <c r="F6016" s="42">
        <v>46198</v>
      </c>
    </row>
    <row r="6017" spans="1:6" x14ac:dyDescent="0.3">
      <c r="A6017" s="15" t="s">
        <v>42624</v>
      </c>
      <c r="B6017" s="15" t="s">
        <v>11015</v>
      </c>
      <c r="C6017" s="15" t="s">
        <v>11016</v>
      </c>
      <c r="D6017" s="15" t="s">
        <v>11017</v>
      </c>
      <c r="E6017" s="15">
        <v>23.13</v>
      </c>
      <c r="F6017" s="42">
        <v>46198</v>
      </c>
    </row>
    <row r="6018" spans="1:6" x14ac:dyDescent="0.3">
      <c r="A6018" s="15" t="s">
        <v>42623</v>
      </c>
      <c r="B6018" s="15" t="s">
        <v>11018</v>
      </c>
      <c r="C6018" s="15" t="s">
        <v>800</v>
      </c>
      <c r="D6018" s="15" t="s">
        <v>11019</v>
      </c>
      <c r="E6018" s="15">
        <v>64.62</v>
      </c>
      <c r="F6018" s="42">
        <v>46198</v>
      </c>
    </row>
    <row r="6019" spans="1:6" x14ac:dyDescent="0.3">
      <c r="A6019" s="15" t="s">
        <v>33499</v>
      </c>
      <c r="B6019" s="15" t="s">
        <v>795</v>
      </c>
      <c r="C6019" s="15" t="s">
        <v>795</v>
      </c>
      <c r="D6019" s="15" t="s">
        <v>795</v>
      </c>
      <c r="F6019" s="42"/>
    </row>
    <row r="6020" spans="1:6" x14ac:dyDescent="0.3">
      <c r="A6020" s="15" t="s">
        <v>40216</v>
      </c>
      <c r="B6020" s="15" t="s">
        <v>795</v>
      </c>
      <c r="C6020" s="15" t="s">
        <v>795</v>
      </c>
      <c r="D6020" s="15" t="s">
        <v>795</v>
      </c>
      <c r="F6020" s="42"/>
    </row>
    <row r="6021" spans="1:6" x14ac:dyDescent="0.3">
      <c r="A6021" s="15" t="s">
        <v>33499</v>
      </c>
      <c r="B6021" s="15" t="s">
        <v>795</v>
      </c>
      <c r="C6021" s="15" t="s">
        <v>795</v>
      </c>
      <c r="D6021" s="15" t="s">
        <v>795</v>
      </c>
      <c r="F6021" s="42"/>
    </row>
    <row r="6022" spans="1:6" x14ac:dyDescent="0.3">
      <c r="A6022" s="15" t="s">
        <v>42622</v>
      </c>
      <c r="B6022" s="15" t="s">
        <v>11020</v>
      </c>
      <c r="C6022" s="15" t="s">
        <v>800</v>
      </c>
      <c r="D6022" s="15" t="s">
        <v>11021</v>
      </c>
      <c r="E6022" s="15">
        <v>249.31200000000001</v>
      </c>
      <c r="F6022" s="42">
        <v>46198</v>
      </c>
    </row>
    <row r="6023" spans="1:6" x14ac:dyDescent="0.3">
      <c r="A6023" s="15" t="s">
        <v>42621</v>
      </c>
      <c r="B6023" s="15" t="s">
        <v>11022</v>
      </c>
      <c r="C6023" s="15" t="s">
        <v>800</v>
      </c>
      <c r="D6023" s="15" t="s">
        <v>11023</v>
      </c>
      <c r="E6023" s="15">
        <v>220.0882</v>
      </c>
      <c r="F6023" s="42">
        <v>46198</v>
      </c>
    </row>
    <row r="6024" spans="1:6" x14ac:dyDescent="0.3">
      <c r="A6024" s="15" t="s">
        <v>42620</v>
      </c>
      <c r="B6024" s="15" t="s">
        <v>11024</v>
      </c>
      <c r="C6024" s="15" t="s">
        <v>11025</v>
      </c>
      <c r="D6024" s="15" t="s">
        <v>11026</v>
      </c>
      <c r="E6024" s="15">
        <v>87.568600000000004</v>
      </c>
      <c r="F6024" s="42">
        <v>46198</v>
      </c>
    </row>
    <row r="6025" spans="1:6" x14ac:dyDescent="0.3">
      <c r="A6025" s="15" t="s">
        <v>42619</v>
      </c>
      <c r="B6025" s="15" t="s">
        <v>11027</v>
      </c>
      <c r="C6025" s="15" t="s">
        <v>11028</v>
      </c>
      <c r="D6025" s="15" t="s">
        <v>11029</v>
      </c>
      <c r="E6025" s="15">
        <v>78.242099999999994</v>
      </c>
      <c r="F6025" s="42">
        <v>46198</v>
      </c>
    </row>
    <row r="6026" spans="1:6" x14ac:dyDescent="0.3">
      <c r="A6026" s="15" t="s">
        <v>33499</v>
      </c>
      <c r="B6026" s="15" t="s">
        <v>795</v>
      </c>
      <c r="C6026" s="15" t="s">
        <v>795</v>
      </c>
      <c r="D6026" s="15" t="s">
        <v>795</v>
      </c>
      <c r="F6026" s="42"/>
    </row>
    <row r="6027" spans="1:6" x14ac:dyDescent="0.3">
      <c r="A6027" s="15" t="s">
        <v>40209</v>
      </c>
      <c r="B6027" s="15" t="s">
        <v>795</v>
      </c>
      <c r="C6027" s="15" t="s">
        <v>795</v>
      </c>
      <c r="D6027" s="15" t="s">
        <v>795</v>
      </c>
      <c r="F6027" s="42"/>
    </row>
    <row r="6028" spans="1:6" x14ac:dyDescent="0.3">
      <c r="A6028" s="15" t="s">
        <v>33499</v>
      </c>
      <c r="B6028" s="15" t="s">
        <v>795</v>
      </c>
      <c r="C6028" s="15" t="s">
        <v>795</v>
      </c>
      <c r="D6028" s="15" t="s">
        <v>795</v>
      </c>
      <c r="F6028" s="42"/>
    </row>
    <row r="6029" spans="1:6" x14ac:dyDescent="0.3">
      <c r="A6029" s="15" t="s">
        <v>42618</v>
      </c>
      <c r="B6029" s="15" t="s">
        <v>11030</v>
      </c>
      <c r="C6029" s="15" t="s">
        <v>800</v>
      </c>
      <c r="D6029" s="15" t="s">
        <v>11031</v>
      </c>
      <c r="E6029" s="15">
        <v>10.02</v>
      </c>
      <c r="F6029" s="42">
        <v>46198</v>
      </c>
    </row>
    <row r="6030" spans="1:6" x14ac:dyDescent="0.3">
      <c r="A6030" s="15" t="s">
        <v>42617</v>
      </c>
      <c r="B6030" s="15" t="s">
        <v>11032</v>
      </c>
      <c r="C6030" s="15" t="s">
        <v>800</v>
      </c>
      <c r="D6030" s="15" t="s">
        <v>11033</v>
      </c>
      <c r="E6030" s="15">
        <v>9.9700000000000006</v>
      </c>
      <c r="F6030" s="42">
        <v>46198</v>
      </c>
    </row>
    <row r="6031" spans="1:6" x14ac:dyDescent="0.3">
      <c r="A6031" s="15" t="s">
        <v>33499</v>
      </c>
      <c r="B6031" s="15" t="s">
        <v>795</v>
      </c>
      <c r="C6031" s="15" t="s">
        <v>795</v>
      </c>
      <c r="D6031" s="15" t="s">
        <v>795</v>
      </c>
      <c r="F6031" s="42"/>
    </row>
    <row r="6032" spans="1:6" x14ac:dyDescent="0.3">
      <c r="A6032" s="15" t="s">
        <v>33636</v>
      </c>
      <c r="B6032" s="15" t="s">
        <v>795</v>
      </c>
      <c r="C6032" s="15" t="s">
        <v>795</v>
      </c>
      <c r="D6032" s="15" t="s">
        <v>795</v>
      </c>
      <c r="F6032" s="42"/>
    </row>
    <row r="6033" spans="1:6" x14ac:dyDescent="0.3">
      <c r="A6033" s="15" t="s">
        <v>33499</v>
      </c>
      <c r="B6033" s="15" t="s">
        <v>795</v>
      </c>
      <c r="C6033" s="15" t="s">
        <v>795</v>
      </c>
      <c r="D6033" s="15" t="s">
        <v>795</v>
      </c>
      <c r="F6033" s="42"/>
    </row>
    <row r="6034" spans="1:6" x14ac:dyDescent="0.3">
      <c r="A6034" s="15" t="s">
        <v>42616</v>
      </c>
      <c r="B6034" s="15" t="s">
        <v>11034</v>
      </c>
      <c r="C6034" s="15" t="s">
        <v>800</v>
      </c>
      <c r="D6034" s="15" t="s">
        <v>11035</v>
      </c>
      <c r="E6034" s="15">
        <v>271.98230000000001</v>
      </c>
      <c r="F6034" s="42">
        <v>46198</v>
      </c>
    </row>
    <row r="6035" spans="1:6" x14ac:dyDescent="0.3">
      <c r="A6035" s="15" t="s">
        <v>42615</v>
      </c>
      <c r="B6035" s="15" t="s">
        <v>11036</v>
      </c>
      <c r="C6035" s="15" t="s">
        <v>11037</v>
      </c>
      <c r="D6035" s="15" t="s">
        <v>11038</v>
      </c>
      <c r="E6035" s="15">
        <v>154.20050000000001</v>
      </c>
      <c r="F6035" s="42">
        <v>46198</v>
      </c>
    </row>
    <row r="6036" spans="1:6" x14ac:dyDescent="0.3">
      <c r="A6036" s="15" t="s">
        <v>42614</v>
      </c>
      <c r="B6036" s="15" t="s">
        <v>11039</v>
      </c>
      <c r="C6036" s="15" t="s">
        <v>800</v>
      </c>
      <c r="D6036" s="15" t="s">
        <v>11040</v>
      </c>
      <c r="E6036" s="15">
        <v>240.82919999999999</v>
      </c>
      <c r="F6036" s="42">
        <v>46198</v>
      </c>
    </row>
    <row r="6037" spans="1:6" x14ac:dyDescent="0.3">
      <c r="A6037" s="15" t="s">
        <v>42613</v>
      </c>
      <c r="B6037" s="15" t="s">
        <v>11041</v>
      </c>
      <c r="C6037" s="15" t="s">
        <v>11042</v>
      </c>
      <c r="D6037" s="15" t="s">
        <v>11043</v>
      </c>
      <c r="E6037" s="15">
        <v>98.406199999999998</v>
      </c>
      <c r="F6037" s="42">
        <v>46198</v>
      </c>
    </row>
    <row r="6038" spans="1:6" x14ac:dyDescent="0.3">
      <c r="A6038" s="15" t="s">
        <v>33499</v>
      </c>
      <c r="B6038" s="15" t="s">
        <v>795</v>
      </c>
      <c r="C6038" s="15" t="s">
        <v>795</v>
      </c>
      <c r="D6038" s="15" t="s">
        <v>795</v>
      </c>
      <c r="F6038" s="42"/>
    </row>
    <row r="6039" spans="1:6" x14ac:dyDescent="0.3">
      <c r="A6039" s="15" t="s">
        <v>37414</v>
      </c>
      <c r="B6039" s="15" t="s">
        <v>795</v>
      </c>
      <c r="C6039" s="15" t="s">
        <v>795</v>
      </c>
      <c r="D6039" s="15" t="s">
        <v>795</v>
      </c>
      <c r="F6039" s="42"/>
    </row>
    <row r="6040" spans="1:6" x14ac:dyDescent="0.3">
      <c r="A6040" s="15" t="s">
        <v>33499</v>
      </c>
      <c r="B6040" s="15" t="s">
        <v>795</v>
      </c>
      <c r="C6040" s="15" t="s">
        <v>795</v>
      </c>
      <c r="D6040" s="15" t="s">
        <v>795</v>
      </c>
      <c r="F6040" s="42"/>
    </row>
    <row r="6041" spans="1:6" x14ac:dyDescent="0.3">
      <c r="A6041" s="15" t="s">
        <v>42612</v>
      </c>
      <c r="B6041" s="15" t="s">
        <v>11044</v>
      </c>
      <c r="C6041" s="15" t="s">
        <v>800</v>
      </c>
      <c r="D6041" s="15" t="s">
        <v>11045</v>
      </c>
      <c r="E6041" s="15">
        <v>1613.2212999999999</v>
      </c>
      <c r="F6041" s="42">
        <v>46198</v>
      </c>
    </row>
    <row r="6042" spans="1:6" x14ac:dyDescent="0.3">
      <c r="A6042" s="15" t="s">
        <v>42611</v>
      </c>
      <c r="B6042" s="15" t="s">
        <v>11046</v>
      </c>
      <c r="C6042" s="15" t="s">
        <v>11047</v>
      </c>
      <c r="D6042" s="15" t="s">
        <v>11048</v>
      </c>
      <c r="E6042" s="15">
        <v>75.752499999999998</v>
      </c>
      <c r="F6042" s="42">
        <v>46198</v>
      </c>
    </row>
    <row r="6043" spans="1:6" x14ac:dyDescent="0.3">
      <c r="A6043" s="15" t="s">
        <v>42610</v>
      </c>
      <c r="B6043" s="15" t="s">
        <v>11049</v>
      </c>
      <c r="C6043" s="15" t="s">
        <v>800</v>
      </c>
      <c r="D6043" s="15" t="s">
        <v>11050</v>
      </c>
      <c r="E6043" s="15">
        <v>1465.9495999999999</v>
      </c>
      <c r="F6043" s="42">
        <v>46198</v>
      </c>
    </row>
    <row r="6044" spans="1:6" x14ac:dyDescent="0.3">
      <c r="A6044" s="15" t="s">
        <v>42609</v>
      </c>
      <c r="B6044" s="15" t="s">
        <v>11051</v>
      </c>
      <c r="C6044" s="15" t="s">
        <v>11052</v>
      </c>
      <c r="D6044" s="15" t="s">
        <v>11053</v>
      </c>
      <c r="E6044" s="15">
        <v>67.854600000000005</v>
      </c>
      <c r="F6044" s="42">
        <v>46198</v>
      </c>
    </row>
    <row r="6045" spans="1:6" x14ac:dyDescent="0.3">
      <c r="A6045" s="15" t="s">
        <v>33499</v>
      </c>
      <c r="B6045" s="15" t="s">
        <v>795</v>
      </c>
      <c r="C6045" s="15" t="s">
        <v>795</v>
      </c>
      <c r="D6045" s="15" t="s">
        <v>795</v>
      </c>
      <c r="F6045" s="42"/>
    </row>
    <row r="6046" spans="1:6" x14ac:dyDescent="0.3">
      <c r="A6046" s="15" t="s">
        <v>33519</v>
      </c>
      <c r="B6046" s="15" t="s">
        <v>795</v>
      </c>
      <c r="C6046" s="15" t="s">
        <v>795</v>
      </c>
      <c r="D6046" s="15" t="s">
        <v>795</v>
      </c>
      <c r="F6046" s="42"/>
    </row>
    <row r="6047" spans="1:6" x14ac:dyDescent="0.3">
      <c r="A6047" s="15" t="s">
        <v>33499</v>
      </c>
      <c r="B6047" s="15" t="s">
        <v>795</v>
      </c>
      <c r="C6047" s="15" t="s">
        <v>795</v>
      </c>
      <c r="D6047" s="15" t="s">
        <v>795</v>
      </c>
      <c r="F6047" s="42"/>
    </row>
    <row r="6048" spans="1:6" x14ac:dyDescent="0.3">
      <c r="A6048" s="15" t="s">
        <v>42608</v>
      </c>
      <c r="B6048" s="15" t="s">
        <v>11054</v>
      </c>
      <c r="C6048" s="15" t="s">
        <v>800</v>
      </c>
      <c r="D6048" s="15" t="s">
        <v>11055</v>
      </c>
      <c r="E6048" s="15">
        <v>521.43740000000003</v>
      </c>
      <c r="F6048" s="42">
        <v>46198</v>
      </c>
    </row>
    <row r="6049" spans="1:6" x14ac:dyDescent="0.3">
      <c r="A6049" s="15" t="s">
        <v>42607</v>
      </c>
      <c r="B6049" s="15" t="s">
        <v>11056</v>
      </c>
      <c r="C6049" s="15" t="s">
        <v>11057</v>
      </c>
      <c r="D6049" s="15" t="s">
        <v>11058</v>
      </c>
      <c r="E6049" s="15">
        <v>167.14400000000001</v>
      </c>
      <c r="F6049" s="42">
        <v>46198</v>
      </c>
    </row>
    <row r="6050" spans="1:6" x14ac:dyDescent="0.3">
      <c r="A6050" s="15" t="s">
        <v>42606</v>
      </c>
      <c r="B6050" s="15" t="s">
        <v>11059</v>
      </c>
      <c r="C6050" s="15" t="s">
        <v>800</v>
      </c>
      <c r="D6050" s="15" t="s">
        <v>11060</v>
      </c>
      <c r="E6050" s="15">
        <v>453.4572</v>
      </c>
      <c r="F6050" s="42">
        <v>46198</v>
      </c>
    </row>
    <row r="6051" spans="1:6" x14ac:dyDescent="0.3">
      <c r="A6051" s="15" t="s">
        <v>42605</v>
      </c>
      <c r="B6051" s="15" t="s">
        <v>11061</v>
      </c>
      <c r="C6051" s="15" t="s">
        <v>11062</v>
      </c>
      <c r="D6051" s="15" t="s">
        <v>11063</v>
      </c>
      <c r="E6051" s="15">
        <v>120.1927</v>
      </c>
      <c r="F6051" s="42">
        <v>46198</v>
      </c>
    </row>
    <row r="6052" spans="1:6" x14ac:dyDescent="0.3">
      <c r="A6052" s="15" t="s">
        <v>33499</v>
      </c>
      <c r="B6052" s="15" t="s">
        <v>795</v>
      </c>
      <c r="C6052" s="15" t="s">
        <v>795</v>
      </c>
      <c r="D6052" s="15" t="s">
        <v>795</v>
      </c>
      <c r="F6052" s="42"/>
    </row>
    <row r="6053" spans="1:6" x14ac:dyDescent="0.3">
      <c r="A6053" s="15" t="s">
        <v>38009</v>
      </c>
      <c r="B6053" s="15" t="s">
        <v>795</v>
      </c>
      <c r="C6053" s="15" t="s">
        <v>795</v>
      </c>
      <c r="D6053" s="15" t="s">
        <v>795</v>
      </c>
      <c r="F6053" s="42"/>
    </row>
    <row r="6054" spans="1:6" x14ac:dyDescent="0.3">
      <c r="A6054" s="15" t="s">
        <v>33499</v>
      </c>
      <c r="B6054" s="15" t="s">
        <v>795</v>
      </c>
      <c r="C6054" s="15" t="s">
        <v>795</v>
      </c>
      <c r="D6054" s="15" t="s">
        <v>795</v>
      </c>
      <c r="F6054" s="42"/>
    </row>
    <row r="6055" spans="1:6" x14ac:dyDescent="0.3">
      <c r="A6055" s="15" t="s">
        <v>42604</v>
      </c>
      <c r="B6055" s="15" t="s">
        <v>11064</v>
      </c>
      <c r="C6055" s="15" t="s">
        <v>800</v>
      </c>
      <c r="D6055" s="15" t="s">
        <v>11065</v>
      </c>
      <c r="E6055" s="15">
        <v>125.04</v>
      </c>
      <c r="F6055" s="42">
        <v>46198</v>
      </c>
    </row>
    <row r="6056" spans="1:6" x14ac:dyDescent="0.3">
      <c r="A6056" s="15" t="s">
        <v>42603</v>
      </c>
      <c r="B6056" s="15" t="s">
        <v>11066</v>
      </c>
      <c r="C6056" s="15" t="s">
        <v>11067</v>
      </c>
      <c r="D6056" s="15" t="s">
        <v>11068</v>
      </c>
      <c r="E6056" s="15">
        <v>111.08</v>
      </c>
      <c r="F6056" s="42">
        <v>46198</v>
      </c>
    </row>
    <row r="6057" spans="1:6" x14ac:dyDescent="0.3">
      <c r="A6057" s="15" t="s">
        <v>42602</v>
      </c>
      <c r="B6057" s="15" t="s">
        <v>11069</v>
      </c>
      <c r="C6057" s="15" t="s">
        <v>800</v>
      </c>
      <c r="D6057" s="15" t="s">
        <v>11070</v>
      </c>
      <c r="E6057" s="15">
        <v>117.93</v>
      </c>
      <c r="F6057" s="42">
        <v>46198</v>
      </c>
    </row>
    <row r="6058" spans="1:6" x14ac:dyDescent="0.3">
      <c r="A6058" s="15" t="s">
        <v>42601</v>
      </c>
      <c r="B6058" s="15" t="s">
        <v>11071</v>
      </c>
      <c r="C6058" s="15" t="s">
        <v>11072</v>
      </c>
      <c r="D6058" s="15" t="s">
        <v>11073</v>
      </c>
      <c r="E6058" s="15">
        <v>105.12</v>
      </c>
      <c r="F6058" s="42">
        <v>46198</v>
      </c>
    </row>
    <row r="6059" spans="1:6" x14ac:dyDescent="0.3">
      <c r="A6059" s="15" t="s">
        <v>33499</v>
      </c>
      <c r="B6059" s="15" t="s">
        <v>795</v>
      </c>
      <c r="C6059" s="15" t="s">
        <v>795</v>
      </c>
      <c r="D6059" s="15" t="s">
        <v>795</v>
      </c>
      <c r="F6059" s="42"/>
    </row>
    <row r="6060" spans="1:6" x14ac:dyDescent="0.3">
      <c r="A6060" s="15" t="s">
        <v>33508</v>
      </c>
      <c r="B6060" s="15" t="s">
        <v>795</v>
      </c>
      <c r="C6060" s="15" t="s">
        <v>795</v>
      </c>
      <c r="D6060" s="15" t="s">
        <v>795</v>
      </c>
      <c r="F6060" s="42"/>
    </row>
    <row r="6061" spans="1:6" x14ac:dyDescent="0.3">
      <c r="A6061" s="15" t="s">
        <v>33499</v>
      </c>
      <c r="B6061" s="15" t="s">
        <v>795</v>
      </c>
      <c r="C6061" s="15" t="s">
        <v>795</v>
      </c>
      <c r="D6061" s="15" t="s">
        <v>795</v>
      </c>
      <c r="F6061" s="42"/>
    </row>
    <row r="6062" spans="1:6" x14ac:dyDescent="0.3">
      <c r="A6062" s="15" t="s">
        <v>42600</v>
      </c>
      <c r="B6062" s="15" t="s">
        <v>11074</v>
      </c>
      <c r="C6062" s="15" t="s">
        <v>800</v>
      </c>
      <c r="D6062" s="15" t="s">
        <v>11075</v>
      </c>
      <c r="E6062" s="15">
        <v>11.57</v>
      </c>
      <c r="F6062" s="42">
        <v>46198</v>
      </c>
    </row>
    <row r="6063" spans="1:6" x14ac:dyDescent="0.3">
      <c r="A6063" s="15" t="s">
        <v>42599</v>
      </c>
      <c r="B6063" s="15" t="s">
        <v>11076</v>
      </c>
      <c r="C6063" s="15" t="s">
        <v>800</v>
      </c>
      <c r="D6063" s="15" t="s">
        <v>11077</v>
      </c>
      <c r="E6063" s="15">
        <v>11.52</v>
      </c>
      <c r="F6063" s="42">
        <v>46198</v>
      </c>
    </row>
    <row r="6064" spans="1:6" x14ac:dyDescent="0.3">
      <c r="A6064" s="15" t="s">
        <v>33499</v>
      </c>
      <c r="B6064" s="15" t="s">
        <v>795</v>
      </c>
      <c r="C6064" s="15" t="s">
        <v>795</v>
      </c>
      <c r="D6064" s="15" t="s">
        <v>795</v>
      </c>
      <c r="F6064" s="42"/>
    </row>
    <row r="6065" spans="1:6" x14ac:dyDescent="0.3">
      <c r="A6065" s="15" t="s">
        <v>33504</v>
      </c>
      <c r="B6065" s="15" t="s">
        <v>795</v>
      </c>
      <c r="C6065" s="15" t="s">
        <v>795</v>
      </c>
      <c r="D6065" s="15" t="s">
        <v>795</v>
      </c>
      <c r="F6065" s="42"/>
    </row>
    <row r="6066" spans="1:6" x14ac:dyDescent="0.3">
      <c r="A6066" s="15" t="s">
        <v>33499</v>
      </c>
      <c r="B6066" s="15" t="s">
        <v>795</v>
      </c>
      <c r="C6066" s="15" t="s">
        <v>795</v>
      </c>
      <c r="D6066" s="15" t="s">
        <v>795</v>
      </c>
      <c r="F6066" s="42"/>
    </row>
    <row r="6067" spans="1:6" x14ac:dyDescent="0.3">
      <c r="A6067" s="15" t="s">
        <v>42598</v>
      </c>
      <c r="B6067" s="15" t="s">
        <v>11078</v>
      </c>
      <c r="C6067" s="15" t="s">
        <v>800</v>
      </c>
      <c r="D6067" s="15" t="s">
        <v>11079</v>
      </c>
      <c r="E6067" s="15">
        <v>55.57</v>
      </c>
      <c r="F6067" s="42">
        <v>46198</v>
      </c>
    </row>
    <row r="6068" spans="1:6" x14ac:dyDescent="0.3">
      <c r="A6068" s="15" t="s">
        <v>42597</v>
      </c>
      <c r="B6068" s="15" t="s">
        <v>11080</v>
      </c>
      <c r="C6068" s="15" t="s">
        <v>11081</v>
      </c>
      <c r="D6068" s="15" t="s">
        <v>11082</v>
      </c>
      <c r="E6068" s="15">
        <v>55.57</v>
      </c>
      <c r="F6068" s="42">
        <v>46198</v>
      </c>
    </row>
    <row r="6069" spans="1:6" x14ac:dyDescent="0.3">
      <c r="A6069" s="15" t="s">
        <v>42596</v>
      </c>
      <c r="B6069" s="15" t="s">
        <v>11083</v>
      </c>
      <c r="C6069" s="15" t="s">
        <v>800</v>
      </c>
      <c r="D6069" s="15" t="s">
        <v>11084</v>
      </c>
      <c r="E6069" s="15">
        <v>51</v>
      </c>
      <c r="F6069" s="42">
        <v>46198</v>
      </c>
    </row>
    <row r="6070" spans="1:6" x14ac:dyDescent="0.3">
      <c r="A6070" s="15" t="s">
        <v>42595</v>
      </c>
      <c r="B6070" s="15" t="s">
        <v>11085</v>
      </c>
      <c r="C6070" s="15" t="s">
        <v>11086</v>
      </c>
      <c r="D6070" s="15" t="s">
        <v>11087</v>
      </c>
      <c r="E6070" s="15">
        <v>51</v>
      </c>
      <c r="F6070" s="42">
        <v>46198</v>
      </c>
    </row>
    <row r="6071" spans="1:6" x14ac:dyDescent="0.3">
      <c r="A6071" s="15" t="s">
        <v>33499</v>
      </c>
      <c r="B6071" s="15" t="s">
        <v>795</v>
      </c>
      <c r="C6071" s="15" t="s">
        <v>795</v>
      </c>
      <c r="D6071" s="15" t="s">
        <v>795</v>
      </c>
      <c r="F6071" s="42"/>
    </row>
    <row r="6072" spans="1:6" x14ac:dyDescent="0.3">
      <c r="A6072" s="15" t="s">
        <v>33500</v>
      </c>
      <c r="B6072" s="15" t="s">
        <v>795</v>
      </c>
      <c r="C6072" s="15" t="s">
        <v>795</v>
      </c>
      <c r="D6072" s="15" t="s">
        <v>795</v>
      </c>
      <c r="F6072" s="42"/>
    </row>
    <row r="6073" spans="1:6" x14ac:dyDescent="0.3">
      <c r="A6073" s="15" t="s">
        <v>33499</v>
      </c>
      <c r="B6073" s="15" t="s">
        <v>795</v>
      </c>
      <c r="C6073" s="15" t="s">
        <v>795</v>
      </c>
      <c r="D6073" s="15" t="s">
        <v>795</v>
      </c>
      <c r="F6073" s="42"/>
    </row>
    <row r="6074" spans="1:6" x14ac:dyDescent="0.3">
      <c r="A6074" s="15" t="s">
        <v>42594</v>
      </c>
      <c r="B6074" s="15" t="s">
        <v>11088</v>
      </c>
      <c r="C6074" s="15" t="s">
        <v>11089</v>
      </c>
      <c r="D6074" s="15" t="s">
        <v>11090</v>
      </c>
      <c r="E6074" s="15">
        <v>169.30940000000001</v>
      </c>
      <c r="F6074" s="42">
        <v>46198</v>
      </c>
    </row>
    <row r="6075" spans="1:6" x14ac:dyDescent="0.3">
      <c r="A6075" s="15" t="s">
        <v>42593</v>
      </c>
      <c r="B6075" s="15" t="s">
        <v>11091</v>
      </c>
      <c r="C6075" s="15" t="s">
        <v>11092</v>
      </c>
      <c r="D6075" s="15" t="s">
        <v>11093</v>
      </c>
      <c r="E6075" s="15">
        <v>145.0008</v>
      </c>
      <c r="F6075" s="42">
        <v>46198</v>
      </c>
    </row>
    <row r="6076" spans="1:6" x14ac:dyDescent="0.3">
      <c r="A6076" s="15" t="s">
        <v>42592</v>
      </c>
      <c r="B6076" s="15" t="s">
        <v>11094</v>
      </c>
      <c r="C6076" s="15" t="s">
        <v>800</v>
      </c>
      <c r="D6076" s="15" t="s">
        <v>11095</v>
      </c>
      <c r="E6076" s="15">
        <v>306.4203</v>
      </c>
      <c r="F6076" s="42">
        <v>46198</v>
      </c>
    </row>
    <row r="6077" spans="1:6" x14ac:dyDescent="0.3">
      <c r="A6077" s="15" t="s">
        <v>42591</v>
      </c>
      <c r="B6077" s="15" t="s">
        <v>11096</v>
      </c>
      <c r="C6077" s="15" t="s">
        <v>800</v>
      </c>
      <c r="D6077" s="15" t="s">
        <v>11097</v>
      </c>
      <c r="E6077" s="15">
        <v>344.05290000000002</v>
      </c>
      <c r="F6077" s="42">
        <v>46198</v>
      </c>
    </row>
    <row r="6078" spans="1:6" x14ac:dyDescent="0.3">
      <c r="A6078" s="15" t="s">
        <v>33499</v>
      </c>
      <c r="B6078" s="15" t="s">
        <v>795</v>
      </c>
      <c r="C6078" s="15" t="s">
        <v>795</v>
      </c>
      <c r="D6078" s="15" t="s">
        <v>795</v>
      </c>
      <c r="F6078" s="42"/>
    </row>
    <row r="6079" spans="1:6" x14ac:dyDescent="0.3">
      <c r="A6079" s="15" t="s">
        <v>40172</v>
      </c>
      <c r="B6079" s="15" t="s">
        <v>795</v>
      </c>
      <c r="C6079" s="15" t="s">
        <v>795</v>
      </c>
      <c r="D6079" s="15" t="s">
        <v>795</v>
      </c>
      <c r="F6079" s="42"/>
    </row>
    <row r="6080" spans="1:6" x14ac:dyDescent="0.3">
      <c r="A6080" s="15" t="s">
        <v>33499</v>
      </c>
      <c r="B6080" s="15" t="s">
        <v>795</v>
      </c>
      <c r="C6080" s="15" t="s">
        <v>795</v>
      </c>
      <c r="D6080" s="15" t="s">
        <v>795</v>
      </c>
      <c r="F6080" s="42"/>
    </row>
    <row r="6081" spans="1:6" x14ac:dyDescent="0.3">
      <c r="A6081" s="15" t="s">
        <v>42590</v>
      </c>
      <c r="B6081" s="15" t="s">
        <v>11098</v>
      </c>
      <c r="C6081" s="15" t="s">
        <v>800</v>
      </c>
      <c r="D6081" s="15" t="s">
        <v>11099</v>
      </c>
      <c r="E6081" s="15">
        <v>22.321999999999999</v>
      </c>
      <c r="F6081" s="42">
        <v>46198</v>
      </c>
    </row>
    <row r="6082" spans="1:6" x14ac:dyDescent="0.3">
      <c r="A6082" s="15" t="s">
        <v>42589</v>
      </c>
      <c r="B6082" s="15" t="s">
        <v>11100</v>
      </c>
      <c r="C6082" s="15" t="s">
        <v>11101</v>
      </c>
      <c r="D6082" s="15" t="s">
        <v>11102</v>
      </c>
      <c r="E6082" s="15">
        <v>22.321999999999999</v>
      </c>
      <c r="F6082" s="42">
        <v>46198</v>
      </c>
    </row>
    <row r="6083" spans="1:6" x14ac:dyDescent="0.3">
      <c r="A6083" s="15" t="s">
        <v>42588</v>
      </c>
      <c r="B6083" s="15" t="s">
        <v>11103</v>
      </c>
      <c r="C6083" s="15" t="s">
        <v>800</v>
      </c>
      <c r="D6083" s="15" t="s">
        <v>11104</v>
      </c>
      <c r="E6083" s="15">
        <v>21.048999999999999</v>
      </c>
      <c r="F6083" s="42">
        <v>46198</v>
      </c>
    </row>
    <row r="6084" spans="1:6" x14ac:dyDescent="0.3">
      <c r="A6084" s="15" t="s">
        <v>42587</v>
      </c>
      <c r="B6084" s="15" t="s">
        <v>11105</v>
      </c>
      <c r="C6084" s="15" t="s">
        <v>11106</v>
      </c>
      <c r="D6084" s="15" t="s">
        <v>11107</v>
      </c>
      <c r="E6084" s="15">
        <v>21.048999999999999</v>
      </c>
      <c r="F6084" s="42">
        <v>46198</v>
      </c>
    </row>
    <row r="6085" spans="1:6" x14ac:dyDescent="0.3">
      <c r="A6085" s="15" t="s">
        <v>33499</v>
      </c>
      <c r="B6085" s="15" t="s">
        <v>795</v>
      </c>
      <c r="C6085" s="15" t="s">
        <v>795</v>
      </c>
      <c r="D6085" s="15" t="s">
        <v>795</v>
      </c>
      <c r="F6085" s="42"/>
    </row>
    <row r="6086" spans="1:6" x14ac:dyDescent="0.3">
      <c r="A6086" s="15" t="s">
        <v>42586</v>
      </c>
      <c r="B6086" s="15" t="s">
        <v>795</v>
      </c>
      <c r="C6086" s="15" t="s">
        <v>795</v>
      </c>
      <c r="D6086" s="15" t="s">
        <v>795</v>
      </c>
      <c r="F6086" s="42"/>
    </row>
    <row r="6087" spans="1:6" x14ac:dyDescent="0.3">
      <c r="A6087" s="15" t="s">
        <v>33499</v>
      </c>
      <c r="B6087" s="15" t="s">
        <v>795</v>
      </c>
      <c r="C6087" s="15" t="s">
        <v>795</v>
      </c>
      <c r="D6087" s="15" t="s">
        <v>795</v>
      </c>
      <c r="F6087" s="42"/>
    </row>
    <row r="6088" spans="1:6" x14ac:dyDescent="0.3">
      <c r="A6088" s="15" t="s">
        <v>37122</v>
      </c>
      <c r="B6088" s="15" t="s">
        <v>795</v>
      </c>
      <c r="C6088" s="15" t="s">
        <v>795</v>
      </c>
      <c r="D6088" s="15" t="s">
        <v>795</v>
      </c>
      <c r="F6088" s="42"/>
    </row>
    <row r="6089" spans="1:6" x14ac:dyDescent="0.3">
      <c r="A6089" s="15" t="s">
        <v>33499</v>
      </c>
      <c r="B6089" s="15" t="s">
        <v>795</v>
      </c>
      <c r="C6089" s="15" t="s">
        <v>795</v>
      </c>
      <c r="D6089" s="15" t="s">
        <v>795</v>
      </c>
      <c r="F6089" s="42"/>
    </row>
    <row r="6090" spans="1:6" x14ac:dyDescent="0.3">
      <c r="A6090" s="15" t="s">
        <v>42585</v>
      </c>
      <c r="B6090" s="15" t="s">
        <v>11108</v>
      </c>
      <c r="C6090" s="15" t="s">
        <v>800</v>
      </c>
      <c r="D6090" s="15" t="s">
        <v>11109</v>
      </c>
      <c r="E6090" s="15">
        <v>21.85</v>
      </c>
      <c r="F6090" s="42">
        <v>46198</v>
      </c>
    </row>
    <row r="6091" spans="1:6" x14ac:dyDescent="0.3">
      <c r="A6091" s="15" t="s">
        <v>42584</v>
      </c>
      <c r="B6091" s="15" t="s">
        <v>11110</v>
      </c>
      <c r="C6091" s="15" t="s">
        <v>800</v>
      </c>
      <c r="D6091" s="15" t="s">
        <v>11111</v>
      </c>
      <c r="E6091" s="15">
        <v>19.329999999999998</v>
      </c>
      <c r="F6091" s="42">
        <v>46198</v>
      </c>
    </row>
    <row r="6092" spans="1:6" x14ac:dyDescent="0.3">
      <c r="A6092" s="15" t="s">
        <v>42583</v>
      </c>
      <c r="B6092" s="15" t="s">
        <v>11112</v>
      </c>
      <c r="C6092" s="15" t="s">
        <v>800</v>
      </c>
      <c r="D6092" s="15" t="s">
        <v>11113</v>
      </c>
      <c r="E6092" s="15">
        <v>20.38</v>
      </c>
      <c r="F6092" s="42">
        <v>46198</v>
      </c>
    </row>
    <row r="6093" spans="1:6" x14ac:dyDescent="0.3">
      <c r="A6093" s="15" t="s">
        <v>42582</v>
      </c>
      <c r="B6093" s="15" t="s">
        <v>11114</v>
      </c>
      <c r="C6093" s="15" t="s">
        <v>800</v>
      </c>
      <c r="D6093" s="15" t="s">
        <v>11115</v>
      </c>
      <c r="E6093" s="15">
        <v>18.04</v>
      </c>
      <c r="F6093" s="42">
        <v>46198</v>
      </c>
    </row>
    <row r="6094" spans="1:6" x14ac:dyDescent="0.3">
      <c r="A6094" s="15" t="s">
        <v>33499</v>
      </c>
      <c r="B6094" s="15" t="s">
        <v>795</v>
      </c>
      <c r="C6094" s="15" t="s">
        <v>795</v>
      </c>
      <c r="D6094" s="15" t="s">
        <v>795</v>
      </c>
      <c r="F6094" s="42"/>
    </row>
    <row r="6095" spans="1:6" x14ac:dyDescent="0.3">
      <c r="A6095" s="15" t="s">
        <v>37087</v>
      </c>
      <c r="B6095" s="15" t="s">
        <v>795</v>
      </c>
      <c r="C6095" s="15" t="s">
        <v>795</v>
      </c>
      <c r="D6095" s="15" t="s">
        <v>795</v>
      </c>
      <c r="F6095" s="42"/>
    </row>
    <row r="6096" spans="1:6" x14ac:dyDescent="0.3">
      <c r="A6096" s="15" t="s">
        <v>33499</v>
      </c>
      <c r="B6096" s="15" t="s">
        <v>795</v>
      </c>
      <c r="C6096" s="15" t="s">
        <v>795</v>
      </c>
      <c r="D6096" s="15" t="s">
        <v>795</v>
      </c>
      <c r="F6096" s="42"/>
    </row>
    <row r="6097" spans="1:6" x14ac:dyDescent="0.3">
      <c r="A6097" s="15" t="s">
        <v>42581</v>
      </c>
      <c r="B6097" s="15" t="s">
        <v>11116</v>
      </c>
      <c r="C6097" s="15" t="s">
        <v>800</v>
      </c>
      <c r="D6097" s="15" t="s">
        <v>11117</v>
      </c>
      <c r="E6097" s="15">
        <v>19.600000000000001</v>
      </c>
      <c r="F6097" s="42">
        <v>46198</v>
      </c>
    </row>
    <row r="6098" spans="1:6" x14ac:dyDescent="0.3">
      <c r="A6098" s="15" t="s">
        <v>42580</v>
      </c>
      <c r="B6098" s="15" t="s">
        <v>11118</v>
      </c>
      <c r="C6098" s="15" t="s">
        <v>11119</v>
      </c>
      <c r="D6098" s="15" t="s">
        <v>11120</v>
      </c>
      <c r="E6098" s="15">
        <v>19.59</v>
      </c>
      <c r="F6098" s="42">
        <v>46198</v>
      </c>
    </row>
    <row r="6099" spans="1:6" x14ac:dyDescent="0.3">
      <c r="A6099" s="15" t="s">
        <v>42579</v>
      </c>
      <c r="B6099" s="15" t="s">
        <v>11121</v>
      </c>
      <c r="C6099" s="15" t="s">
        <v>800</v>
      </c>
      <c r="D6099" s="15" t="s">
        <v>11122</v>
      </c>
      <c r="E6099" s="15">
        <v>18.510000000000002</v>
      </c>
      <c r="F6099" s="42">
        <v>46198</v>
      </c>
    </row>
    <row r="6100" spans="1:6" x14ac:dyDescent="0.3">
      <c r="A6100" s="15" t="s">
        <v>42578</v>
      </c>
      <c r="B6100" s="15" t="s">
        <v>11123</v>
      </c>
      <c r="C6100" s="15" t="s">
        <v>11124</v>
      </c>
      <c r="D6100" s="15" t="s">
        <v>11125</v>
      </c>
      <c r="E6100" s="15">
        <v>18.5</v>
      </c>
      <c r="F6100" s="42">
        <v>46198</v>
      </c>
    </row>
    <row r="6101" spans="1:6" x14ac:dyDescent="0.3">
      <c r="A6101" s="15" t="s">
        <v>33499</v>
      </c>
      <c r="B6101" s="15" t="s">
        <v>795</v>
      </c>
      <c r="C6101" s="15" t="s">
        <v>795</v>
      </c>
      <c r="D6101" s="15" t="s">
        <v>795</v>
      </c>
      <c r="F6101" s="42"/>
    </row>
    <row r="6102" spans="1:6" x14ac:dyDescent="0.3">
      <c r="A6102" s="15" t="s">
        <v>37923</v>
      </c>
      <c r="B6102" s="15" t="s">
        <v>795</v>
      </c>
      <c r="C6102" s="15" t="s">
        <v>795</v>
      </c>
      <c r="D6102" s="15" t="s">
        <v>795</v>
      </c>
      <c r="F6102" s="42"/>
    </row>
    <row r="6103" spans="1:6" x14ac:dyDescent="0.3">
      <c r="A6103" s="15" t="s">
        <v>33499</v>
      </c>
      <c r="B6103" s="15" t="s">
        <v>795</v>
      </c>
      <c r="C6103" s="15" t="s">
        <v>795</v>
      </c>
      <c r="D6103" s="15" t="s">
        <v>795</v>
      </c>
      <c r="F6103" s="42"/>
    </row>
    <row r="6104" spans="1:6" x14ac:dyDescent="0.3">
      <c r="A6104" s="15" t="s">
        <v>42577</v>
      </c>
      <c r="B6104" s="15" t="s">
        <v>11126</v>
      </c>
      <c r="C6104" s="15" t="s">
        <v>800</v>
      </c>
      <c r="D6104" s="15" t="s">
        <v>11127</v>
      </c>
      <c r="E6104" s="15">
        <v>12.17</v>
      </c>
      <c r="F6104" s="42">
        <v>46198</v>
      </c>
    </row>
    <row r="6105" spans="1:6" x14ac:dyDescent="0.3">
      <c r="A6105" s="15" t="s">
        <v>42576</v>
      </c>
      <c r="B6105" s="15" t="s">
        <v>11128</v>
      </c>
      <c r="C6105" s="15" t="s">
        <v>11129</v>
      </c>
      <c r="D6105" s="15" t="s">
        <v>11130</v>
      </c>
      <c r="E6105" s="15">
        <v>12.17</v>
      </c>
      <c r="F6105" s="42">
        <v>46198</v>
      </c>
    </row>
    <row r="6106" spans="1:6" x14ac:dyDescent="0.3">
      <c r="A6106" s="15" t="s">
        <v>42575</v>
      </c>
      <c r="B6106" s="15" t="s">
        <v>11131</v>
      </c>
      <c r="C6106" s="15" t="s">
        <v>800</v>
      </c>
      <c r="D6106" s="15" t="s">
        <v>11132</v>
      </c>
      <c r="E6106" s="15">
        <v>11.925000000000001</v>
      </c>
      <c r="F6106" s="42">
        <v>46198</v>
      </c>
    </row>
    <row r="6107" spans="1:6" x14ac:dyDescent="0.3">
      <c r="A6107" s="15" t="s">
        <v>42574</v>
      </c>
      <c r="B6107" s="15" t="s">
        <v>11133</v>
      </c>
      <c r="C6107" s="15" t="s">
        <v>11134</v>
      </c>
      <c r="D6107" s="15" t="s">
        <v>11135</v>
      </c>
      <c r="E6107" s="15">
        <v>11.925000000000001</v>
      </c>
      <c r="F6107" s="42">
        <v>46198</v>
      </c>
    </row>
    <row r="6108" spans="1:6" x14ac:dyDescent="0.3">
      <c r="A6108" s="15" t="s">
        <v>33499</v>
      </c>
      <c r="B6108" s="15" t="s">
        <v>795</v>
      </c>
      <c r="C6108" s="15" t="s">
        <v>795</v>
      </c>
      <c r="D6108" s="15" t="s">
        <v>795</v>
      </c>
      <c r="F6108" s="42"/>
    </row>
    <row r="6109" spans="1:6" x14ac:dyDescent="0.3">
      <c r="A6109" s="15" t="s">
        <v>37073</v>
      </c>
      <c r="B6109" s="15" t="s">
        <v>795</v>
      </c>
      <c r="C6109" s="15" t="s">
        <v>795</v>
      </c>
      <c r="D6109" s="15" t="s">
        <v>795</v>
      </c>
      <c r="F6109" s="42"/>
    </row>
    <row r="6110" spans="1:6" x14ac:dyDescent="0.3">
      <c r="A6110" s="15" t="s">
        <v>33499</v>
      </c>
      <c r="B6110" s="15" t="s">
        <v>795</v>
      </c>
      <c r="C6110" s="15" t="s">
        <v>795</v>
      </c>
      <c r="D6110" s="15" t="s">
        <v>795</v>
      </c>
      <c r="F6110" s="42"/>
    </row>
    <row r="6111" spans="1:6" x14ac:dyDescent="0.3">
      <c r="A6111" s="15" t="s">
        <v>42573</v>
      </c>
      <c r="B6111" s="15" t="s">
        <v>11136</v>
      </c>
      <c r="C6111" s="15" t="s">
        <v>800</v>
      </c>
      <c r="D6111" s="15" t="s">
        <v>11137</v>
      </c>
      <c r="E6111" s="15">
        <v>18.72</v>
      </c>
      <c r="F6111" s="42">
        <v>46198</v>
      </c>
    </row>
    <row r="6112" spans="1:6" x14ac:dyDescent="0.3">
      <c r="A6112" s="15" t="s">
        <v>42572</v>
      </c>
      <c r="B6112" s="15" t="s">
        <v>11138</v>
      </c>
      <c r="C6112" s="15" t="s">
        <v>800</v>
      </c>
      <c r="D6112" s="15" t="s">
        <v>11139</v>
      </c>
      <c r="E6112" s="15">
        <v>17.460999999999999</v>
      </c>
      <c r="F6112" s="42">
        <v>46198</v>
      </c>
    </row>
    <row r="6113" spans="1:6" x14ac:dyDescent="0.3">
      <c r="A6113" s="15" t="s">
        <v>42571</v>
      </c>
      <c r="B6113" s="15" t="s">
        <v>11140</v>
      </c>
      <c r="C6113" s="15" t="s">
        <v>11141</v>
      </c>
      <c r="D6113" s="15" t="s">
        <v>11142</v>
      </c>
      <c r="E6113" s="15">
        <v>16.495000000000001</v>
      </c>
      <c r="F6113" s="42">
        <v>46198</v>
      </c>
    </row>
    <row r="6114" spans="1:6" x14ac:dyDescent="0.3">
      <c r="A6114" s="15" t="s">
        <v>42570</v>
      </c>
      <c r="B6114" s="15" t="s">
        <v>11143</v>
      </c>
      <c r="C6114" s="15" t="s">
        <v>11144</v>
      </c>
      <c r="D6114" s="15" t="s">
        <v>11145</v>
      </c>
      <c r="E6114" s="15">
        <v>15.225</v>
      </c>
      <c r="F6114" s="42">
        <v>46198</v>
      </c>
    </row>
    <row r="6115" spans="1:6" x14ac:dyDescent="0.3">
      <c r="A6115" s="15" t="s">
        <v>33499</v>
      </c>
      <c r="B6115" s="15" t="s">
        <v>795</v>
      </c>
      <c r="C6115" s="15" t="s">
        <v>795</v>
      </c>
      <c r="D6115" s="15" t="s">
        <v>795</v>
      </c>
      <c r="F6115" s="42"/>
    </row>
    <row r="6116" spans="1:6" x14ac:dyDescent="0.3">
      <c r="A6116" s="15" t="s">
        <v>37447</v>
      </c>
      <c r="B6116" s="15" t="s">
        <v>795</v>
      </c>
      <c r="C6116" s="15" t="s">
        <v>795</v>
      </c>
      <c r="D6116" s="15" t="s">
        <v>795</v>
      </c>
      <c r="F6116" s="42"/>
    </row>
    <row r="6117" spans="1:6" x14ac:dyDescent="0.3">
      <c r="A6117" s="15" t="s">
        <v>33499</v>
      </c>
      <c r="B6117" s="15" t="s">
        <v>795</v>
      </c>
      <c r="C6117" s="15" t="s">
        <v>795</v>
      </c>
      <c r="D6117" s="15" t="s">
        <v>795</v>
      </c>
      <c r="F6117" s="42"/>
    </row>
    <row r="6118" spans="1:6" x14ac:dyDescent="0.3">
      <c r="A6118" s="15" t="s">
        <v>42569</v>
      </c>
      <c r="B6118" s="15" t="s">
        <v>11146</v>
      </c>
      <c r="C6118" s="15" t="s">
        <v>800</v>
      </c>
      <c r="D6118" s="15" t="s">
        <v>11147</v>
      </c>
      <c r="E6118" s="15">
        <v>20.23</v>
      </c>
      <c r="F6118" s="42">
        <v>46198</v>
      </c>
    </row>
    <row r="6119" spans="1:6" x14ac:dyDescent="0.3">
      <c r="A6119" s="15" t="s">
        <v>42568</v>
      </c>
      <c r="B6119" s="15" t="s">
        <v>11148</v>
      </c>
      <c r="C6119" s="15" t="s">
        <v>11149</v>
      </c>
      <c r="D6119" s="15" t="s">
        <v>11150</v>
      </c>
      <c r="E6119" s="15">
        <v>20.2</v>
      </c>
      <c r="F6119" s="42">
        <v>46198</v>
      </c>
    </row>
    <row r="6120" spans="1:6" x14ac:dyDescent="0.3">
      <c r="A6120" s="15" t="s">
        <v>42567</v>
      </c>
      <c r="B6120" s="15" t="s">
        <v>11151</v>
      </c>
      <c r="C6120" s="15" t="s">
        <v>800</v>
      </c>
      <c r="D6120" s="15" t="s">
        <v>11152</v>
      </c>
      <c r="E6120" s="15">
        <v>19.48</v>
      </c>
      <c r="F6120" s="42">
        <v>46198</v>
      </c>
    </row>
    <row r="6121" spans="1:6" x14ac:dyDescent="0.3">
      <c r="A6121" s="15" t="s">
        <v>42566</v>
      </c>
      <c r="B6121" s="15" t="s">
        <v>11153</v>
      </c>
      <c r="C6121" s="15" t="s">
        <v>11154</v>
      </c>
      <c r="D6121" s="15" t="s">
        <v>11155</v>
      </c>
      <c r="E6121" s="15">
        <v>19.48</v>
      </c>
      <c r="F6121" s="42">
        <v>46198</v>
      </c>
    </row>
    <row r="6122" spans="1:6" x14ac:dyDescent="0.3">
      <c r="A6122" s="15" t="s">
        <v>33499</v>
      </c>
      <c r="B6122" s="15" t="s">
        <v>795</v>
      </c>
      <c r="C6122" s="15" t="s">
        <v>795</v>
      </c>
      <c r="D6122" s="15" t="s">
        <v>795</v>
      </c>
      <c r="F6122" s="42"/>
    </row>
    <row r="6123" spans="1:6" x14ac:dyDescent="0.3">
      <c r="A6123" s="15" t="s">
        <v>37566</v>
      </c>
      <c r="B6123" s="15" t="s">
        <v>795</v>
      </c>
      <c r="C6123" s="15" t="s">
        <v>795</v>
      </c>
      <c r="D6123" s="15" t="s">
        <v>795</v>
      </c>
      <c r="F6123" s="42"/>
    </row>
    <row r="6124" spans="1:6" x14ac:dyDescent="0.3">
      <c r="A6124" s="15" t="s">
        <v>33499</v>
      </c>
      <c r="B6124" s="15" t="s">
        <v>795</v>
      </c>
      <c r="C6124" s="15" t="s">
        <v>795</v>
      </c>
      <c r="D6124" s="15" t="s">
        <v>795</v>
      </c>
      <c r="F6124" s="42"/>
    </row>
    <row r="6125" spans="1:6" x14ac:dyDescent="0.3">
      <c r="A6125" s="15" t="s">
        <v>42565</v>
      </c>
      <c r="B6125" s="15" t="s">
        <v>11156</v>
      </c>
      <c r="C6125" s="15" t="s">
        <v>800</v>
      </c>
      <c r="D6125" s="15" t="s">
        <v>11157</v>
      </c>
      <c r="E6125" s="15">
        <v>328.3218</v>
      </c>
      <c r="F6125" s="42">
        <v>46198</v>
      </c>
    </row>
    <row r="6126" spans="1:6" x14ac:dyDescent="0.3">
      <c r="A6126" s="15" t="s">
        <v>42564</v>
      </c>
      <c r="B6126" s="15" t="s">
        <v>11158</v>
      </c>
      <c r="C6126" s="15" t="s">
        <v>800</v>
      </c>
      <c r="D6126" s="15" t="s">
        <v>11159</v>
      </c>
      <c r="E6126" s="15">
        <v>55.087000000000003</v>
      </c>
      <c r="F6126" s="42">
        <v>46198</v>
      </c>
    </row>
    <row r="6127" spans="1:6" x14ac:dyDescent="0.3">
      <c r="A6127" s="15" t="s">
        <v>42563</v>
      </c>
      <c r="B6127" s="15" t="s">
        <v>11160</v>
      </c>
      <c r="C6127" s="15" t="s">
        <v>800</v>
      </c>
      <c r="D6127" s="15" t="s">
        <v>11161</v>
      </c>
      <c r="E6127" s="15">
        <v>289.6558</v>
      </c>
      <c r="F6127" s="42">
        <v>46198</v>
      </c>
    </row>
    <row r="6128" spans="1:6" x14ac:dyDescent="0.3">
      <c r="A6128" s="15" t="s">
        <v>42562</v>
      </c>
      <c r="B6128" s="15" t="s">
        <v>11162</v>
      </c>
      <c r="C6128" s="15" t="s">
        <v>11163</v>
      </c>
      <c r="D6128" s="15" t="s">
        <v>11164</v>
      </c>
      <c r="E6128" s="15">
        <v>51.3523</v>
      </c>
      <c r="F6128" s="42">
        <v>46198</v>
      </c>
    </row>
    <row r="6129" spans="1:6" x14ac:dyDescent="0.3">
      <c r="A6129" s="15" t="s">
        <v>33499</v>
      </c>
      <c r="B6129" s="15" t="s">
        <v>795</v>
      </c>
      <c r="C6129" s="15" t="s">
        <v>795</v>
      </c>
      <c r="D6129" s="15" t="s">
        <v>795</v>
      </c>
      <c r="F6129" s="42"/>
    </row>
    <row r="6130" spans="1:6" x14ac:dyDescent="0.3">
      <c r="A6130" s="15" t="s">
        <v>40284</v>
      </c>
      <c r="B6130" s="15" t="s">
        <v>795</v>
      </c>
      <c r="C6130" s="15" t="s">
        <v>795</v>
      </c>
      <c r="D6130" s="15" t="s">
        <v>795</v>
      </c>
      <c r="F6130" s="42"/>
    </row>
    <row r="6131" spans="1:6" x14ac:dyDescent="0.3">
      <c r="A6131" s="15" t="s">
        <v>33499</v>
      </c>
      <c r="B6131" s="15" t="s">
        <v>795</v>
      </c>
      <c r="C6131" s="15" t="s">
        <v>795</v>
      </c>
      <c r="D6131" s="15" t="s">
        <v>795</v>
      </c>
      <c r="F6131" s="42"/>
    </row>
    <row r="6132" spans="1:6" x14ac:dyDescent="0.3">
      <c r="A6132" s="15" t="s">
        <v>42561</v>
      </c>
      <c r="B6132" s="15" t="s">
        <v>11165</v>
      </c>
      <c r="C6132" s="15" t="s">
        <v>800</v>
      </c>
      <c r="D6132" s="15" t="s">
        <v>11166</v>
      </c>
      <c r="E6132" s="15">
        <v>15.23</v>
      </c>
      <c r="F6132" s="42">
        <v>46198</v>
      </c>
    </row>
    <row r="6133" spans="1:6" x14ac:dyDescent="0.3">
      <c r="A6133" s="15" t="s">
        <v>42560</v>
      </c>
      <c r="B6133" s="15" t="s">
        <v>11167</v>
      </c>
      <c r="C6133" s="15" t="s">
        <v>11168</v>
      </c>
      <c r="D6133" s="15" t="s">
        <v>11169</v>
      </c>
      <c r="E6133" s="15">
        <v>14.32</v>
      </c>
      <c r="F6133" s="42">
        <v>46198</v>
      </c>
    </row>
    <row r="6134" spans="1:6" x14ac:dyDescent="0.3">
      <c r="A6134" s="15" t="s">
        <v>42559</v>
      </c>
      <c r="B6134" s="15" t="s">
        <v>11170</v>
      </c>
      <c r="C6134" s="15" t="s">
        <v>800</v>
      </c>
      <c r="D6134" s="15" t="s">
        <v>11171</v>
      </c>
      <c r="E6134" s="15">
        <v>14.6</v>
      </c>
      <c r="F6134" s="42">
        <v>46198</v>
      </c>
    </row>
    <row r="6135" spans="1:6" x14ac:dyDescent="0.3">
      <c r="A6135" s="15" t="s">
        <v>42558</v>
      </c>
      <c r="B6135" s="15" t="s">
        <v>11172</v>
      </c>
      <c r="C6135" s="15" t="s">
        <v>11173</v>
      </c>
      <c r="D6135" s="15" t="s">
        <v>11174</v>
      </c>
      <c r="E6135" s="15">
        <v>13.73</v>
      </c>
      <c r="F6135" s="42">
        <v>46198</v>
      </c>
    </row>
    <row r="6136" spans="1:6" x14ac:dyDescent="0.3">
      <c r="A6136" s="15" t="s">
        <v>33499</v>
      </c>
      <c r="B6136" s="15" t="s">
        <v>795</v>
      </c>
      <c r="C6136" s="15" t="s">
        <v>795</v>
      </c>
      <c r="D6136" s="15" t="s">
        <v>795</v>
      </c>
      <c r="F6136" s="42"/>
    </row>
    <row r="6137" spans="1:6" x14ac:dyDescent="0.3">
      <c r="A6137" s="15" t="s">
        <v>37061</v>
      </c>
      <c r="B6137" s="15" t="s">
        <v>795</v>
      </c>
      <c r="C6137" s="15" t="s">
        <v>795</v>
      </c>
      <c r="D6137" s="15" t="s">
        <v>795</v>
      </c>
      <c r="F6137" s="42"/>
    </row>
    <row r="6138" spans="1:6" x14ac:dyDescent="0.3">
      <c r="A6138" s="15" t="s">
        <v>33499</v>
      </c>
      <c r="B6138" s="15" t="s">
        <v>795</v>
      </c>
      <c r="C6138" s="15" t="s">
        <v>795</v>
      </c>
      <c r="D6138" s="15" t="s">
        <v>795</v>
      </c>
      <c r="F6138" s="42"/>
    </row>
    <row r="6139" spans="1:6" x14ac:dyDescent="0.3">
      <c r="A6139" s="15" t="s">
        <v>42557</v>
      </c>
      <c r="B6139" s="15" t="s">
        <v>11175</v>
      </c>
      <c r="C6139" s="15" t="s">
        <v>800</v>
      </c>
      <c r="D6139" s="15" t="s">
        <v>11176</v>
      </c>
      <c r="E6139" s="15">
        <v>12.608000000000001</v>
      </c>
      <c r="F6139" s="42">
        <v>46198</v>
      </c>
    </row>
    <row r="6140" spans="1:6" x14ac:dyDescent="0.3">
      <c r="A6140" s="15" t="s">
        <v>42556</v>
      </c>
      <c r="B6140" s="15" t="s">
        <v>11177</v>
      </c>
      <c r="C6140" s="15" t="s">
        <v>11178</v>
      </c>
      <c r="D6140" s="15" t="s">
        <v>11179</v>
      </c>
      <c r="E6140" s="15">
        <v>11.561999999999999</v>
      </c>
      <c r="F6140" s="42">
        <v>46198</v>
      </c>
    </row>
    <row r="6141" spans="1:6" x14ac:dyDescent="0.3">
      <c r="A6141" s="15" t="s">
        <v>42555</v>
      </c>
      <c r="B6141" s="15" t="s">
        <v>11180</v>
      </c>
      <c r="C6141" s="15" t="s">
        <v>800</v>
      </c>
      <c r="D6141" s="15" t="s">
        <v>11181</v>
      </c>
      <c r="E6141" s="15">
        <v>12.167999999999999</v>
      </c>
      <c r="F6141" s="42">
        <v>46198</v>
      </c>
    </row>
    <row r="6142" spans="1:6" x14ac:dyDescent="0.3">
      <c r="A6142" s="15" t="s">
        <v>42554</v>
      </c>
      <c r="B6142" s="15" t="s">
        <v>11182</v>
      </c>
      <c r="C6142" s="15" t="s">
        <v>11183</v>
      </c>
      <c r="D6142" s="15" t="s">
        <v>11184</v>
      </c>
      <c r="E6142" s="15">
        <v>11.228999999999999</v>
      </c>
      <c r="F6142" s="42">
        <v>46198</v>
      </c>
    </row>
    <row r="6143" spans="1:6" x14ac:dyDescent="0.3">
      <c r="A6143" s="15" t="s">
        <v>33499</v>
      </c>
      <c r="B6143" s="15" t="s">
        <v>795</v>
      </c>
      <c r="C6143" s="15" t="s">
        <v>795</v>
      </c>
      <c r="D6143" s="15" t="s">
        <v>795</v>
      </c>
      <c r="F6143" s="42"/>
    </row>
    <row r="6144" spans="1:6" x14ac:dyDescent="0.3">
      <c r="A6144" s="15" t="s">
        <v>37895</v>
      </c>
      <c r="B6144" s="15" t="s">
        <v>795</v>
      </c>
      <c r="C6144" s="15" t="s">
        <v>795</v>
      </c>
      <c r="D6144" s="15" t="s">
        <v>795</v>
      </c>
      <c r="F6144" s="42"/>
    </row>
    <row r="6145" spans="1:6" x14ac:dyDescent="0.3">
      <c r="A6145" s="15" t="s">
        <v>33499</v>
      </c>
      <c r="B6145" s="15" t="s">
        <v>795</v>
      </c>
      <c r="C6145" s="15" t="s">
        <v>795</v>
      </c>
      <c r="D6145" s="15" t="s">
        <v>795</v>
      </c>
      <c r="F6145" s="42"/>
    </row>
    <row r="6146" spans="1:6" x14ac:dyDescent="0.3">
      <c r="A6146" s="15" t="s">
        <v>42553</v>
      </c>
      <c r="B6146" s="15" t="s">
        <v>11185</v>
      </c>
      <c r="C6146" s="15" t="s">
        <v>800</v>
      </c>
      <c r="D6146" s="15" t="s">
        <v>11186</v>
      </c>
      <c r="E6146" s="15">
        <v>16.120799999999999</v>
      </c>
      <c r="F6146" s="42">
        <v>46198</v>
      </c>
    </row>
    <row r="6147" spans="1:6" x14ac:dyDescent="0.3">
      <c r="A6147" s="15" t="s">
        <v>42552</v>
      </c>
      <c r="B6147" s="15" t="s">
        <v>11187</v>
      </c>
      <c r="C6147" s="15" t="s">
        <v>11188</v>
      </c>
      <c r="D6147" s="15" t="s">
        <v>11189</v>
      </c>
      <c r="E6147" s="15">
        <v>15.622199999999999</v>
      </c>
      <c r="F6147" s="42">
        <v>46198</v>
      </c>
    </row>
    <row r="6148" spans="1:6" x14ac:dyDescent="0.3">
      <c r="A6148" s="15" t="s">
        <v>42551</v>
      </c>
      <c r="B6148" s="15" t="s">
        <v>11190</v>
      </c>
      <c r="C6148" s="15" t="s">
        <v>800</v>
      </c>
      <c r="D6148" s="15" t="s">
        <v>11191</v>
      </c>
      <c r="E6148" s="15">
        <v>15.465999999999999</v>
      </c>
      <c r="F6148" s="42">
        <v>46198</v>
      </c>
    </row>
    <row r="6149" spans="1:6" x14ac:dyDescent="0.3">
      <c r="A6149" s="15" t="s">
        <v>42550</v>
      </c>
      <c r="B6149" s="15" t="s">
        <v>11192</v>
      </c>
      <c r="C6149" s="15" t="s">
        <v>11193</v>
      </c>
      <c r="D6149" s="15" t="s">
        <v>11194</v>
      </c>
      <c r="E6149" s="15">
        <v>14.967499999999999</v>
      </c>
      <c r="F6149" s="42">
        <v>46198</v>
      </c>
    </row>
    <row r="6150" spans="1:6" x14ac:dyDescent="0.3">
      <c r="A6150" s="15" t="s">
        <v>33499</v>
      </c>
      <c r="B6150" s="15" t="s">
        <v>795</v>
      </c>
      <c r="C6150" s="15" t="s">
        <v>795</v>
      </c>
      <c r="D6150" s="15" t="s">
        <v>795</v>
      </c>
      <c r="F6150" s="42"/>
    </row>
    <row r="6151" spans="1:6" x14ac:dyDescent="0.3">
      <c r="A6151" s="15" t="s">
        <v>37044</v>
      </c>
      <c r="B6151" s="15" t="s">
        <v>795</v>
      </c>
      <c r="C6151" s="15" t="s">
        <v>795</v>
      </c>
      <c r="D6151" s="15" t="s">
        <v>795</v>
      </c>
      <c r="F6151" s="42"/>
    </row>
    <row r="6152" spans="1:6" x14ac:dyDescent="0.3">
      <c r="A6152" s="15" t="s">
        <v>33499</v>
      </c>
      <c r="B6152" s="15" t="s">
        <v>795</v>
      </c>
      <c r="C6152" s="15" t="s">
        <v>795</v>
      </c>
      <c r="D6152" s="15" t="s">
        <v>795</v>
      </c>
      <c r="F6152" s="42"/>
    </row>
    <row r="6153" spans="1:6" x14ac:dyDescent="0.3">
      <c r="A6153" s="15" t="s">
        <v>42549</v>
      </c>
      <c r="B6153" s="15" t="s">
        <v>11195</v>
      </c>
      <c r="C6153" s="15" t="s">
        <v>800</v>
      </c>
      <c r="D6153" s="15" t="s">
        <v>11196</v>
      </c>
      <c r="E6153" s="15">
        <v>10.954800000000001</v>
      </c>
      <c r="F6153" s="42">
        <v>46198</v>
      </c>
    </row>
    <row r="6154" spans="1:6" x14ac:dyDescent="0.3">
      <c r="A6154" s="15" t="s">
        <v>42548</v>
      </c>
      <c r="B6154" s="15" t="s">
        <v>11197</v>
      </c>
      <c r="C6154" s="15" t="s">
        <v>11198</v>
      </c>
      <c r="D6154" s="15" t="s">
        <v>11199</v>
      </c>
      <c r="E6154" s="15">
        <v>10.954800000000001</v>
      </c>
      <c r="F6154" s="42">
        <v>46198</v>
      </c>
    </row>
    <row r="6155" spans="1:6" x14ac:dyDescent="0.3">
      <c r="A6155" s="15" t="s">
        <v>42547</v>
      </c>
      <c r="B6155" s="15" t="s">
        <v>11200</v>
      </c>
      <c r="C6155" s="15" t="s">
        <v>800</v>
      </c>
      <c r="D6155" s="15" t="s">
        <v>11201</v>
      </c>
      <c r="E6155" s="15">
        <v>10.6568</v>
      </c>
      <c r="F6155" s="42">
        <v>46198</v>
      </c>
    </row>
    <row r="6156" spans="1:6" x14ac:dyDescent="0.3">
      <c r="A6156" s="15" t="s">
        <v>42546</v>
      </c>
      <c r="B6156" s="15" t="s">
        <v>11202</v>
      </c>
      <c r="C6156" s="15" t="s">
        <v>11203</v>
      </c>
      <c r="D6156" s="15" t="s">
        <v>11204</v>
      </c>
      <c r="E6156" s="15">
        <v>10.6568</v>
      </c>
      <c r="F6156" s="42">
        <v>46198</v>
      </c>
    </row>
    <row r="6157" spans="1:6" x14ac:dyDescent="0.3">
      <c r="A6157" s="15" t="s">
        <v>33499</v>
      </c>
      <c r="B6157" s="15" t="s">
        <v>795</v>
      </c>
      <c r="C6157" s="15" t="s">
        <v>795</v>
      </c>
      <c r="D6157" s="15" t="s">
        <v>795</v>
      </c>
      <c r="F6157" s="42"/>
    </row>
    <row r="6158" spans="1:6" x14ac:dyDescent="0.3">
      <c r="A6158" s="15" t="s">
        <v>37881</v>
      </c>
      <c r="B6158" s="15" t="s">
        <v>795</v>
      </c>
      <c r="C6158" s="15" t="s">
        <v>795</v>
      </c>
      <c r="D6158" s="15" t="s">
        <v>795</v>
      </c>
      <c r="F6158" s="42"/>
    </row>
    <row r="6159" spans="1:6" x14ac:dyDescent="0.3">
      <c r="A6159" s="15" t="s">
        <v>33499</v>
      </c>
      <c r="B6159" s="15" t="s">
        <v>795</v>
      </c>
      <c r="C6159" s="15" t="s">
        <v>795</v>
      </c>
      <c r="D6159" s="15" t="s">
        <v>795</v>
      </c>
      <c r="F6159" s="42"/>
    </row>
    <row r="6160" spans="1:6" x14ac:dyDescent="0.3">
      <c r="A6160" s="15" t="s">
        <v>42545</v>
      </c>
      <c r="B6160" s="15" t="s">
        <v>11205</v>
      </c>
      <c r="C6160" s="15" t="s">
        <v>800</v>
      </c>
      <c r="D6160" s="15" t="s">
        <v>11206</v>
      </c>
      <c r="E6160" s="15">
        <v>11.805899999999999</v>
      </c>
      <c r="F6160" s="42">
        <v>46198</v>
      </c>
    </row>
    <row r="6161" spans="1:6" x14ac:dyDescent="0.3">
      <c r="A6161" s="15" t="s">
        <v>42544</v>
      </c>
      <c r="B6161" s="15" t="s">
        <v>11207</v>
      </c>
      <c r="C6161" s="15" t="s">
        <v>11208</v>
      </c>
      <c r="D6161" s="15" t="s">
        <v>11209</v>
      </c>
      <c r="E6161" s="15">
        <v>11.8058</v>
      </c>
      <c r="F6161" s="42">
        <v>46198</v>
      </c>
    </row>
    <row r="6162" spans="1:6" x14ac:dyDescent="0.3">
      <c r="A6162" s="15" t="s">
        <v>42543</v>
      </c>
      <c r="B6162" s="15" t="s">
        <v>11210</v>
      </c>
      <c r="C6162" s="15" t="s">
        <v>800</v>
      </c>
      <c r="D6162" s="15" t="s">
        <v>11211</v>
      </c>
      <c r="E6162" s="15">
        <v>11.478899999999999</v>
      </c>
      <c r="F6162" s="42">
        <v>46198</v>
      </c>
    </row>
    <row r="6163" spans="1:6" x14ac:dyDescent="0.3">
      <c r="A6163" s="15" t="s">
        <v>42542</v>
      </c>
      <c r="B6163" s="15" t="s">
        <v>11212</v>
      </c>
      <c r="C6163" s="15" t="s">
        <v>11213</v>
      </c>
      <c r="D6163" s="15" t="s">
        <v>11214</v>
      </c>
      <c r="E6163" s="15">
        <v>11.486700000000001</v>
      </c>
      <c r="F6163" s="42">
        <v>46198</v>
      </c>
    </row>
    <row r="6164" spans="1:6" x14ac:dyDescent="0.3">
      <c r="A6164" s="15" t="s">
        <v>33499</v>
      </c>
      <c r="B6164" s="15" t="s">
        <v>795</v>
      </c>
      <c r="C6164" s="15" t="s">
        <v>795</v>
      </c>
      <c r="D6164" s="15" t="s">
        <v>795</v>
      </c>
      <c r="F6164" s="42"/>
    </row>
    <row r="6165" spans="1:6" x14ac:dyDescent="0.3">
      <c r="A6165" s="15" t="s">
        <v>37043</v>
      </c>
      <c r="B6165" s="15" t="s">
        <v>795</v>
      </c>
      <c r="C6165" s="15" t="s">
        <v>795</v>
      </c>
      <c r="D6165" s="15" t="s">
        <v>795</v>
      </c>
      <c r="F6165" s="42"/>
    </row>
    <row r="6166" spans="1:6" x14ac:dyDescent="0.3">
      <c r="A6166" s="15" t="s">
        <v>33499</v>
      </c>
      <c r="B6166" s="15" t="s">
        <v>795</v>
      </c>
      <c r="C6166" s="15" t="s">
        <v>795</v>
      </c>
      <c r="D6166" s="15" t="s">
        <v>795</v>
      </c>
      <c r="F6166" s="42"/>
    </row>
    <row r="6167" spans="1:6" x14ac:dyDescent="0.3">
      <c r="A6167" s="15" t="s">
        <v>42541</v>
      </c>
      <c r="B6167" s="15" t="s">
        <v>11215</v>
      </c>
      <c r="C6167" s="15" t="s">
        <v>800</v>
      </c>
      <c r="D6167" s="15" t="s">
        <v>11216</v>
      </c>
      <c r="E6167" s="15">
        <v>18.678999999999998</v>
      </c>
      <c r="F6167" s="42">
        <v>46198</v>
      </c>
    </row>
    <row r="6168" spans="1:6" x14ac:dyDescent="0.3">
      <c r="A6168" s="15" t="s">
        <v>42540</v>
      </c>
      <c r="B6168" s="15" t="s">
        <v>11217</v>
      </c>
      <c r="C6168" s="15" t="s">
        <v>800</v>
      </c>
      <c r="D6168" s="15" t="s">
        <v>11218</v>
      </c>
      <c r="E6168" s="15">
        <v>19.692</v>
      </c>
      <c r="F6168" s="42">
        <v>46198</v>
      </c>
    </row>
    <row r="6169" spans="1:6" x14ac:dyDescent="0.3">
      <c r="A6169" s="15" t="s">
        <v>42539</v>
      </c>
      <c r="B6169" s="15" t="s">
        <v>11219</v>
      </c>
      <c r="C6169" s="15" t="s">
        <v>11220</v>
      </c>
      <c r="D6169" s="15" t="s">
        <v>11221</v>
      </c>
      <c r="E6169" s="15">
        <v>16.920999999999999</v>
      </c>
      <c r="F6169" s="42">
        <v>46198</v>
      </c>
    </row>
    <row r="6170" spans="1:6" x14ac:dyDescent="0.3">
      <c r="A6170" s="15" t="s">
        <v>42538</v>
      </c>
      <c r="B6170" s="15" t="s">
        <v>11222</v>
      </c>
      <c r="C6170" s="15" t="s">
        <v>11223</v>
      </c>
      <c r="D6170" s="15" t="s">
        <v>11224</v>
      </c>
      <c r="E6170" s="15">
        <v>17.995999999999999</v>
      </c>
      <c r="F6170" s="42">
        <v>46198</v>
      </c>
    </row>
    <row r="6171" spans="1:6" x14ac:dyDescent="0.3">
      <c r="A6171" s="15" t="s">
        <v>33499</v>
      </c>
      <c r="B6171" s="15" t="s">
        <v>795</v>
      </c>
      <c r="C6171" s="15" t="s">
        <v>795</v>
      </c>
      <c r="D6171" s="15" t="s">
        <v>795</v>
      </c>
      <c r="F6171" s="42"/>
    </row>
    <row r="6172" spans="1:6" x14ac:dyDescent="0.3">
      <c r="A6172" s="15" t="s">
        <v>36815</v>
      </c>
      <c r="B6172" s="15" t="s">
        <v>795</v>
      </c>
      <c r="C6172" s="15" t="s">
        <v>795</v>
      </c>
      <c r="D6172" s="15" t="s">
        <v>795</v>
      </c>
      <c r="F6172" s="42"/>
    </row>
    <row r="6173" spans="1:6" x14ac:dyDescent="0.3">
      <c r="A6173" s="15" t="s">
        <v>33499</v>
      </c>
      <c r="B6173" s="15" t="s">
        <v>795</v>
      </c>
      <c r="C6173" s="15" t="s">
        <v>795</v>
      </c>
      <c r="D6173" s="15" t="s">
        <v>795</v>
      </c>
      <c r="F6173" s="42"/>
    </row>
    <row r="6174" spans="1:6" x14ac:dyDescent="0.3">
      <c r="A6174" s="15" t="s">
        <v>42537</v>
      </c>
      <c r="B6174" s="15" t="s">
        <v>11225</v>
      </c>
      <c r="C6174" s="15" t="s">
        <v>800</v>
      </c>
      <c r="D6174" s="15" t="s">
        <v>11226</v>
      </c>
      <c r="E6174" s="15">
        <v>20.564399999999999</v>
      </c>
      <c r="F6174" s="42">
        <v>46198</v>
      </c>
    </row>
    <row r="6175" spans="1:6" x14ac:dyDescent="0.3">
      <c r="A6175" s="15" t="s">
        <v>42536</v>
      </c>
      <c r="B6175" s="15" t="s">
        <v>11227</v>
      </c>
      <c r="C6175" s="15" t="s">
        <v>11228</v>
      </c>
      <c r="D6175" s="15" t="s">
        <v>11229</v>
      </c>
      <c r="E6175" s="15">
        <v>19.863299999999999</v>
      </c>
      <c r="F6175" s="42">
        <v>46198</v>
      </c>
    </row>
    <row r="6176" spans="1:6" x14ac:dyDescent="0.3">
      <c r="A6176" s="15" t="s">
        <v>42535</v>
      </c>
      <c r="B6176" s="15" t="s">
        <v>11230</v>
      </c>
      <c r="C6176" s="15" t="s">
        <v>800</v>
      </c>
      <c r="D6176" s="15" t="s">
        <v>11231</v>
      </c>
      <c r="E6176" s="15">
        <v>19.6724</v>
      </c>
      <c r="F6176" s="42">
        <v>46198</v>
      </c>
    </row>
    <row r="6177" spans="1:6" x14ac:dyDescent="0.3">
      <c r="A6177" s="15" t="s">
        <v>42534</v>
      </c>
      <c r="B6177" s="15" t="s">
        <v>11232</v>
      </c>
      <c r="C6177" s="15" t="s">
        <v>11233</v>
      </c>
      <c r="D6177" s="15" t="s">
        <v>11234</v>
      </c>
      <c r="E6177" s="15">
        <v>16.171900000000001</v>
      </c>
      <c r="F6177" s="42">
        <v>46198</v>
      </c>
    </row>
    <row r="6178" spans="1:6" x14ac:dyDescent="0.3">
      <c r="A6178" s="15" t="s">
        <v>33499</v>
      </c>
      <c r="B6178" s="15" t="s">
        <v>795</v>
      </c>
      <c r="C6178" s="15" t="s">
        <v>795</v>
      </c>
      <c r="D6178" s="15" t="s">
        <v>795</v>
      </c>
      <c r="F6178" s="42"/>
    </row>
    <row r="6179" spans="1:6" x14ac:dyDescent="0.3">
      <c r="A6179" s="15" t="s">
        <v>36764</v>
      </c>
      <c r="B6179" s="15" t="s">
        <v>795</v>
      </c>
      <c r="C6179" s="15" t="s">
        <v>795</v>
      </c>
      <c r="D6179" s="15" t="s">
        <v>795</v>
      </c>
      <c r="F6179" s="42"/>
    </row>
    <row r="6180" spans="1:6" x14ac:dyDescent="0.3">
      <c r="A6180" s="15" t="s">
        <v>33499</v>
      </c>
      <c r="B6180" s="15" t="s">
        <v>795</v>
      </c>
      <c r="C6180" s="15" t="s">
        <v>795</v>
      </c>
      <c r="D6180" s="15" t="s">
        <v>795</v>
      </c>
      <c r="F6180" s="42"/>
    </row>
    <row r="6181" spans="1:6" x14ac:dyDescent="0.3">
      <c r="A6181" s="15" t="s">
        <v>42533</v>
      </c>
      <c r="B6181" s="15" t="s">
        <v>11235</v>
      </c>
      <c r="C6181" s="15" t="s">
        <v>800</v>
      </c>
      <c r="D6181" s="15" t="s">
        <v>11236</v>
      </c>
      <c r="E6181" s="15">
        <v>955.15</v>
      </c>
      <c r="F6181" s="42">
        <v>46198</v>
      </c>
    </row>
    <row r="6182" spans="1:6" x14ac:dyDescent="0.3">
      <c r="A6182" s="15" t="s">
        <v>42532</v>
      </c>
      <c r="B6182" s="15" t="s">
        <v>11237</v>
      </c>
      <c r="C6182" s="15" t="s">
        <v>11238</v>
      </c>
      <c r="D6182" s="15" t="s">
        <v>11239</v>
      </c>
      <c r="E6182" s="15">
        <v>63.85</v>
      </c>
      <c r="F6182" s="42">
        <v>46198</v>
      </c>
    </row>
    <row r="6183" spans="1:6" x14ac:dyDescent="0.3">
      <c r="A6183" s="15" t="s">
        <v>42531</v>
      </c>
      <c r="B6183" s="15" t="s">
        <v>11240</v>
      </c>
      <c r="C6183" s="15" t="s">
        <v>800</v>
      </c>
      <c r="D6183" s="15" t="s">
        <v>11241</v>
      </c>
      <c r="E6183" s="15">
        <v>849.68</v>
      </c>
      <c r="F6183" s="42">
        <v>46198</v>
      </c>
    </row>
    <row r="6184" spans="1:6" x14ac:dyDescent="0.3">
      <c r="A6184" s="15" t="s">
        <v>42530</v>
      </c>
      <c r="B6184" s="15" t="s">
        <v>11242</v>
      </c>
      <c r="C6184" s="15" t="s">
        <v>11243</v>
      </c>
      <c r="D6184" s="15" t="s">
        <v>11244</v>
      </c>
      <c r="E6184" s="15">
        <v>34.22</v>
      </c>
      <c r="F6184" s="42">
        <v>46198</v>
      </c>
    </row>
    <row r="6185" spans="1:6" x14ac:dyDescent="0.3">
      <c r="A6185" s="15" t="s">
        <v>33499</v>
      </c>
      <c r="B6185" s="15" t="s">
        <v>795</v>
      </c>
      <c r="C6185" s="15" t="s">
        <v>795</v>
      </c>
      <c r="D6185" s="15" t="s">
        <v>795</v>
      </c>
      <c r="F6185" s="42"/>
    </row>
    <row r="6186" spans="1:6" x14ac:dyDescent="0.3">
      <c r="A6186" s="15" t="s">
        <v>37807</v>
      </c>
      <c r="B6186" s="15" t="s">
        <v>795</v>
      </c>
      <c r="C6186" s="15" t="s">
        <v>795</v>
      </c>
      <c r="D6186" s="15" t="s">
        <v>795</v>
      </c>
      <c r="F6186" s="42"/>
    </row>
    <row r="6187" spans="1:6" x14ac:dyDescent="0.3">
      <c r="A6187" s="15" t="s">
        <v>33499</v>
      </c>
      <c r="B6187" s="15" t="s">
        <v>795</v>
      </c>
      <c r="C6187" s="15" t="s">
        <v>795</v>
      </c>
      <c r="D6187" s="15" t="s">
        <v>795</v>
      </c>
      <c r="F6187" s="42"/>
    </row>
    <row r="6188" spans="1:6" x14ac:dyDescent="0.3">
      <c r="A6188" s="15" t="s">
        <v>46905</v>
      </c>
      <c r="B6188" s="15" t="s">
        <v>11245</v>
      </c>
      <c r="C6188" s="15" t="s">
        <v>800</v>
      </c>
      <c r="D6188" s="15" t="s">
        <v>11246</v>
      </c>
      <c r="E6188" s="15">
        <v>154.46</v>
      </c>
      <c r="F6188" s="42">
        <v>46198</v>
      </c>
    </row>
    <row r="6189" spans="1:6" x14ac:dyDescent="0.3">
      <c r="A6189" s="15" t="s">
        <v>42529</v>
      </c>
      <c r="B6189" s="15" t="s">
        <v>11247</v>
      </c>
      <c r="C6189" s="15" t="s">
        <v>11248</v>
      </c>
      <c r="D6189" s="15" t="s">
        <v>11249</v>
      </c>
      <c r="E6189" s="15">
        <v>139.77000000000001</v>
      </c>
      <c r="F6189" s="42">
        <v>46198</v>
      </c>
    </row>
    <row r="6190" spans="1:6" x14ac:dyDescent="0.3">
      <c r="A6190" s="15" t="s">
        <v>42528</v>
      </c>
      <c r="B6190" s="15" t="s">
        <v>11250</v>
      </c>
      <c r="C6190" s="15" t="s">
        <v>800</v>
      </c>
      <c r="D6190" s="15" t="s">
        <v>11251</v>
      </c>
      <c r="E6190" s="15">
        <v>128.38999999999999</v>
      </c>
      <c r="F6190" s="42">
        <v>46198</v>
      </c>
    </row>
    <row r="6191" spans="1:6" x14ac:dyDescent="0.3">
      <c r="A6191" s="15" t="s">
        <v>42527</v>
      </c>
      <c r="B6191" s="15" t="s">
        <v>11252</v>
      </c>
      <c r="C6191" s="15" t="s">
        <v>11253</v>
      </c>
      <c r="D6191" s="15" t="s">
        <v>11254</v>
      </c>
      <c r="E6191" s="15">
        <v>116.41</v>
      </c>
      <c r="F6191" s="42">
        <v>46198</v>
      </c>
    </row>
    <row r="6192" spans="1:6" x14ac:dyDescent="0.3">
      <c r="A6192" s="15" t="s">
        <v>33499</v>
      </c>
      <c r="B6192" s="15" t="s">
        <v>795</v>
      </c>
      <c r="C6192" s="15" t="s">
        <v>795</v>
      </c>
      <c r="D6192" s="15" t="s">
        <v>795</v>
      </c>
      <c r="F6192" s="42"/>
    </row>
    <row r="6193" spans="1:6" x14ac:dyDescent="0.3">
      <c r="A6193" s="15" t="s">
        <v>40577</v>
      </c>
      <c r="B6193" s="15" t="s">
        <v>795</v>
      </c>
      <c r="C6193" s="15" t="s">
        <v>795</v>
      </c>
      <c r="D6193" s="15" t="s">
        <v>795</v>
      </c>
      <c r="F6193" s="42"/>
    </row>
    <row r="6194" spans="1:6" x14ac:dyDescent="0.3">
      <c r="A6194" s="15" t="s">
        <v>33499</v>
      </c>
      <c r="B6194" s="15" t="s">
        <v>795</v>
      </c>
      <c r="C6194" s="15" t="s">
        <v>795</v>
      </c>
      <c r="D6194" s="15" t="s">
        <v>795</v>
      </c>
      <c r="F6194" s="42"/>
    </row>
    <row r="6195" spans="1:6" x14ac:dyDescent="0.3">
      <c r="A6195" s="15" t="s">
        <v>42526</v>
      </c>
      <c r="B6195" s="15" t="s">
        <v>11255</v>
      </c>
      <c r="C6195" s="15" t="s">
        <v>800</v>
      </c>
      <c r="D6195" s="15" t="s">
        <v>11256</v>
      </c>
      <c r="E6195" s="15">
        <v>29.188199999999998</v>
      </c>
      <c r="F6195" s="42">
        <v>46198</v>
      </c>
    </row>
    <row r="6196" spans="1:6" x14ac:dyDescent="0.3">
      <c r="A6196" s="15" t="s">
        <v>42525</v>
      </c>
      <c r="B6196" s="15" t="s">
        <v>11257</v>
      </c>
      <c r="C6196" s="15" t="s">
        <v>11258</v>
      </c>
      <c r="D6196" s="15" t="s">
        <v>11259</v>
      </c>
      <c r="E6196" s="15">
        <v>25.822199999999999</v>
      </c>
      <c r="F6196" s="42">
        <v>46198</v>
      </c>
    </row>
    <row r="6197" spans="1:6" x14ac:dyDescent="0.3">
      <c r="A6197" s="15" t="s">
        <v>42524</v>
      </c>
      <c r="B6197" s="15" t="s">
        <v>11260</v>
      </c>
      <c r="C6197" s="15" t="s">
        <v>800</v>
      </c>
      <c r="D6197" s="15" t="s">
        <v>11261</v>
      </c>
      <c r="E6197" s="15">
        <v>25.471399999999999</v>
      </c>
      <c r="F6197" s="42">
        <v>46198</v>
      </c>
    </row>
    <row r="6198" spans="1:6" x14ac:dyDescent="0.3">
      <c r="A6198" s="15" t="s">
        <v>42523</v>
      </c>
      <c r="B6198" s="15" t="s">
        <v>11262</v>
      </c>
      <c r="C6198" s="15" t="s">
        <v>11263</v>
      </c>
      <c r="D6198" s="15" t="s">
        <v>11264</v>
      </c>
      <c r="E6198" s="15">
        <v>22.2805</v>
      </c>
      <c r="F6198" s="42">
        <v>46198</v>
      </c>
    </row>
    <row r="6199" spans="1:6" x14ac:dyDescent="0.3">
      <c r="A6199" s="15" t="s">
        <v>33499</v>
      </c>
      <c r="B6199" s="15" t="s">
        <v>795</v>
      </c>
      <c r="C6199" s="15" t="s">
        <v>795</v>
      </c>
      <c r="D6199" s="15" t="s">
        <v>795</v>
      </c>
      <c r="F6199" s="42"/>
    </row>
    <row r="6200" spans="1:6" x14ac:dyDescent="0.3">
      <c r="A6200" s="15" t="s">
        <v>139</v>
      </c>
      <c r="B6200" s="15" t="s">
        <v>795</v>
      </c>
      <c r="C6200" s="15" t="s">
        <v>795</v>
      </c>
      <c r="D6200" s="15" t="s">
        <v>795</v>
      </c>
      <c r="F6200" s="42"/>
    </row>
    <row r="6201" spans="1:6" x14ac:dyDescent="0.3">
      <c r="A6201" s="15" t="s">
        <v>33499</v>
      </c>
      <c r="B6201" s="15" t="s">
        <v>795</v>
      </c>
      <c r="C6201" s="15" t="s">
        <v>795</v>
      </c>
      <c r="D6201" s="15" t="s">
        <v>795</v>
      </c>
      <c r="F6201" s="42"/>
    </row>
    <row r="6202" spans="1:6" x14ac:dyDescent="0.3">
      <c r="A6202" s="15" t="s">
        <v>42522</v>
      </c>
      <c r="B6202" s="15" t="s">
        <v>11265</v>
      </c>
      <c r="C6202" s="15" t="s">
        <v>11266</v>
      </c>
      <c r="D6202" s="15" t="s">
        <v>11267</v>
      </c>
      <c r="E6202" s="15">
        <v>18.373000000000001</v>
      </c>
      <c r="F6202" s="42">
        <v>46198</v>
      </c>
    </row>
    <row r="6203" spans="1:6" x14ac:dyDescent="0.3">
      <c r="A6203" s="15" t="s">
        <v>42521</v>
      </c>
      <c r="B6203" s="15" t="s">
        <v>11268</v>
      </c>
      <c r="C6203" s="15" t="s">
        <v>800</v>
      </c>
      <c r="D6203" s="15" t="s">
        <v>11269</v>
      </c>
      <c r="E6203" s="15">
        <v>21.38</v>
      </c>
      <c r="F6203" s="42">
        <v>46198</v>
      </c>
    </row>
    <row r="6204" spans="1:6" x14ac:dyDescent="0.3">
      <c r="A6204" s="15" t="s">
        <v>42520</v>
      </c>
      <c r="B6204" s="15" t="s">
        <v>11270</v>
      </c>
      <c r="C6204" s="15" t="s">
        <v>11271</v>
      </c>
      <c r="D6204" s="15" t="s">
        <v>11272</v>
      </c>
      <c r="E6204" s="15">
        <v>19.649000000000001</v>
      </c>
      <c r="F6204" s="42">
        <v>46198</v>
      </c>
    </row>
    <row r="6205" spans="1:6" x14ac:dyDescent="0.3">
      <c r="A6205" s="15" t="s">
        <v>42519</v>
      </c>
      <c r="B6205" s="15" t="s">
        <v>11273</v>
      </c>
      <c r="C6205" s="15" t="s">
        <v>800</v>
      </c>
      <c r="D6205" s="15" t="s">
        <v>11274</v>
      </c>
      <c r="E6205" s="15">
        <v>19.991</v>
      </c>
      <c r="F6205" s="42">
        <v>46198</v>
      </c>
    </row>
    <row r="6206" spans="1:6" x14ac:dyDescent="0.3">
      <c r="A6206" s="15" t="s">
        <v>33499</v>
      </c>
      <c r="B6206" s="15" t="s">
        <v>795</v>
      </c>
      <c r="C6206" s="15" t="s">
        <v>795</v>
      </c>
      <c r="D6206" s="15" t="s">
        <v>795</v>
      </c>
      <c r="F6206" s="42"/>
    </row>
    <row r="6207" spans="1:6" x14ac:dyDescent="0.3">
      <c r="A6207" s="15" t="s">
        <v>37618</v>
      </c>
      <c r="B6207" s="15" t="s">
        <v>795</v>
      </c>
      <c r="C6207" s="15" t="s">
        <v>795</v>
      </c>
      <c r="D6207" s="15" t="s">
        <v>795</v>
      </c>
      <c r="F6207" s="42"/>
    </row>
    <row r="6208" spans="1:6" x14ac:dyDescent="0.3">
      <c r="A6208" s="15" t="s">
        <v>33499</v>
      </c>
      <c r="B6208" s="15" t="s">
        <v>795</v>
      </c>
      <c r="C6208" s="15" t="s">
        <v>795</v>
      </c>
      <c r="D6208" s="15" t="s">
        <v>795</v>
      </c>
      <c r="F6208" s="42"/>
    </row>
    <row r="6209" spans="1:6" x14ac:dyDescent="0.3">
      <c r="A6209" s="15" t="s">
        <v>42518</v>
      </c>
      <c r="B6209" s="15" t="s">
        <v>11275</v>
      </c>
      <c r="C6209" s="15" t="s">
        <v>800</v>
      </c>
      <c r="D6209" s="15" t="s">
        <v>11276</v>
      </c>
      <c r="E6209" s="15">
        <v>19.150200000000002</v>
      </c>
      <c r="F6209" s="42">
        <v>46198</v>
      </c>
    </row>
    <row r="6210" spans="1:6" x14ac:dyDescent="0.3">
      <c r="A6210" s="15" t="s">
        <v>42517</v>
      </c>
      <c r="B6210" s="15" t="s">
        <v>11277</v>
      </c>
      <c r="C6210" s="15" t="s">
        <v>11278</v>
      </c>
      <c r="D6210" s="15" t="s">
        <v>11279</v>
      </c>
      <c r="E6210" s="15">
        <v>19.150200000000002</v>
      </c>
      <c r="F6210" s="42">
        <v>46198</v>
      </c>
    </row>
    <row r="6211" spans="1:6" x14ac:dyDescent="0.3">
      <c r="A6211" s="15" t="s">
        <v>42516</v>
      </c>
      <c r="B6211" s="15" t="s">
        <v>11280</v>
      </c>
      <c r="C6211" s="15" t="s">
        <v>800</v>
      </c>
      <c r="D6211" s="15" t="s">
        <v>11281</v>
      </c>
      <c r="E6211" s="15">
        <v>18.055700000000002</v>
      </c>
      <c r="F6211" s="42">
        <v>46198</v>
      </c>
    </row>
    <row r="6212" spans="1:6" x14ac:dyDescent="0.3">
      <c r="A6212" s="15" t="s">
        <v>42515</v>
      </c>
      <c r="B6212" s="15" t="s">
        <v>11282</v>
      </c>
      <c r="C6212" s="15" t="s">
        <v>11283</v>
      </c>
      <c r="D6212" s="15" t="s">
        <v>11284</v>
      </c>
      <c r="E6212" s="15">
        <v>18.055700000000002</v>
      </c>
      <c r="F6212" s="42">
        <v>46198</v>
      </c>
    </row>
    <row r="6213" spans="1:6" x14ac:dyDescent="0.3">
      <c r="A6213" s="15" t="s">
        <v>33499</v>
      </c>
      <c r="B6213" s="15" t="s">
        <v>795</v>
      </c>
      <c r="C6213" s="15" t="s">
        <v>795</v>
      </c>
      <c r="D6213" s="15" t="s">
        <v>795</v>
      </c>
      <c r="F6213" s="42"/>
    </row>
    <row r="6214" spans="1:6" x14ac:dyDescent="0.3">
      <c r="A6214" s="15" t="s">
        <v>39301</v>
      </c>
      <c r="B6214" s="15" t="s">
        <v>795</v>
      </c>
      <c r="C6214" s="15" t="s">
        <v>795</v>
      </c>
      <c r="D6214" s="15" t="s">
        <v>795</v>
      </c>
      <c r="F6214" s="42"/>
    </row>
    <row r="6215" spans="1:6" x14ac:dyDescent="0.3">
      <c r="A6215" s="15" t="s">
        <v>33499</v>
      </c>
      <c r="B6215" s="15" t="s">
        <v>795</v>
      </c>
      <c r="C6215" s="15" t="s">
        <v>795</v>
      </c>
      <c r="D6215" s="15" t="s">
        <v>795</v>
      </c>
      <c r="F6215" s="42"/>
    </row>
    <row r="6216" spans="1:6" x14ac:dyDescent="0.3">
      <c r="A6216" s="15" t="s">
        <v>42514</v>
      </c>
      <c r="B6216" s="15" t="s">
        <v>11285</v>
      </c>
      <c r="C6216" s="15" t="s">
        <v>11286</v>
      </c>
      <c r="D6216" s="15" t="s">
        <v>11287</v>
      </c>
      <c r="E6216" s="15">
        <v>31.719799999999999</v>
      </c>
      <c r="F6216" s="42">
        <v>46198</v>
      </c>
    </row>
    <row r="6217" spans="1:6" x14ac:dyDescent="0.3">
      <c r="A6217" s="15" t="s">
        <v>42513</v>
      </c>
      <c r="B6217" s="15" t="s">
        <v>11288</v>
      </c>
      <c r="C6217" s="15" t="s">
        <v>800</v>
      </c>
      <c r="D6217" s="15" t="s">
        <v>11289</v>
      </c>
      <c r="E6217" s="15">
        <v>44.321399999999997</v>
      </c>
      <c r="F6217" s="42">
        <v>46198</v>
      </c>
    </row>
    <row r="6218" spans="1:6" x14ac:dyDescent="0.3">
      <c r="A6218" s="15" t="s">
        <v>42512</v>
      </c>
      <c r="B6218" s="15" t="s">
        <v>11290</v>
      </c>
      <c r="C6218" s="15" t="s">
        <v>800</v>
      </c>
      <c r="D6218" s="15" t="s">
        <v>11291</v>
      </c>
      <c r="E6218" s="15">
        <v>37.7149</v>
      </c>
      <c r="F6218" s="42">
        <v>46198</v>
      </c>
    </row>
    <row r="6219" spans="1:6" x14ac:dyDescent="0.3">
      <c r="A6219" s="15" t="s">
        <v>42511</v>
      </c>
      <c r="B6219" s="15" t="s">
        <v>11292</v>
      </c>
      <c r="C6219" s="15" t="s">
        <v>11293</v>
      </c>
      <c r="D6219" s="15" t="s">
        <v>11294</v>
      </c>
      <c r="E6219" s="15">
        <v>25.7254</v>
      </c>
      <c r="F6219" s="42">
        <v>46198</v>
      </c>
    </row>
    <row r="6220" spans="1:6" x14ac:dyDescent="0.3">
      <c r="A6220" s="15" t="s">
        <v>33499</v>
      </c>
      <c r="B6220" s="15" t="s">
        <v>795</v>
      </c>
      <c r="C6220" s="15" t="s">
        <v>795</v>
      </c>
      <c r="D6220" s="15" t="s">
        <v>795</v>
      </c>
      <c r="F6220" s="42"/>
    </row>
    <row r="6221" spans="1:6" x14ac:dyDescent="0.3">
      <c r="A6221" s="15" t="s">
        <v>37780</v>
      </c>
      <c r="B6221" s="15" t="s">
        <v>795</v>
      </c>
      <c r="C6221" s="15" t="s">
        <v>795</v>
      </c>
      <c r="D6221" s="15" t="s">
        <v>795</v>
      </c>
      <c r="F6221" s="42"/>
    </row>
    <row r="6222" spans="1:6" x14ac:dyDescent="0.3">
      <c r="A6222" s="15" t="s">
        <v>33499</v>
      </c>
      <c r="B6222" s="15" t="s">
        <v>795</v>
      </c>
      <c r="C6222" s="15" t="s">
        <v>795</v>
      </c>
      <c r="D6222" s="15" t="s">
        <v>795</v>
      </c>
      <c r="F6222" s="42"/>
    </row>
    <row r="6223" spans="1:6" x14ac:dyDescent="0.3">
      <c r="A6223" s="15" t="s">
        <v>42510</v>
      </c>
      <c r="B6223" s="15" t="s">
        <v>11295</v>
      </c>
      <c r="C6223" s="15" t="s">
        <v>800</v>
      </c>
      <c r="D6223" s="15" t="s">
        <v>11296</v>
      </c>
      <c r="E6223" s="15">
        <v>15.079000000000001</v>
      </c>
      <c r="F6223" s="42">
        <v>46198</v>
      </c>
    </row>
    <row r="6224" spans="1:6" x14ac:dyDescent="0.3">
      <c r="A6224" s="15" t="s">
        <v>42509</v>
      </c>
      <c r="B6224" s="15" t="s">
        <v>11297</v>
      </c>
      <c r="C6224" s="15" t="s">
        <v>11298</v>
      </c>
      <c r="D6224" s="15" t="s">
        <v>11299</v>
      </c>
      <c r="E6224" s="15">
        <v>15.077</v>
      </c>
      <c r="F6224" s="42">
        <v>46198</v>
      </c>
    </row>
    <row r="6225" spans="1:6" x14ac:dyDescent="0.3">
      <c r="A6225" s="15" t="s">
        <v>42508</v>
      </c>
      <c r="B6225" s="15" t="s">
        <v>11300</v>
      </c>
      <c r="C6225" s="15" t="s">
        <v>800</v>
      </c>
      <c r="D6225" s="15" t="s">
        <v>11301</v>
      </c>
      <c r="E6225" s="15">
        <v>14.458</v>
      </c>
      <c r="F6225" s="42">
        <v>46198</v>
      </c>
    </row>
    <row r="6226" spans="1:6" x14ac:dyDescent="0.3">
      <c r="A6226" s="15" t="s">
        <v>42507</v>
      </c>
      <c r="B6226" s="15" t="s">
        <v>11302</v>
      </c>
      <c r="C6226" s="15" t="s">
        <v>11303</v>
      </c>
      <c r="D6226" s="15" t="s">
        <v>11304</v>
      </c>
      <c r="E6226" s="15">
        <v>14.446</v>
      </c>
      <c r="F6226" s="42">
        <v>46198</v>
      </c>
    </row>
    <row r="6227" spans="1:6" x14ac:dyDescent="0.3">
      <c r="A6227" s="15" t="s">
        <v>33499</v>
      </c>
      <c r="B6227" s="15" t="s">
        <v>795</v>
      </c>
      <c r="C6227" s="15" t="s">
        <v>795</v>
      </c>
      <c r="D6227" s="15" t="s">
        <v>795</v>
      </c>
      <c r="F6227" s="42"/>
    </row>
    <row r="6228" spans="1:6" x14ac:dyDescent="0.3">
      <c r="A6228" s="15" t="s">
        <v>37742</v>
      </c>
      <c r="B6228" s="15" t="s">
        <v>795</v>
      </c>
      <c r="C6228" s="15" t="s">
        <v>795</v>
      </c>
      <c r="D6228" s="15" t="s">
        <v>795</v>
      </c>
      <c r="F6228" s="42"/>
    </row>
    <row r="6229" spans="1:6" x14ac:dyDescent="0.3">
      <c r="A6229" s="15" t="s">
        <v>33499</v>
      </c>
      <c r="B6229" s="15" t="s">
        <v>795</v>
      </c>
      <c r="C6229" s="15" t="s">
        <v>795</v>
      </c>
      <c r="D6229" s="15" t="s">
        <v>795</v>
      </c>
      <c r="F6229" s="42"/>
    </row>
    <row r="6230" spans="1:6" x14ac:dyDescent="0.3">
      <c r="A6230" s="15" t="s">
        <v>42506</v>
      </c>
      <c r="B6230" s="15" t="s">
        <v>11305</v>
      </c>
      <c r="C6230" s="15" t="s">
        <v>800</v>
      </c>
      <c r="D6230" s="15" t="s">
        <v>11306</v>
      </c>
      <c r="E6230" s="15">
        <v>13.148300000000001</v>
      </c>
      <c r="F6230" s="42">
        <v>46198</v>
      </c>
    </row>
    <row r="6231" spans="1:6" x14ac:dyDescent="0.3">
      <c r="A6231" s="15" t="s">
        <v>42505</v>
      </c>
      <c r="B6231" s="15" t="s">
        <v>11307</v>
      </c>
      <c r="C6231" s="15" t="s">
        <v>11308</v>
      </c>
      <c r="D6231" s="15" t="s">
        <v>11309</v>
      </c>
      <c r="E6231" s="15">
        <v>12.950799999999999</v>
      </c>
      <c r="F6231" s="42">
        <v>46198</v>
      </c>
    </row>
    <row r="6232" spans="1:6" x14ac:dyDescent="0.3">
      <c r="A6232" s="15" t="s">
        <v>42504</v>
      </c>
      <c r="B6232" s="15" t="s">
        <v>11310</v>
      </c>
      <c r="C6232" s="15" t="s">
        <v>800</v>
      </c>
      <c r="D6232" s="15" t="s">
        <v>11311</v>
      </c>
      <c r="E6232" s="15">
        <v>13.497</v>
      </c>
      <c r="F6232" s="42">
        <v>46198</v>
      </c>
    </row>
    <row r="6233" spans="1:6" x14ac:dyDescent="0.3">
      <c r="A6233" s="15" t="s">
        <v>42503</v>
      </c>
      <c r="B6233" s="15" t="s">
        <v>11312</v>
      </c>
      <c r="C6233" s="15" t="s">
        <v>11313</v>
      </c>
      <c r="D6233" s="15" t="s">
        <v>11314</v>
      </c>
      <c r="E6233" s="15">
        <v>13.2989</v>
      </c>
      <c r="F6233" s="42">
        <v>46198</v>
      </c>
    </row>
    <row r="6234" spans="1:6" x14ac:dyDescent="0.3">
      <c r="A6234" s="15" t="s">
        <v>33499</v>
      </c>
      <c r="B6234" s="15" t="s">
        <v>795</v>
      </c>
      <c r="C6234" s="15" t="s">
        <v>795</v>
      </c>
      <c r="D6234" s="15" t="s">
        <v>795</v>
      </c>
      <c r="F6234" s="42"/>
    </row>
    <row r="6235" spans="1:6" x14ac:dyDescent="0.3">
      <c r="A6235" s="15" t="s">
        <v>208</v>
      </c>
      <c r="B6235" s="15" t="s">
        <v>795</v>
      </c>
      <c r="C6235" s="15" t="s">
        <v>795</v>
      </c>
      <c r="D6235" s="15" t="s">
        <v>795</v>
      </c>
      <c r="F6235" s="42"/>
    </row>
    <row r="6236" spans="1:6" x14ac:dyDescent="0.3">
      <c r="A6236" s="15" t="s">
        <v>33499</v>
      </c>
      <c r="B6236" s="15" t="s">
        <v>795</v>
      </c>
      <c r="C6236" s="15" t="s">
        <v>795</v>
      </c>
      <c r="D6236" s="15" t="s">
        <v>795</v>
      </c>
      <c r="F6236" s="42"/>
    </row>
    <row r="6237" spans="1:6" x14ac:dyDescent="0.3">
      <c r="A6237" s="15" t="s">
        <v>42502</v>
      </c>
      <c r="B6237" s="15" t="s">
        <v>11315</v>
      </c>
      <c r="C6237" s="15" t="s">
        <v>11316</v>
      </c>
      <c r="D6237" s="15" t="s">
        <v>11317</v>
      </c>
      <c r="E6237" s="15">
        <v>86.4315</v>
      </c>
      <c r="F6237" s="42">
        <v>46198</v>
      </c>
    </row>
    <row r="6238" spans="1:6" x14ac:dyDescent="0.3">
      <c r="A6238" s="15" t="s">
        <v>42501</v>
      </c>
      <c r="B6238" s="15" t="s">
        <v>11318</v>
      </c>
      <c r="C6238" s="15" t="s">
        <v>800</v>
      </c>
      <c r="D6238" s="15" t="s">
        <v>11319</v>
      </c>
      <c r="E6238" s="15">
        <v>334.03429999999997</v>
      </c>
      <c r="F6238" s="42">
        <v>46198</v>
      </c>
    </row>
    <row r="6239" spans="1:6" x14ac:dyDescent="0.3">
      <c r="A6239" s="15" t="s">
        <v>42500</v>
      </c>
      <c r="B6239" s="15" t="s">
        <v>11320</v>
      </c>
      <c r="C6239" s="15" t="s">
        <v>800</v>
      </c>
      <c r="D6239" s="15" t="s">
        <v>11321</v>
      </c>
      <c r="E6239" s="15">
        <v>334.03429999999997</v>
      </c>
      <c r="F6239" s="42">
        <v>46198</v>
      </c>
    </row>
    <row r="6240" spans="1:6" x14ac:dyDescent="0.3">
      <c r="A6240" s="15" t="s">
        <v>42499</v>
      </c>
      <c r="B6240" s="15" t="s">
        <v>11322</v>
      </c>
      <c r="C6240" s="15" t="s">
        <v>11323</v>
      </c>
      <c r="D6240" s="15" t="s">
        <v>11324</v>
      </c>
      <c r="E6240" s="15">
        <v>59.541800000000002</v>
      </c>
      <c r="F6240" s="42">
        <v>46198</v>
      </c>
    </row>
    <row r="6241" spans="1:6" x14ac:dyDescent="0.3">
      <c r="A6241" s="15" t="s">
        <v>42498</v>
      </c>
      <c r="B6241" s="15" t="s">
        <v>11325</v>
      </c>
      <c r="C6241" s="15" t="s">
        <v>11326</v>
      </c>
      <c r="D6241" s="15" t="s">
        <v>11327</v>
      </c>
      <c r="E6241" s="15">
        <v>44.8994</v>
      </c>
      <c r="F6241" s="42">
        <v>42564</v>
      </c>
    </row>
    <row r="6242" spans="1:6" x14ac:dyDescent="0.3">
      <c r="A6242" s="15" t="s">
        <v>42497</v>
      </c>
      <c r="B6242" s="15" t="s">
        <v>11328</v>
      </c>
      <c r="C6242" s="15" t="s">
        <v>800</v>
      </c>
      <c r="D6242" s="15" t="s">
        <v>11329</v>
      </c>
      <c r="E6242" s="15">
        <v>21.9544</v>
      </c>
      <c r="F6242" s="42">
        <v>42850</v>
      </c>
    </row>
    <row r="6243" spans="1:6" x14ac:dyDescent="0.3">
      <c r="A6243" s="15" t="s">
        <v>42496</v>
      </c>
      <c r="B6243" s="15" t="s">
        <v>11330</v>
      </c>
      <c r="C6243" s="15" t="s">
        <v>800</v>
      </c>
      <c r="D6243" s="15" t="s">
        <v>11331</v>
      </c>
      <c r="E6243" s="15">
        <v>302.2561</v>
      </c>
      <c r="F6243" s="42">
        <v>46198</v>
      </c>
    </row>
    <row r="6244" spans="1:6" x14ac:dyDescent="0.3">
      <c r="A6244" s="15" t="s">
        <v>42495</v>
      </c>
      <c r="B6244" s="15" t="s">
        <v>11332</v>
      </c>
      <c r="C6244" s="15" t="s">
        <v>800</v>
      </c>
      <c r="D6244" s="15" t="s">
        <v>11333</v>
      </c>
      <c r="E6244" s="15">
        <v>302.2561</v>
      </c>
      <c r="F6244" s="42">
        <v>46198</v>
      </c>
    </row>
    <row r="6245" spans="1:6" x14ac:dyDescent="0.3">
      <c r="A6245" s="15" t="s">
        <v>33499</v>
      </c>
      <c r="B6245" s="15" t="s">
        <v>795</v>
      </c>
      <c r="C6245" s="15" t="s">
        <v>795</v>
      </c>
      <c r="D6245" s="15" t="s">
        <v>795</v>
      </c>
      <c r="F6245" s="42"/>
    </row>
    <row r="6246" spans="1:6" x14ac:dyDescent="0.3">
      <c r="A6246" s="15" t="s">
        <v>37523</v>
      </c>
      <c r="B6246" s="15" t="s">
        <v>795</v>
      </c>
      <c r="C6246" s="15" t="s">
        <v>795</v>
      </c>
      <c r="D6246" s="15" t="s">
        <v>795</v>
      </c>
      <c r="F6246" s="42"/>
    </row>
    <row r="6247" spans="1:6" x14ac:dyDescent="0.3">
      <c r="A6247" s="15" t="s">
        <v>33499</v>
      </c>
      <c r="B6247" s="15" t="s">
        <v>795</v>
      </c>
      <c r="C6247" s="15" t="s">
        <v>795</v>
      </c>
      <c r="D6247" s="15" t="s">
        <v>795</v>
      </c>
      <c r="F6247" s="42"/>
    </row>
    <row r="6248" spans="1:6" x14ac:dyDescent="0.3">
      <c r="A6248" s="15" t="s">
        <v>42494</v>
      </c>
      <c r="B6248" s="15" t="s">
        <v>11334</v>
      </c>
      <c r="C6248" s="15" t="s">
        <v>800</v>
      </c>
      <c r="D6248" s="15" t="s">
        <v>11335</v>
      </c>
      <c r="E6248" s="15">
        <v>10.51</v>
      </c>
      <c r="F6248" s="42">
        <v>46198</v>
      </c>
    </row>
    <row r="6249" spans="1:6" x14ac:dyDescent="0.3">
      <c r="A6249" s="15" t="s">
        <v>42493</v>
      </c>
      <c r="B6249" s="15" t="s">
        <v>11336</v>
      </c>
      <c r="C6249" s="15" t="s">
        <v>11337</v>
      </c>
      <c r="D6249" s="15" t="s">
        <v>11338</v>
      </c>
      <c r="E6249" s="15">
        <v>10.51</v>
      </c>
      <c r="F6249" s="42">
        <v>46198</v>
      </c>
    </row>
    <row r="6250" spans="1:6" x14ac:dyDescent="0.3">
      <c r="A6250" s="15" t="s">
        <v>42492</v>
      </c>
      <c r="B6250" s="15" t="s">
        <v>11339</v>
      </c>
      <c r="C6250" s="15" t="s">
        <v>800</v>
      </c>
      <c r="D6250" s="15" t="s">
        <v>11340</v>
      </c>
      <c r="E6250" s="15">
        <v>10.19</v>
      </c>
      <c r="F6250" s="42">
        <v>46198</v>
      </c>
    </row>
    <row r="6251" spans="1:6" x14ac:dyDescent="0.3">
      <c r="A6251" s="15" t="s">
        <v>42491</v>
      </c>
      <c r="B6251" s="15" t="s">
        <v>11341</v>
      </c>
      <c r="C6251" s="15" t="s">
        <v>11342</v>
      </c>
      <c r="D6251" s="15" t="s">
        <v>11343</v>
      </c>
      <c r="E6251" s="15">
        <v>10.19</v>
      </c>
      <c r="F6251" s="42">
        <v>46198</v>
      </c>
    </row>
    <row r="6252" spans="1:6" x14ac:dyDescent="0.3">
      <c r="A6252" s="15" t="s">
        <v>33499</v>
      </c>
      <c r="B6252" s="15" t="s">
        <v>795</v>
      </c>
      <c r="C6252" s="15" t="s">
        <v>795</v>
      </c>
      <c r="D6252" s="15" t="s">
        <v>795</v>
      </c>
      <c r="F6252" s="42"/>
    </row>
    <row r="6253" spans="1:6" x14ac:dyDescent="0.3">
      <c r="A6253" s="15" t="s">
        <v>40216</v>
      </c>
      <c r="B6253" s="15" t="s">
        <v>795</v>
      </c>
      <c r="C6253" s="15" t="s">
        <v>795</v>
      </c>
      <c r="D6253" s="15" t="s">
        <v>795</v>
      </c>
      <c r="F6253" s="42"/>
    </row>
    <row r="6254" spans="1:6" x14ac:dyDescent="0.3">
      <c r="A6254" s="15" t="s">
        <v>33499</v>
      </c>
      <c r="B6254" s="15" t="s">
        <v>795</v>
      </c>
      <c r="C6254" s="15" t="s">
        <v>795</v>
      </c>
      <c r="D6254" s="15" t="s">
        <v>795</v>
      </c>
      <c r="F6254" s="42"/>
    </row>
    <row r="6255" spans="1:6" x14ac:dyDescent="0.3">
      <c r="A6255" s="15" t="s">
        <v>42490</v>
      </c>
      <c r="B6255" s="15" t="s">
        <v>11344</v>
      </c>
      <c r="C6255" s="15" t="s">
        <v>800</v>
      </c>
      <c r="D6255" s="15" t="s">
        <v>11345</v>
      </c>
      <c r="E6255" s="15">
        <v>658.97119999999995</v>
      </c>
      <c r="F6255" s="42">
        <v>46198</v>
      </c>
    </row>
    <row r="6256" spans="1:6" x14ac:dyDescent="0.3">
      <c r="A6256" s="15" t="s">
        <v>42489</v>
      </c>
      <c r="B6256" s="15" t="s">
        <v>11346</v>
      </c>
      <c r="C6256" s="15" t="s">
        <v>800</v>
      </c>
      <c r="D6256" s="15" t="s">
        <v>11347</v>
      </c>
      <c r="E6256" s="15">
        <v>725.78189999999995</v>
      </c>
      <c r="F6256" s="42">
        <v>46198</v>
      </c>
    </row>
    <row r="6257" spans="1:6" x14ac:dyDescent="0.3">
      <c r="A6257" s="15" t="s">
        <v>42488</v>
      </c>
      <c r="B6257" s="15" t="s">
        <v>11348</v>
      </c>
      <c r="C6257" s="15" t="s">
        <v>11349</v>
      </c>
      <c r="D6257" s="15" t="s">
        <v>11350</v>
      </c>
      <c r="E6257" s="15">
        <v>84.052300000000002</v>
      </c>
      <c r="F6257" s="42">
        <v>46198</v>
      </c>
    </row>
    <row r="6258" spans="1:6" x14ac:dyDescent="0.3">
      <c r="A6258" s="15" t="s">
        <v>42487</v>
      </c>
      <c r="B6258" s="15" t="s">
        <v>11351</v>
      </c>
      <c r="C6258" s="15" t="s">
        <v>11352</v>
      </c>
      <c r="D6258" s="15" t="s">
        <v>11353</v>
      </c>
      <c r="E6258" s="15">
        <v>75.361800000000002</v>
      </c>
      <c r="F6258" s="42">
        <v>46198</v>
      </c>
    </row>
    <row r="6259" spans="1:6" x14ac:dyDescent="0.3">
      <c r="A6259" s="15" t="s">
        <v>33499</v>
      </c>
      <c r="B6259" s="15" t="s">
        <v>795</v>
      </c>
      <c r="C6259" s="15" t="s">
        <v>795</v>
      </c>
      <c r="D6259" s="15" t="s">
        <v>795</v>
      </c>
      <c r="F6259" s="42"/>
    </row>
    <row r="6260" spans="1:6" x14ac:dyDescent="0.3">
      <c r="A6260" s="15" t="s">
        <v>40209</v>
      </c>
      <c r="B6260" s="15" t="s">
        <v>795</v>
      </c>
      <c r="C6260" s="15" t="s">
        <v>795</v>
      </c>
      <c r="D6260" s="15" t="s">
        <v>795</v>
      </c>
      <c r="F6260" s="42"/>
    </row>
    <row r="6261" spans="1:6" x14ac:dyDescent="0.3">
      <c r="A6261" s="15" t="s">
        <v>33499</v>
      </c>
      <c r="B6261" s="15" t="s">
        <v>795</v>
      </c>
      <c r="C6261" s="15" t="s">
        <v>795</v>
      </c>
      <c r="D6261" s="15" t="s">
        <v>795</v>
      </c>
      <c r="F6261" s="42"/>
    </row>
    <row r="6262" spans="1:6" x14ac:dyDescent="0.3">
      <c r="A6262" s="15" t="s">
        <v>42486</v>
      </c>
      <c r="B6262" s="15" t="s">
        <v>11354</v>
      </c>
      <c r="C6262" s="15" t="s">
        <v>800</v>
      </c>
      <c r="D6262" s="15" t="s">
        <v>11355</v>
      </c>
      <c r="E6262" s="15">
        <v>8.81</v>
      </c>
      <c r="F6262" s="42">
        <v>46198</v>
      </c>
    </row>
    <row r="6263" spans="1:6" x14ac:dyDescent="0.3">
      <c r="A6263" s="15" t="s">
        <v>42485</v>
      </c>
      <c r="B6263" s="15" t="s">
        <v>11356</v>
      </c>
      <c r="C6263" s="15" t="s">
        <v>800</v>
      </c>
      <c r="D6263" s="15" t="s">
        <v>11357</v>
      </c>
      <c r="E6263" s="15">
        <v>8.58</v>
      </c>
      <c r="F6263" s="42">
        <v>46198</v>
      </c>
    </row>
    <row r="6264" spans="1:6" x14ac:dyDescent="0.3">
      <c r="A6264" s="15" t="s">
        <v>33499</v>
      </c>
      <c r="B6264" s="15" t="s">
        <v>795</v>
      </c>
      <c r="C6264" s="15" t="s">
        <v>795</v>
      </c>
      <c r="D6264" s="15" t="s">
        <v>795</v>
      </c>
      <c r="F6264" s="42"/>
    </row>
    <row r="6265" spans="1:6" x14ac:dyDescent="0.3">
      <c r="A6265" s="15" t="s">
        <v>33636</v>
      </c>
      <c r="B6265" s="15" t="s">
        <v>795</v>
      </c>
      <c r="C6265" s="15" t="s">
        <v>795</v>
      </c>
      <c r="D6265" s="15" t="s">
        <v>795</v>
      </c>
      <c r="F6265" s="42"/>
    </row>
    <row r="6266" spans="1:6" x14ac:dyDescent="0.3">
      <c r="A6266" s="15" t="s">
        <v>33499</v>
      </c>
      <c r="B6266" s="15" t="s">
        <v>795</v>
      </c>
      <c r="C6266" s="15" t="s">
        <v>795</v>
      </c>
      <c r="D6266" s="15" t="s">
        <v>795</v>
      </c>
      <c r="F6266" s="42"/>
    </row>
    <row r="6267" spans="1:6" x14ac:dyDescent="0.3">
      <c r="A6267" s="15" t="s">
        <v>42484</v>
      </c>
      <c r="B6267" s="15" t="s">
        <v>11358</v>
      </c>
      <c r="C6267" s="15" t="s">
        <v>11359</v>
      </c>
      <c r="D6267" s="15" t="s">
        <v>11360</v>
      </c>
      <c r="E6267" s="15">
        <v>17.6249</v>
      </c>
      <c r="F6267" s="42">
        <v>46198</v>
      </c>
    </row>
    <row r="6268" spans="1:6" x14ac:dyDescent="0.3">
      <c r="A6268" s="15" t="s">
        <v>42483</v>
      </c>
      <c r="B6268" s="15" t="s">
        <v>11361</v>
      </c>
      <c r="C6268" s="15" t="s">
        <v>800</v>
      </c>
      <c r="D6268" s="15" t="s">
        <v>11362</v>
      </c>
      <c r="E6268" s="15">
        <v>17.6248</v>
      </c>
      <c r="F6268" s="42">
        <v>46198</v>
      </c>
    </row>
    <row r="6269" spans="1:6" x14ac:dyDescent="0.3">
      <c r="A6269" s="15" t="s">
        <v>42482</v>
      </c>
      <c r="B6269" s="15" t="s">
        <v>11363</v>
      </c>
      <c r="C6269" s="15" t="s">
        <v>800</v>
      </c>
      <c r="D6269" s="15" t="s">
        <v>11364</v>
      </c>
      <c r="E6269" s="15">
        <v>16.950600000000001</v>
      </c>
      <c r="F6269" s="42">
        <v>46198</v>
      </c>
    </row>
    <row r="6270" spans="1:6" x14ac:dyDescent="0.3">
      <c r="A6270" s="15" t="s">
        <v>42481</v>
      </c>
      <c r="B6270" s="15" t="s">
        <v>11365</v>
      </c>
      <c r="C6270" s="15" t="s">
        <v>11366</v>
      </c>
      <c r="D6270" s="15" t="s">
        <v>11367</v>
      </c>
      <c r="E6270" s="15">
        <v>16.953299999999999</v>
      </c>
      <c r="F6270" s="42">
        <v>46198</v>
      </c>
    </row>
    <row r="6271" spans="1:6" x14ac:dyDescent="0.3">
      <c r="A6271" s="15" t="s">
        <v>33499</v>
      </c>
      <c r="B6271" s="15" t="s">
        <v>795</v>
      </c>
      <c r="C6271" s="15" t="s">
        <v>795</v>
      </c>
      <c r="D6271" s="15" t="s">
        <v>795</v>
      </c>
      <c r="F6271" s="42"/>
    </row>
    <row r="6272" spans="1:6" x14ac:dyDescent="0.3">
      <c r="A6272" s="15" t="s">
        <v>37414</v>
      </c>
      <c r="B6272" s="15" t="s">
        <v>795</v>
      </c>
      <c r="C6272" s="15" t="s">
        <v>795</v>
      </c>
      <c r="D6272" s="15" t="s">
        <v>795</v>
      </c>
      <c r="F6272" s="42"/>
    </row>
    <row r="6273" spans="1:6" x14ac:dyDescent="0.3">
      <c r="A6273" s="15" t="s">
        <v>33499</v>
      </c>
      <c r="B6273" s="15" t="s">
        <v>795</v>
      </c>
      <c r="C6273" s="15" t="s">
        <v>795</v>
      </c>
      <c r="D6273" s="15" t="s">
        <v>795</v>
      </c>
      <c r="F6273" s="42"/>
    </row>
    <row r="6274" spans="1:6" x14ac:dyDescent="0.3">
      <c r="A6274" s="15" t="s">
        <v>42480</v>
      </c>
      <c r="B6274" s="15" t="s">
        <v>11368</v>
      </c>
      <c r="C6274" s="15" t="s">
        <v>11369</v>
      </c>
      <c r="D6274" s="15" t="s">
        <v>11370</v>
      </c>
      <c r="E6274" s="15">
        <v>85.074799999999996</v>
      </c>
      <c r="F6274" s="42">
        <v>46198</v>
      </c>
    </row>
    <row r="6275" spans="1:6" x14ac:dyDescent="0.3">
      <c r="A6275" s="15" t="s">
        <v>42479</v>
      </c>
      <c r="B6275" s="15" t="s">
        <v>11371</v>
      </c>
      <c r="C6275" s="15" t="s">
        <v>11372</v>
      </c>
      <c r="D6275" s="15" t="s">
        <v>11373</v>
      </c>
      <c r="E6275" s="15">
        <v>62.431899999999999</v>
      </c>
      <c r="F6275" s="42">
        <v>46198</v>
      </c>
    </row>
    <row r="6276" spans="1:6" x14ac:dyDescent="0.3">
      <c r="A6276" s="15" t="s">
        <v>42478</v>
      </c>
      <c r="B6276" s="15" t="s">
        <v>11374</v>
      </c>
      <c r="C6276" s="15" t="s">
        <v>800</v>
      </c>
      <c r="D6276" s="15" t="s">
        <v>11375</v>
      </c>
      <c r="E6276" s="15">
        <v>428.83100000000002</v>
      </c>
      <c r="F6276" s="42">
        <v>46198</v>
      </c>
    </row>
    <row r="6277" spans="1:6" x14ac:dyDescent="0.3">
      <c r="A6277" s="15" t="s">
        <v>42477</v>
      </c>
      <c r="B6277" s="15" t="s">
        <v>11376</v>
      </c>
      <c r="C6277" s="15" t="s">
        <v>800</v>
      </c>
      <c r="D6277" s="15" t="s">
        <v>11377</v>
      </c>
      <c r="E6277" s="15">
        <v>381.40929999999997</v>
      </c>
      <c r="F6277" s="42">
        <v>46198</v>
      </c>
    </row>
    <row r="6278" spans="1:6" x14ac:dyDescent="0.3">
      <c r="A6278" s="15" t="s">
        <v>33499</v>
      </c>
      <c r="B6278" s="15" t="s">
        <v>795</v>
      </c>
      <c r="C6278" s="15" t="s">
        <v>795</v>
      </c>
      <c r="D6278" s="15" t="s">
        <v>795</v>
      </c>
      <c r="F6278" s="42"/>
    </row>
    <row r="6279" spans="1:6" x14ac:dyDescent="0.3">
      <c r="A6279" s="15" t="s">
        <v>33519</v>
      </c>
      <c r="B6279" s="15" t="s">
        <v>795</v>
      </c>
      <c r="C6279" s="15" t="s">
        <v>795</v>
      </c>
      <c r="D6279" s="15" t="s">
        <v>795</v>
      </c>
      <c r="F6279" s="42"/>
    </row>
    <row r="6280" spans="1:6" x14ac:dyDescent="0.3">
      <c r="A6280" s="15" t="s">
        <v>33499</v>
      </c>
      <c r="B6280" s="15" t="s">
        <v>795</v>
      </c>
      <c r="C6280" s="15" t="s">
        <v>795</v>
      </c>
      <c r="D6280" s="15" t="s">
        <v>795</v>
      </c>
      <c r="F6280" s="42"/>
    </row>
    <row r="6281" spans="1:6" x14ac:dyDescent="0.3">
      <c r="A6281" s="15" t="s">
        <v>42476</v>
      </c>
      <c r="B6281" s="15" t="s">
        <v>11378</v>
      </c>
      <c r="C6281" s="15" t="s">
        <v>800</v>
      </c>
      <c r="D6281" s="15" t="s">
        <v>11379</v>
      </c>
      <c r="E6281" s="15">
        <v>16.134399999999999</v>
      </c>
      <c r="F6281" s="42">
        <v>46198</v>
      </c>
    </row>
    <row r="6282" spans="1:6" x14ac:dyDescent="0.3">
      <c r="A6282" s="15" t="s">
        <v>42475</v>
      </c>
      <c r="B6282" s="15" t="s">
        <v>11380</v>
      </c>
      <c r="C6282" s="15" t="s">
        <v>800</v>
      </c>
      <c r="D6282" s="15" t="s">
        <v>11381</v>
      </c>
      <c r="E6282" s="15">
        <v>16.134399999999999</v>
      </c>
      <c r="F6282" s="42">
        <v>46198</v>
      </c>
    </row>
    <row r="6283" spans="1:6" x14ac:dyDescent="0.3">
      <c r="A6283" s="15" t="s">
        <v>42474</v>
      </c>
      <c r="B6283" s="15" t="s">
        <v>800</v>
      </c>
      <c r="C6283" s="15" t="s">
        <v>11382</v>
      </c>
      <c r="D6283" s="15" t="s">
        <v>11383</v>
      </c>
      <c r="E6283" s="15">
        <v>16.134399999999999</v>
      </c>
      <c r="F6283" s="42">
        <v>46198</v>
      </c>
    </row>
    <row r="6284" spans="1:6" x14ac:dyDescent="0.3">
      <c r="A6284" s="15" t="s">
        <v>42473</v>
      </c>
      <c r="B6284" s="15" t="s">
        <v>11384</v>
      </c>
      <c r="C6284" s="15" t="s">
        <v>800</v>
      </c>
      <c r="D6284" s="15" t="s">
        <v>11385</v>
      </c>
      <c r="E6284" s="15">
        <v>15.3104</v>
      </c>
      <c r="F6284" s="42">
        <v>46198</v>
      </c>
    </row>
    <row r="6285" spans="1:6" x14ac:dyDescent="0.3">
      <c r="A6285" s="15" t="s">
        <v>42472</v>
      </c>
      <c r="B6285" s="15" t="s">
        <v>11386</v>
      </c>
      <c r="C6285" s="15" t="s">
        <v>800</v>
      </c>
      <c r="D6285" s="15" t="s">
        <v>11387</v>
      </c>
      <c r="E6285" s="15">
        <v>15.3104</v>
      </c>
      <c r="F6285" s="42">
        <v>46198</v>
      </c>
    </row>
    <row r="6286" spans="1:6" x14ac:dyDescent="0.3">
      <c r="A6286" s="15" t="s">
        <v>42471</v>
      </c>
      <c r="B6286" s="15" t="s">
        <v>800</v>
      </c>
      <c r="C6286" s="15" t="s">
        <v>11388</v>
      </c>
      <c r="D6286" s="15" t="s">
        <v>11389</v>
      </c>
      <c r="E6286" s="15">
        <v>15.3104</v>
      </c>
      <c r="F6286" s="42">
        <v>46198</v>
      </c>
    </row>
    <row r="6287" spans="1:6" x14ac:dyDescent="0.3">
      <c r="A6287" s="15" t="s">
        <v>33499</v>
      </c>
      <c r="B6287" s="15" t="s">
        <v>795</v>
      </c>
      <c r="C6287" s="15" t="s">
        <v>795</v>
      </c>
      <c r="D6287" s="15" t="s">
        <v>795</v>
      </c>
      <c r="F6287" s="42"/>
    </row>
    <row r="6288" spans="1:6" x14ac:dyDescent="0.3">
      <c r="A6288" s="15" t="s">
        <v>33508</v>
      </c>
      <c r="B6288" s="15" t="s">
        <v>795</v>
      </c>
      <c r="C6288" s="15" t="s">
        <v>795</v>
      </c>
      <c r="D6288" s="15" t="s">
        <v>795</v>
      </c>
      <c r="F6288" s="42"/>
    </row>
    <row r="6289" spans="1:6" x14ac:dyDescent="0.3">
      <c r="A6289" s="15" t="s">
        <v>33499</v>
      </c>
      <c r="B6289" s="15" t="s">
        <v>795</v>
      </c>
      <c r="C6289" s="15" t="s">
        <v>795</v>
      </c>
      <c r="D6289" s="15" t="s">
        <v>795</v>
      </c>
      <c r="F6289" s="42"/>
    </row>
    <row r="6290" spans="1:6" x14ac:dyDescent="0.3">
      <c r="A6290" s="15" t="s">
        <v>42470</v>
      </c>
      <c r="B6290" s="15" t="s">
        <v>11390</v>
      </c>
      <c r="C6290" s="15" t="s">
        <v>800</v>
      </c>
      <c r="D6290" s="15" t="s">
        <v>11391</v>
      </c>
      <c r="E6290" s="15">
        <v>11.35</v>
      </c>
      <c r="F6290" s="42">
        <v>46198</v>
      </c>
    </row>
    <row r="6291" spans="1:6" x14ac:dyDescent="0.3">
      <c r="A6291" s="15" t="s">
        <v>42469</v>
      </c>
      <c r="B6291" s="15" t="s">
        <v>11392</v>
      </c>
      <c r="C6291" s="15" t="s">
        <v>800</v>
      </c>
      <c r="D6291" s="15" t="s">
        <v>11393</v>
      </c>
      <c r="E6291" s="15">
        <v>11.16</v>
      </c>
      <c r="F6291" s="42">
        <v>46198</v>
      </c>
    </row>
    <row r="6292" spans="1:6" x14ac:dyDescent="0.3">
      <c r="A6292" s="15" t="s">
        <v>33499</v>
      </c>
      <c r="B6292" s="15" t="s">
        <v>795</v>
      </c>
      <c r="C6292" s="15" t="s">
        <v>795</v>
      </c>
      <c r="D6292" s="15" t="s">
        <v>795</v>
      </c>
      <c r="F6292" s="42"/>
    </row>
    <row r="6293" spans="1:6" x14ac:dyDescent="0.3">
      <c r="A6293" s="15" t="s">
        <v>33504</v>
      </c>
      <c r="B6293" s="15" t="s">
        <v>795</v>
      </c>
      <c r="C6293" s="15" t="s">
        <v>795</v>
      </c>
      <c r="D6293" s="15" t="s">
        <v>795</v>
      </c>
      <c r="F6293" s="42"/>
    </row>
    <row r="6294" spans="1:6" x14ac:dyDescent="0.3">
      <c r="A6294" s="15" t="s">
        <v>33499</v>
      </c>
      <c r="B6294" s="15" t="s">
        <v>795</v>
      </c>
      <c r="C6294" s="15" t="s">
        <v>795</v>
      </c>
      <c r="D6294" s="15" t="s">
        <v>795</v>
      </c>
      <c r="F6294" s="42"/>
    </row>
    <row r="6295" spans="1:6" x14ac:dyDescent="0.3">
      <c r="A6295" s="15" t="s">
        <v>42468</v>
      </c>
      <c r="B6295" s="15" t="s">
        <v>11394</v>
      </c>
      <c r="C6295" s="15" t="s">
        <v>800</v>
      </c>
      <c r="D6295" s="15" t="s">
        <v>11395</v>
      </c>
      <c r="E6295" s="15">
        <v>17.63</v>
      </c>
      <c r="F6295" s="42">
        <v>46198</v>
      </c>
    </row>
    <row r="6296" spans="1:6" x14ac:dyDescent="0.3">
      <c r="A6296" s="15" t="s">
        <v>42467</v>
      </c>
      <c r="B6296" s="15" t="s">
        <v>11396</v>
      </c>
      <c r="C6296" s="15" t="s">
        <v>11397</v>
      </c>
      <c r="D6296" s="15" t="s">
        <v>11398</v>
      </c>
      <c r="E6296" s="15">
        <v>17.63</v>
      </c>
      <c r="F6296" s="42">
        <v>46198</v>
      </c>
    </row>
    <row r="6297" spans="1:6" x14ac:dyDescent="0.3">
      <c r="A6297" s="15" t="s">
        <v>42466</v>
      </c>
      <c r="B6297" s="15" t="s">
        <v>11399</v>
      </c>
      <c r="C6297" s="15" t="s">
        <v>800</v>
      </c>
      <c r="D6297" s="15" t="s">
        <v>11400</v>
      </c>
      <c r="E6297" s="15">
        <v>16.850000000000001</v>
      </c>
      <c r="F6297" s="42">
        <v>46198</v>
      </c>
    </row>
    <row r="6298" spans="1:6" x14ac:dyDescent="0.3">
      <c r="A6298" s="15" t="s">
        <v>42465</v>
      </c>
      <c r="B6298" s="15" t="s">
        <v>11401</v>
      </c>
      <c r="C6298" s="15" t="s">
        <v>11402</v>
      </c>
      <c r="D6298" s="15" t="s">
        <v>11403</v>
      </c>
      <c r="E6298" s="15">
        <v>16.850000000000001</v>
      </c>
      <c r="F6298" s="42">
        <v>46198</v>
      </c>
    </row>
    <row r="6299" spans="1:6" x14ac:dyDescent="0.3">
      <c r="A6299" s="15" t="s">
        <v>33499</v>
      </c>
      <c r="B6299" s="15" t="s">
        <v>795</v>
      </c>
      <c r="C6299" s="15" t="s">
        <v>795</v>
      </c>
      <c r="D6299" s="15" t="s">
        <v>795</v>
      </c>
      <c r="F6299" s="42"/>
    </row>
    <row r="6300" spans="1:6" x14ac:dyDescent="0.3">
      <c r="A6300" s="15" t="s">
        <v>33500</v>
      </c>
      <c r="B6300" s="15" t="s">
        <v>795</v>
      </c>
      <c r="C6300" s="15" t="s">
        <v>795</v>
      </c>
      <c r="D6300" s="15" t="s">
        <v>795</v>
      </c>
      <c r="F6300" s="42"/>
    </row>
    <row r="6301" spans="1:6" x14ac:dyDescent="0.3">
      <c r="A6301" s="15" t="s">
        <v>33499</v>
      </c>
      <c r="B6301" s="15" t="s">
        <v>795</v>
      </c>
      <c r="C6301" s="15" t="s">
        <v>795</v>
      </c>
      <c r="D6301" s="15" t="s">
        <v>795</v>
      </c>
      <c r="F6301" s="42"/>
    </row>
    <row r="6302" spans="1:6" x14ac:dyDescent="0.3">
      <c r="A6302" s="15" t="s">
        <v>42464</v>
      </c>
      <c r="B6302" s="15" t="s">
        <v>11404</v>
      </c>
      <c r="C6302" s="15" t="s">
        <v>800</v>
      </c>
      <c r="D6302" s="15" t="s">
        <v>11405</v>
      </c>
      <c r="E6302" s="15">
        <v>10.524100000000001</v>
      </c>
      <c r="F6302" s="42">
        <v>46198</v>
      </c>
    </row>
    <row r="6303" spans="1:6" x14ac:dyDescent="0.3">
      <c r="A6303" s="15" t="s">
        <v>42463</v>
      </c>
      <c r="B6303" s="15" t="s">
        <v>11406</v>
      </c>
      <c r="C6303" s="15" t="s">
        <v>800</v>
      </c>
      <c r="D6303" s="15" t="s">
        <v>11407</v>
      </c>
      <c r="E6303" s="15">
        <v>10.347799999999999</v>
      </c>
      <c r="F6303" s="42">
        <v>46198</v>
      </c>
    </row>
    <row r="6304" spans="1:6" x14ac:dyDescent="0.3">
      <c r="A6304" s="15" t="s">
        <v>33499</v>
      </c>
      <c r="B6304" s="15" t="s">
        <v>795</v>
      </c>
      <c r="C6304" s="15" t="s">
        <v>795</v>
      </c>
      <c r="D6304" s="15" t="s">
        <v>795</v>
      </c>
      <c r="F6304" s="42"/>
    </row>
    <row r="6305" spans="1:6" x14ac:dyDescent="0.3">
      <c r="A6305" s="15" t="s">
        <v>40172</v>
      </c>
      <c r="B6305" s="15" t="s">
        <v>795</v>
      </c>
      <c r="C6305" s="15" t="s">
        <v>795</v>
      </c>
      <c r="D6305" s="15" t="s">
        <v>795</v>
      </c>
      <c r="F6305" s="42"/>
    </row>
    <row r="6306" spans="1:6" x14ac:dyDescent="0.3">
      <c r="A6306" s="15" t="s">
        <v>33499</v>
      </c>
      <c r="B6306" s="15" t="s">
        <v>795</v>
      </c>
      <c r="C6306" s="15" t="s">
        <v>795</v>
      </c>
      <c r="D6306" s="15" t="s">
        <v>795</v>
      </c>
      <c r="F6306" s="42"/>
    </row>
    <row r="6307" spans="1:6" x14ac:dyDescent="0.3">
      <c r="A6307" s="15" t="s">
        <v>42462</v>
      </c>
      <c r="B6307" s="15" t="s">
        <v>11408</v>
      </c>
      <c r="C6307" s="15" t="s">
        <v>800</v>
      </c>
      <c r="D6307" s="15" t="s">
        <v>11409</v>
      </c>
      <c r="E6307" s="15">
        <v>16.289000000000001</v>
      </c>
      <c r="F6307" s="42">
        <v>46198</v>
      </c>
    </row>
    <row r="6308" spans="1:6" x14ac:dyDescent="0.3">
      <c r="A6308" s="15" t="s">
        <v>42461</v>
      </c>
      <c r="B6308" s="15" t="s">
        <v>11410</v>
      </c>
      <c r="C6308" s="15" t="s">
        <v>800</v>
      </c>
      <c r="D6308" s="15" t="s">
        <v>11411</v>
      </c>
      <c r="E6308" s="15">
        <v>15.602</v>
      </c>
      <c r="F6308" s="42">
        <v>46198</v>
      </c>
    </row>
    <row r="6309" spans="1:6" x14ac:dyDescent="0.3">
      <c r="A6309" s="15" t="s">
        <v>33499</v>
      </c>
      <c r="B6309" s="15" t="s">
        <v>795</v>
      </c>
      <c r="C6309" s="15" t="s">
        <v>795</v>
      </c>
      <c r="D6309" s="15" t="s">
        <v>795</v>
      </c>
      <c r="F6309" s="42"/>
    </row>
    <row r="6310" spans="1:6" x14ac:dyDescent="0.3">
      <c r="A6310" s="15" t="s">
        <v>42460</v>
      </c>
      <c r="B6310" s="15" t="s">
        <v>795</v>
      </c>
      <c r="C6310" s="15" t="s">
        <v>795</v>
      </c>
      <c r="D6310" s="15" t="s">
        <v>795</v>
      </c>
      <c r="F6310" s="42"/>
    </row>
    <row r="6311" spans="1:6" x14ac:dyDescent="0.3">
      <c r="A6311" s="15" t="s">
        <v>33499</v>
      </c>
      <c r="B6311" s="15" t="s">
        <v>795</v>
      </c>
      <c r="C6311" s="15" t="s">
        <v>795</v>
      </c>
      <c r="D6311" s="15" t="s">
        <v>795</v>
      </c>
      <c r="F6311" s="42"/>
    </row>
    <row r="6312" spans="1:6" x14ac:dyDescent="0.3">
      <c r="A6312" s="15" t="s">
        <v>37954</v>
      </c>
      <c r="B6312" s="15" t="s">
        <v>795</v>
      </c>
      <c r="C6312" s="15" t="s">
        <v>795</v>
      </c>
      <c r="D6312" s="15" t="s">
        <v>795</v>
      </c>
      <c r="F6312" s="42"/>
    </row>
    <row r="6313" spans="1:6" x14ac:dyDescent="0.3">
      <c r="A6313" s="15" t="s">
        <v>33499</v>
      </c>
      <c r="B6313" s="15" t="s">
        <v>795</v>
      </c>
      <c r="C6313" s="15" t="s">
        <v>795</v>
      </c>
      <c r="D6313" s="15" t="s">
        <v>795</v>
      </c>
      <c r="F6313" s="42"/>
    </row>
    <row r="6314" spans="1:6" x14ac:dyDescent="0.3">
      <c r="A6314" s="15" t="s">
        <v>42459</v>
      </c>
      <c r="B6314" s="15" t="s">
        <v>11412</v>
      </c>
      <c r="C6314" s="15" t="s">
        <v>800</v>
      </c>
      <c r="D6314" s="15" t="s">
        <v>11413</v>
      </c>
      <c r="E6314" s="15">
        <v>19.396599999999999</v>
      </c>
      <c r="F6314" s="42">
        <v>46198</v>
      </c>
    </row>
    <row r="6315" spans="1:6" x14ac:dyDescent="0.3">
      <c r="A6315" s="15" t="s">
        <v>42458</v>
      </c>
      <c r="B6315" s="15" t="s">
        <v>11414</v>
      </c>
      <c r="C6315" s="15" t="s">
        <v>11415</v>
      </c>
      <c r="D6315" s="15" t="s">
        <v>11416</v>
      </c>
      <c r="E6315" s="15">
        <v>19.396599999999999</v>
      </c>
      <c r="F6315" s="42">
        <v>46198</v>
      </c>
    </row>
    <row r="6316" spans="1:6" x14ac:dyDescent="0.3">
      <c r="A6316" s="15" t="s">
        <v>42457</v>
      </c>
      <c r="B6316" s="15" t="s">
        <v>11417</v>
      </c>
      <c r="C6316" s="15" t="s">
        <v>800</v>
      </c>
      <c r="D6316" s="15" t="s">
        <v>11418</v>
      </c>
      <c r="E6316" s="15">
        <v>18.3111</v>
      </c>
      <c r="F6316" s="42">
        <v>46198</v>
      </c>
    </row>
    <row r="6317" spans="1:6" x14ac:dyDescent="0.3">
      <c r="A6317" s="15" t="s">
        <v>42456</v>
      </c>
      <c r="B6317" s="15" t="s">
        <v>11419</v>
      </c>
      <c r="C6317" s="15" t="s">
        <v>11420</v>
      </c>
      <c r="D6317" s="15" t="s">
        <v>11421</v>
      </c>
      <c r="E6317" s="15">
        <v>18.3111</v>
      </c>
      <c r="F6317" s="42">
        <v>46198</v>
      </c>
    </row>
    <row r="6318" spans="1:6" x14ac:dyDescent="0.3">
      <c r="A6318" s="15" t="s">
        <v>33499</v>
      </c>
      <c r="B6318" s="15" t="s">
        <v>795</v>
      </c>
      <c r="C6318" s="15" t="s">
        <v>795</v>
      </c>
      <c r="D6318" s="15" t="s">
        <v>795</v>
      </c>
      <c r="F6318" s="42"/>
    </row>
    <row r="6319" spans="1:6" x14ac:dyDescent="0.3">
      <c r="A6319" s="15" t="s">
        <v>37122</v>
      </c>
      <c r="B6319" s="15" t="s">
        <v>795</v>
      </c>
      <c r="C6319" s="15" t="s">
        <v>795</v>
      </c>
      <c r="D6319" s="15" t="s">
        <v>795</v>
      </c>
      <c r="F6319" s="42"/>
    </row>
    <row r="6320" spans="1:6" x14ac:dyDescent="0.3">
      <c r="A6320" s="15" t="s">
        <v>33499</v>
      </c>
      <c r="B6320" s="15" t="s">
        <v>795</v>
      </c>
      <c r="C6320" s="15" t="s">
        <v>795</v>
      </c>
      <c r="D6320" s="15" t="s">
        <v>795</v>
      </c>
      <c r="F6320" s="42"/>
    </row>
    <row r="6321" spans="1:6" x14ac:dyDescent="0.3">
      <c r="A6321" s="15" t="s">
        <v>42455</v>
      </c>
      <c r="B6321" s="15" t="s">
        <v>11422</v>
      </c>
      <c r="C6321" s="15" t="s">
        <v>11423</v>
      </c>
      <c r="D6321" s="15" t="s">
        <v>11424</v>
      </c>
      <c r="E6321" s="15">
        <v>31.72</v>
      </c>
      <c r="F6321" s="42">
        <v>46198</v>
      </c>
    </row>
    <row r="6322" spans="1:6" x14ac:dyDescent="0.3">
      <c r="A6322" s="15" t="s">
        <v>42454</v>
      </c>
      <c r="B6322" s="15" t="s">
        <v>11425</v>
      </c>
      <c r="C6322" s="15" t="s">
        <v>800</v>
      </c>
      <c r="D6322" s="15" t="s">
        <v>11426</v>
      </c>
      <c r="E6322" s="15">
        <v>71.94</v>
      </c>
      <c r="F6322" s="42">
        <v>46198</v>
      </c>
    </row>
    <row r="6323" spans="1:6" x14ac:dyDescent="0.3">
      <c r="A6323" s="15" t="s">
        <v>42453</v>
      </c>
      <c r="B6323" s="15" t="s">
        <v>11427</v>
      </c>
      <c r="C6323" s="15" t="s">
        <v>11428</v>
      </c>
      <c r="D6323" s="15" t="s">
        <v>11429</v>
      </c>
      <c r="E6323" s="15">
        <v>23.25</v>
      </c>
      <c r="F6323" s="42">
        <v>46198</v>
      </c>
    </row>
    <row r="6324" spans="1:6" x14ac:dyDescent="0.3">
      <c r="A6324" s="15" t="s">
        <v>42452</v>
      </c>
      <c r="B6324" s="15" t="s">
        <v>11430</v>
      </c>
      <c r="C6324" s="15" t="s">
        <v>800</v>
      </c>
      <c r="D6324" s="15" t="s">
        <v>11431</v>
      </c>
      <c r="E6324" s="15">
        <v>63.59</v>
      </c>
      <c r="F6324" s="42">
        <v>46198</v>
      </c>
    </row>
    <row r="6325" spans="1:6" x14ac:dyDescent="0.3">
      <c r="A6325" s="15" t="s">
        <v>42451</v>
      </c>
      <c r="B6325" s="15" t="s">
        <v>11432</v>
      </c>
      <c r="C6325" s="15" t="s">
        <v>800</v>
      </c>
      <c r="D6325" s="15" t="s">
        <v>11433</v>
      </c>
      <c r="E6325" s="15">
        <v>16.329999999999998</v>
      </c>
      <c r="F6325" s="42">
        <v>46198</v>
      </c>
    </row>
    <row r="6326" spans="1:6" x14ac:dyDescent="0.3">
      <c r="A6326" s="15" t="s">
        <v>42450</v>
      </c>
      <c r="B6326" s="15" t="s">
        <v>11434</v>
      </c>
      <c r="C6326" s="15" t="s">
        <v>800</v>
      </c>
      <c r="D6326" s="15" t="s">
        <v>11435</v>
      </c>
      <c r="E6326" s="15">
        <v>14.29</v>
      </c>
      <c r="F6326" s="42">
        <v>46198</v>
      </c>
    </row>
    <row r="6327" spans="1:6" x14ac:dyDescent="0.3">
      <c r="A6327" s="15" t="s">
        <v>42449</v>
      </c>
      <c r="B6327" s="15" t="s">
        <v>11436</v>
      </c>
      <c r="C6327" s="15" t="s">
        <v>800</v>
      </c>
      <c r="D6327" s="15" t="s">
        <v>11437</v>
      </c>
      <c r="E6327" s="15">
        <v>13.48</v>
      </c>
      <c r="F6327" s="42">
        <v>46198</v>
      </c>
    </row>
    <row r="6328" spans="1:6" x14ac:dyDescent="0.3">
      <c r="A6328" s="15" t="s">
        <v>42448</v>
      </c>
      <c r="B6328" s="15" t="s">
        <v>11438</v>
      </c>
      <c r="C6328" s="15" t="s">
        <v>800</v>
      </c>
      <c r="D6328" s="15" t="s">
        <v>11439</v>
      </c>
      <c r="E6328" s="15">
        <v>15.41</v>
      </c>
      <c r="F6328" s="42">
        <v>46198</v>
      </c>
    </row>
    <row r="6329" spans="1:6" x14ac:dyDescent="0.3">
      <c r="A6329" s="15" t="s">
        <v>42447</v>
      </c>
      <c r="B6329" s="15" t="s">
        <v>11440</v>
      </c>
      <c r="C6329" s="15" t="s">
        <v>800</v>
      </c>
      <c r="D6329" s="15" t="s">
        <v>11441</v>
      </c>
      <c r="E6329" s="15">
        <v>37.350099999999998</v>
      </c>
      <c r="F6329" s="42">
        <v>45135</v>
      </c>
    </row>
    <row r="6330" spans="1:6" x14ac:dyDescent="0.3">
      <c r="A6330" s="15" t="s">
        <v>42446</v>
      </c>
      <c r="B6330" s="15" t="s">
        <v>11442</v>
      </c>
      <c r="C6330" s="15" t="s">
        <v>800</v>
      </c>
      <c r="D6330" s="15" t="s">
        <v>11443</v>
      </c>
      <c r="E6330" s="15">
        <v>35.792499999999997</v>
      </c>
      <c r="F6330" s="42">
        <v>45135</v>
      </c>
    </row>
    <row r="6331" spans="1:6" x14ac:dyDescent="0.3">
      <c r="A6331" s="15" t="s">
        <v>42445</v>
      </c>
      <c r="B6331" s="15" t="s">
        <v>11444</v>
      </c>
      <c r="C6331" s="15" t="s">
        <v>11445</v>
      </c>
      <c r="D6331" s="15" t="s">
        <v>11446</v>
      </c>
      <c r="E6331" s="15">
        <v>21.561399999999999</v>
      </c>
      <c r="F6331" s="42">
        <v>45135</v>
      </c>
    </row>
    <row r="6332" spans="1:6" x14ac:dyDescent="0.3">
      <c r="A6332" s="15" t="s">
        <v>42444</v>
      </c>
      <c r="B6332" s="15" t="s">
        <v>11447</v>
      </c>
      <c r="C6332" s="15" t="s">
        <v>11448</v>
      </c>
      <c r="D6332" s="15" t="s">
        <v>11449</v>
      </c>
      <c r="E6332" s="15">
        <v>20.6236</v>
      </c>
      <c r="F6332" s="42">
        <v>45135</v>
      </c>
    </row>
    <row r="6333" spans="1:6" x14ac:dyDescent="0.3">
      <c r="A6333" s="15" t="s">
        <v>42443</v>
      </c>
      <c r="B6333" s="15" t="s">
        <v>11450</v>
      </c>
      <c r="C6333" s="15" t="s">
        <v>800</v>
      </c>
      <c r="D6333" s="15" t="s">
        <v>11451</v>
      </c>
      <c r="E6333" s="15">
        <v>11.06</v>
      </c>
      <c r="F6333" s="42">
        <v>46198</v>
      </c>
    </row>
    <row r="6334" spans="1:6" x14ac:dyDescent="0.3">
      <c r="A6334" s="15" t="s">
        <v>42442</v>
      </c>
      <c r="B6334" s="15" t="s">
        <v>11452</v>
      </c>
      <c r="C6334" s="15" t="s">
        <v>800</v>
      </c>
      <c r="D6334" s="15" t="s">
        <v>11453</v>
      </c>
      <c r="E6334" s="15">
        <v>11.06</v>
      </c>
      <c r="F6334" s="42">
        <v>46198</v>
      </c>
    </row>
    <row r="6335" spans="1:6" x14ac:dyDescent="0.3">
      <c r="A6335" s="15" t="s">
        <v>42441</v>
      </c>
      <c r="B6335" s="15" t="s">
        <v>11454</v>
      </c>
      <c r="C6335" s="15" t="s">
        <v>800</v>
      </c>
      <c r="D6335" s="15" t="s">
        <v>11455</v>
      </c>
      <c r="E6335" s="15">
        <v>10.83</v>
      </c>
      <c r="F6335" s="42">
        <v>46198</v>
      </c>
    </row>
    <row r="6336" spans="1:6" x14ac:dyDescent="0.3">
      <c r="A6336" s="15" t="s">
        <v>42440</v>
      </c>
      <c r="B6336" s="15" t="s">
        <v>11456</v>
      </c>
      <c r="C6336" s="15" t="s">
        <v>800</v>
      </c>
      <c r="D6336" s="15" t="s">
        <v>11457</v>
      </c>
      <c r="E6336" s="15">
        <v>10.83</v>
      </c>
      <c r="F6336" s="42">
        <v>46198</v>
      </c>
    </row>
    <row r="6337" spans="1:6" x14ac:dyDescent="0.3">
      <c r="A6337" s="15" t="s">
        <v>42439</v>
      </c>
      <c r="B6337" s="15" t="s">
        <v>11458</v>
      </c>
      <c r="C6337" s="15" t="s">
        <v>800</v>
      </c>
      <c r="D6337" s="15" t="s">
        <v>11459</v>
      </c>
      <c r="E6337" s="15">
        <v>234.58</v>
      </c>
      <c r="F6337" s="42">
        <v>46198</v>
      </c>
    </row>
    <row r="6338" spans="1:6" x14ac:dyDescent="0.3">
      <c r="A6338" s="15" t="s">
        <v>42438</v>
      </c>
      <c r="B6338" s="15" t="s">
        <v>11460</v>
      </c>
      <c r="C6338" s="15" t="s">
        <v>800</v>
      </c>
      <c r="D6338" s="15" t="s">
        <v>11461</v>
      </c>
      <c r="E6338" s="15">
        <v>45.14</v>
      </c>
      <c r="F6338" s="42">
        <v>46198</v>
      </c>
    </row>
    <row r="6339" spans="1:6" x14ac:dyDescent="0.3">
      <c r="A6339" s="15" t="s">
        <v>42437</v>
      </c>
      <c r="B6339" s="15" t="s">
        <v>11462</v>
      </c>
      <c r="C6339" s="15" t="s">
        <v>11463</v>
      </c>
      <c r="D6339" s="15" t="s">
        <v>11464</v>
      </c>
      <c r="E6339" s="15">
        <v>35.25</v>
      </c>
      <c r="F6339" s="42">
        <v>46198</v>
      </c>
    </row>
    <row r="6340" spans="1:6" x14ac:dyDescent="0.3">
      <c r="A6340" s="15" t="s">
        <v>42436</v>
      </c>
      <c r="B6340" s="15" t="s">
        <v>11465</v>
      </c>
      <c r="C6340" s="15" t="s">
        <v>800</v>
      </c>
      <c r="D6340" s="15" t="s">
        <v>11466</v>
      </c>
      <c r="E6340" s="15">
        <v>203.15</v>
      </c>
      <c r="F6340" s="42">
        <v>46198</v>
      </c>
    </row>
    <row r="6341" spans="1:6" x14ac:dyDescent="0.3">
      <c r="A6341" s="15" t="s">
        <v>42435</v>
      </c>
      <c r="B6341" s="15" t="s">
        <v>11467</v>
      </c>
      <c r="C6341" s="15" t="s">
        <v>800</v>
      </c>
      <c r="D6341" s="15" t="s">
        <v>11468</v>
      </c>
      <c r="E6341" s="15">
        <v>160.11000000000001</v>
      </c>
      <c r="F6341" s="42">
        <v>46198</v>
      </c>
    </row>
    <row r="6342" spans="1:6" x14ac:dyDescent="0.3">
      <c r="A6342" s="15" t="s">
        <v>42434</v>
      </c>
      <c r="B6342" s="15" t="s">
        <v>11469</v>
      </c>
      <c r="C6342" s="15" t="s">
        <v>800</v>
      </c>
      <c r="D6342" s="15" t="s">
        <v>11470</v>
      </c>
      <c r="E6342" s="15">
        <v>140.9</v>
      </c>
      <c r="F6342" s="42">
        <v>46198</v>
      </c>
    </row>
    <row r="6343" spans="1:6" x14ac:dyDescent="0.3">
      <c r="A6343" s="15" t="s">
        <v>42433</v>
      </c>
      <c r="B6343" s="15" t="s">
        <v>11471</v>
      </c>
      <c r="C6343" s="15" t="s">
        <v>11472</v>
      </c>
      <c r="D6343" s="15" t="s">
        <v>11473</v>
      </c>
      <c r="E6343" s="15">
        <v>48.01</v>
      </c>
      <c r="F6343" s="42">
        <v>46198</v>
      </c>
    </row>
    <row r="6344" spans="1:6" x14ac:dyDescent="0.3">
      <c r="A6344" s="15" t="s">
        <v>42432</v>
      </c>
      <c r="B6344" s="15" t="s">
        <v>11474</v>
      </c>
      <c r="C6344" s="15" t="s">
        <v>11475</v>
      </c>
      <c r="D6344" s="15" t="s">
        <v>11476</v>
      </c>
      <c r="E6344" s="15">
        <v>34.96</v>
      </c>
      <c r="F6344" s="42">
        <v>46198</v>
      </c>
    </row>
    <row r="6345" spans="1:6" x14ac:dyDescent="0.3">
      <c r="A6345" s="15" t="s">
        <v>42431</v>
      </c>
      <c r="B6345" s="15" t="s">
        <v>11477</v>
      </c>
      <c r="C6345" s="15" t="s">
        <v>11478</v>
      </c>
      <c r="D6345" s="15" t="s">
        <v>11479</v>
      </c>
      <c r="E6345" s="15">
        <v>15.45</v>
      </c>
      <c r="F6345" s="42">
        <v>46198</v>
      </c>
    </row>
    <row r="6346" spans="1:6" x14ac:dyDescent="0.3">
      <c r="A6346" s="15" t="s">
        <v>42430</v>
      </c>
      <c r="B6346" s="15" t="s">
        <v>11480</v>
      </c>
      <c r="C6346" s="15" t="s">
        <v>800</v>
      </c>
      <c r="D6346" s="15" t="s">
        <v>11481</v>
      </c>
      <c r="E6346" s="15">
        <v>19.02</v>
      </c>
      <c r="F6346" s="42">
        <v>46198</v>
      </c>
    </row>
    <row r="6347" spans="1:6" x14ac:dyDescent="0.3">
      <c r="A6347" s="15" t="s">
        <v>42429</v>
      </c>
      <c r="B6347" s="15" t="s">
        <v>11482</v>
      </c>
      <c r="C6347" s="15" t="s">
        <v>11483</v>
      </c>
      <c r="D6347" s="15" t="s">
        <v>11484</v>
      </c>
      <c r="E6347" s="15">
        <v>14.31</v>
      </c>
      <c r="F6347" s="42">
        <v>46198</v>
      </c>
    </row>
    <row r="6348" spans="1:6" x14ac:dyDescent="0.3">
      <c r="A6348" s="15" t="s">
        <v>42428</v>
      </c>
      <c r="B6348" s="15" t="s">
        <v>11485</v>
      </c>
      <c r="C6348" s="15" t="s">
        <v>800</v>
      </c>
      <c r="D6348" s="15" t="s">
        <v>11486</v>
      </c>
      <c r="E6348" s="15">
        <v>17.63</v>
      </c>
      <c r="F6348" s="42">
        <v>46198</v>
      </c>
    </row>
    <row r="6349" spans="1:6" x14ac:dyDescent="0.3">
      <c r="A6349" s="15" t="s">
        <v>42427</v>
      </c>
      <c r="B6349" s="15" t="s">
        <v>11487</v>
      </c>
      <c r="C6349" s="15" t="s">
        <v>800</v>
      </c>
      <c r="D6349" s="15" t="s">
        <v>11488</v>
      </c>
      <c r="E6349" s="15">
        <v>49.92</v>
      </c>
      <c r="F6349" s="42">
        <v>46198</v>
      </c>
    </row>
    <row r="6350" spans="1:6" x14ac:dyDescent="0.3">
      <c r="A6350" s="15" t="s">
        <v>42426</v>
      </c>
      <c r="B6350" s="15" t="s">
        <v>11489</v>
      </c>
      <c r="C6350" s="15" t="s">
        <v>11490</v>
      </c>
      <c r="D6350" s="15" t="s">
        <v>11491</v>
      </c>
      <c r="E6350" s="15">
        <v>29.41</v>
      </c>
      <c r="F6350" s="42">
        <v>46198</v>
      </c>
    </row>
    <row r="6351" spans="1:6" x14ac:dyDescent="0.3">
      <c r="A6351" s="15" t="s">
        <v>42425</v>
      </c>
      <c r="B6351" s="15" t="s">
        <v>11492</v>
      </c>
      <c r="C6351" s="15" t="s">
        <v>800</v>
      </c>
      <c r="D6351" s="15" t="s">
        <v>11493</v>
      </c>
      <c r="E6351" s="15">
        <v>119.1</v>
      </c>
      <c r="F6351" s="42">
        <v>46198</v>
      </c>
    </row>
    <row r="6352" spans="1:6" x14ac:dyDescent="0.3">
      <c r="A6352" s="15" t="s">
        <v>42424</v>
      </c>
      <c r="B6352" s="15" t="s">
        <v>11494</v>
      </c>
      <c r="C6352" s="15" t="s">
        <v>800</v>
      </c>
      <c r="D6352" s="15" t="s">
        <v>11495</v>
      </c>
      <c r="E6352" s="15">
        <v>107.1</v>
      </c>
      <c r="F6352" s="42">
        <v>46198</v>
      </c>
    </row>
    <row r="6353" spans="1:6" x14ac:dyDescent="0.3">
      <c r="A6353" s="15" t="s">
        <v>42423</v>
      </c>
      <c r="B6353" s="15" t="s">
        <v>11496</v>
      </c>
      <c r="C6353" s="15" t="s">
        <v>11497</v>
      </c>
      <c r="D6353" s="15" t="s">
        <v>11498</v>
      </c>
      <c r="E6353" s="15">
        <v>52.225900000000003</v>
      </c>
      <c r="F6353" s="42">
        <v>46198</v>
      </c>
    </row>
    <row r="6354" spans="1:6" x14ac:dyDescent="0.3">
      <c r="A6354" s="15" t="s">
        <v>42422</v>
      </c>
      <c r="B6354" s="15" t="s">
        <v>11499</v>
      </c>
      <c r="C6354" s="15" t="s">
        <v>800</v>
      </c>
      <c r="D6354" s="15" t="s">
        <v>11500</v>
      </c>
      <c r="E6354" s="15">
        <v>56.063400000000001</v>
      </c>
      <c r="F6354" s="42">
        <v>46198</v>
      </c>
    </row>
    <row r="6355" spans="1:6" x14ac:dyDescent="0.3">
      <c r="A6355" s="15" t="s">
        <v>42421</v>
      </c>
      <c r="B6355" s="15" t="s">
        <v>11501</v>
      </c>
      <c r="C6355" s="15" t="s">
        <v>800</v>
      </c>
      <c r="D6355" s="15" t="s">
        <v>11502</v>
      </c>
      <c r="E6355" s="15">
        <v>51.753900000000002</v>
      </c>
      <c r="F6355" s="42">
        <v>46198</v>
      </c>
    </row>
    <row r="6356" spans="1:6" x14ac:dyDescent="0.3">
      <c r="A6356" s="15" t="s">
        <v>42420</v>
      </c>
      <c r="B6356" s="15" t="s">
        <v>11503</v>
      </c>
      <c r="C6356" s="15" t="s">
        <v>11504</v>
      </c>
      <c r="D6356" s="15" t="s">
        <v>11505</v>
      </c>
      <c r="E6356" s="15">
        <v>22.0548</v>
      </c>
      <c r="F6356" s="42">
        <v>46198</v>
      </c>
    </row>
    <row r="6357" spans="1:6" x14ac:dyDescent="0.3">
      <c r="A6357" s="15" t="s">
        <v>42419</v>
      </c>
      <c r="B6357" s="15" t="s">
        <v>11506</v>
      </c>
      <c r="C6357" s="15" t="s">
        <v>11507</v>
      </c>
      <c r="D6357" s="15" t="s">
        <v>11508</v>
      </c>
      <c r="E6357" s="15">
        <v>23.1342</v>
      </c>
      <c r="F6357" s="42">
        <v>45135</v>
      </c>
    </row>
    <row r="6358" spans="1:6" x14ac:dyDescent="0.3">
      <c r="A6358" s="15" t="s">
        <v>42418</v>
      </c>
      <c r="B6358" s="15" t="s">
        <v>11509</v>
      </c>
      <c r="C6358" s="15" t="s">
        <v>800</v>
      </c>
      <c r="D6358" s="15" t="s">
        <v>11510</v>
      </c>
      <c r="E6358" s="15">
        <v>30.2806</v>
      </c>
      <c r="F6358" s="42">
        <v>45135</v>
      </c>
    </row>
    <row r="6359" spans="1:6" x14ac:dyDescent="0.3">
      <c r="A6359" s="15" t="s">
        <v>42417</v>
      </c>
      <c r="B6359" s="15" t="s">
        <v>11511</v>
      </c>
      <c r="C6359" s="15" t="s">
        <v>800</v>
      </c>
      <c r="D6359" s="15" t="s">
        <v>11512</v>
      </c>
      <c r="E6359" s="15">
        <v>28.803599999999999</v>
      </c>
      <c r="F6359" s="42">
        <v>45135</v>
      </c>
    </row>
    <row r="6360" spans="1:6" x14ac:dyDescent="0.3">
      <c r="A6360" s="15" t="s">
        <v>42416</v>
      </c>
      <c r="B6360" s="15" t="s">
        <v>11513</v>
      </c>
      <c r="C6360" s="15" t="s">
        <v>11514</v>
      </c>
      <c r="D6360" s="15" t="s">
        <v>11515</v>
      </c>
      <c r="E6360" s="15">
        <v>19.8371</v>
      </c>
      <c r="F6360" s="42">
        <v>45135</v>
      </c>
    </row>
    <row r="6361" spans="1:6" x14ac:dyDescent="0.3">
      <c r="A6361" s="15" t="s">
        <v>42415</v>
      </c>
      <c r="B6361" s="15" t="s">
        <v>11516</v>
      </c>
      <c r="C6361" s="15" t="s">
        <v>11517</v>
      </c>
      <c r="D6361" s="15" t="s">
        <v>11518</v>
      </c>
      <c r="E6361" s="15">
        <v>24.18</v>
      </c>
      <c r="F6361" s="42">
        <v>46198</v>
      </c>
    </row>
    <row r="6362" spans="1:6" x14ac:dyDescent="0.3">
      <c r="A6362" s="15" t="s">
        <v>42414</v>
      </c>
      <c r="B6362" s="15" t="s">
        <v>11519</v>
      </c>
      <c r="C6362" s="15" t="s">
        <v>800</v>
      </c>
      <c r="D6362" s="15" t="s">
        <v>11520</v>
      </c>
      <c r="E6362" s="15">
        <v>40.869999999999997</v>
      </c>
      <c r="F6362" s="42">
        <v>46198</v>
      </c>
    </row>
    <row r="6363" spans="1:6" x14ac:dyDescent="0.3">
      <c r="A6363" s="15" t="s">
        <v>42413</v>
      </c>
      <c r="B6363" s="15" t="s">
        <v>11521</v>
      </c>
      <c r="C6363" s="15" t="s">
        <v>11522</v>
      </c>
      <c r="D6363" s="15" t="s">
        <v>11523</v>
      </c>
      <c r="E6363" s="15">
        <v>21.92</v>
      </c>
      <c r="F6363" s="42">
        <v>46198</v>
      </c>
    </row>
    <row r="6364" spans="1:6" x14ac:dyDescent="0.3">
      <c r="A6364" s="15" t="s">
        <v>42412</v>
      </c>
      <c r="B6364" s="15" t="s">
        <v>11524</v>
      </c>
      <c r="C6364" s="15" t="s">
        <v>800</v>
      </c>
      <c r="D6364" s="15" t="s">
        <v>11525</v>
      </c>
      <c r="E6364" s="15">
        <v>36.82</v>
      </c>
      <c r="F6364" s="42">
        <v>46198</v>
      </c>
    </row>
    <row r="6365" spans="1:6" x14ac:dyDescent="0.3">
      <c r="A6365" s="15" t="s">
        <v>42411</v>
      </c>
      <c r="B6365" s="15" t="s">
        <v>11526</v>
      </c>
      <c r="C6365" s="15" t="s">
        <v>11527</v>
      </c>
      <c r="D6365" s="15" t="s">
        <v>11528</v>
      </c>
      <c r="E6365" s="15">
        <v>428.94</v>
      </c>
      <c r="F6365" s="42">
        <v>46198</v>
      </c>
    </row>
    <row r="6366" spans="1:6" x14ac:dyDescent="0.3">
      <c r="A6366" s="15" t="s">
        <v>42410</v>
      </c>
      <c r="B6366" s="15" t="s">
        <v>11529</v>
      </c>
      <c r="C6366" s="15" t="s">
        <v>800</v>
      </c>
      <c r="D6366" s="15" t="s">
        <v>11530</v>
      </c>
      <c r="E6366" s="15">
        <v>1440.58</v>
      </c>
      <c r="F6366" s="42">
        <v>46198</v>
      </c>
    </row>
    <row r="6367" spans="1:6" x14ac:dyDescent="0.3">
      <c r="A6367" s="15" t="s">
        <v>42409</v>
      </c>
      <c r="B6367" s="15" t="s">
        <v>11531</v>
      </c>
      <c r="C6367" s="15" t="s">
        <v>800</v>
      </c>
      <c r="D6367" s="15" t="s">
        <v>11532</v>
      </c>
      <c r="E6367" s="15">
        <v>1286.19</v>
      </c>
      <c r="F6367" s="42">
        <v>46198</v>
      </c>
    </row>
    <row r="6368" spans="1:6" x14ac:dyDescent="0.3">
      <c r="A6368" s="15" t="s">
        <v>42408</v>
      </c>
      <c r="B6368" s="15" t="s">
        <v>11533</v>
      </c>
      <c r="C6368" s="15" t="s">
        <v>11534</v>
      </c>
      <c r="D6368" s="15" t="s">
        <v>11535</v>
      </c>
      <c r="E6368" s="15">
        <v>206.84</v>
      </c>
      <c r="F6368" s="42">
        <v>46198</v>
      </c>
    </row>
    <row r="6369" spans="1:6" x14ac:dyDescent="0.3">
      <c r="A6369" s="15" t="s">
        <v>42407</v>
      </c>
      <c r="B6369" s="15" t="s">
        <v>11536</v>
      </c>
      <c r="C6369" s="15" t="s">
        <v>11537</v>
      </c>
      <c r="D6369" s="15" t="s">
        <v>11538</v>
      </c>
      <c r="E6369" s="15">
        <v>24.79</v>
      </c>
      <c r="F6369" s="42">
        <v>46198</v>
      </c>
    </row>
    <row r="6370" spans="1:6" x14ac:dyDescent="0.3">
      <c r="A6370" s="15" t="s">
        <v>42406</v>
      </c>
      <c r="B6370" s="15" t="s">
        <v>11539</v>
      </c>
      <c r="C6370" s="15" t="s">
        <v>800</v>
      </c>
      <c r="D6370" s="15" t="s">
        <v>11540</v>
      </c>
      <c r="E6370" s="15">
        <v>38.119999999999997</v>
      </c>
      <c r="F6370" s="42">
        <v>46198</v>
      </c>
    </row>
    <row r="6371" spans="1:6" x14ac:dyDescent="0.3">
      <c r="A6371" s="15" t="s">
        <v>42405</v>
      </c>
      <c r="B6371" s="15" t="s">
        <v>11541</v>
      </c>
      <c r="C6371" s="15" t="s">
        <v>11542</v>
      </c>
      <c r="D6371" s="15" t="s">
        <v>11543</v>
      </c>
      <c r="E6371" s="15">
        <v>22.65</v>
      </c>
      <c r="F6371" s="42">
        <v>46198</v>
      </c>
    </row>
    <row r="6372" spans="1:6" x14ac:dyDescent="0.3">
      <c r="A6372" s="15" t="s">
        <v>42404</v>
      </c>
      <c r="B6372" s="15" t="s">
        <v>11544</v>
      </c>
      <c r="C6372" s="15" t="s">
        <v>800</v>
      </c>
      <c r="D6372" s="15" t="s">
        <v>11545</v>
      </c>
      <c r="E6372" s="15">
        <v>34.299999999999997</v>
      </c>
      <c r="F6372" s="42">
        <v>46198</v>
      </c>
    </row>
    <row r="6373" spans="1:6" x14ac:dyDescent="0.3">
      <c r="A6373" s="15" t="s">
        <v>42403</v>
      </c>
      <c r="B6373" s="15" t="s">
        <v>11546</v>
      </c>
      <c r="C6373" s="15" t="s">
        <v>800</v>
      </c>
      <c r="D6373" s="15" t="s">
        <v>11547</v>
      </c>
      <c r="E6373" s="15">
        <v>30.43</v>
      </c>
      <c r="F6373" s="42">
        <v>46198</v>
      </c>
    </row>
    <row r="6374" spans="1:6" x14ac:dyDescent="0.3">
      <c r="A6374" s="15" t="s">
        <v>42402</v>
      </c>
      <c r="B6374" s="15" t="s">
        <v>11548</v>
      </c>
      <c r="C6374" s="15" t="s">
        <v>800</v>
      </c>
      <c r="D6374" s="15" t="s">
        <v>11549</v>
      </c>
      <c r="E6374" s="15">
        <v>40.07</v>
      </c>
      <c r="F6374" s="42">
        <v>46198</v>
      </c>
    </row>
    <row r="6375" spans="1:6" x14ac:dyDescent="0.3">
      <c r="A6375" s="15" t="s">
        <v>42401</v>
      </c>
      <c r="B6375" s="15" t="s">
        <v>11550</v>
      </c>
      <c r="C6375" s="15" t="s">
        <v>800</v>
      </c>
      <c r="D6375" s="15" t="s">
        <v>11551</v>
      </c>
      <c r="E6375" s="15">
        <v>26</v>
      </c>
      <c r="F6375" s="42">
        <v>46198</v>
      </c>
    </row>
    <row r="6376" spans="1:6" x14ac:dyDescent="0.3">
      <c r="A6376" s="15" t="s">
        <v>42400</v>
      </c>
      <c r="B6376" s="15" t="s">
        <v>11552</v>
      </c>
      <c r="C6376" s="15" t="s">
        <v>800</v>
      </c>
      <c r="D6376" s="15" t="s">
        <v>11553</v>
      </c>
      <c r="E6376" s="15">
        <v>36.26</v>
      </c>
      <c r="F6376" s="42">
        <v>46198</v>
      </c>
    </row>
    <row r="6377" spans="1:6" x14ac:dyDescent="0.3">
      <c r="A6377" s="15" t="s">
        <v>42399</v>
      </c>
      <c r="B6377" s="15" t="s">
        <v>11554</v>
      </c>
      <c r="C6377" s="15" t="s">
        <v>800</v>
      </c>
      <c r="D6377" s="15" t="s">
        <v>11555</v>
      </c>
      <c r="E6377" s="15">
        <v>10.33</v>
      </c>
      <c r="F6377" s="42">
        <v>46198</v>
      </c>
    </row>
    <row r="6378" spans="1:6" x14ac:dyDescent="0.3">
      <c r="A6378" s="15" t="s">
        <v>42398</v>
      </c>
      <c r="B6378" s="15" t="s">
        <v>11556</v>
      </c>
      <c r="C6378" s="15" t="s">
        <v>800</v>
      </c>
      <c r="D6378" s="15" t="s">
        <v>11557</v>
      </c>
      <c r="E6378" s="15">
        <v>10.32</v>
      </c>
      <c r="F6378" s="42">
        <v>46198</v>
      </c>
    </row>
    <row r="6379" spans="1:6" x14ac:dyDescent="0.3">
      <c r="A6379" s="15" t="s">
        <v>42397</v>
      </c>
      <c r="B6379" s="15" t="s">
        <v>11558</v>
      </c>
      <c r="C6379" s="15" t="s">
        <v>800</v>
      </c>
      <c r="D6379" s="15" t="s">
        <v>11559</v>
      </c>
      <c r="E6379" s="15">
        <v>10.039999999999999</v>
      </c>
      <c r="F6379" s="42">
        <v>46198</v>
      </c>
    </row>
    <row r="6380" spans="1:6" x14ac:dyDescent="0.3">
      <c r="A6380" s="15" t="s">
        <v>42396</v>
      </c>
      <c r="B6380" s="15" t="s">
        <v>11560</v>
      </c>
      <c r="C6380" s="15" t="s">
        <v>800</v>
      </c>
      <c r="D6380" s="15" t="s">
        <v>11561</v>
      </c>
      <c r="E6380" s="15">
        <v>10.02</v>
      </c>
      <c r="F6380" s="42">
        <v>46198</v>
      </c>
    </row>
    <row r="6381" spans="1:6" x14ac:dyDescent="0.3">
      <c r="A6381" s="15" t="s">
        <v>42395</v>
      </c>
      <c r="B6381" s="15" t="s">
        <v>11562</v>
      </c>
      <c r="C6381" s="15" t="s">
        <v>11563</v>
      </c>
      <c r="D6381" s="15" t="s">
        <v>11564</v>
      </c>
      <c r="E6381" s="15">
        <v>23.31</v>
      </c>
      <c r="F6381" s="42">
        <v>46198</v>
      </c>
    </row>
    <row r="6382" spans="1:6" x14ac:dyDescent="0.3">
      <c r="A6382" s="15" t="s">
        <v>42394</v>
      </c>
      <c r="B6382" s="15" t="s">
        <v>11565</v>
      </c>
      <c r="C6382" s="15" t="s">
        <v>800</v>
      </c>
      <c r="D6382" s="15" t="s">
        <v>11566</v>
      </c>
      <c r="E6382" s="15">
        <v>30</v>
      </c>
      <c r="F6382" s="42">
        <v>46198</v>
      </c>
    </row>
    <row r="6383" spans="1:6" x14ac:dyDescent="0.3">
      <c r="A6383" s="15" t="s">
        <v>42393</v>
      </c>
      <c r="B6383" s="15" t="s">
        <v>11567</v>
      </c>
      <c r="C6383" s="15" t="s">
        <v>11568</v>
      </c>
      <c r="D6383" s="15" t="s">
        <v>11569</v>
      </c>
      <c r="E6383" s="15">
        <v>21.54</v>
      </c>
      <c r="F6383" s="42">
        <v>46198</v>
      </c>
    </row>
    <row r="6384" spans="1:6" x14ac:dyDescent="0.3">
      <c r="A6384" s="15" t="s">
        <v>42392</v>
      </c>
      <c r="B6384" s="15" t="s">
        <v>11570</v>
      </c>
      <c r="C6384" s="15" t="s">
        <v>800</v>
      </c>
      <c r="D6384" s="15" t="s">
        <v>11571</v>
      </c>
      <c r="E6384" s="15">
        <v>27.74</v>
      </c>
      <c r="F6384" s="42">
        <v>46198</v>
      </c>
    </row>
    <row r="6385" spans="1:6" x14ac:dyDescent="0.3">
      <c r="A6385" s="15" t="s">
        <v>42391</v>
      </c>
      <c r="B6385" s="15" t="s">
        <v>11572</v>
      </c>
      <c r="C6385" s="15" t="s">
        <v>800</v>
      </c>
      <c r="D6385" s="15" t="s">
        <v>11573</v>
      </c>
      <c r="E6385" s="15">
        <v>16.18</v>
      </c>
      <c r="F6385" s="42">
        <v>46198</v>
      </c>
    </row>
    <row r="6386" spans="1:6" x14ac:dyDescent="0.3">
      <c r="A6386" s="15" t="s">
        <v>42390</v>
      </c>
      <c r="B6386" s="15" t="s">
        <v>11574</v>
      </c>
      <c r="C6386" s="15" t="s">
        <v>800</v>
      </c>
      <c r="D6386" s="15" t="s">
        <v>11575</v>
      </c>
      <c r="E6386" s="15">
        <v>16.18</v>
      </c>
      <c r="F6386" s="42">
        <v>46198</v>
      </c>
    </row>
    <row r="6387" spans="1:6" x14ac:dyDescent="0.3">
      <c r="A6387" s="15" t="s">
        <v>42389</v>
      </c>
      <c r="B6387" s="15" t="s">
        <v>11576</v>
      </c>
      <c r="C6387" s="15" t="s">
        <v>800</v>
      </c>
      <c r="D6387" s="15" t="s">
        <v>11577</v>
      </c>
      <c r="E6387" s="15">
        <v>15.6</v>
      </c>
      <c r="F6387" s="42">
        <v>46198</v>
      </c>
    </row>
    <row r="6388" spans="1:6" x14ac:dyDescent="0.3">
      <c r="A6388" s="15" t="s">
        <v>42388</v>
      </c>
      <c r="B6388" s="15" t="s">
        <v>11578</v>
      </c>
      <c r="C6388" s="15" t="s">
        <v>800</v>
      </c>
      <c r="D6388" s="15" t="s">
        <v>11579</v>
      </c>
      <c r="E6388" s="15">
        <v>15.6</v>
      </c>
      <c r="F6388" s="42">
        <v>46198</v>
      </c>
    </row>
    <row r="6389" spans="1:6" x14ac:dyDescent="0.3">
      <c r="A6389" s="15" t="s">
        <v>33499</v>
      </c>
      <c r="B6389" s="15" t="s">
        <v>795</v>
      </c>
      <c r="C6389" s="15" t="s">
        <v>795</v>
      </c>
      <c r="D6389" s="15" t="s">
        <v>795</v>
      </c>
      <c r="F6389" s="42"/>
    </row>
    <row r="6390" spans="1:6" x14ac:dyDescent="0.3">
      <c r="A6390" s="15" t="s">
        <v>37087</v>
      </c>
      <c r="B6390" s="15" t="s">
        <v>795</v>
      </c>
      <c r="C6390" s="15" t="s">
        <v>795</v>
      </c>
      <c r="D6390" s="15" t="s">
        <v>795</v>
      </c>
      <c r="F6390" s="42"/>
    </row>
    <row r="6391" spans="1:6" x14ac:dyDescent="0.3">
      <c r="A6391" s="15" t="s">
        <v>33499</v>
      </c>
      <c r="B6391" s="15" t="s">
        <v>795</v>
      </c>
      <c r="C6391" s="15" t="s">
        <v>795</v>
      </c>
      <c r="D6391" s="15" t="s">
        <v>795</v>
      </c>
      <c r="F6391" s="42"/>
    </row>
    <row r="6392" spans="1:6" x14ac:dyDescent="0.3">
      <c r="A6392" s="15" t="s">
        <v>42387</v>
      </c>
      <c r="B6392" s="15" t="s">
        <v>11580</v>
      </c>
      <c r="C6392" s="15" t="s">
        <v>800</v>
      </c>
      <c r="D6392" s="15" t="s">
        <v>11581</v>
      </c>
      <c r="E6392" s="15">
        <v>17.32</v>
      </c>
      <c r="F6392" s="42">
        <v>46198</v>
      </c>
    </row>
    <row r="6393" spans="1:6" x14ac:dyDescent="0.3">
      <c r="A6393" s="15" t="s">
        <v>42386</v>
      </c>
      <c r="B6393" s="15" t="s">
        <v>11582</v>
      </c>
      <c r="C6393" s="15" t="s">
        <v>11583</v>
      </c>
      <c r="D6393" s="15" t="s">
        <v>11584</v>
      </c>
      <c r="E6393" s="15">
        <v>17.309999999999999</v>
      </c>
      <c r="F6393" s="42">
        <v>46198</v>
      </c>
    </row>
    <row r="6394" spans="1:6" x14ac:dyDescent="0.3">
      <c r="A6394" s="15" t="s">
        <v>42385</v>
      </c>
      <c r="B6394" s="15" t="s">
        <v>11585</v>
      </c>
      <c r="C6394" s="15" t="s">
        <v>800</v>
      </c>
      <c r="D6394" s="15" t="s">
        <v>11586</v>
      </c>
      <c r="E6394" s="15">
        <v>16.57</v>
      </c>
      <c r="F6394" s="42">
        <v>46198</v>
      </c>
    </row>
    <row r="6395" spans="1:6" x14ac:dyDescent="0.3">
      <c r="A6395" s="15" t="s">
        <v>42384</v>
      </c>
      <c r="B6395" s="15" t="s">
        <v>11587</v>
      </c>
      <c r="C6395" s="15" t="s">
        <v>11588</v>
      </c>
      <c r="D6395" s="15" t="s">
        <v>11589</v>
      </c>
      <c r="E6395" s="15">
        <v>16.57</v>
      </c>
      <c r="F6395" s="42">
        <v>46198</v>
      </c>
    </row>
    <row r="6396" spans="1:6" x14ac:dyDescent="0.3">
      <c r="A6396" s="15" t="s">
        <v>42383</v>
      </c>
      <c r="B6396" s="15" t="s">
        <v>11590</v>
      </c>
      <c r="C6396" s="15" t="s">
        <v>800</v>
      </c>
      <c r="D6396" s="15" t="s">
        <v>11591</v>
      </c>
      <c r="E6396" s="15">
        <v>9.2899999999999991</v>
      </c>
      <c r="F6396" s="42">
        <v>46198</v>
      </c>
    </row>
    <row r="6397" spans="1:6" x14ac:dyDescent="0.3">
      <c r="A6397" s="15" t="s">
        <v>42382</v>
      </c>
      <c r="B6397" s="15" t="s">
        <v>11592</v>
      </c>
      <c r="C6397" s="15" t="s">
        <v>11593</v>
      </c>
      <c r="D6397" s="15" t="s">
        <v>11594</v>
      </c>
      <c r="E6397" s="15">
        <v>9.2899999999999991</v>
      </c>
      <c r="F6397" s="42">
        <v>46198</v>
      </c>
    </row>
    <row r="6398" spans="1:6" x14ac:dyDescent="0.3">
      <c r="A6398" s="15" t="s">
        <v>42381</v>
      </c>
      <c r="B6398" s="15" t="s">
        <v>11595</v>
      </c>
      <c r="C6398" s="15" t="s">
        <v>800</v>
      </c>
      <c r="D6398" s="15" t="s">
        <v>11596</v>
      </c>
      <c r="E6398" s="15">
        <v>9.06</v>
      </c>
      <c r="F6398" s="42">
        <v>46198</v>
      </c>
    </row>
    <row r="6399" spans="1:6" x14ac:dyDescent="0.3">
      <c r="A6399" s="15" t="s">
        <v>42380</v>
      </c>
      <c r="B6399" s="15" t="s">
        <v>11597</v>
      </c>
      <c r="C6399" s="15" t="s">
        <v>11598</v>
      </c>
      <c r="D6399" s="15" t="s">
        <v>11599</v>
      </c>
      <c r="E6399" s="15">
        <v>9.06</v>
      </c>
      <c r="F6399" s="42">
        <v>46198</v>
      </c>
    </row>
    <row r="6400" spans="1:6" x14ac:dyDescent="0.3">
      <c r="A6400" s="15" t="s">
        <v>42379</v>
      </c>
      <c r="B6400" s="15" t="s">
        <v>11600</v>
      </c>
      <c r="C6400" s="15" t="s">
        <v>800</v>
      </c>
      <c r="D6400" s="15" t="s">
        <v>11601</v>
      </c>
      <c r="E6400" s="15">
        <v>22.61</v>
      </c>
      <c r="F6400" s="42">
        <v>46198</v>
      </c>
    </row>
    <row r="6401" spans="1:6" x14ac:dyDescent="0.3">
      <c r="A6401" s="15" t="s">
        <v>42378</v>
      </c>
      <c r="B6401" s="15" t="s">
        <v>11602</v>
      </c>
      <c r="C6401" s="15" t="s">
        <v>11603</v>
      </c>
      <c r="D6401" s="15" t="s">
        <v>11604</v>
      </c>
      <c r="E6401" s="15">
        <v>14.79</v>
      </c>
      <c r="F6401" s="42">
        <v>46198</v>
      </c>
    </row>
    <row r="6402" spans="1:6" x14ac:dyDescent="0.3">
      <c r="A6402" s="15" t="s">
        <v>42377</v>
      </c>
      <c r="B6402" s="15" t="s">
        <v>11605</v>
      </c>
      <c r="C6402" s="15" t="s">
        <v>800</v>
      </c>
      <c r="D6402" s="15" t="s">
        <v>11606</v>
      </c>
      <c r="E6402" s="15">
        <v>20.9</v>
      </c>
      <c r="F6402" s="42">
        <v>46198</v>
      </c>
    </row>
    <row r="6403" spans="1:6" x14ac:dyDescent="0.3">
      <c r="A6403" s="15" t="s">
        <v>42376</v>
      </c>
      <c r="B6403" s="15" t="s">
        <v>11607</v>
      </c>
      <c r="C6403" s="15" t="s">
        <v>11608</v>
      </c>
      <c r="D6403" s="15" t="s">
        <v>11609</v>
      </c>
      <c r="E6403" s="15">
        <v>13.64</v>
      </c>
      <c r="F6403" s="42">
        <v>46198</v>
      </c>
    </row>
    <row r="6404" spans="1:6" x14ac:dyDescent="0.3">
      <c r="A6404" s="15" t="s">
        <v>42375</v>
      </c>
      <c r="B6404" s="15" t="s">
        <v>11610</v>
      </c>
      <c r="C6404" s="15" t="s">
        <v>800</v>
      </c>
      <c r="D6404" s="15" t="s">
        <v>11611</v>
      </c>
      <c r="E6404" s="15">
        <v>15.73</v>
      </c>
      <c r="F6404" s="42">
        <v>46198</v>
      </c>
    </row>
    <row r="6405" spans="1:6" x14ac:dyDescent="0.3">
      <c r="A6405" s="15" t="s">
        <v>42374</v>
      </c>
      <c r="B6405" s="15" t="s">
        <v>11612</v>
      </c>
      <c r="C6405" s="15" t="s">
        <v>11613</v>
      </c>
      <c r="D6405" s="15" t="s">
        <v>11614</v>
      </c>
      <c r="E6405" s="15">
        <v>15.73</v>
      </c>
      <c r="F6405" s="42">
        <v>46198</v>
      </c>
    </row>
    <row r="6406" spans="1:6" x14ac:dyDescent="0.3">
      <c r="A6406" s="15" t="s">
        <v>42373</v>
      </c>
      <c r="B6406" s="15" t="s">
        <v>11615</v>
      </c>
      <c r="C6406" s="15" t="s">
        <v>800</v>
      </c>
      <c r="D6406" s="15" t="s">
        <v>11616</v>
      </c>
      <c r="E6406" s="15">
        <v>15.19</v>
      </c>
      <c r="F6406" s="42">
        <v>46198</v>
      </c>
    </row>
    <row r="6407" spans="1:6" x14ac:dyDescent="0.3">
      <c r="A6407" s="15" t="s">
        <v>42372</v>
      </c>
      <c r="B6407" s="15" t="s">
        <v>11617</v>
      </c>
      <c r="C6407" s="15" t="s">
        <v>11618</v>
      </c>
      <c r="D6407" s="15" t="s">
        <v>11619</v>
      </c>
      <c r="E6407" s="15">
        <v>15.19</v>
      </c>
      <c r="F6407" s="42">
        <v>46198</v>
      </c>
    </row>
    <row r="6408" spans="1:6" x14ac:dyDescent="0.3">
      <c r="A6408" s="15" t="s">
        <v>42371</v>
      </c>
      <c r="B6408" s="15" t="s">
        <v>11620</v>
      </c>
      <c r="C6408" s="15" t="s">
        <v>800</v>
      </c>
      <c r="D6408" s="15" t="s">
        <v>11621</v>
      </c>
      <c r="E6408" s="15">
        <v>20.55</v>
      </c>
      <c r="F6408" s="42">
        <v>46198</v>
      </c>
    </row>
    <row r="6409" spans="1:6" x14ac:dyDescent="0.3">
      <c r="A6409" s="15" t="s">
        <v>42370</v>
      </c>
      <c r="B6409" s="15" t="s">
        <v>11622</v>
      </c>
      <c r="C6409" s="15" t="s">
        <v>11623</v>
      </c>
      <c r="D6409" s="15" t="s">
        <v>11624</v>
      </c>
      <c r="E6409" s="15">
        <v>17.21</v>
      </c>
      <c r="F6409" s="42">
        <v>46198</v>
      </c>
    </row>
    <row r="6410" spans="1:6" x14ac:dyDescent="0.3">
      <c r="A6410" s="15" t="s">
        <v>42369</v>
      </c>
      <c r="B6410" s="15" t="s">
        <v>11625</v>
      </c>
      <c r="C6410" s="15" t="s">
        <v>800</v>
      </c>
      <c r="D6410" s="15" t="s">
        <v>11626</v>
      </c>
      <c r="E6410" s="15">
        <v>19.18</v>
      </c>
      <c r="F6410" s="42">
        <v>46198</v>
      </c>
    </row>
    <row r="6411" spans="1:6" x14ac:dyDescent="0.3">
      <c r="A6411" s="15" t="s">
        <v>42368</v>
      </c>
      <c r="B6411" s="15" t="s">
        <v>11627</v>
      </c>
      <c r="C6411" s="15" t="s">
        <v>11628</v>
      </c>
      <c r="D6411" s="15" t="s">
        <v>11629</v>
      </c>
      <c r="E6411" s="15">
        <v>16.05</v>
      </c>
      <c r="F6411" s="42">
        <v>46198</v>
      </c>
    </row>
    <row r="6412" spans="1:6" x14ac:dyDescent="0.3">
      <c r="A6412" s="15" t="s">
        <v>42367</v>
      </c>
      <c r="B6412" s="15" t="s">
        <v>11630</v>
      </c>
      <c r="C6412" s="15" t="s">
        <v>800</v>
      </c>
      <c r="D6412" s="15" t="s">
        <v>11631</v>
      </c>
      <c r="E6412" s="15">
        <v>8.93</v>
      </c>
      <c r="F6412" s="42">
        <v>46198</v>
      </c>
    </row>
    <row r="6413" spans="1:6" x14ac:dyDescent="0.3">
      <c r="A6413" s="15" t="s">
        <v>42366</v>
      </c>
      <c r="B6413" s="15" t="s">
        <v>11632</v>
      </c>
      <c r="C6413" s="15" t="s">
        <v>11633</v>
      </c>
      <c r="D6413" s="15" t="s">
        <v>11634</v>
      </c>
      <c r="E6413" s="15">
        <v>8.93</v>
      </c>
      <c r="F6413" s="42">
        <v>46198</v>
      </c>
    </row>
    <row r="6414" spans="1:6" x14ac:dyDescent="0.3">
      <c r="A6414" s="15" t="s">
        <v>42365</v>
      </c>
      <c r="B6414" s="15" t="s">
        <v>11635</v>
      </c>
      <c r="C6414" s="15" t="s">
        <v>800</v>
      </c>
      <c r="D6414" s="15" t="s">
        <v>11636</v>
      </c>
      <c r="E6414" s="15">
        <v>8.7200000000000006</v>
      </c>
      <c r="F6414" s="42">
        <v>46198</v>
      </c>
    </row>
    <row r="6415" spans="1:6" x14ac:dyDescent="0.3">
      <c r="A6415" s="15" t="s">
        <v>42364</v>
      </c>
      <c r="B6415" s="15" t="s">
        <v>11637</v>
      </c>
      <c r="C6415" s="15" t="s">
        <v>11638</v>
      </c>
      <c r="D6415" s="15" t="s">
        <v>11639</v>
      </c>
      <c r="E6415" s="15">
        <v>8.7200000000000006</v>
      </c>
      <c r="F6415" s="42">
        <v>46198</v>
      </c>
    </row>
    <row r="6416" spans="1:6" x14ac:dyDescent="0.3">
      <c r="A6416" s="15" t="s">
        <v>42363</v>
      </c>
      <c r="B6416" s="15" t="s">
        <v>11640</v>
      </c>
      <c r="C6416" s="15" t="s">
        <v>800</v>
      </c>
      <c r="D6416" s="15" t="s">
        <v>11641</v>
      </c>
      <c r="E6416" s="15">
        <v>17.350000000000001</v>
      </c>
      <c r="F6416" s="42">
        <v>46198</v>
      </c>
    </row>
    <row r="6417" spans="1:6" x14ac:dyDescent="0.3">
      <c r="A6417" s="15" t="s">
        <v>42362</v>
      </c>
      <c r="B6417" s="15" t="s">
        <v>11642</v>
      </c>
      <c r="C6417" s="15" t="s">
        <v>11643</v>
      </c>
      <c r="D6417" s="15" t="s">
        <v>11644</v>
      </c>
      <c r="E6417" s="15">
        <v>17.34</v>
      </c>
      <c r="F6417" s="42">
        <v>46198</v>
      </c>
    </row>
    <row r="6418" spans="1:6" x14ac:dyDescent="0.3">
      <c r="A6418" s="15" t="s">
        <v>42361</v>
      </c>
      <c r="B6418" s="15" t="s">
        <v>11645</v>
      </c>
      <c r="C6418" s="15" t="s">
        <v>800</v>
      </c>
      <c r="D6418" s="15" t="s">
        <v>11646</v>
      </c>
      <c r="E6418" s="15">
        <v>16.03</v>
      </c>
      <c r="F6418" s="42">
        <v>46198</v>
      </c>
    </row>
    <row r="6419" spans="1:6" x14ac:dyDescent="0.3">
      <c r="A6419" s="15" t="s">
        <v>42360</v>
      </c>
      <c r="B6419" s="15" t="s">
        <v>11647</v>
      </c>
      <c r="C6419" s="15" t="s">
        <v>11648</v>
      </c>
      <c r="D6419" s="15" t="s">
        <v>11649</v>
      </c>
      <c r="E6419" s="15">
        <v>16.03</v>
      </c>
      <c r="F6419" s="42">
        <v>46198</v>
      </c>
    </row>
    <row r="6420" spans="1:6" x14ac:dyDescent="0.3">
      <c r="A6420" s="15" t="s">
        <v>42359</v>
      </c>
      <c r="B6420" s="15" t="s">
        <v>11650</v>
      </c>
      <c r="C6420" s="15" t="s">
        <v>800</v>
      </c>
      <c r="D6420" s="15" t="s">
        <v>11651</v>
      </c>
      <c r="E6420" s="15">
        <v>9.81</v>
      </c>
      <c r="F6420" s="42">
        <v>46198</v>
      </c>
    </row>
    <row r="6421" spans="1:6" x14ac:dyDescent="0.3">
      <c r="A6421" s="15" t="s">
        <v>42358</v>
      </c>
      <c r="B6421" s="15" t="s">
        <v>11652</v>
      </c>
      <c r="C6421" s="15" t="s">
        <v>11653</v>
      </c>
      <c r="D6421" s="15" t="s">
        <v>11654</v>
      </c>
      <c r="E6421" s="15">
        <v>9.81</v>
      </c>
      <c r="F6421" s="42">
        <v>46198</v>
      </c>
    </row>
    <row r="6422" spans="1:6" x14ac:dyDescent="0.3">
      <c r="A6422" s="15" t="s">
        <v>42357</v>
      </c>
      <c r="B6422" s="15" t="s">
        <v>11655</v>
      </c>
      <c r="C6422" s="15" t="s">
        <v>800</v>
      </c>
      <c r="D6422" s="15" t="s">
        <v>11656</v>
      </c>
      <c r="E6422" s="15">
        <v>9.68</v>
      </c>
      <c r="F6422" s="42">
        <v>46198</v>
      </c>
    </row>
    <row r="6423" spans="1:6" x14ac:dyDescent="0.3">
      <c r="A6423" s="15" t="s">
        <v>42356</v>
      </c>
      <c r="B6423" s="15" t="s">
        <v>11657</v>
      </c>
      <c r="C6423" s="15" t="s">
        <v>11658</v>
      </c>
      <c r="D6423" s="15" t="s">
        <v>11659</v>
      </c>
      <c r="E6423" s="15">
        <v>9.68</v>
      </c>
      <c r="F6423" s="42">
        <v>46198</v>
      </c>
    </row>
    <row r="6424" spans="1:6" x14ac:dyDescent="0.3">
      <c r="A6424" s="15" t="s">
        <v>33499</v>
      </c>
      <c r="B6424" s="15" t="s">
        <v>795</v>
      </c>
      <c r="C6424" s="15" t="s">
        <v>795</v>
      </c>
      <c r="D6424" s="15" t="s">
        <v>795</v>
      </c>
      <c r="F6424" s="42"/>
    </row>
    <row r="6425" spans="1:6" x14ac:dyDescent="0.3">
      <c r="A6425" s="15" t="s">
        <v>37923</v>
      </c>
      <c r="B6425" s="15" t="s">
        <v>795</v>
      </c>
      <c r="C6425" s="15" t="s">
        <v>795</v>
      </c>
      <c r="D6425" s="15" t="s">
        <v>795</v>
      </c>
      <c r="F6425" s="42"/>
    </row>
    <row r="6426" spans="1:6" x14ac:dyDescent="0.3">
      <c r="A6426" s="15" t="s">
        <v>33499</v>
      </c>
      <c r="B6426" s="15" t="s">
        <v>795</v>
      </c>
      <c r="C6426" s="15" t="s">
        <v>795</v>
      </c>
      <c r="D6426" s="15" t="s">
        <v>795</v>
      </c>
      <c r="F6426" s="42"/>
    </row>
    <row r="6427" spans="1:6" x14ac:dyDescent="0.3">
      <c r="A6427" s="15" t="s">
        <v>42355</v>
      </c>
      <c r="B6427" s="15" t="s">
        <v>11660</v>
      </c>
      <c r="C6427" s="15" t="s">
        <v>800</v>
      </c>
      <c r="D6427" s="15" t="s">
        <v>11661</v>
      </c>
      <c r="E6427" s="15">
        <v>10.113</v>
      </c>
      <c r="F6427" s="42">
        <v>46198</v>
      </c>
    </row>
    <row r="6428" spans="1:6" x14ac:dyDescent="0.3">
      <c r="A6428" s="15" t="s">
        <v>42354</v>
      </c>
      <c r="B6428" s="15" t="s">
        <v>11662</v>
      </c>
      <c r="C6428" s="15" t="s">
        <v>11663</v>
      </c>
      <c r="D6428" s="15" t="s">
        <v>11664</v>
      </c>
      <c r="E6428" s="15">
        <v>10.113</v>
      </c>
      <c r="F6428" s="42">
        <v>46198</v>
      </c>
    </row>
    <row r="6429" spans="1:6" x14ac:dyDescent="0.3">
      <c r="A6429" s="15" t="s">
        <v>42353</v>
      </c>
      <c r="B6429" s="15" t="s">
        <v>11665</v>
      </c>
      <c r="C6429" s="15" t="s">
        <v>800</v>
      </c>
      <c r="D6429" s="15" t="s">
        <v>11666</v>
      </c>
      <c r="E6429" s="15">
        <v>10.02</v>
      </c>
      <c r="F6429" s="42">
        <v>46198</v>
      </c>
    </row>
    <row r="6430" spans="1:6" x14ac:dyDescent="0.3">
      <c r="A6430" s="15" t="s">
        <v>42352</v>
      </c>
      <c r="B6430" s="15" t="s">
        <v>11667</v>
      </c>
      <c r="C6430" s="15" t="s">
        <v>11668</v>
      </c>
      <c r="D6430" s="15" t="s">
        <v>11669</v>
      </c>
      <c r="E6430" s="15">
        <v>10.02</v>
      </c>
      <c r="F6430" s="42">
        <v>46198</v>
      </c>
    </row>
    <row r="6431" spans="1:6" x14ac:dyDescent="0.3">
      <c r="A6431" s="15" t="s">
        <v>42351</v>
      </c>
      <c r="B6431" s="15" t="s">
        <v>11670</v>
      </c>
      <c r="C6431" s="15" t="s">
        <v>800</v>
      </c>
      <c r="D6431" s="15" t="s">
        <v>11671</v>
      </c>
      <c r="E6431" s="15">
        <v>9.2189999999999994</v>
      </c>
      <c r="F6431" s="42">
        <v>46198</v>
      </c>
    </row>
    <row r="6432" spans="1:6" x14ac:dyDescent="0.3">
      <c r="A6432" s="15" t="s">
        <v>42350</v>
      </c>
      <c r="B6432" s="15" t="s">
        <v>11672</v>
      </c>
      <c r="C6432" s="15" t="s">
        <v>11673</v>
      </c>
      <c r="D6432" s="15" t="s">
        <v>11674</v>
      </c>
      <c r="E6432" s="15">
        <v>9.2189999999999994</v>
      </c>
      <c r="F6432" s="42">
        <v>46198</v>
      </c>
    </row>
    <row r="6433" spans="1:6" x14ac:dyDescent="0.3">
      <c r="A6433" s="15" t="s">
        <v>42349</v>
      </c>
      <c r="B6433" s="15" t="s">
        <v>11675</v>
      </c>
      <c r="C6433" s="15" t="s">
        <v>800</v>
      </c>
      <c r="D6433" s="15" t="s">
        <v>11676</v>
      </c>
      <c r="E6433" s="15">
        <v>8.9849999999999994</v>
      </c>
      <c r="F6433" s="42">
        <v>46198</v>
      </c>
    </row>
    <row r="6434" spans="1:6" x14ac:dyDescent="0.3">
      <c r="A6434" s="15" t="s">
        <v>42348</v>
      </c>
      <c r="B6434" s="15" t="s">
        <v>11677</v>
      </c>
      <c r="C6434" s="15" t="s">
        <v>11678</v>
      </c>
      <c r="D6434" s="15" t="s">
        <v>11679</v>
      </c>
      <c r="E6434" s="15">
        <v>8.9849999999999994</v>
      </c>
      <c r="F6434" s="42">
        <v>46198</v>
      </c>
    </row>
    <row r="6435" spans="1:6" x14ac:dyDescent="0.3">
      <c r="A6435" s="15" t="s">
        <v>42347</v>
      </c>
      <c r="B6435" s="15" t="s">
        <v>11680</v>
      </c>
      <c r="C6435" s="15" t="s">
        <v>800</v>
      </c>
      <c r="D6435" s="15" t="s">
        <v>11681</v>
      </c>
      <c r="E6435" s="15">
        <v>11.061999999999999</v>
      </c>
      <c r="F6435" s="42">
        <v>46198</v>
      </c>
    </row>
    <row r="6436" spans="1:6" x14ac:dyDescent="0.3">
      <c r="A6436" s="15" t="s">
        <v>42346</v>
      </c>
      <c r="B6436" s="15" t="s">
        <v>11682</v>
      </c>
      <c r="C6436" s="15" t="s">
        <v>11683</v>
      </c>
      <c r="D6436" s="15" t="s">
        <v>11684</v>
      </c>
      <c r="E6436" s="15">
        <v>11.061999999999999</v>
      </c>
      <c r="F6436" s="42">
        <v>46198</v>
      </c>
    </row>
    <row r="6437" spans="1:6" x14ac:dyDescent="0.3">
      <c r="A6437" s="15" t="s">
        <v>42345</v>
      </c>
      <c r="B6437" s="15" t="s">
        <v>11685</v>
      </c>
      <c r="C6437" s="15" t="s">
        <v>800</v>
      </c>
      <c r="D6437" s="15" t="s">
        <v>11686</v>
      </c>
      <c r="E6437" s="15">
        <v>10.787000000000001</v>
      </c>
      <c r="F6437" s="42">
        <v>46198</v>
      </c>
    </row>
    <row r="6438" spans="1:6" x14ac:dyDescent="0.3">
      <c r="A6438" s="15" t="s">
        <v>42344</v>
      </c>
      <c r="B6438" s="15" t="s">
        <v>11687</v>
      </c>
      <c r="C6438" s="15" t="s">
        <v>11688</v>
      </c>
      <c r="D6438" s="15" t="s">
        <v>11689</v>
      </c>
      <c r="E6438" s="15">
        <v>10.787000000000001</v>
      </c>
      <c r="F6438" s="42">
        <v>46198</v>
      </c>
    </row>
    <row r="6439" spans="1:6" x14ac:dyDescent="0.3">
      <c r="A6439" s="15" t="s">
        <v>33499</v>
      </c>
      <c r="B6439" s="15" t="s">
        <v>795</v>
      </c>
      <c r="C6439" s="15" t="s">
        <v>795</v>
      </c>
      <c r="D6439" s="15" t="s">
        <v>795</v>
      </c>
      <c r="F6439" s="42"/>
    </row>
    <row r="6440" spans="1:6" x14ac:dyDescent="0.3">
      <c r="A6440" s="15" t="s">
        <v>37073</v>
      </c>
      <c r="B6440" s="15" t="s">
        <v>795</v>
      </c>
      <c r="C6440" s="15" t="s">
        <v>795</v>
      </c>
      <c r="D6440" s="15" t="s">
        <v>795</v>
      </c>
      <c r="F6440" s="42"/>
    </row>
    <row r="6441" spans="1:6" x14ac:dyDescent="0.3">
      <c r="A6441" s="15" t="s">
        <v>33499</v>
      </c>
      <c r="B6441" s="15" t="s">
        <v>795</v>
      </c>
      <c r="C6441" s="15" t="s">
        <v>795</v>
      </c>
      <c r="D6441" s="15" t="s">
        <v>795</v>
      </c>
      <c r="F6441" s="42"/>
    </row>
    <row r="6442" spans="1:6" x14ac:dyDescent="0.3">
      <c r="A6442" s="15" t="s">
        <v>42343</v>
      </c>
      <c r="B6442" s="15" t="s">
        <v>11690</v>
      </c>
      <c r="C6442" s="15" t="s">
        <v>800</v>
      </c>
      <c r="D6442" s="15" t="s">
        <v>11691</v>
      </c>
      <c r="E6442" s="15">
        <v>10</v>
      </c>
      <c r="F6442" s="42">
        <v>46198</v>
      </c>
    </row>
    <row r="6443" spans="1:6" x14ac:dyDescent="0.3">
      <c r="A6443" s="15" t="s">
        <v>42342</v>
      </c>
      <c r="B6443" s="15" t="s">
        <v>11692</v>
      </c>
      <c r="C6443" s="15" t="s">
        <v>11693</v>
      </c>
      <c r="D6443" s="15" t="s">
        <v>11694</v>
      </c>
      <c r="E6443" s="15">
        <v>10</v>
      </c>
      <c r="F6443" s="42">
        <v>46198</v>
      </c>
    </row>
    <row r="6444" spans="1:6" x14ac:dyDescent="0.3">
      <c r="A6444" s="15" t="s">
        <v>42341</v>
      </c>
      <c r="B6444" s="15" t="s">
        <v>11695</v>
      </c>
      <c r="C6444" s="15" t="s">
        <v>800</v>
      </c>
      <c r="D6444" s="15" t="s">
        <v>11696</v>
      </c>
      <c r="E6444" s="15">
        <v>9.7379999999999995</v>
      </c>
      <c r="F6444" s="42">
        <v>46198</v>
      </c>
    </row>
    <row r="6445" spans="1:6" x14ac:dyDescent="0.3">
      <c r="A6445" s="15" t="s">
        <v>42340</v>
      </c>
      <c r="B6445" s="15" t="s">
        <v>11697</v>
      </c>
      <c r="C6445" s="15" t="s">
        <v>11698</v>
      </c>
      <c r="D6445" s="15" t="s">
        <v>11699</v>
      </c>
      <c r="E6445" s="15">
        <v>9.7379999999999995</v>
      </c>
      <c r="F6445" s="42">
        <v>46198</v>
      </c>
    </row>
    <row r="6446" spans="1:6" x14ac:dyDescent="0.3">
      <c r="A6446" s="15" t="s">
        <v>42339</v>
      </c>
      <c r="B6446" s="15" t="s">
        <v>11700</v>
      </c>
      <c r="C6446" s="15" t="s">
        <v>800</v>
      </c>
      <c r="D6446" s="15" t="s">
        <v>11701</v>
      </c>
      <c r="E6446" s="15">
        <v>15.694000000000001</v>
      </c>
      <c r="F6446" s="42">
        <v>46198</v>
      </c>
    </row>
    <row r="6447" spans="1:6" x14ac:dyDescent="0.3">
      <c r="A6447" s="15" t="s">
        <v>42338</v>
      </c>
      <c r="B6447" s="15" t="s">
        <v>11702</v>
      </c>
      <c r="C6447" s="15" t="s">
        <v>11703</v>
      </c>
      <c r="D6447" s="15" t="s">
        <v>11704</v>
      </c>
      <c r="E6447" s="15">
        <v>13.69</v>
      </c>
      <c r="F6447" s="42">
        <v>46198</v>
      </c>
    </row>
    <row r="6448" spans="1:6" x14ac:dyDescent="0.3">
      <c r="A6448" s="15" t="s">
        <v>42337</v>
      </c>
      <c r="B6448" s="15" t="s">
        <v>11705</v>
      </c>
      <c r="C6448" s="15" t="s">
        <v>800</v>
      </c>
      <c r="D6448" s="15" t="s">
        <v>11706</v>
      </c>
      <c r="E6448" s="15">
        <v>14.974</v>
      </c>
      <c r="F6448" s="42">
        <v>46198</v>
      </c>
    </row>
    <row r="6449" spans="1:6" x14ac:dyDescent="0.3">
      <c r="A6449" s="15" t="s">
        <v>42336</v>
      </c>
      <c r="B6449" s="15" t="s">
        <v>11707</v>
      </c>
      <c r="C6449" s="15" t="s">
        <v>11708</v>
      </c>
      <c r="D6449" s="15" t="s">
        <v>11709</v>
      </c>
      <c r="E6449" s="15">
        <v>13.071</v>
      </c>
      <c r="F6449" s="42">
        <v>46198</v>
      </c>
    </row>
    <row r="6450" spans="1:6" x14ac:dyDescent="0.3">
      <c r="A6450" s="15" t="s">
        <v>42335</v>
      </c>
      <c r="B6450" s="15" t="s">
        <v>11710</v>
      </c>
      <c r="C6450" s="15" t="s">
        <v>800</v>
      </c>
      <c r="D6450" s="15" t="s">
        <v>11711</v>
      </c>
      <c r="E6450" s="15">
        <v>10.69</v>
      </c>
      <c r="F6450" s="42">
        <v>46198</v>
      </c>
    </row>
    <row r="6451" spans="1:6" x14ac:dyDescent="0.3">
      <c r="A6451" s="15" t="s">
        <v>42334</v>
      </c>
      <c r="B6451" s="15" t="s">
        <v>11712</v>
      </c>
      <c r="C6451" s="15" t="s">
        <v>11713</v>
      </c>
      <c r="D6451" s="15" t="s">
        <v>11714</v>
      </c>
      <c r="E6451" s="15">
        <v>10.69</v>
      </c>
      <c r="F6451" s="42">
        <v>46198</v>
      </c>
    </row>
    <row r="6452" spans="1:6" x14ac:dyDescent="0.3">
      <c r="A6452" s="15" t="s">
        <v>42333</v>
      </c>
      <c r="B6452" s="15" t="s">
        <v>11715</v>
      </c>
      <c r="C6452" s="15" t="s">
        <v>800</v>
      </c>
      <c r="D6452" s="15" t="s">
        <v>11716</v>
      </c>
      <c r="E6452" s="15">
        <v>10.589</v>
      </c>
      <c r="F6452" s="42">
        <v>46198</v>
      </c>
    </row>
    <row r="6453" spans="1:6" x14ac:dyDescent="0.3">
      <c r="A6453" s="15" t="s">
        <v>42332</v>
      </c>
      <c r="B6453" s="15" t="s">
        <v>11717</v>
      </c>
      <c r="C6453" s="15" t="s">
        <v>11718</v>
      </c>
      <c r="D6453" s="15" t="s">
        <v>11719</v>
      </c>
      <c r="E6453" s="15">
        <v>10.589</v>
      </c>
      <c r="F6453" s="42">
        <v>46198</v>
      </c>
    </row>
    <row r="6454" spans="1:6" x14ac:dyDescent="0.3">
      <c r="A6454" s="15" t="s">
        <v>42331</v>
      </c>
      <c r="B6454" s="15" t="s">
        <v>11720</v>
      </c>
      <c r="C6454" s="15" t="s">
        <v>800</v>
      </c>
      <c r="D6454" s="15" t="s">
        <v>11721</v>
      </c>
      <c r="E6454" s="15">
        <v>50.243000000000002</v>
      </c>
      <c r="F6454" s="42">
        <v>46198</v>
      </c>
    </row>
    <row r="6455" spans="1:6" x14ac:dyDescent="0.3">
      <c r="A6455" s="15" t="s">
        <v>42330</v>
      </c>
      <c r="B6455" s="15" t="s">
        <v>11722</v>
      </c>
      <c r="C6455" s="15" t="s">
        <v>11723</v>
      </c>
      <c r="D6455" s="15" t="s">
        <v>11724</v>
      </c>
      <c r="E6455" s="15">
        <v>37.445</v>
      </c>
      <c r="F6455" s="42">
        <v>46198</v>
      </c>
    </row>
    <row r="6456" spans="1:6" x14ac:dyDescent="0.3">
      <c r="A6456" s="15" t="s">
        <v>42329</v>
      </c>
      <c r="B6456" s="15" t="s">
        <v>11725</v>
      </c>
      <c r="C6456" s="15" t="s">
        <v>800</v>
      </c>
      <c r="D6456" s="15" t="s">
        <v>11726</v>
      </c>
      <c r="E6456" s="15">
        <v>59.396000000000001</v>
      </c>
      <c r="F6456" s="42">
        <v>46198</v>
      </c>
    </row>
    <row r="6457" spans="1:6" x14ac:dyDescent="0.3">
      <c r="A6457" s="15" t="s">
        <v>42328</v>
      </c>
      <c r="B6457" s="15" t="s">
        <v>11727</v>
      </c>
      <c r="C6457" s="15" t="s">
        <v>11728</v>
      </c>
      <c r="D6457" s="15" t="s">
        <v>11729</v>
      </c>
      <c r="E6457" s="15">
        <v>46.201000000000001</v>
      </c>
      <c r="F6457" s="42">
        <v>46198</v>
      </c>
    </row>
    <row r="6458" spans="1:6" x14ac:dyDescent="0.3">
      <c r="A6458" s="15" t="s">
        <v>42327</v>
      </c>
      <c r="B6458" s="15" t="s">
        <v>11730</v>
      </c>
      <c r="C6458" s="15" t="s">
        <v>800</v>
      </c>
      <c r="D6458" s="15" t="s">
        <v>11731</v>
      </c>
      <c r="E6458" s="15">
        <v>14.657999999999999</v>
      </c>
      <c r="F6458" s="42">
        <v>46198</v>
      </c>
    </row>
    <row r="6459" spans="1:6" x14ac:dyDescent="0.3">
      <c r="A6459" s="15" t="s">
        <v>42326</v>
      </c>
      <c r="B6459" s="15" t="s">
        <v>11732</v>
      </c>
      <c r="C6459" s="15" t="s">
        <v>11733</v>
      </c>
      <c r="D6459" s="15" t="s">
        <v>11734</v>
      </c>
      <c r="E6459" s="15">
        <v>13.755000000000001</v>
      </c>
      <c r="F6459" s="42">
        <v>46198</v>
      </c>
    </row>
    <row r="6460" spans="1:6" x14ac:dyDescent="0.3">
      <c r="A6460" s="15" t="s">
        <v>42325</v>
      </c>
      <c r="B6460" s="15" t="s">
        <v>11735</v>
      </c>
      <c r="C6460" s="15" t="s">
        <v>800</v>
      </c>
      <c r="D6460" s="15" t="s">
        <v>11736</v>
      </c>
      <c r="E6460" s="15">
        <v>14.186</v>
      </c>
      <c r="F6460" s="42">
        <v>46198</v>
      </c>
    </row>
    <row r="6461" spans="1:6" x14ac:dyDescent="0.3">
      <c r="A6461" s="15" t="s">
        <v>42324</v>
      </c>
      <c r="B6461" s="15" t="s">
        <v>11737</v>
      </c>
      <c r="C6461" s="15" t="s">
        <v>11738</v>
      </c>
      <c r="D6461" s="15" t="s">
        <v>11739</v>
      </c>
      <c r="E6461" s="15">
        <v>13.311999999999999</v>
      </c>
      <c r="F6461" s="42">
        <v>46198</v>
      </c>
    </row>
    <row r="6462" spans="1:6" x14ac:dyDescent="0.3">
      <c r="A6462" s="15" t="s">
        <v>42323</v>
      </c>
      <c r="B6462" s="15" t="s">
        <v>11740</v>
      </c>
      <c r="C6462" s="15" t="s">
        <v>800</v>
      </c>
      <c r="D6462" s="15" t="s">
        <v>11741</v>
      </c>
      <c r="E6462" s="15">
        <v>9.9499999999999993</v>
      </c>
      <c r="F6462" s="42">
        <v>46198</v>
      </c>
    </row>
    <row r="6463" spans="1:6" x14ac:dyDescent="0.3">
      <c r="A6463" s="15" t="s">
        <v>42322</v>
      </c>
      <c r="B6463" s="15" t="s">
        <v>11742</v>
      </c>
      <c r="C6463" s="15" t="s">
        <v>11743</v>
      </c>
      <c r="D6463" s="15" t="s">
        <v>11744</v>
      </c>
      <c r="E6463" s="15">
        <v>9.9499999999999993</v>
      </c>
      <c r="F6463" s="42">
        <v>46198</v>
      </c>
    </row>
    <row r="6464" spans="1:6" x14ac:dyDescent="0.3">
      <c r="A6464" s="15" t="s">
        <v>42321</v>
      </c>
      <c r="B6464" s="15" t="s">
        <v>11745</v>
      </c>
      <c r="C6464" s="15" t="s">
        <v>800</v>
      </c>
      <c r="D6464" s="15" t="s">
        <v>11746</v>
      </c>
      <c r="E6464" s="15">
        <v>9.8089999999999993</v>
      </c>
      <c r="F6464" s="42">
        <v>46198</v>
      </c>
    </row>
    <row r="6465" spans="1:6" x14ac:dyDescent="0.3">
      <c r="A6465" s="15" t="s">
        <v>42320</v>
      </c>
      <c r="B6465" s="15" t="s">
        <v>11747</v>
      </c>
      <c r="C6465" s="15" t="s">
        <v>11748</v>
      </c>
      <c r="D6465" s="15" t="s">
        <v>11749</v>
      </c>
      <c r="E6465" s="15">
        <v>9.8089999999999993</v>
      </c>
      <c r="F6465" s="42">
        <v>46198</v>
      </c>
    </row>
    <row r="6466" spans="1:6" x14ac:dyDescent="0.3">
      <c r="A6466" s="15" t="s">
        <v>42319</v>
      </c>
      <c r="B6466" s="15" t="s">
        <v>11750</v>
      </c>
      <c r="C6466" s="15" t="s">
        <v>800</v>
      </c>
      <c r="D6466" s="15" t="s">
        <v>11751</v>
      </c>
      <c r="E6466" s="15">
        <v>20.709</v>
      </c>
      <c r="F6466" s="42">
        <v>46198</v>
      </c>
    </row>
    <row r="6467" spans="1:6" x14ac:dyDescent="0.3">
      <c r="A6467" s="15" t="s">
        <v>42318</v>
      </c>
      <c r="B6467" s="15" t="s">
        <v>11752</v>
      </c>
      <c r="C6467" s="15" t="s">
        <v>800</v>
      </c>
      <c r="D6467" s="15" t="s">
        <v>11753</v>
      </c>
      <c r="E6467" s="15">
        <v>19.547000000000001</v>
      </c>
      <c r="F6467" s="42">
        <v>46198</v>
      </c>
    </row>
    <row r="6468" spans="1:6" x14ac:dyDescent="0.3">
      <c r="A6468" s="15" t="s">
        <v>42317</v>
      </c>
      <c r="B6468" s="15" t="s">
        <v>11754</v>
      </c>
      <c r="C6468" s="15" t="s">
        <v>11755</v>
      </c>
      <c r="D6468" s="15" t="s">
        <v>11756</v>
      </c>
      <c r="E6468" s="15">
        <v>20.684000000000001</v>
      </c>
      <c r="F6468" s="42">
        <v>46198</v>
      </c>
    </row>
    <row r="6469" spans="1:6" x14ac:dyDescent="0.3">
      <c r="A6469" s="15" t="s">
        <v>42316</v>
      </c>
      <c r="B6469" s="15" t="s">
        <v>11757</v>
      </c>
      <c r="C6469" s="15" t="s">
        <v>11758</v>
      </c>
      <c r="D6469" s="15" t="s">
        <v>11759</v>
      </c>
      <c r="E6469" s="15">
        <v>18.297999999999998</v>
      </c>
      <c r="F6469" s="42">
        <v>46198</v>
      </c>
    </row>
    <row r="6470" spans="1:6" x14ac:dyDescent="0.3">
      <c r="A6470" s="15" t="s">
        <v>33499</v>
      </c>
      <c r="B6470" s="15" t="s">
        <v>795</v>
      </c>
      <c r="C6470" s="15" t="s">
        <v>795</v>
      </c>
      <c r="D6470" s="15" t="s">
        <v>795</v>
      </c>
      <c r="F6470" s="42"/>
    </row>
    <row r="6471" spans="1:6" x14ac:dyDescent="0.3">
      <c r="A6471" s="15" t="s">
        <v>37447</v>
      </c>
      <c r="B6471" s="15" t="s">
        <v>795</v>
      </c>
      <c r="C6471" s="15" t="s">
        <v>795</v>
      </c>
      <c r="D6471" s="15" t="s">
        <v>795</v>
      </c>
      <c r="F6471" s="42"/>
    </row>
    <row r="6472" spans="1:6" x14ac:dyDescent="0.3">
      <c r="A6472" s="15" t="s">
        <v>33499</v>
      </c>
      <c r="B6472" s="15" t="s">
        <v>795</v>
      </c>
      <c r="C6472" s="15" t="s">
        <v>795</v>
      </c>
      <c r="D6472" s="15" t="s">
        <v>795</v>
      </c>
      <c r="F6472" s="42"/>
    </row>
    <row r="6473" spans="1:6" x14ac:dyDescent="0.3">
      <c r="A6473" s="15" t="s">
        <v>42315</v>
      </c>
      <c r="B6473" s="15" t="s">
        <v>11760</v>
      </c>
      <c r="C6473" s="15" t="s">
        <v>800</v>
      </c>
      <c r="D6473" s="15" t="s">
        <v>11761</v>
      </c>
      <c r="E6473" s="15">
        <v>10</v>
      </c>
      <c r="F6473" s="42">
        <v>46198</v>
      </c>
    </row>
    <row r="6474" spans="1:6" x14ac:dyDescent="0.3">
      <c r="A6474" s="15" t="s">
        <v>42314</v>
      </c>
      <c r="B6474" s="15" t="s">
        <v>11762</v>
      </c>
      <c r="C6474" s="15" t="s">
        <v>11763</v>
      </c>
      <c r="D6474" s="15" t="s">
        <v>11764</v>
      </c>
      <c r="E6474" s="15">
        <v>9.99</v>
      </c>
      <c r="F6474" s="42">
        <v>46198</v>
      </c>
    </row>
    <row r="6475" spans="1:6" x14ac:dyDescent="0.3">
      <c r="A6475" s="15" t="s">
        <v>42313</v>
      </c>
      <c r="B6475" s="15" t="s">
        <v>11765</v>
      </c>
      <c r="C6475" s="15" t="s">
        <v>800</v>
      </c>
      <c r="D6475" s="15" t="s">
        <v>11766</v>
      </c>
      <c r="E6475" s="15">
        <v>9.9499999999999993</v>
      </c>
      <c r="F6475" s="42">
        <v>46198</v>
      </c>
    </row>
    <row r="6476" spans="1:6" x14ac:dyDescent="0.3">
      <c r="A6476" s="15" t="s">
        <v>42312</v>
      </c>
      <c r="B6476" s="15" t="s">
        <v>11767</v>
      </c>
      <c r="C6476" s="15" t="s">
        <v>11768</v>
      </c>
      <c r="D6476" s="15" t="s">
        <v>11769</v>
      </c>
      <c r="E6476" s="15">
        <v>9.9499999999999993</v>
      </c>
      <c r="F6476" s="42">
        <v>46198</v>
      </c>
    </row>
    <row r="6477" spans="1:6" x14ac:dyDescent="0.3">
      <c r="A6477" s="15" t="s">
        <v>42311</v>
      </c>
      <c r="B6477" s="15" t="s">
        <v>11770</v>
      </c>
      <c r="C6477" s="15" t="s">
        <v>11771</v>
      </c>
      <c r="D6477" s="15" t="s">
        <v>11772</v>
      </c>
      <c r="E6477" s="15">
        <v>9.5299999999999994</v>
      </c>
      <c r="F6477" s="42">
        <v>46198</v>
      </c>
    </row>
    <row r="6478" spans="1:6" x14ac:dyDescent="0.3">
      <c r="A6478" s="15" t="s">
        <v>42310</v>
      </c>
      <c r="B6478" s="15" t="s">
        <v>11773</v>
      </c>
      <c r="C6478" s="15" t="s">
        <v>800</v>
      </c>
      <c r="D6478" s="15" t="s">
        <v>11774</v>
      </c>
      <c r="E6478" s="15">
        <v>9.5399999999999991</v>
      </c>
      <c r="F6478" s="42">
        <v>46198</v>
      </c>
    </row>
    <row r="6479" spans="1:6" x14ac:dyDescent="0.3">
      <c r="A6479" s="15" t="s">
        <v>42309</v>
      </c>
      <c r="B6479" s="15" t="s">
        <v>11775</v>
      </c>
      <c r="C6479" s="15" t="s">
        <v>11776</v>
      </c>
      <c r="D6479" s="15" t="s">
        <v>11777</v>
      </c>
      <c r="E6479" s="15">
        <v>9.33</v>
      </c>
      <c r="F6479" s="42">
        <v>46198</v>
      </c>
    </row>
    <row r="6480" spans="1:6" x14ac:dyDescent="0.3">
      <c r="A6480" s="15" t="s">
        <v>42308</v>
      </c>
      <c r="B6480" s="15" t="s">
        <v>11778</v>
      </c>
      <c r="C6480" s="15" t="s">
        <v>800</v>
      </c>
      <c r="D6480" s="15" t="s">
        <v>11779</v>
      </c>
      <c r="E6480" s="15">
        <v>9.33</v>
      </c>
      <c r="F6480" s="42">
        <v>46198</v>
      </c>
    </row>
    <row r="6481" spans="1:6" x14ac:dyDescent="0.3">
      <c r="A6481" s="15" t="s">
        <v>42307</v>
      </c>
      <c r="B6481" s="15" t="s">
        <v>11780</v>
      </c>
      <c r="C6481" s="15" t="s">
        <v>800</v>
      </c>
      <c r="D6481" s="15" t="s">
        <v>11781</v>
      </c>
      <c r="E6481" s="15">
        <v>10.85</v>
      </c>
      <c r="F6481" s="42">
        <v>46198</v>
      </c>
    </row>
    <row r="6482" spans="1:6" x14ac:dyDescent="0.3">
      <c r="A6482" s="15" t="s">
        <v>42306</v>
      </c>
      <c r="B6482" s="15" t="s">
        <v>11782</v>
      </c>
      <c r="C6482" s="15" t="s">
        <v>11783</v>
      </c>
      <c r="D6482" s="15" t="s">
        <v>11784</v>
      </c>
      <c r="E6482" s="15">
        <v>10.84</v>
      </c>
      <c r="F6482" s="42">
        <v>46198</v>
      </c>
    </row>
    <row r="6483" spans="1:6" x14ac:dyDescent="0.3">
      <c r="A6483" s="15" t="s">
        <v>42305</v>
      </c>
      <c r="B6483" s="15" t="s">
        <v>11785</v>
      </c>
      <c r="C6483" s="15" t="s">
        <v>800</v>
      </c>
      <c r="D6483" s="15" t="s">
        <v>11786</v>
      </c>
      <c r="E6483" s="15">
        <v>10.65</v>
      </c>
      <c r="F6483" s="42">
        <v>46198</v>
      </c>
    </row>
    <row r="6484" spans="1:6" x14ac:dyDescent="0.3">
      <c r="A6484" s="15" t="s">
        <v>42304</v>
      </c>
      <c r="B6484" s="15" t="s">
        <v>11787</v>
      </c>
      <c r="C6484" s="15" t="s">
        <v>11788</v>
      </c>
      <c r="D6484" s="15" t="s">
        <v>11789</v>
      </c>
      <c r="E6484" s="15">
        <v>10.65</v>
      </c>
      <c r="F6484" s="42">
        <v>46198</v>
      </c>
    </row>
    <row r="6485" spans="1:6" x14ac:dyDescent="0.3">
      <c r="A6485" s="15" t="s">
        <v>42303</v>
      </c>
      <c r="B6485" s="15" t="s">
        <v>11790</v>
      </c>
      <c r="C6485" s="15" t="s">
        <v>800</v>
      </c>
      <c r="D6485" s="15" t="s">
        <v>11791</v>
      </c>
      <c r="E6485" s="15">
        <v>77.38</v>
      </c>
      <c r="F6485" s="42">
        <v>46198</v>
      </c>
    </row>
    <row r="6486" spans="1:6" x14ac:dyDescent="0.3">
      <c r="A6486" s="15" t="s">
        <v>42302</v>
      </c>
      <c r="B6486" s="15" t="s">
        <v>11792</v>
      </c>
      <c r="C6486" s="15" t="s">
        <v>11793</v>
      </c>
      <c r="D6486" s="15" t="s">
        <v>11794</v>
      </c>
      <c r="E6486" s="15">
        <v>76.06</v>
      </c>
      <c r="F6486" s="42">
        <v>46198</v>
      </c>
    </row>
    <row r="6487" spans="1:6" x14ac:dyDescent="0.3">
      <c r="A6487" s="15" t="s">
        <v>42301</v>
      </c>
      <c r="B6487" s="15" t="s">
        <v>11795</v>
      </c>
      <c r="C6487" s="15" t="s">
        <v>11796</v>
      </c>
      <c r="D6487" s="15" t="s">
        <v>11797</v>
      </c>
      <c r="E6487" s="15">
        <v>73.010000000000005</v>
      </c>
      <c r="F6487" s="42">
        <v>46198</v>
      </c>
    </row>
    <row r="6488" spans="1:6" x14ac:dyDescent="0.3">
      <c r="A6488" s="15" t="s">
        <v>42300</v>
      </c>
      <c r="B6488" s="15" t="s">
        <v>11798</v>
      </c>
      <c r="C6488" s="15" t="s">
        <v>800</v>
      </c>
      <c r="D6488" s="15" t="s">
        <v>11799</v>
      </c>
      <c r="E6488" s="15">
        <v>65.14</v>
      </c>
      <c r="F6488" s="42">
        <v>46198</v>
      </c>
    </row>
    <row r="6489" spans="1:6" x14ac:dyDescent="0.3">
      <c r="A6489" s="15" t="s">
        <v>42299</v>
      </c>
      <c r="B6489" s="15" t="s">
        <v>11800</v>
      </c>
      <c r="C6489" s="15" t="s">
        <v>11801</v>
      </c>
      <c r="D6489" s="15" t="s">
        <v>11802</v>
      </c>
      <c r="E6489" s="15">
        <v>42.28</v>
      </c>
      <c r="F6489" s="42">
        <v>46198</v>
      </c>
    </row>
    <row r="6490" spans="1:6" x14ac:dyDescent="0.3">
      <c r="A6490" s="15" t="s">
        <v>42298</v>
      </c>
      <c r="B6490" s="15" t="s">
        <v>11803</v>
      </c>
      <c r="C6490" s="15" t="s">
        <v>11804</v>
      </c>
      <c r="D6490" s="15" t="s">
        <v>11805</v>
      </c>
      <c r="E6490" s="15">
        <v>41.52</v>
      </c>
      <c r="F6490" s="42">
        <v>46198</v>
      </c>
    </row>
    <row r="6491" spans="1:6" x14ac:dyDescent="0.3">
      <c r="A6491" s="15" t="s">
        <v>33499</v>
      </c>
      <c r="B6491" s="15" t="s">
        <v>795</v>
      </c>
      <c r="C6491" s="15" t="s">
        <v>795</v>
      </c>
      <c r="D6491" s="15" t="s">
        <v>795</v>
      </c>
      <c r="F6491" s="42"/>
    </row>
    <row r="6492" spans="1:6" x14ac:dyDescent="0.3">
      <c r="A6492" s="15" t="s">
        <v>37566</v>
      </c>
      <c r="B6492" s="15" t="s">
        <v>795</v>
      </c>
      <c r="C6492" s="15" t="s">
        <v>795</v>
      </c>
      <c r="D6492" s="15" t="s">
        <v>795</v>
      </c>
      <c r="F6492" s="42"/>
    </row>
    <row r="6493" spans="1:6" x14ac:dyDescent="0.3">
      <c r="A6493" s="15" t="s">
        <v>33499</v>
      </c>
      <c r="B6493" s="15" t="s">
        <v>795</v>
      </c>
      <c r="C6493" s="15" t="s">
        <v>795</v>
      </c>
      <c r="D6493" s="15" t="s">
        <v>795</v>
      </c>
      <c r="F6493" s="42"/>
    </row>
    <row r="6494" spans="1:6" x14ac:dyDescent="0.3">
      <c r="A6494" s="15" t="s">
        <v>42297</v>
      </c>
      <c r="B6494" s="15" t="s">
        <v>11806</v>
      </c>
      <c r="C6494" s="15" t="s">
        <v>800</v>
      </c>
      <c r="D6494" s="15" t="s">
        <v>11807</v>
      </c>
      <c r="E6494" s="15">
        <v>55.493299999999998</v>
      </c>
      <c r="F6494" s="42">
        <v>46198</v>
      </c>
    </row>
    <row r="6495" spans="1:6" x14ac:dyDescent="0.3">
      <c r="A6495" s="15" t="s">
        <v>42296</v>
      </c>
      <c r="B6495" s="15" t="s">
        <v>11808</v>
      </c>
      <c r="C6495" s="15" t="s">
        <v>800</v>
      </c>
      <c r="D6495" s="15" t="s">
        <v>11809</v>
      </c>
      <c r="E6495" s="15">
        <v>23.2592</v>
      </c>
      <c r="F6495" s="42">
        <v>46198</v>
      </c>
    </row>
    <row r="6496" spans="1:6" x14ac:dyDescent="0.3">
      <c r="A6496" s="15" t="s">
        <v>42295</v>
      </c>
      <c r="B6496" s="15" t="s">
        <v>11810</v>
      </c>
      <c r="C6496" s="15" t="s">
        <v>800</v>
      </c>
      <c r="D6496" s="15" t="s">
        <v>11811</v>
      </c>
      <c r="E6496" s="15">
        <v>48.825099999999999</v>
      </c>
      <c r="F6496" s="42">
        <v>46198</v>
      </c>
    </row>
    <row r="6497" spans="1:6" x14ac:dyDescent="0.3">
      <c r="A6497" s="15" t="s">
        <v>42294</v>
      </c>
      <c r="B6497" s="15" t="s">
        <v>11812</v>
      </c>
      <c r="C6497" s="15" t="s">
        <v>800</v>
      </c>
      <c r="D6497" s="15" t="s">
        <v>11813</v>
      </c>
      <c r="E6497" s="15">
        <v>20.022400000000001</v>
      </c>
      <c r="F6497" s="42">
        <v>46198</v>
      </c>
    </row>
    <row r="6498" spans="1:6" x14ac:dyDescent="0.3">
      <c r="A6498" s="15" t="s">
        <v>42293</v>
      </c>
      <c r="B6498" s="15" t="s">
        <v>11814</v>
      </c>
      <c r="C6498" s="15" t="s">
        <v>800</v>
      </c>
      <c r="D6498" s="15" t="s">
        <v>11815</v>
      </c>
      <c r="E6498" s="15">
        <v>9.9460999999999995</v>
      </c>
      <c r="F6498" s="42">
        <v>46198</v>
      </c>
    </row>
    <row r="6499" spans="1:6" x14ac:dyDescent="0.3">
      <c r="A6499" s="15" t="s">
        <v>42292</v>
      </c>
      <c r="B6499" s="15" t="s">
        <v>11816</v>
      </c>
      <c r="C6499" s="15" t="s">
        <v>800</v>
      </c>
      <c r="D6499" s="15" t="s">
        <v>11817</v>
      </c>
      <c r="E6499" s="15">
        <v>9.9460999999999995</v>
      </c>
      <c r="F6499" s="42">
        <v>46198</v>
      </c>
    </row>
    <row r="6500" spans="1:6" x14ac:dyDescent="0.3">
      <c r="A6500" s="15" t="s">
        <v>42291</v>
      </c>
      <c r="B6500" s="15" t="s">
        <v>11818</v>
      </c>
      <c r="C6500" s="15" t="s">
        <v>800</v>
      </c>
      <c r="D6500" s="15" t="s">
        <v>11819</v>
      </c>
      <c r="E6500" s="15">
        <v>9.8206000000000007</v>
      </c>
      <c r="F6500" s="42">
        <v>46198</v>
      </c>
    </row>
    <row r="6501" spans="1:6" x14ac:dyDescent="0.3">
      <c r="A6501" s="15" t="s">
        <v>42290</v>
      </c>
      <c r="B6501" s="15" t="s">
        <v>11820</v>
      </c>
      <c r="C6501" s="15" t="s">
        <v>800</v>
      </c>
      <c r="D6501" s="15" t="s">
        <v>11821</v>
      </c>
      <c r="E6501" s="15">
        <v>9.8206000000000007</v>
      </c>
      <c r="F6501" s="42">
        <v>46198</v>
      </c>
    </row>
    <row r="6502" spans="1:6" x14ac:dyDescent="0.3">
      <c r="A6502" s="15" t="s">
        <v>42289</v>
      </c>
      <c r="B6502" s="15" t="s">
        <v>11822</v>
      </c>
      <c r="C6502" s="15" t="s">
        <v>800</v>
      </c>
      <c r="D6502" s="15" t="s">
        <v>11823</v>
      </c>
      <c r="E6502" s="15">
        <v>16.9832</v>
      </c>
      <c r="F6502" s="42">
        <v>46198</v>
      </c>
    </row>
    <row r="6503" spans="1:6" x14ac:dyDescent="0.3">
      <c r="A6503" s="15" t="s">
        <v>42288</v>
      </c>
      <c r="B6503" s="15" t="s">
        <v>11824</v>
      </c>
      <c r="C6503" s="15" t="s">
        <v>11825</v>
      </c>
      <c r="D6503" s="15" t="s">
        <v>11826</v>
      </c>
      <c r="E6503" s="15">
        <v>14.1883</v>
      </c>
      <c r="F6503" s="42">
        <v>46198</v>
      </c>
    </row>
    <row r="6504" spans="1:6" x14ac:dyDescent="0.3">
      <c r="A6504" s="15" t="s">
        <v>42287</v>
      </c>
      <c r="B6504" s="15" t="s">
        <v>11827</v>
      </c>
      <c r="C6504" s="15" t="s">
        <v>800</v>
      </c>
      <c r="D6504" s="15" t="s">
        <v>11828</v>
      </c>
      <c r="E6504" s="15">
        <v>15.839499999999999</v>
      </c>
      <c r="F6504" s="42">
        <v>46198</v>
      </c>
    </row>
    <row r="6505" spans="1:6" x14ac:dyDescent="0.3">
      <c r="A6505" s="15" t="s">
        <v>42286</v>
      </c>
      <c r="B6505" s="15" t="s">
        <v>11829</v>
      </c>
      <c r="C6505" s="15" t="s">
        <v>11830</v>
      </c>
      <c r="D6505" s="15" t="s">
        <v>11831</v>
      </c>
      <c r="E6505" s="15">
        <v>13.2319</v>
      </c>
      <c r="F6505" s="42">
        <v>46198</v>
      </c>
    </row>
    <row r="6506" spans="1:6" x14ac:dyDescent="0.3">
      <c r="A6506" s="15" t="s">
        <v>42285</v>
      </c>
      <c r="B6506" s="15" t="s">
        <v>11832</v>
      </c>
      <c r="C6506" s="15" t="s">
        <v>800</v>
      </c>
      <c r="D6506" s="15" t="s">
        <v>11833</v>
      </c>
      <c r="E6506" s="15">
        <v>12.148</v>
      </c>
      <c r="F6506" s="42">
        <v>46198</v>
      </c>
    </row>
    <row r="6507" spans="1:6" x14ac:dyDescent="0.3">
      <c r="A6507" s="15" t="s">
        <v>42284</v>
      </c>
      <c r="B6507" s="15" t="s">
        <v>11834</v>
      </c>
      <c r="C6507" s="15" t="s">
        <v>11835</v>
      </c>
      <c r="D6507" s="15" t="s">
        <v>11836</v>
      </c>
      <c r="E6507" s="15">
        <v>12.148</v>
      </c>
      <c r="F6507" s="42">
        <v>46198</v>
      </c>
    </row>
    <row r="6508" spans="1:6" x14ac:dyDescent="0.3">
      <c r="A6508" s="15" t="s">
        <v>42283</v>
      </c>
      <c r="B6508" s="15" t="s">
        <v>11837</v>
      </c>
      <c r="C6508" s="15" t="s">
        <v>800</v>
      </c>
      <c r="D6508" s="15" t="s">
        <v>11838</v>
      </c>
      <c r="E6508" s="15">
        <v>11.905900000000001</v>
      </c>
      <c r="F6508" s="42">
        <v>46198</v>
      </c>
    </row>
    <row r="6509" spans="1:6" x14ac:dyDescent="0.3">
      <c r="A6509" s="15" t="s">
        <v>42282</v>
      </c>
      <c r="B6509" s="15" t="s">
        <v>11839</v>
      </c>
      <c r="C6509" s="15" t="s">
        <v>11840</v>
      </c>
      <c r="D6509" s="15" t="s">
        <v>11841</v>
      </c>
      <c r="E6509" s="15">
        <v>11.905900000000001</v>
      </c>
      <c r="F6509" s="42">
        <v>46198</v>
      </c>
    </row>
    <row r="6510" spans="1:6" x14ac:dyDescent="0.3">
      <c r="A6510" s="15" t="s">
        <v>42281</v>
      </c>
      <c r="B6510" s="15" t="s">
        <v>11842</v>
      </c>
      <c r="C6510" s="15" t="s">
        <v>800</v>
      </c>
      <c r="D6510" s="15" t="s">
        <v>11843</v>
      </c>
      <c r="E6510" s="15">
        <v>10.3154</v>
      </c>
      <c r="F6510" s="42">
        <v>46198</v>
      </c>
    </row>
    <row r="6511" spans="1:6" x14ac:dyDescent="0.3">
      <c r="A6511" s="15" t="s">
        <v>42280</v>
      </c>
      <c r="B6511" s="15" t="s">
        <v>11844</v>
      </c>
      <c r="C6511" s="15" t="s">
        <v>11845</v>
      </c>
      <c r="D6511" s="15" t="s">
        <v>11846</v>
      </c>
      <c r="E6511" s="15">
        <v>10.3154</v>
      </c>
      <c r="F6511" s="42">
        <v>46198</v>
      </c>
    </row>
    <row r="6512" spans="1:6" x14ac:dyDescent="0.3">
      <c r="A6512" s="15" t="s">
        <v>42279</v>
      </c>
      <c r="B6512" s="15" t="s">
        <v>11847</v>
      </c>
      <c r="C6512" s="15" t="s">
        <v>800</v>
      </c>
      <c r="D6512" s="15" t="s">
        <v>11848</v>
      </c>
      <c r="E6512" s="15">
        <v>10.260899999999999</v>
      </c>
      <c r="F6512" s="42">
        <v>46198</v>
      </c>
    </row>
    <row r="6513" spans="1:6" x14ac:dyDescent="0.3">
      <c r="A6513" s="15" t="s">
        <v>42278</v>
      </c>
      <c r="B6513" s="15" t="s">
        <v>11849</v>
      </c>
      <c r="C6513" s="15" t="s">
        <v>11850</v>
      </c>
      <c r="D6513" s="15" t="s">
        <v>11851</v>
      </c>
      <c r="E6513" s="15">
        <v>10.260899999999999</v>
      </c>
      <c r="F6513" s="42">
        <v>46198</v>
      </c>
    </row>
    <row r="6514" spans="1:6" x14ac:dyDescent="0.3">
      <c r="A6514" s="15" t="s">
        <v>42277</v>
      </c>
      <c r="B6514" s="15" t="s">
        <v>11852</v>
      </c>
      <c r="C6514" s="15" t="s">
        <v>800</v>
      </c>
      <c r="D6514" s="15" t="s">
        <v>11853</v>
      </c>
      <c r="E6514" s="15">
        <v>10.308</v>
      </c>
      <c r="F6514" s="42">
        <v>46198</v>
      </c>
    </row>
    <row r="6515" spans="1:6" x14ac:dyDescent="0.3">
      <c r="A6515" s="15" t="s">
        <v>42276</v>
      </c>
      <c r="B6515" s="15" t="s">
        <v>11854</v>
      </c>
      <c r="C6515" s="15" t="s">
        <v>11855</v>
      </c>
      <c r="D6515" s="15" t="s">
        <v>11856</v>
      </c>
      <c r="E6515" s="15">
        <v>10.308</v>
      </c>
      <c r="F6515" s="42">
        <v>46198</v>
      </c>
    </row>
    <row r="6516" spans="1:6" x14ac:dyDescent="0.3">
      <c r="A6516" s="15" t="s">
        <v>42275</v>
      </c>
      <c r="B6516" s="15" t="s">
        <v>11857</v>
      </c>
      <c r="C6516" s="15" t="s">
        <v>800</v>
      </c>
      <c r="D6516" s="15" t="s">
        <v>11858</v>
      </c>
      <c r="E6516" s="15">
        <v>10.126099999999999</v>
      </c>
      <c r="F6516" s="42">
        <v>46198</v>
      </c>
    </row>
    <row r="6517" spans="1:6" x14ac:dyDescent="0.3">
      <c r="A6517" s="15" t="s">
        <v>42274</v>
      </c>
      <c r="B6517" s="15" t="s">
        <v>11859</v>
      </c>
      <c r="C6517" s="15" t="s">
        <v>11860</v>
      </c>
      <c r="D6517" s="15" t="s">
        <v>11861</v>
      </c>
      <c r="E6517" s="15">
        <v>10.126099999999999</v>
      </c>
      <c r="F6517" s="42">
        <v>46198</v>
      </c>
    </row>
    <row r="6518" spans="1:6" x14ac:dyDescent="0.3">
      <c r="A6518" s="15" t="s">
        <v>42273</v>
      </c>
      <c r="B6518" s="15" t="s">
        <v>11862</v>
      </c>
      <c r="C6518" s="15" t="s">
        <v>800</v>
      </c>
      <c r="D6518" s="15" t="s">
        <v>11863</v>
      </c>
      <c r="E6518" s="15">
        <v>33.373100000000001</v>
      </c>
      <c r="F6518" s="42">
        <v>46198</v>
      </c>
    </row>
    <row r="6519" spans="1:6" x14ac:dyDescent="0.3">
      <c r="A6519" s="15" t="s">
        <v>42272</v>
      </c>
      <c r="B6519" s="15" t="s">
        <v>11864</v>
      </c>
      <c r="C6519" s="15" t="s">
        <v>11865</v>
      </c>
      <c r="D6519" s="15" t="s">
        <v>11866</v>
      </c>
      <c r="E6519" s="15">
        <v>21.2364</v>
      </c>
      <c r="F6519" s="42">
        <v>46198</v>
      </c>
    </row>
    <row r="6520" spans="1:6" x14ac:dyDescent="0.3">
      <c r="A6520" s="15" t="s">
        <v>42271</v>
      </c>
      <c r="B6520" s="15" t="s">
        <v>11867</v>
      </c>
      <c r="C6520" s="15" t="s">
        <v>800</v>
      </c>
      <c r="D6520" s="15" t="s">
        <v>11868</v>
      </c>
      <c r="E6520" s="15">
        <v>29.726500000000001</v>
      </c>
      <c r="F6520" s="42">
        <v>46198</v>
      </c>
    </row>
    <row r="6521" spans="1:6" x14ac:dyDescent="0.3">
      <c r="A6521" s="15" t="s">
        <v>42270</v>
      </c>
      <c r="B6521" s="15" t="s">
        <v>11869</v>
      </c>
      <c r="C6521" s="15" t="s">
        <v>11870</v>
      </c>
      <c r="D6521" s="15" t="s">
        <v>11871</v>
      </c>
      <c r="E6521" s="15">
        <v>18.336099999999998</v>
      </c>
      <c r="F6521" s="42">
        <v>46198</v>
      </c>
    </row>
    <row r="6522" spans="1:6" x14ac:dyDescent="0.3">
      <c r="A6522" s="15" t="s">
        <v>42269</v>
      </c>
      <c r="B6522" s="15" t="s">
        <v>11872</v>
      </c>
      <c r="C6522" s="15" t="s">
        <v>800</v>
      </c>
      <c r="D6522" s="15" t="s">
        <v>11873</v>
      </c>
      <c r="E6522" s="15">
        <v>13.4298</v>
      </c>
      <c r="F6522" s="42">
        <v>46198</v>
      </c>
    </row>
    <row r="6523" spans="1:6" x14ac:dyDescent="0.3">
      <c r="A6523" s="15" t="s">
        <v>42268</v>
      </c>
      <c r="B6523" s="15" t="s">
        <v>11874</v>
      </c>
      <c r="C6523" s="15" t="s">
        <v>11875</v>
      </c>
      <c r="D6523" s="15" t="s">
        <v>11876</v>
      </c>
      <c r="E6523" s="15">
        <v>13.4298</v>
      </c>
      <c r="F6523" s="42">
        <v>46198</v>
      </c>
    </row>
    <row r="6524" spans="1:6" x14ac:dyDescent="0.3">
      <c r="A6524" s="15" t="s">
        <v>42267</v>
      </c>
      <c r="B6524" s="15" t="s">
        <v>11877</v>
      </c>
      <c r="C6524" s="15" t="s">
        <v>800</v>
      </c>
      <c r="D6524" s="15" t="s">
        <v>11878</v>
      </c>
      <c r="E6524" s="15">
        <v>12.985099999999999</v>
      </c>
      <c r="F6524" s="42">
        <v>46198</v>
      </c>
    </row>
    <row r="6525" spans="1:6" x14ac:dyDescent="0.3">
      <c r="A6525" s="15" t="s">
        <v>42266</v>
      </c>
      <c r="B6525" s="15" t="s">
        <v>11879</v>
      </c>
      <c r="C6525" s="15" t="s">
        <v>11880</v>
      </c>
      <c r="D6525" s="15" t="s">
        <v>11881</v>
      </c>
      <c r="E6525" s="15">
        <v>12.8544</v>
      </c>
      <c r="F6525" s="42">
        <v>46198</v>
      </c>
    </row>
    <row r="6526" spans="1:6" x14ac:dyDescent="0.3">
      <c r="A6526" s="15" t="s">
        <v>42265</v>
      </c>
      <c r="B6526" s="15" t="s">
        <v>11882</v>
      </c>
      <c r="C6526" s="15" t="s">
        <v>800</v>
      </c>
      <c r="D6526" s="15" t="s">
        <v>11883</v>
      </c>
      <c r="E6526" s="15">
        <v>11.0328</v>
      </c>
      <c r="F6526" s="42">
        <v>46198</v>
      </c>
    </row>
    <row r="6527" spans="1:6" x14ac:dyDescent="0.3">
      <c r="A6527" s="15" t="s">
        <v>42264</v>
      </c>
      <c r="B6527" s="15" t="s">
        <v>11884</v>
      </c>
      <c r="C6527" s="15" t="s">
        <v>11885</v>
      </c>
      <c r="D6527" s="15" t="s">
        <v>11886</v>
      </c>
      <c r="E6527" s="15">
        <v>11.0328</v>
      </c>
      <c r="F6527" s="42">
        <v>46198</v>
      </c>
    </row>
    <row r="6528" spans="1:6" x14ac:dyDescent="0.3">
      <c r="A6528" s="15" t="s">
        <v>42263</v>
      </c>
      <c r="B6528" s="15" t="s">
        <v>11887</v>
      </c>
      <c r="C6528" s="15" t="s">
        <v>800</v>
      </c>
      <c r="D6528" s="15" t="s">
        <v>11888</v>
      </c>
      <c r="E6528" s="15">
        <v>10.7311</v>
      </c>
      <c r="F6528" s="42">
        <v>46198</v>
      </c>
    </row>
    <row r="6529" spans="1:6" x14ac:dyDescent="0.3">
      <c r="A6529" s="15" t="s">
        <v>42262</v>
      </c>
      <c r="B6529" s="15" t="s">
        <v>11889</v>
      </c>
      <c r="C6529" s="15" t="s">
        <v>11890</v>
      </c>
      <c r="D6529" s="15" t="s">
        <v>11891</v>
      </c>
      <c r="E6529" s="15">
        <v>10.7311</v>
      </c>
      <c r="F6529" s="42">
        <v>46198</v>
      </c>
    </row>
    <row r="6530" spans="1:6" x14ac:dyDescent="0.3">
      <c r="A6530" s="15" t="s">
        <v>33499</v>
      </c>
      <c r="B6530" s="15" t="s">
        <v>795</v>
      </c>
      <c r="C6530" s="15" t="s">
        <v>795</v>
      </c>
      <c r="D6530" s="15" t="s">
        <v>795</v>
      </c>
      <c r="F6530" s="42"/>
    </row>
    <row r="6531" spans="1:6" x14ac:dyDescent="0.3">
      <c r="A6531" s="15" t="s">
        <v>40284</v>
      </c>
      <c r="B6531" s="15" t="s">
        <v>795</v>
      </c>
      <c r="C6531" s="15" t="s">
        <v>795</v>
      </c>
      <c r="D6531" s="15" t="s">
        <v>795</v>
      </c>
      <c r="F6531" s="42"/>
    </row>
    <row r="6532" spans="1:6" x14ac:dyDescent="0.3">
      <c r="A6532" s="15" t="s">
        <v>33499</v>
      </c>
      <c r="B6532" s="15" t="s">
        <v>795</v>
      </c>
      <c r="C6532" s="15" t="s">
        <v>795</v>
      </c>
      <c r="D6532" s="15" t="s">
        <v>795</v>
      </c>
      <c r="F6532" s="42"/>
    </row>
    <row r="6533" spans="1:6" x14ac:dyDescent="0.3">
      <c r="A6533" s="15" t="s">
        <v>42261</v>
      </c>
      <c r="B6533" s="15" t="s">
        <v>11892</v>
      </c>
      <c r="C6533" s="15" t="s">
        <v>800</v>
      </c>
      <c r="D6533" s="15" t="s">
        <v>11893</v>
      </c>
      <c r="E6533" s="15">
        <v>10.9</v>
      </c>
      <c r="F6533" s="42">
        <v>46198</v>
      </c>
    </row>
    <row r="6534" spans="1:6" x14ac:dyDescent="0.3">
      <c r="A6534" s="15" t="s">
        <v>42260</v>
      </c>
      <c r="B6534" s="15" t="s">
        <v>11894</v>
      </c>
      <c r="C6534" s="15" t="s">
        <v>11895</v>
      </c>
      <c r="D6534" s="15" t="s">
        <v>11896</v>
      </c>
      <c r="E6534" s="15">
        <v>10.9</v>
      </c>
      <c r="F6534" s="42">
        <v>46198</v>
      </c>
    </row>
    <row r="6535" spans="1:6" x14ac:dyDescent="0.3">
      <c r="A6535" s="15" t="s">
        <v>42259</v>
      </c>
      <c r="B6535" s="15" t="s">
        <v>11897</v>
      </c>
      <c r="C6535" s="15" t="s">
        <v>800</v>
      </c>
      <c r="D6535" s="15" t="s">
        <v>11898</v>
      </c>
      <c r="E6535" s="15">
        <v>10.85</v>
      </c>
      <c r="F6535" s="42">
        <v>46198</v>
      </c>
    </row>
    <row r="6536" spans="1:6" x14ac:dyDescent="0.3">
      <c r="A6536" s="15" t="s">
        <v>42258</v>
      </c>
      <c r="B6536" s="15" t="s">
        <v>11899</v>
      </c>
      <c r="C6536" s="15" t="s">
        <v>11900</v>
      </c>
      <c r="D6536" s="15" t="s">
        <v>11901</v>
      </c>
      <c r="E6536" s="15">
        <v>10.85</v>
      </c>
      <c r="F6536" s="42">
        <v>46198</v>
      </c>
    </row>
    <row r="6537" spans="1:6" x14ac:dyDescent="0.3">
      <c r="A6537" s="15" t="s">
        <v>42257</v>
      </c>
      <c r="B6537" s="15" t="s">
        <v>11902</v>
      </c>
      <c r="C6537" s="15" t="s">
        <v>800</v>
      </c>
      <c r="D6537" s="15" t="s">
        <v>46942</v>
      </c>
      <c r="E6537" s="15">
        <v>121.9</v>
      </c>
      <c r="F6537" s="42">
        <v>46198</v>
      </c>
    </row>
    <row r="6538" spans="1:6" x14ac:dyDescent="0.3">
      <c r="A6538" s="15" t="s">
        <v>42256</v>
      </c>
      <c r="B6538" s="15" t="s">
        <v>11903</v>
      </c>
      <c r="C6538" s="15" t="s">
        <v>11904</v>
      </c>
      <c r="D6538" s="15" t="s">
        <v>46943</v>
      </c>
      <c r="E6538" s="15">
        <v>83.18</v>
      </c>
      <c r="F6538" s="42">
        <v>46198</v>
      </c>
    </row>
    <row r="6539" spans="1:6" x14ac:dyDescent="0.3">
      <c r="A6539" s="15" t="s">
        <v>42255</v>
      </c>
      <c r="B6539" s="15" t="s">
        <v>11905</v>
      </c>
      <c r="C6539" s="15" t="s">
        <v>800</v>
      </c>
      <c r="D6539" s="15" t="s">
        <v>46944</v>
      </c>
      <c r="E6539" s="15">
        <v>104.79</v>
      </c>
      <c r="F6539" s="42">
        <v>46198</v>
      </c>
    </row>
    <row r="6540" spans="1:6" x14ac:dyDescent="0.3">
      <c r="A6540" s="15" t="s">
        <v>42254</v>
      </c>
      <c r="B6540" s="15" t="s">
        <v>11906</v>
      </c>
      <c r="C6540" s="15" t="s">
        <v>11907</v>
      </c>
      <c r="D6540" s="15" t="s">
        <v>46945</v>
      </c>
      <c r="E6540" s="15">
        <v>45.02</v>
      </c>
      <c r="F6540" s="42">
        <v>46198</v>
      </c>
    </row>
    <row r="6541" spans="1:6" x14ac:dyDescent="0.3">
      <c r="A6541" s="15" t="s">
        <v>42253</v>
      </c>
      <c r="B6541" s="15" t="s">
        <v>11908</v>
      </c>
      <c r="C6541" s="15" t="s">
        <v>800</v>
      </c>
      <c r="D6541" s="15" t="s">
        <v>11909</v>
      </c>
      <c r="E6541" s="15">
        <v>194.47</v>
      </c>
      <c r="F6541" s="42">
        <v>46198</v>
      </c>
    </row>
    <row r="6542" spans="1:6" x14ac:dyDescent="0.3">
      <c r="A6542" s="15" t="s">
        <v>42252</v>
      </c>
      <c r="B6542" s="15" t="s">
        <v>11910</v>
      </c>
      <c r="C6542" s="15" t="s">
        <v>11911</v>
      </c>
      <c r="D6542" s="15" t="s">
        <v>11912</v>
      </c>
      <c r="E6542" s="15">
        <v>92.86</v>
      </c>
      <c r="F6542" s="42">
        <v>46198</v>
      </c>
    </row>
    <row r="6543" spans="1:6" x14ac:dyDescent="0.3">
      <c r="A6543" s="15" t="s">
        <v>42251</v>
      </c>
      <c r="B6543" s="15" t="s">
        <v>11913</v>
      </c>
      <c r="C6543" s="15" t="s">
        <v>800</v>
      </c>
      <c r="D6543" s="15" t="s">
        <v>11914</v>
      </c>
      <c r="E6543" s="15">
        <v>170.94</v>
      </c>
      <c r="F6543" s="42">
        <v>46198</v>
      </c>
    </row>
    <row r="6544" spans="1:6" x14ac:dyDescent="0.3">
      <c r="A6544" s="15" t="s">
        <v>42250</v>
      </c>
      <c r="B6544" s="15" t="s">
        <v>11915</v>
      </c>
      <c r="C6544" s="15" t="s">
        <v>11916</v>
      </c>
      <c r="D6544" s="15" t="s">
        <v>11917</v>
      </c>
      <c r="E6544" s="15">
        <v>65.61</v>
      </c>
      <c r="F6544" s="42">
        <v>46198</v>
      </c>
    </row>
    <row r="6545" spans="1:6" x14ac:dyDescent="0.3">
      <c r="A6545" s="15" t="s">
        <v>42249</v>
      </c>
      <c r="B6545" s="15" t="s">
        <v>11918</v>
      </c>
      <c r="C6545" s="15" t="s">
        <v>800</v>
      </c>
      <c r="D6545" s="15" t="s">
        <v>11919</v>
      </c>
      <c r="E6545" s="15">
        <v>14.2</v>
      </c>
      <c r="F6545" s="42">
        <v>46198</v>
      </c>
    </row>
    <row r="6546" spans="1:6" x14ac:dyDescent="0.3">
      <c r="A6546" s="15" t="s">
        <v>42248</v>
      </c>
      <c r="B6546" s="15" t="s">
        <v>11920</v>
      </c>
      <c r="C6546" s="15" t="s">
        <v>11921</v>
      </c>
      <c r="D6546" s="15" t="s">
        <v>11922</v>
      </c>
      <c r="E6546" s="15">
        <v>14.2</v>
      </c>
      <c r="F6546" s="42">
        <v>46198</v>
      </c>
    </row>
    <row r="6547" spans="1:6" x14ac:dyDescent="0.3">
      <c r="A6547" s="15" t="s">
        <v>42247</v>
      </c>
      <c r="B6547" s="15" t="s">
        <v>11923</v>
      </c>
      <c r="C6547" s="15" t="s">
        <v>800</v>
      </c>
      <c r="D6547" s="15" t="s">
        <v>11924</v>
      </c>
      <c r="E6547" s="15">
        <v>13.76</v>
      </c>
      <c r="F6547" s="42">
        <v>46198</v>
      </c>
    </row>
    <row r="6548" spans="1:6" x14ac:dyDescent="0.3">
      <c r="A6548" s="15" t="s">
        <v>42246</v>
      </c>
      <c r="B6548" s="15" t="s">
        <v>11925</v>
      </c>
      <c r="C6548" s="15" t="s">
        <v>11926</v>
      </c>
      <c r="D6548" s="15" t="s">
        <v>11927</v>
      </c>
      <c r="E6548" s="15">
        <v>13.75</v>
      </c>
      <c r="F6548" s="42">
        <v>46198</v>
      </c>
    </row>
    <row r="6549" spans="1:6" x14ac:dyDescent="0.3">
      <c r="A6549" s="15" t="s">
        <v>33499</v>
      </c>
      <c r="B6549" s="15" t="s">
        <v>795</v>
      </c>
      <c r="C6549" s="15" t="s">
        <v>795</v>
      </c>
      <c r="D6549" s="15" t="s">
        <v>795</v>
      </c>
      <c r="F6549" s="42"/>
    </row>
    <row r="6550" spans="1:6" x14ac:dyDescent="0.3">
      <c r="A6550" s="15" t="s">
        <v>37061</v>
      </c>
      <c r="B6550" s="15" t="s">
        <v>795</v>
      </c>
      <c r="C6550" s="15" t="s">
        <v>795</v>
      </c>
      <c r="D6550" s="15" t="s">
        <v>795</v>
      </c>
      <c r="F6550" s="42"/>
    </row>
    <row r="6551" spans="1:6" x14ac:dyDescent="0.3">
      <c r="A6551" s="15" t="s">
        <v>33499</v>
      </c>
      <c r="B6551" s="15" t="s">
        <v>795</v>
      </c>
      <c r="C6551" s="15" t="s">
        <v>795</v>
      </c>
      <c r="D6551" s="15" t="s">
        <v>795</v>
      </c>
      <c r="F6551" s="42"/>
    </row>
    <row r="6552" spans="1:6" x14ac:dyDescent="0.3">
      <c r="A6552" s="15" t="s">
        <v>42245</v>
      </c>
      <c r="B6552" s="15" t="s">
        <v>11928</v>
      </c>
      <c r="C6552" s="15" t="s">
        <v>800</v>
      </c>
      <c r="D6552" s="15" t="s">
        <v>11929</v>
      </c>
      <c r="E6552" s="15">
        <v>15.211</v>
      </c>
      <c r="F6552" s="42">
        <v>46198</v>
      </c>
    </row>
    <row r="6553" spans="1:6" x14ac:dyDescent="0.3">
      <c r="A6553" s="15" t="s">
        <v>42244</v>
      </c>
      <c r="B6553" s="15" t="s">
        <v>11930</v>
      </c>
      <c r="C6553" s="15" t="s">
        <v>11931</v>
      </c>
      <c r="D6553" s="15" t="s">
        <v>11932</v>
      </c>
      <c r="E6553" s="15">
        <v>12.815</v>
      </c>
      <c r="F6553" s="42">
        <v>46198</v>
      </c>
    </row>
    <row r="6554" spans="1:6" x14ac:dyDescent="0.3">
      <c r="A6554" s="15" t="s">
        <v>42243</v>
      </c>
      <c r="B6554" s="15" t="s">
        <v>11933</v>
      </c>
      <c r="C6554" s="15" t="s">
        <v>800</v>
      </c>
      <c r="D6554" s="15" t="s">
        <v>11934</v>
      </c>
      <c r="E6554" s="15">
        <v>14.646000000000001</v>
      </c>
      <c r="F6554" s="42">
        <v>46198</v>
      </c>
    </row>
    <row r="6555" spans="1:6" x14ac:dyDescent="0.3">
      <c r="A6555" s="15" t="s">
        <v>42242</v>
      </c>
      <c r="B6555" s="15" t="s">
        <v>11935</v>
      </c>
      <c r="C6555" s="15" t="s">
        <v>11936</v>
      </c>
      <c r="D6555" s="15" t="s">
        <v>11937</v>
      </c>
      <c r="E6555" s="15">
        <v>13.417</v>
      </c>
      <c r="F6555" s="42">
        <v>46198</v>
      </c>
    </row>
    <row r="6556" spans="1:6" x14ac:dyDescent="0.3">
      <c r="A6556" s="15" t="s">
        <v>42241</v>
      </c>
      <c r="B6556" s="15" t="s">
        <v>11938</v>
      </c>
      <c r="C6556" s="15" t="s">
        <v>800</v>
      </c>
      <c r="D6556" s="15" t="s">
        <v>11939</v>
      </c>
      <c r="E6556" s="15">
        <v>10.654999999999999</v>
      </c>
      <c r="F6556" s="42">
        <v>46198</v>
      </c>
    </row>
    <row r="6557" spans="1:6" x14ac:dyDescent="0.3">
      <c r="A6557" s="15" t="s">
        <v>42240</v>
      </c>
      <c r="B6557" s="15" t="s">
        <v>11940</v>
      </c>
      <c r="C6557" s="15" t="s">
        <v>11941</v>
      </c>
      <c r="D6557" s="15" t="s">
        <v>11942</v>
      </c>
      <c r="E6557" s="15">
        <v>10.654999999999999</v>
      </c>
      <c r="F6557" s="42">
        <v>46198</v>
      </c>
    </row>
    <row r="6558" spans="1:6" x14ac:dyDescent="0.3">
      <c r="A6558" s="15" t="s">
        <v>42239</v>
      </c>
      <c r="B6558" s="15" t="s">
        <v>11943</v>
      </c>
      <c r="C6558" s="15" t="s">
        <v>800</v>
      </c>
      <c r="D6558" s="15" t="s">
        <v>11944</v>
      </c>
      <c r="E6558" s="15">
        <v>10.412000000000001</v>
      </c>
      <c r="F6558" s="42">
        <v>46198</v>
      </c>
    </row>
    <row r="6559" spans="1:6" x14ac:dyDescent="0.3">
      <c r="A6559" s="15" t="s">
        <v>42238</v>
      </c>
      <c r="B6559" s="15" t="s">
        <v>11945</v>
      </c>
      <c r="C6559" s="15" t="s">
        <v>11946</v>
      </c>
      <c r="D6559" s="15" t="s">
        <v>11947</v>
      </c>
      <c r="E6559" s="15">
        <v>10.412000000000001</v>
      </c>
      <c r="F6559" s="42">
        <v>46198</v>
      </c>
    </row>
    <row r="6560" spans="1:6" x14ac:dyDescent="0.3">
      <c r="A6560" s="15" t="s">
        <v>42237</v>
      </c>
      <c r="B6560" s="15" t="s">
        <v>11948</v>
      </c>
      <c r="C6560" s="15" t="s">
        <v>800</v>
      </c>
      <c r="D6560" s="15" t="s">
        <v>11949</v>
      </c>
      <c r="E6560" s="15">
        <v>47.631</v>
      </c>
      <c r="F6560" s="42">
        <v>46198</v>
      </c>
    </row>
    <row r="6561" spans="1:6" x14ac:dyDescent="0.3">
      <c r="A6561" s="15" t="s">
        <v>42236</v>
      </c>
      <c r="B6561" s="15" t="s">
        <v>11950</v>
      </c>
      <c r="C6561" s="15" t="s">
        <v>11951</v>
      </c>
      <c r="D6561" s="15" t="s">
        <v>11952</v>
      </c>
      <c r="E6561" s="15">
        <v>27.544</v>
      </c>
      <c r="F6561" s="42">
        <v>46198</v>
      </c>
    </row>
    <row r="6562" spans="1:6" x14ac:dyDescent="0.3">
      <c r="A6562" s="15" t="s">
        <v>42235</v>
      </c>
      <c r="B6562" s="15" t="s">
        <v>11953</v>
      </c>
      <c r="C6562" s="15" t="s">
        <v>800</v>
      </c>
      <c r="D6562" s="15" t="s">
        <v>11954</v>
      </c>
      <c r="E6562" s="15">
        <v>42.625</v>
      </c>
      <c r="F6562" s="42">
        <v>46198</v>
      </c>
    </row>
    <row r="6563" spans="1:6" x14ac:dyDescent="0.3">
      <c r="A6563" s="15" t="s">
        <v>42234</v>
      </c>
      <c r="B6563" s="15" t="s">
        <v>11955</v>
      </c>
      <c r="C6563" s="15" t="s">
        <v>11956</v>
      </c>
      <c r="D6563" s="15" t="s">
        <v>11957</v>
      </c>
      <c r="E6563" s="15">
        <v>24.692</v>
      </c>
      <c r="F6563" s="42">
        <v>46198</v>
      </c>
    </row>
    <row r="6564" spans="1:6" x14ac:dyDescent="0.3">
      <c r="A6564" s="15" t="s">
        <v>42233</v>
      </c>
      <c r="B6564" s="15" t="s">
        <v>11958</v>
      </c>
      <c r="C6564" s="15" t="s">
        <v>800</v>
      </c>
      <c r="D6564" s="15" t="s">
        <v>11959</v>
      </c>
      <c r="E6564" s="15">
        <v>396.57100000000003</v>
      </c>
      <c r="F6564" s="42">
        <v>46198</v>
      </c>
    </row>
    <row r="6565" spans="1:6" x14ac:dyDescent="0.3">
      <c r="A6565" s="15" t="s">
        <v>42232</v>
      </c>
      <c r="B6565" s="15" t="s">
        <v>11960</v>
      </c>
      <c r="C6565" s="15" t="s">
        <v>11961</v>
      </c>
      <c r="D6565" s="15" t="s">
        <v>11962</v>
      </c>
      <c r="E6565" s="15">
        <v>58.35</v>
      </c>
      <c r="F6565" s="42">
        <v>46198</v>
      </c>
    </row>
    <row r="6566" spans="1:6" x14ac:dyDescent="0.3">
      <c r="A6566" s="15" t="s">
        <v>42231</v>
      </c>
      <c r="B6566" s="15" t="s">
        <v>11963</v>
      </c>
      <c r="C6566" s="15" t="s">
        <v>800</v>
      </c>
      <c r="D6566" s="15" t="s">
        <v>11964</v>
      </c>
      <c r="E6566" s="15">
        <v>361.10199999999998</v>
      </c>
      <c r="F6566" s="42">
        <v>46198</v>
      </c>
    </row>
    <row r="6567" spans="1:6" x14ac:dyDescent="0.3">
      <c r="A6567" s="15" t="s">
        <v>42230</v>
      </c>
      <c r="B6567" s="15" t="s">
        <v>11965</v>
      </c>
      <c r="C6567" s="15" t="s">
        <v>11966</v>
      </c>
      <c r="D6567" s="15" t="s">
        <v>11967</v>
      </c>
      <c r="E6567" s="15">
        <v>31.297000000000001</v>
      </c>
      <c r="F6567" s="42">
        <v>46198</v>
      </c>
    </row>
    <row r="6568" spans="1:6" x14ac:dyDescent="0.3">
      <c r="A6568" s="15" t="s">
        <v>42229</v>
      </c>
      <c r="B6568" s="15" t="s">
        <v>11968</v>
      </c>
      <c r="C6568" s="15" t="s">
        <v>800</v>
      </c>
      <c r="D6568" s="15" t="s">
        <v>11969</v>
      </c>
      <c r="E6568" s="15">
        <v>118.61</v>
      </c>
      <c r="F6568" s="42">
        <v>46198</v>
      </c>
    </row>
    <row r="6569" spans="1:6" x14ac:dyDescent="0.3">
      <c r="A6569" s="15" t="s">
        <v>42228</v>
      </c>
      <c r="B6569" s="15" t="s">
        <v>11970</v>
      </c>
      <c r="C6569" s="15" t="s">
        <v>11971</v>
      </c>
      <c r="D6569" s="15" t="s">
        <v>11972</v>
      </c>
      <c r="E6569" s="15">
        <v>37.512</v>
      </c>
      <c r="F6569" s="42">
        <v>46198</v>
      </c>
    </row>
    <row r="6570" spans="1:6" x14ac:dyDescent="0.3">
      <c r="A6570" s="15" t="s">
        <v>42227</v>
      </c>
      <c r="B6570" s="15" t="s">
        <v>11973</v>
      </c>
      <c r="C6570" s="15" t="s">
        <v>800</v>
      </c>
      <c r="D6570" s="15" t="s">
        <v>11974</v>
      </c>
      <c r="E6570" s="15">
        <v>105.47799999999999</v>
      </c>
      <c r="F6570" s="42">
        <v>46198</v>
      </c>
    </row>
    <row r="6571" spans="1:6" x14ac:dyDescent="0.3">
      <c r="A6571" s="15" t="s">
        <v>42226</v>
      </c>
      <c r="B6571" s="15" t="s">
        <v>11975</v>
      </c>
      <c r="C6571" s="15" t="s">
        <v>11976</v>
      </c>
      <c r="D6571" s="15" t="s">
        <v>11977</v>
      </c>
      <c r="E6571" s="15">
        <v>30.992000000000001</v>
      </c>
      <c r="F6571" s="42">
        <v>46198</v>
      </c>
    </row>
    <row r="6572" spans="1:6" x14ac:dyDescent="0.3">
      <c r="A6572" s="15" t="s">
        <v>42225</v>
      </c>
      <c r="B6572" s="15" t="s">
        <v>11978</v>
      </c>
      <c r="C6572" s="15" t="s">
        <v>800</v>
      </c>
      <c r="D6572" s="15" t="s">
        <v>11979</v>
      </c>
      <c r="E6572" s="15">
        <v>22.021000000000001</v>
      </c>
      <c r="F6572" s="42">
        <v>46198</v>
      </c>
    </row>
    <row r="6573" spans="1:6" x14ac:dyDescent="0.3">
      <c r="A6573" s="15" t="s">
        <v>42224</v>
      </c>
      <c r="B6573" s="15" t="s">
        <v>11980</v>
      </c>
      <c r="C6573" s="15" t="s">
        <v>11981</v>
      </c>
      <c r="D6573" s="15" t="s">
        <v>11982</v>
      </c>
      <c r="E6573" s="15">
        <v>16.817</v>
      </c>
      <c r="F6573" s="42">
        <v>46198</v>
      </c>
    </row>
    <row r="6574" spans="1:6" x14ac:dyDescent="0.3">
      <c r="A6574" s="15" t="s">
        <v>42223</v>
      </c>
      <c r="B6574" s="15" t="s">
        <v>11983</v>
      </c>
      <c r="C6574" s="15" t="s">
        <v>800</v>
      </c>
      <c r="D6574" s="15" t="s">
        <v>11984</v>
      </c>
      <c r="E6574" s="15">
        <v>20.911000000000001</v>
      </c>
      <c r="F6574" s="42">
        <v>46198</v>
      </c>
    </row>
    <row r="6575" spans="1:6" x14ac:dyDescent="0.3">
      <c r="A6575" s="15" t="s">
        <v>42222</v>
      </c>
      <c r="B6575" s="15" t="s">
        <v>11985</v>
      </c>
      <c r="C6575" s="15" t="s">
        <v>11986</v>
      </c>
      <c r="D6575" s="15" t="s">
        <v>11987</v>
      </c>
      <c r="E6575" s="15">
        <v>15.88</v>
      </c>
      <c r="F6575" s="42">
        <v>46198</v>
      </c>
    </row>
    <row r="6576" spans="1:6" x14ac:dyDescent="0.3">
      <c r="A6576" s="15" t="s">
        <v>33499</v>
      </c>
      <c r="B6576" s="15" t="s">
        <v>795</v>
      </c>
      <c r="C6576" s="15" t="s">
        <v>795</v>
      </c>
      <c r="D6576" s="15" t="s">
        <v>795</v>
      </c>
      <c r="F6576" s="42"/>
    </row>
    <row r="6577" spans="1:6" x14ac:dyDescent="0.3">
      <c r="A6577" s="15" t="s">
        <v>37895</v>
      </c>
      <c r="B6577" s="15" t="s">
        <v>795</v>
      </c>
      <c r="C6577" s="15" t="s">
        <v>795</v>
      </c>
      <c r="D6577" s="15" t="s">
        <v>795</v>
      </c>
      <c r="F6577" s="42"/>
    </row>
    <row r="6578" spans="1:6" x14ac:dyDescent="0.3">
      <c r="A6578" s="15" t="s">
        <v>33499</v>
      </c>
      <c r="B6578" s="15" t="s">
        <v>795</v>
      </c>
      <c r="C6578" s="15" t="s">
        <v>795</v>
      </c>
      <c r="D6578" s="15" t="s">
        <v>795</v>
      </c>
      <c r="F6578" s="42"/>
    </row>
    <row r="6579" spans="1:6" x14ac:dyDescent="0.3">
      <c r="A6579" s="15" t="s">
        <v>42221</v>
      </c>
      <c r="B6579" s="15" t="s">
        <v>11988</v>
      </c>
      <c r="C6579" s="15" t="s">
        <v>800</v>
      </c>
      <c r="D6579" s="15" t="s">
        <v>11989</v>
      </c>
      <c r="E6579" s="15">
        <v>9.0292999999999992</v>
      </c>
      <c r="F6579" s="42">
        <v>46198</v>
      </c>
    </row>
    <row r="6580" spans="1:6" x14ac:dyDescent="0.3">
      <c r="A6580" s="15" t="s">
        <v>42220</v>
      </c>
      <c r="B6580" s="15" t="s">
        <v>11990</v>
      </c>
      <c r="C6580" s="15" t="s">
        <v>11991</v>
      </c>
      <c r="D6580" s="15" t="s">
        <v>11992</v>
      </c>
      <c r="E6580" s="15">
        <v>9.0292999999999992</v>
      </c>
      <c r="F6580" s="42">
        <v>46198</v>
      </c>
    </row>
    <row r="6581" spans="1:6" x14ac:dyDescent="0.3">
      <c r="A6581" s="15" t="s">
        <v>42219</v>
      </c>
      <c r="B6581" s="15" t="s">
        <v>11993</v>
      </c>
      <c r="C6581" s="15" t="s">
        <v>800</v>
      </c>
      <c r="D6581" s="15" t="s">
        <v>11994</v>
      </c>
      <c r="E6581" s="15">
        <v>8.7568999999999999</v>
      </c>
      <c r="F6581" s="42">
        <v>46198</v>
      </c>
    </row>
    <row r="6582" spans="1:6" x14ac:dyDescent="0.3">
      <c r="A6582" s="15" t="s">
        <v>42218</v>
      </c>
      <c r="B6582" s="15" t="s">
        <v>11995</v>
      </c>
      <c r="C6582" s="15" t="s">
        <v>11996</v>
      </c>
      <c r="D6582" s="15" t="s">
        <v>11997</v>
      </c>
      <c r="E6582" s="15">
        <v>8.7568999999999999</v>
      </c>
      <c r="F6582" s="42">
        <v>46198</v>
      </c>
    </row>
    <row r="6583" spans="1:6" x14ac:dyDescent="0.3">
      <c r="A6583" s="15" t="s">
        <v>42217</v>
      </c>
      <c r="B6583" s="15" t="s">
        <v>11998</v>
      </c>
      <c r="C6583" s="15" t="s">
        <v>800</v>
      </c>
      <c r="D6583" s="15" t="s">
        <v>11999</v>
      </c>
      <c r="E6583" s="15">
        <v>11.0868</v>
      </c>
      <c r="F6583" s="42">
        <v>46198</v>
      </c>
    </row>
    <row r="6584" spans="1:6" x14ac:dyDescent="0.3">
      <c r="A6584" s="15" t="s">
        <v>42216</v>
      </c>
      <c r="B6584" s="15" t="s">
        <v>12000</v>
      </c>
      <c r="C6584" s="15" t="s">
        <v>12001</v>
      </c>
      <c r="D6584" s="15" t="s">
        <v>12002</v>
      </c>
      <c r="E6584" s="15">
        <v>11.0868</v>
      </c>
      <c r="F6584" s="42">
        <v>46198</v>
      </c>
    </row>
    <row r="6585" spans="1:6" x14ac:dyDescent="0.3">
      <c r="A6585" s="15" t="s">
        <v>42215</v>
      </c>
      <c r="B6585" s="15" t="s">
        <v>12003</v>
      </c>
      <c r="C6585" s="15" t="s">
        <v>800</v>
      </c>
      <c r="D6585" s="15" t="s">
        <v>12004</v>
      </c>
      <c r="E6585" s="15">
        <v>10.839600000000001</v>
      </c>
      <c r="F6585" s="42">
        <v>46198</v>
      </c>
    </row>
    <row r="6586" spans="1:6" x14ac:dyDescent="0.3">
      <c r="A6586" s="15" t="s">
        <v>42214</v>
      </c>
      <c r="B6586" s="15" t="s">
        <v>12005</v>
      </c>
      <c r="C6586" s="15" t="s">
        <v>12006</v>
      </c>
      <c r="D6586" s="15" t="s">
        <v>12007</v>
      </c>
      <c r="E6586" s="15">
        <v>10.839600000000001</v>
      </c>
      <c r="F6586" s="42">
        <v>46198</v>
      </c>
    </row>
    <row r="6587" spans="1:6" x14ac:dyDescent="0.3">
      <c r="A6587" s="15" t="s">
        <v>42213</v>
      </c>
      <c r="B6587" s="15" t="s">
        <v>12008</v>
      </c>
      <c r="C6587" s="15" t="s">
        <v>800</v>
      </c>
      <c r="D6587" s="15" t="s">
        <v>12009</v>
      </c>
      <c r="E6587" s="15">
        <v>9.6836000000000002</v>
      </c>
      <c r="F6587" s="42">
        <v>46198</v>
      </c>
    </row>
    <row r="6588" spans="1:6" x14ac:dyDescent="0.3">
      <c r="A6588" s="15" t="s">
        <v>42212</v>
      </c>
      <c r="B6588" s="15" t="s">
        <v>12010</v>
      </c>
      <c r="C6588" s="15" t="s">
        <v>12011</v>
      </c>
      <c r="D6588" s="15" t="s">
        <v>12012</v>
      </c>
      <c r="E6588" s="15">
        <v>9.6836000000000002</v>
      </c>
      <c r="F6588" s="42">
        <v>46198</v>
      </c>
    </row>
    <row r="6589" spans="1:6" x14ac:dyDescent="0.3">
      <c r="A6589" s="15" t="s">
        <v>42211</v>
      </c>
      <c r="B6589" s="15" t="s">
        <v>12013</v>
      </c>
      <c r="C6589" s="15" t="s">
        <v>800</v>
      </c>
      <c r="D6589" s="15" t="s">
        <v>12014</v>
      </c>
      <c r="E6589" s="15">
        <v>9.6298999999999992</v>
      </c>
      <c r="F6589" s="42">
        <v>46198</v>
      </c>
    </row>
    <row r="6590" spans="1:6" x14ac:dyDescent="0.3">
      <c r="A6590" s="15" t="s">
        <v>42210</v>
      </c>
      <c r="B6590" s="15" t="s">
        <v>12015</v>
      </c>
      <c r="C6590" s="15" t="s">
        <v>12016</v>
      </c>
      <c r="D6590" s="15" t="s">
        <v>12017</v>
      </c>
      <c r="E6590" s="15">
        <v>9.6298999999999992</v>
      </c>
      <c r="F6590" s="42">
        <v>46198</v>
      </c>
    </row>
    <row r="6591" spans="1:6" x14ac:dyDescent="0.3">
      <c r="A6591" s="15" t="s">
        <v>42209</v>
      </c>
      <c r="B6591" s="15" t="s">
        <v>12018</v>
      </c>
      <c r="C6591" s="15" t="s">
        <v>12019</v>
      </c>
      <c r="D6591" s="15" t="s">
        <v>12020</v>
      </c>
      <c r="E6591" s="15">
        <v>33.286900000000003</v>
      </c>
      <c r="F6591" s="42">
        <v>46198</v>
      </c>
    </row>
    <row r="6592" spans="1:6" x14ac:dyDescent="0.3">
      <c r="A6592" s="15" t="s">
        <v>42208</v>
      </c>
      <c r="B6592" s="15" t="s">
        <v>12021</v>
      </c>
      <c r="C6592" s="15" t="s">
        <v>800</v>
      </c>
      <c r="D6592" s="15" t="s">
        <v>12022</v>
      </c>
      <c r="E6592" s="15">
        <v>33.286900000000003</v>
      </c>
      <c r="F6592" s="42">
        <v>46198</v>
      </c>
    </row>
    <row r="6593" spans="1:6" x14ac:dyDescent="0.3">
      <c r="A6593" s="15" t="s">
        <v>42207</v>
      </c>
      <c r="B6593" s="15" t="s">
        <v>12023</v>
      </c>
      <c r="C6593" s="15" t="s">
        <v>12024</v>
      </c>
      <c r="D6593" s="15" t="s">
        <v>12025</v>
      </c>
      <c r="E6593" s="15">
        <v>30.720700000000001</v>
      </c>
      <c r="F6593" s="42">
        <v>46198</v>
      </c>
    </row>
    <row r="6594" spans="1:6" x14ac:dyDescent="0.3">
      <c r="A6594" s="15" t="s">
        <v>42206</v>
      </c>
      <c r="B6594" s="15" t="s">
        <v>12026</v>
      </c>
      <c r="C6594" s="15" t="s">
        <v>800</v>
      </c>
      <c r="D6594" s="15" t="s">
        <v>12027</v>
      </c>
      <c r="E6594" s="15">
        <v>30.722300000000001</v>
      </c>
      <c r="F6594" s="42">
        <v>46198</v>
      </c>
    </row>
    <row r="6595" spans="1:6" x14ac:dyDescent="0.3">
      <c r="A6595" s="15" t="s">
        <v>42205</v>
      </c>
      <c r="B6595" s="15" t="s">
        <v>12028</v>
      </c>
      <c r="C6595" s="15" t="s">
        <v>800</v>
      </c>
      <c r="D6595" s="15" t="s">
        <v>12029</v>
      </c>
      <c r="E6595" s="15">
        <v>11.9925</v>
      </c>
      <c r="F6595" s="42">
        <v>46198</v>
      </c>
    </row>
    <row r="6596" spans="1:6" x14ac:dyDescent="0.3">
      <c r="A6596" s="15" t="s">
        <v>42204</v>
      </c>
      <c r="B6596" s="15" t="s">
        <v>12030</v>
      </c>
      <c r="C6596" s="15" t="s">
        <v>12031</v>
      </c>
      <c r="D6596" s="15" t="s">
        <v>12032</v>
      </c>
      <c r="E6596" s="15">
        <v>11.9925</v>
      </c>
      <c r="F6596" s="42">
        <v>46198</v>
      </c>
    </row>
    <row r="6597" spans="1:6" x14ac:dyDescent="0.3">
      <c r="A6597" s="15" t="s">
        <v>42203</v>
      </c>
      <c r="B6597" s="15" t="s">
        <v>12033</v>
      </c>
      <c r="C6597" s="15" t="s">
        <v>800</v>
      </c>
      <c r="D6597" s="15" t="s">
        <v>12034</v>
      </c>
      <c r="E6597" s="15">
        <v>11.5273</v>
      </c>
      <c r="F6597" s="42">
        <v>46198</v>
      </c>
    </row>
    <row r="6598" spans="1:6" x14ac:dyDescent="0.3">
      <c r="A6598" s="15" t="s">
        <v>42202</v>
      </c>
      <c r="B6598" s="15" t="s">
        <v>12035</v>
      </c>
      <c r="C6598" s="15" t="s">
        <v>12036</v>
      </c>
      <c r="D6598" s="15" t="s">
        <v>12037</v>
      </c>
      <c r="E6598" s="15">
        <v>11.5273</v>
      </c>
      <c r="F6598" s="42">
        <v>46198</v>
      </c>
    </row>
    <row r="6599" spans="1:6" x14ac:dyDescent="0.3">
      <c r="A6599" s="15" t="s">
        <v>33499</v>
      </c>
      <c r="B6599" s="15" t="s">
        <v>795</v>
      </c>
      <c r="C6599" s="15" t="s">
        <v>795</v>
      </c>
      <c r="D6599" s="15" t="s">
        <v>795</v>
      </c>
      <c r="F6599" s="42"/>
    </row>
    <row r="6600" spans="1:6" x14ac:dyDescent="0.3">
      <c r="A6600" s="15" t="s">
        <v>37044</v>
      </c>
      <c r="B6600" s="15" t="s">
        <v>795</v>
      </c>
      <c r="C6600" s="15" t="s">
        <v>795</v>
      </c>
      <c r="D6600" s="15" t="s">
        <v>795</v>
      </c>
      <c r="F6600" s="42"/>
    </row>
    <row r="6601" spans="1:6" x14ac:dyDescent="0.3">
      <c r="A6601" s="15" t="s">
        <v>33499</v>
      </c>
      <c r="B6601" s="15" t="s">
        <v>795</v>
      </c>
      <c r="C6601" s="15" t="s">
        <v>795</v>
      </c>
      <c r="D6601" s="15" t="s">
        <v>795</v>
      </c>
      <c r="F6601" s="42"/>
    </row>
    <row r="6602" spans="1:6" x14ac:dyDescent="0.3">
      <c r="A6602" s="15" t="s">
        <v>42201</v>
      </c>
      <c r="B6602" s="15" t="s">
        <v>12038</v>
      </c>
      <c r="C6602" s="15" t="s">
        <v>800</v>
      </c>
      <c r="D6602" s="15" t="s">
        <v>12039</v>
      </c>
      <c r="E6602" s="15">
        <v>50.6295</v>
      </c>
      <c r="F6602" s="42">
        <v>46198</v>
      </c>
    </row>
    <row r="6603" spans="1:6" x14ac:dyDescent="0.3">
      <c r="A6603" s="15" t="s">
        <v>42200</v>
      </c>
      <c r="B6603" s="15" t="s">
        <v>12040</v>
      </c>
      <c r="C6603" s="15" t="s">
        <v>12041</v>
      </c>
      <c r="D6603" s="15" t="s">
        <v>12042</v>
      </c>
      <c r="E6603" s="15">
        <v>23.182600000000001</v>
      </c>
      <c r="F6603" s="42">
        <v>46198</v>
      </c>
    </row>
    <row r="6604" spans="1:6" x14ac:dyDescent="0.3">
      <c r="A6604" s="15" t="s">
        <v>42199</v>
      </c>
      <c r="B6604" s="15" t="s">
        <v>12043</v>
      </c>
      <c r="C6604" s="15" t="s">
        <v>800</v>
      </c>
      <c r="D6604" s="15" t="s">
        <v>12044</v>
      </c>
      <c r="E6604" s="15">
        <v>45.933900000000001</v>
      </c>
      <c r="F6604" s="42">
        <v>46198</v>
      </c>
    </row>
    <row r="6605" spans="1:6" x14ac:dyDescent="0.3">
      <c r="A6605" s="15" t="s">
        <v>42198</v>
      </c>
      <c r="B6605" s="15" t="s">
        <v>12045</v>
      </c>
      <c r="C6605" s="15" t="s">
        <v>12046</v>
      </c>
      <c r="D6605" s="15" t="s">
        <v>12047</v>
      </c>
      <c r="E6605" s="15">
        <v>21.681699999999999</v>
      </c>
      <c r="F6605" s="42">
        <v>46198</v>
      </c>
    </row>
    <row r="6606" spans="1:6" x14ac:dyDescent="0.3">
      <c r="A6606" s="15" t="s">
        <v>42197</v>
      </c>
      <c r="B6606" s="15" t="s">
        <v>12048</v>
      </c>
      <c r="C6606" s="15" t="s">
        <v>800</v>
      </c>
      <c r="D6606" s="15" t="s">
        <v>12049</v>
      </c>
      <c r="E6606" s="15">
        <v>172.27109999999999</v>
      </c>
      <c r="F6606" s="42">
        <v>46198</v>
      </c>
    </row>
    <row r="6607" spans="1:6" x14ac:dyDescent="0.3">
      <c r="A6607" s="15" t="s">
        <v>42196</v>
      </c>
      <c r="B6607" s="15" t="s">
        <v>12050</v>
      </c>
      <c r="C6607" s="15" t="s">
        <v>12051</v>
      </c>
      <c r="D6607" s="15" t="s">
        <v>12052</v>
      </c>
      <c r="E6607" s="15">
        <v>51.496899999999997</v>
      </c>
      <c r="F6607" s="42">
        <v>46198</v>
      </c>
    </row>
    <row r="6608" spans="1:6" x14ac:dyDescent="0.3">
      <c r="A6608" s="15" t="s">
        <v>42195</v>
      </c>
      <c r="B6608" s="15" t="s">
        <v>12053</v>
      </c>
      <c r="C6608" s="15" t="s">
        <v>12054</v>
      </c>
      <c r="D6608" s="15" t="s">
        <v>12055</v>
      </c>
      <c r="E6608" s="15">
        <v>42.25</v>
      </c>
      <c r="F6608" s="42">
        <v>46198</v>
      </c>
    </row>
    <row r="6609" spans="1:6" x14ac:dyDescent="0.3">
      <c r="A6609" s="15" t="s">
        <v>42194</v>
      </c>
      <c r="B6609" s="15" t="s">
        <v>12056</v>
      </c>
      <c r="C6609" s="15" t="s">
        <v>800</v>
      </c>
      <c r="D6609" s="15" t="s">
        <v>12057</v>
      </c>
      <c r="E6609" s="15">
        <v>148.41550000000001</v>
      </c>
      <c r="F6609" s="42">
        <v>46198</v>
      </c>
    </row>
    <row r="6610" spans="1:6" x14ac:dyDescent="0.3">
      <c r="A6610" s="15" t="s">
        <v>42193</v>
      </c>
      <c r="B6610" s="15" t="s">
        <v>12058</v>
      </c>
      <c r="C6610" s="15" t="s">
        <v>800</v>
      </c>
      <c r="D6610" s="15" t="s">
        <v>12059</v>
      </c>
      <c r="E6610" s="15">
        <v>9.6245999999999992</v>
      </c>
      <c r="F6610" s="42">
        <v>46198</v>
      </c>
    </row>
    <row r="6611" spans="1:6" x14ac:dyDescent="0.3">
      <c r="A6611" s="15" t="s">
        <v>42192</v>
      </c>
      <c r="B6611" s="15" t="s">
        <v>12060</v>
      </c>
      <c r="C6611" s="15" t="s">
        <v>12061</v>
      </c>
      <c r="D6611" s="15" t="s">
        <v>12062</v>
      </c>
      <c r="E6611" s="15">
        <v>9.6245999999999992</v>
      </c>
      <c r="F6611" s="42">
        <v>46198</v>
      </c>
    </row>
    <row r="6612" spans="1:6" x14ac:dyDescent="0.3">
      <c r="A6612" s="15" t="s">
        <v>42191</v>
      </c>
      <c r="B6612" s="15" t="s">
        <v>12063</v>
      </c>
      <c r="C6612" s="15" t="s">
        <v>800</v>
      </c>
      <c r="D6612" s="15" t="s">
        <v>12064</v>
      </c>
      <c r="E6612" s="15">
        <v>9.5352999999999994</v>
      </c>
      <c r="F6612" s="42">
        <v>46198</v>
      </c>
    </row>
    <row r="6613" spans="1:6" x14ac:dyDescent="0.3">
      <c r="A6613" s="15" t="s">
        <v>42190</v>
      </c>
      <c r="B6613" s="15" t="s">
        <v>12065</v>
      </c>
      <c r="C6613" s="15" t="s">
        <v>12066</v>
      </c>
      <c r="D6613" s="15" t="s">
        <v>12067</v>
      </c>
      <c r="E6613" s="15">
        <v>9.5352999999999994</v>
      </c>
      <c r="F6613" s="42">
        <v>46198</v>
      </c>
    </row>
    <row r="6614" spans="1:6" x14ac:dyDescent="0.3">
      <c r="A6614" s="15" t="s">
        <v>42189</v>
      </c>
      <c r="B6614" s="15" t="s">
        <v>12068</v>
      </c>
      <c r="C6614" s="15" t="s">
        <v>800</v>
      </c>
      <c r="D6614" s="15" t="s">
        <v>12069</v>
      </c>
      <c r="E6614" s="15">
        <v>289.18009999999998</v>
      </c>
      <c r="F6614" s="42">
        <v>46198</v>
      </c>
    </row>
    <row r="6615" spans="1:6" x14ac:dyDescent="0.3">
      <c r="A6615" s="15" t="s">
        <v>42188</v>
      </c>
      <c r="B6615" s="15" t="s">
        <v>12070</v>
      </c>
      <c r="C6615" s="15" t="s">
        <v>12071</v>
      </c>
      <c r="D6615" s="15" t="s">
        <v>12072</v>
      </c>
      <c r="E6615" s="15">
        <v>42.171999999999997</v>
      </c>
      <c r="F6615" s="42">
        <v>46198</v>
      </c>
    </row>
    <row r="6616" spans="1:6" x14ac:dyDescent="0.3">
      <c r="A6616" s="15" t="s">
        <v>42187</v>
      </c>
      <c r="B6616" s="15" t="s">
        <v>12073</v>
      </c>
      <c r="C6616" s="15" t="s">
        <v>800</v>
      </c>
      <c r="D6616" s="15" t="s">
        <v>12074</v>
      </c>
      <c r="E6616" s="15">
        <v>259.17290000000003</v>
      </c>
      <c r="F6616" s="42">
        <v>46198</v>
      </c>
    </row>
    <row r="6617" spans="1:6" x14ac:dyDescent="0.3">
      <c r="A6617" s="15" t="s">
        <v>42186</v>
      </c>
      <c r="B6617" s="15" t="s">
        <v>12075</v>
      </c>
      <c r="C6617" s="15" t="s">
        <v>12076</v>
      </c>
      <c r="D6617" s="15" t="s">
        <v>12077</v>
      </c>
      <c r="E6617" s="15">
        <v>37.176000000000002</v>
      </c>
      <c r="F6617" s="42">
        <v>46198</v>
      </c>
    </row>
    <row r="6618" spans="1:6" x14ac:dyDescent="0.3">
      <c r="A6618" s="15" t="s">
        <v>42185</v>
      </c>
      <c r="B6618" s="15" t="s">
        <v>12078</v>
      </c>
      <c r="C6618" s="15" t="s">
        <v>800</v>
      </c>
      <c r="D6618" s="15" t="s">
        <v>12079</v>
      </c>
      <c r="E6618" s="15">
        <v>479.48500000000001</v>
      </c>
      <c r="F6618" s="42">
        <v>46198</v>
      </c>
    </row>
    <row r="6619" spans="1:6" x14ac:dyDescent="0.3">
      <c r="A6619" s="15" t="s">
        <v>42184</v>
      </c>
      <c r="B6619" s="15" t="s">
        <v>12080</v>
      </c>
      <c r="C6619" s="15" t="s">
        <v>12081</v>
      </c>
      <c r="D6619" s="15" t="s">
        <v>12082</v>
      </c>
      <c r="E6619" s="15">
        <v>41.783999999999999</v>
      </c>
      <c r="F6619" s="42">
        <v>46198</v>
      </c>
    </row>
    <row r="6620" spans="1:6" x14ac:dyDescent="0.3">
      <c r="A6620" s="15" t="s">
        <v>42183</v>
      </c>
      <c r="B6620" s="15" t="s">
        <v>12083</v>
      </c>
      <c r="C6620" s="15" t="s">
        <v>12084</v>
      </c>
      <c r="D6620" s="15" t="s">
        <v>12085</v>
      </c>
      <c r="E6620" s="15">
        <v>37.176900000000003</v>
      </c>
      <c r="F6620" s="42">
        <v>46198</v>
      </c>
    </row>
    <row r="6621" spans="1:6" x14ac:dyDescent="0.3">
      <c r="A6621" s="15" t="s">
        <v>42182</v>
      </c>
      <c r="B6621" s="15" t="s">
        <v>12086</v>
      </c>
      <c r="C6621" s="15" t="s">
        <v>800</v>
      </c>
      <c r="D6621" s="15" t="s">
        <v>12087</v>
      </c>
      <c r="E6621" s="15">
        <v>431.36950000000002</v>
      </c>
      <c r="F6621" s="42">
        <v>46198</v>
      </c>
    </row>
    <row r="6622" spans="1:6" x14ac:dyDescent="0.3">
      <c r="A6622" s="15" t="s">
        <v>33499</v>
      </c>
      <c r="B6622" s="15" t="s">
        <v>795</v>
      </c>
      <c r="C6622" s="15" t="s">
        <v>795</v>
      </c>
      <c r="D6622" s="15" t="s">
        <v>795</v>
      </c>
      <c r="F6622" s="42"/>
    </row>
    <row r="6623" spans="1:6" x14ac:dyDescent="0.3">
      <c r="A6623" s="15" t="s">
        <v>37881</v>
      </c>
      <c r="B6623" s="15" t="s">
        <v>795</v>
      </c>
      <c r="C6623" s="15" t="s">
        <v>795</v>
      </c>
      <c r="D6623" s="15" t="s">
        <v>795</v>
      </c>
      <c r="F6623" s="42"/>
    </row>
    <row r="6624" spans="1:6" x14ac:dyDescent="0.3">
      <c r="A6624" s="15" t="s">
        <v>33499</v>
      </c>
      <c r="B6624" s="15" t="s">
        <v>795</v>
      </c>
      <c r="C6624" s="15" t="s">
        <v>795</v>
      </c>
      <c r="D6624" s="15" t="s">
        <v>795</v>
      </c>
      <c r="F6624" s="42"/>
    </row>
    <row r="6625" spans="1:6" x14ac:dyDescent="0.3">
      <c r="A6625" s="15" t="s">
        <v>42181</v>
      </c>
      <c r="B6625" s="15" t="s">
        <v>12088</v>
      </c>
      <c r="C6625" s="15" t="s">
        <v>800</v>
      </c>
      <c r="D6625" s="15" t="s">
        <v>12089</v>
      </c>
      <c r="E6625" s="15">
        <v>13.144</v>
      </c>
      <c r="F6625" s="42">
        <v>46198</v>
      </c>
    </row>
    <row r="6626" spans="1:6" x14ac:dyDescent="0.3">
      <c r="A6626" s="15" t="s">
        <v>42180</v>
      </c>
      <c r="B6626" s="15" t="s">
        <v>12090</v>
      </c>
      <c r="C6626" s="15" t="s">
        <v>800</v>
      </c>
      <c r="D6626" s="15" t="s">
        <v>12091</v>
      </c>
      <c r="E6626" s="15">
        <v>12.5524</v>
      </c>
      <c r="F6626" s="42">
        <v>46198</v>
      </c>
    </row>
    <row r="6627" spans="1:6" x14ac:dyDescent="0.3">
      <c r="A6627" s="15" t="s">
        <v>42179</v>
      </c>
      <c r="B6627" s="15" t="s">
        <v>12092</v>
      </c>
      <c r="C6627" s="15" t="s">
        <v>12093</v>
      </c>
      <c r="D6627" s="15" t="s">
        <v>12094</v>
      </c>
      <c r="E6627" s="15">
        <v>12.5524</v>
      </c>
      <c r="F6627" s="42">
        <v>46198</v>
      </c>
    </row>
    <row r="6628" spans="1:6" x14ac:dyDescent="0.3">
      <c r="A6628" s="15" t="s">
        <v>42178</v>
      </c>
      <c r="B6628" s="15" t="s">
        <v>12095</v>
      </c>
      <c r="C6628" s="15" t="s">
        <v>12096</v>
      </c>
      <c r="D6628" s="15" t="s">
        <v>12097</v>
      </c>
      <c r="E6628" s="15">
        <v>13.1431</v>
      </c>
      <c r="F6628" s="42">
        <v>46198</v>
      </c>
    </row>
    <row r="6629" spans="1:6" x14ac:dyDescent="0.3">
      <c r="A6629" s="15" t="s">
        <v>33499</v>
      </c>
      <c r="B6629" s="15" t="s">
        <v>795</v>
      </c>
      <c r="C6629" s="15" t="s">
        <v>795</v>
      </c>
      <c r="D6629" s="15" t="s">
        <v>795</v>
      </c>
      <c r="F6629" s="42"/>
    </row>
    <row r="6630" spans="1:6" x14ac:dyDescent="0.3">
      <c r="A6630" s="15" t="s">
        <v>37043</v>
      </c>
      <c r="B6630" s="15" t="s">
        <v>795</v>
      </c>
      <c r="C6630" s="15" t="s">
        <v>795</v>
      </c>
      <c r="D6630" s="15" t="s">
        <v>795</v>
      </c>
      <c r="F6630" s="42"/>
    </row>
    <row r="6631" spans="1:6" x14ac:dyDescent="0.3">
      <c r="A6631" s="15" t="s">
        <v>33499</v>
      </c>
      <c r="B6631" s="15" t="s">
        <v>795</v>
      </c>
      <c r="C6631" s="15" t="s">
        <v>795</v>
      </c>
      <c r="D6631" s="15" t="s">
        <v>795</v>
      </c>
      <c r="F6631" s="42"/>
    </row>
    <row r="6632" spans="1:6" x14ac:dyDescent="0.3">
      <c r="A6632" s="15" t="s">
        <v>42177</v>
      </c>
      <c r="B6632" s="15" t="s">
        <v>12098</v>
      </c>
      <c r="C6632" s="15" t="s">
        <v>800</v>
      </c>
      <c r="D6632" s="15" t="s">
        <v>12099</v>
      </c>
      <c r="E6632" s="15">
        <v>18.087</v>
      </c>
      <c r="F6632" s="42">
        <v>46198</v>
      </c>
    </row>
    <row r="6633" spans="1:6" x14ac:dyDescent="0.3">
      <c r="A6633" s="15" t="s">
        <v>42176</v>
      </c>
      <c r="B6633" s="15" t="s">
        <v>12100</v>
      </c>
      <c r="C6633" s="15" t="s">
        <v>800</v>
      </c>
      <c r="D6633" s="15" t="s">
        <v>12101</v>
      </c>
      <c r="E6633" s="15">
        <v>19.391999999999999</v>
      </c>
      <c r="F6633" s="42">
        <v>46198</v>
      </c>
    </row>
    <row r="6634" spans="1:6" x14ac:dyDescent="0.3">
      <c r="A6634" s="15" t="s">
        <v>42175</v>
      </c>
      <c r="B6634" s="15" t="s">
        <v>12102</v>
      </c>
      <c r="C6634" s="15" t="s">
        <v>12103</v>
      </c>
      <c r="D6634" s="15" t="s">
        <v>12104</v>
      </c>
      <c r="E6634" s="15">
        <v>15.877000000000001</v>
      </c>
      <c r="F6634" s="42">
        <v>46198</v>
      </c>
    </row>
    <row r="6635" spans="1:6" x14ac:dyDescent="0.3">
      <c r="A6635" s="15" t="s">
        <v>42174</v>
      </c>
      <c r="B6635" s="15" t="s">
        <v>12105</v>
      </c>
      <c r="C6635" s="15" t="s">
        <v>12106</v>
      </c>
      <c r="D6635" s="15" t="s">
        <v>12107</v>
      </c>
      <c r="E6635" s="15">
        <v>17.138999999999999</v>
      </c>
      <c r="F6635" s="42">
        <v>46198</v>
      </c>
    </row>
    <row r="6636" spans="1:6" x14ac:dyDescent="0.3">
      <c r="A6636" s="15" t="s">
        <v>42173</v>
      </c>
      <c r="B6636" s="15" t="s">
        <v>12108</v>
      </c>
      <c r="C6636" s="15" t="s">
        <v>800</v>
      </c>
      <c r="D6636" s="15" t="s">
        <v>12109</v>
      </c>
      <c r="E6636" s="15">
        <v>14.833</v>
      </c>
      <c r="F6636" s="42">
        <v>46198</v>
      </c>
    </row>
    <row r="6637" spans="1:6" x14ac:dyDescent="0.3">
      <c r="A6637" s="15" t="s">
        <v>42172</v>
      </c>
      <c r="B6637" s="15" t="s">
        <v>12110</v>
      </c>
      <c r="C6637" s="15" t="s">
        <v>800</v>
      </c>
      <c r="D6637" s="15" t="s">
        <v>12111</v>
      </c>
      <c r="E6637" s="15">
        <v>15.494</v>
      </c>
      <c r="F6637" s="42">
        <v>46198</v>
      </c>
    </row>
    <row r="6638" spans="1:6" x14ac:dyDescent="0.3">
      <c r="A6638" s="15" t="s">
        <v>42171</v>
      </c>
      <c r="B6638" s="15" t="s">
        <v>12112</v>
      </c>
      <c r="C6638" s="15" t="s">
        <v>12113</v>
      </c>
      <c r="D6638" s="15" t="s">
        <v>12114</v>
      </c>
      <c r="E6638" s="15">
        <v>14.833</v>
      </c>
      <c r="F6638" s="42">
        <v>46198</v>
      </c>
    </row>
    <row r="6639" spans="1:6" x14ac:dyDescent="0.3">
      <c r="A6639" s="15" t="s">
        <v>42170</v>
      </c>
      <c r="B6639" s="15" t="s">
        <v>12115</v>
      </c>
      <c r="C6639" s="15" t="s">
        <v>12116</v>
      </c>
      <c r="D6639" s="15" t="s">
        <v>12117</v>
      </c>
      <c r="E6639" s="15">
        <v>15.494</v>
      </c>
      <c r="F6639" s="42">
        <v>46198</v>
      </c>
    </row>
    <row r="6640" spans="1:6" x14ac:dyDescent="0.3">
      <c r="A6640" s="15" t="s">
        <v>42169</v>
      </c>
      <c r="B6640" s="15" t="s">
        <v>12118</v>
      </c>
      <c r="C6640" s="15" t="s">
        <v>800</v>
      </c>
      <c r="D6640" s="15" t="s">
        <v>12119</v>
      </c>
      <c r="E6640" s="15">
        <v>13.346</v>
      </c>
      <c r="F6640" s="42">
        <v>46198</v>
      </c>
    </row>
    <row r="6641" spans="1:6" x14ac:dyDescent="0.3">
      <c r="A6641" s="15" t="s">
        <v>42168</v>
      </c>
      <c r="B6641" s="15" t="s">
        <v>12120</v>
      </c>
      <c r="C6641" s="15" t="s">
        <v>800</v>
      </c>
      <c r="D6641" s="15" t="s">
        <v>12121</v>
      </c>
      <c r="E6641" s="15">
        <v>13.831</v>
      </c>
      <c r="F6641" s="42">
        <v>46198</v>
      </c>
    </row>
    <row r="6642" spans="1:6" x14ac:dyDescent="0.3">
      <c r="A6642" s="15" t="s">
        <v>42167</v>
      </c>
      <c r="B6642" s="15" t="s">
        <v>12122</v>
      </c>
      <c r="C6642" s="15" t="s">
        <v>12123</v>
      </c>
      <c r="D6642" s="15" t="s">
        <v>12124</v>
      </c>
      <c r="E6642" s="15">
        <v>13.346</v>
      </c>
      <c r="F6642" s="42">
        <v>46198</v>
      </c>
    </row>
    <row r="6643" spans="1:6" x14ac:dyDescent="0.3">
      <c r="A6643" s="15" t="s">
        <v>42166</v>
      </c>
      <c r="B6643" s="15" t="s">
        <v>12125</v>
      </c>
      <c r="C6643" s="15" t="s">
        <v>12126</v>
      </c>
      <c r="D6643" s="15" t="s">
        <v>12127</v>
      </c>
      <c r="E6643" s="15">
        <v>13.831</v>
      </c>
      <c r="F6643" s="42">
        <v>46198</v>
      </c>
    </row>
    <row r="6644" spans="1:6" x14ac:dyDescent="0.3">
      <c r="A6644" s="15" t="s">
        <v>42165</v>
      </c>
      <c r="B6644" s="15" t="s">
        <v>12128</v>
      </c>
      <c r="C6644" s="15" t="s">
        <v>800</v>
      </c>
      <c r="D6644" s="15" t="s">
        <v>12129</v>
      </c>
      <c r="E6644" s="15">
        <v>29.138000000000002</v>
      </c>
      <c r="F6644" s="42">
        <v>46198</v>
      </c>
    </row>
    <row r="6645" spans="1:6" x14ac:dyDescent="0.3">
      <c r="A6645" s="15" t="s">
        <v>42164</v>
      </c>
      <c r="B6645" s="15" t="s">
        <v>12130</v>
      </c>
      <c r="C6645" s="15" t="s">
        <v>800</v>
      </c>
      <c r="D6645" s="15" t="s">
        <v>12131</v>
      </c>
      <c r="E6645" s="15">
        <v>30.152999999999999</v>
      </c>
      <c r="F6645" s="42">
        <v>46198</v>
      </c>
    </row>
    <row r="6646" spans="1:6" x14ac:dyDescent="0.3">
      <c r="A6646" s="15" t="s">
        <v>42163</v>
      </c>
      <c r="B6646" s="15" t="s">
        <v>12132</v>
      </c>
      <c r="C6646" s="15" t="s">
        <v>12133</v>
      </c>
      <c r="D6646" s="15" t="s">
        <v>12134</v>
      </c>
      <c r="E6646" s="15">
        <v>29.138000000000002</v>
      </c>
      <c r="F6646" s="42">
        <v>46198</v>
      </c>
    </row>
    <row r="6647" spans="1:6" x14ac:dyDescent="0.3">
      <c r="A6647" s="15" t="s">
        <v>42162</v>
      </c>
      <c r="B6647" s="15" t="s">
        <v>12135</v>
      </c>
      <c r="C6647" s="15" t="s">
        <v>12136</v>
      </c>
      <c r="D6647" s="15" t="s">
        <v>12137</v>
      </c>
      <c r="E6647" s="15">
        <v>30.152999999999999</v>
      </c>
      <c r="F6647" s="42">
        <v>46198</v>
      </c>
    </row>
    <row r="6648" spans="1:6" x14ac:dyDescent="0.3">
      <c r="A6648" s="15" t="s">
        <v>42161</v>
      </c>
      <c r="B6648" s="15" t="s">
        <v>12138</v>
      </c>
      <c r="C6648" s="15" t="s">
        <v>800</v>
      </c>
      <c r="D6648" s="15" t="s">
        <v>12139</v>
      </c>
      <c r="E6648" s="15">
        <v>21.824000000000002</v>
      </c>
      <c r="F6648" s="42">
        <v>46198</v>
      </c>
    </row>
    <row r="6649" spans="1:6" x14ac:dyDescent="0.3">
      <c r="A6649" s="15" t="s">
        <v>42160</v>
      </c>
      <c r="B6649" s="15" t="s">
        <v>12140</v>
      </c>
      <c r="C6649" s="15" t="s">
        <v>800</v>
      </c>
      <c r="D6649" s="15" t="s">
        <v>12141</v>
      </c>
      <c r="E6649" s="15">
        <v>23.802</v>
      </c>
      <c r="F6649" s="42">
        <v>46198</v>
      </c>
    </row>
    <row r="6650" spans="1:6" x14ac:dyDescent="0.3">
      <c r="A6650" s="15" t="s">
        <v>42159</v>
      </c>
      <c r="B6650" s="15" t="s">
        <v>12142</v>
      </c>
      <c r="C6650" s="15" t="s">
        <v>12143</v>
      </c>
      <c r="D6650" s="15" t="s">
        <v>12144</v>
      </c>
      <c r="E6650" s="15">
        <v>15.645</v>
      </c>
      <c r="F6650" s="42">
        <v>46198</v>
      </c>
    </row>
    <row r="6651" spans="1:6" x14ac:dyDescent="0.3">
      <c r="A6651" s="15" t="s">
        <v>42158</v>
      </c>
      <c r="B6651" s="15" t="s">
        <v>12145</v>
      </c>
      <c r="C6651" s="15" t="s">
        <v>12146</v>
      </c>
      <c r="D6651" s="15" t="s">
        <v>12147</v>
      </c>
      <c r="E6651" s="15">
        <v>17.452999999999999</v>
      </c>
      <c r="F6651" s="42">
        <v>46198</v>
      </c>
    </row>
    <row r="6652" spans="1:6" x14ac:dyDescent="0.3">
      <c r="A6652" s="15" t="s">
        <v>42157</v>
      </c>
      <c r="B6652" s="15" t="s">
        <v>12148</v>
      </c>
      <c r="C6652" s="15" t="s">
        <v>800</v>
      </c>
      <c r="D6652" s="15" t="s">
        <v>12149</v>
      </c>
      <c r="E6652" s="15">
        <v>53.634999999999998</v>
      </c>
      <c r="F6652" s="42">
        <v>46198</v>
      </c>
    </row>
    <row r="6653" spans="1:6" x14ac:dyDescent="0.3">
      <c r="A6653" s="15" t="s">
        <v>42156</v>
      </c>
      <c r="B6653" s="15" t="s">
        <v>12150</v>
      </c>
      <c r="C6653" s="15" t="s">
        <v>800</v>
      </c>
      <c r="D6653" s="15" t="s">
        <v>12151</v>
      </c>
      <c r="E6653" s="15">
        <v>48.11</v>
      </c>
      <c r="F6653" s="42">
        <v>46198</v>
      </c>
    </row>
    <row r="6654" spans="1:6" x14ac:dyDescent="0.3">
      <c r="A6654" s="15" t="s">
        <v>42155</v>
      </c>
      <c r="B6654" s="15" t="s">
        <v>12152</v>
      </c>
      <c r="C6654" s="15" t="s">
        <v>12153</v>
      </c>
      <c r="D6654" s="15" t="s">
        <v>12154</v>
      </c>
      <c r="E6654" s="15">
        <v>32.822000000000003</v>
      </c>
      <c r="F6654" s="42">
        <v>46198</v>
      </c>
    </row>
    <row r="6655" spans="1:6" x14ac:dyDescent="0.3">
      <c r="A6655" s="15" t="s">
        <v>42154</v>
      </c>
      <c r="B6655" s="15" t="s">
        <v>12155</v>
      </c>
      <c r="C6655" s="15" t="s">
        <v>12156</v>
      </c>
      <c r="D6655" s="15" t="s">
        <v>12157</v>
      </c>
      <c r="E6655" s="15">
        <v>20.632999999999999</v>
      </c>
      <c r="F6655" s="42">
        <v>46198</v>
      </c>
    </row>
    <row r="6656" spans="1:6" x14ac:dyDescent="0.3">
      <c r="A6656" s="15" t="s">
        <v>42153</v>
      </c>
      <c r="B6656" s="15" t="s">
        <v>12158</v>
      </c>
      <c r="C6656" s="15" t="s">
        <v>800</v>
      </c>
      <c r="D6656" s="15" t="s">
        <v>12159</v>
      </c>
      <c r="E6656" s="15">
        <v>10.856</v>
      </c>
      <c r="F6656" s="42">
        <v>46198</v>
      </c>
    </row>
    <row r="6657" spans="1:6" x14ac:dyDescent="0.3">
      <c r="A6657" s="15" t="s">
        <v>42152</v>
      </c>
      <c r="B6657" s="15" t="s">
        <v>12160</v>
      </c>
      <c r="C6657" s="15" t="s">
        <v>12161</v>
      </c>
      <c r="D6657" s="15" t="s">
        <v>12162</v>
      </c>
      <c r="E6657" s="15">
        <v>10.856</v>
      </c>
      <c r="F6657" s="42">
        <v>46198</v>
      </c>
    </row>
    <row r="6658" spans="1:6" x14ac:dyDescent="0.3">
      <c r="A6658" s="15" t="s">
        <v>42151</v>
      </c>
      <c r="B6658" s="15" t="s">
        <v>12163</v>
      </c>
      <c r="C6658" s="15" t="s">
        <v>12164</v>
      </c>
      <c r="D6658" s="15" t="s">
        <v>12165</v>
      </c>
      <c r="E6658" s="15">
        <v>10.731</v>
      </c>
      <c r="F6658" s="42">
        <v>46198</v>
      </c>
    </row>
    <row r="6659" spans="1:6" x14ac:dyDescent="0.3">
      <c r="A6659" s="15" t="s">
        <v>42150</v>
      </c>
      <c r="B6659" s="15" t="s">
        <v>12166</v>
      </c>
      <c r="C6659" s="15" t="s">
        <v>800</v>
      </c>
      <c r="D6659" s="15" t="s">
        <v>12167</v>
      </c>
      <c r="E6659" s="15">
        <v>10.731</v>
      </c>
      <c r="F6659" s="42">
        <v>46198</v>
      </c>
    </row>
    <row r="6660" spans="1:6" x14ac:dyDescent="0.3">
      <c r="A6660" s="15" t="s">
        <v>42149</v>
      </c>
      <c r="B6660" s="15" t="s">
        <v>12168</v>
      </c>
      <c r="C6660" s="15" t="s">
        <v>800</v>
      </c>
      <c r="D6660" s="15" t="s">
        <v>12169</v>
      </c>
      <c r="E6660" s="15">
        <v>11.662000000000001</v>
      </c>
      <c r="F6660" s="42">
        <v>46198</v>
      </c>
    </row>
    <row r="6661" spans="1:6" x14ac:dyDescent="0.3">
      <c r="A6661" s="15" t="s">
        <v>42148</v>
      </c>
      <c r="B6661" s="15" t="s">
        <v>12170</v>
      </c>
      <c r="C6661" s="15" t="s">
        <v>800</v>
      </c>
      <c r="D6661" s="15" t="s">
        <v>12171</v>
      </c>
      <c r="E6661" s="15">
        <v>11.393000000000001</v>
      </c>
      <c r="F6661" s="42">
        <v>46198</v>
      </c>
    </row>
    <row r="6662" spans="1:6" x14ac:dyDescent="0.3">
      <c r="A6662" s="15" t="s">
        <v>42147</v>
      </c>
      <c r="B6662" s="15" t="s">
        <v>12172</v>
      </c>
      <c r="C6662" s="15" t="s">
        <v>12173</v>
      </c>
      <c r="D6662" s="15" t="s">
        <v>12174</v>
      </c>
      <c r="E6662" s="15">
        <v>11.662000000000001</v>
      </c>
      <c r="F6662" s="42">
        <v>46198</v>
      </c>
    </row>
    <row r="6663" spans="1:6" x14ac:dyDescent="0.3">
      <c r="A6663" s="15" t="s">
        <v>42146</v>
      </c>
      <c r="B6663" s="15" t="s">
        <v>12175</v>
      </c>
      <c r="C6663" s="15" t="s">
        <v>12176</v>
      </c>
      <c r="D6663" s="15" t="s">
        <v>12177</v>
      </c>
      <c r="E6663" s="15">
        <v>11.393000000000001</v>
      </c>
      <c r="F6663" s="42">
        <v>46198</v>
      </c>
    </row>
    <row r="6664" spans="1:6" x14ac:dyDescent="0.3">
      <c r="A6664" s="15" t="s">
        <v>42145</v>
      </c>
      <c r="B6664" s="15" t="s">
        <v>12178</v>
      </c>
      <c r="C6664" s="15" t="s">
        <v>800</v>
      </c>
      <c r="D6664" s="15" t="s">
        <v>12179</v>
      </c>
      <c r="E6664" s="15">
        <v>13.548</v>
      </c>
      <c r="F6664" s="42">
        <v>46198</v>
      </c>
    </row>
    <row r="6665" spans="1:6" x14ac:dyDescent="0.3">
      <c r="A6665" s="15" t="s">
        <v>42144</v>
      </c>
      <c r="B6665" s="15" t="s">
        <v>12180</v>
      </c>
      <c r="C6665" s="15" t="s">
        <v>800</v>
      </c>
      <c r="D6665" s="15" t="s">
        <v>12181</v>
      </c>
      <c r="E6665" s="15">
        <v>14.087</v>
      </c>
      <c r="F6665" s="42">
        <v>46198</v>
      </c>
    </row>
    <row r="6666" spans="1:6" x14ac:dyDescent="0.3">
      <c r="A6666" s="15" t="s">
        <v>42143</v>
      </c>
      <c r="B6666" s="15" t="s">
        <v>12182</v>
      </c>
      <c r="C6666" s="15" t="s">
        <v>12183</v>
      </c>
      <c r="D6666" s="15" t="s">
        <v>12184</v>
      </c>
      <c r="E6666" s="15">
        <v>13.548</v>
      </c>
      <c r="F6666" s="42">
        <v>46198</v>
      </c>
    </row>
    <row r="6667" spans="1:6" x14ac:dyDescent="0.3">
      <c r="A6667" s="15" t="s">
        <v>42142</v>
      </c>
      <c r="B6667" s="15" t="s">
        <v>12185</v>
      </c>
      <c r="C6667" s="15" t="s">
        <v>12186</v>
      </c>
      <c r="D6667" s="15" t="s">
        <v>12187</v>
      </c>
      <c r="E6667" s="15">
        <v>14.087</v>
      </c>
      <c r="F6667" s="42">
        <v>46198</v>
      </c>
    </row>
    <row r="6668" spans="1:6" x14ac:dyDescent="0.3">
      <c r="A6668" s="15" t="s">
        <v>42141</v>
      </c>
      <c r="B6668" s="15" t="s">
        <v>12188</v>
      </c>
      <c r="C6668" s="15" t="s">
        <v>800</v>
      </c>
      <c r="D6668" s="15" t="s">
        <v>12189</v>
      </c>
      <c r="E6668" s="15">
        <v>20.088999999999999</v>
      </c>
      <c r="F6668" s="42">
        <v>46198</v>
      </c>
    </row>
    <row r="6669" spans="1:6" x14ac:dyDescent="0.3">
      <c r="A6669" s="15" t="s">
        <v>42140</v>
      </c>
      <c r="B6669" s="15" t="s">
        <v>12190</v>
      </c>
      <c r="C6669" s="15" t="s">
        <v>800</v>
      </c>
      <c r="D6669" s="15" t="s">
        <v>12191</v>
      </c>
      <c r="E6669" s="15">
        <v>20.753</v>
      </c>
      <c r="F6669" s="42">
        <v>46198</v>
      </c>
    </row>
    <row r="6670" spans="1:6" x14ac:dyDescent="0.3">
      <c r="A6670" s="15" t="s">
        <v>42139</v>
      </c>
      <c r="B6670" s="15" t="s">
        <v>12192</v>
      </c>
      <c r="C6670" s="15" t="s">
        <v>12193</v>
      </c>
      <c r="D6670" s="15" t="s">
        <v>12194</v>
      </c>
      <c r="E6670" s="15">
        <v>20.088999999999999</v>
      </c>
      <c r="F6670" s="42">
        <v>46198</v>
      </c>
    </row>
    <row r="6671" spans="1:6" x14ac:dyDescent="0.3">
      <c r="A6671" s="15" t="s">
        <v>42138</v>
      </c>
      <c r="B6671" s="15" t="s">
        <v>12195</v>
      </c>
      <c r="C6671" s="15" t="s">
        <v>12196</v>
      </c>
      <c r="D6671" s="15" t="s">
        <v>12197</v>
      </c>
      <c r="E6671" s="15">
        <v>20.753</v>
      </c>
      <c r="F6671" s="42">
        <v>46198</v>
      </c>
    </row>
    <row r="6672" spans="1:6" x14ac:dyDescent="0.3">
      <c r="A6672" s="15" t="s">
        <v>42137</v>
      </c>
      <c r="B6672" s="15" t="s">
        <v>12198</v>
      </c>
      <c r="C6672" s="15" t="s">
        <v>800</v>
      </c>
      <c r="D6672" s="15" t="s">
        <v>12199</v>
      </c>
      <c r="E6672" s="15">
        <v>10.664</v>
      </c>
      <c r="F6672" s="42">
        <v>46198</v>
      </c>
    </row>
    <row r="6673" spans="1:6" x14ac:dyDescent="0.3">
      <c r="A6673" s="15" t="s">
        <v>42136</v>
      </c>
      <c r="B6673" s="15" t="s">
        <v>12200</v>
      </c>
      <c r="C6673" s="15" t="s">
        <v>800</v>
      </c>
      <c r="D6673" s="15" t="s">
        <v>12201</v>
      </c>
      <c r="E6673" s="15">
        <v>11.026999999999999</v>
      </c>
      <c r="F6673" s="42">
        <v>46198</v>
      </c>
    </row>
    <row r="6674" spans="1:6" x14ac:dyDescent="0.3">
      <c r="A6674" s="15" t="s">
        <v>42135</v>
      </c>
      <c r="B6674" s="15" t="s">
        <v>12202</v>
      </c>
      <c r="C6674" s="15" t="s">
        <v>12203</v>
      </c>
      <c r="D6674" s="15" t="s">
        <v>12204</v>
      </c>
      <c r="E6674" s="15">
        <v>10.664</v>
      </c>
      <c r="F6674" s="42">
        <v>46198</v>
      </c>
    </row>
    <row r="6675" spans="1:6" x14ac:dyDescent="0.3">
      <c r="A6675" s="15" t="s">
        <v>42134</v>
      </c>
      <c r="B6675" s="15" t="s">
        <v>12205</v>
      </c>
      <c r="C6675" s="15" t="s">
        <v>12206</v>
      </c>
      <c r="D6675" s="15" t="s">
        <v>12207</v>
      </c>
      <c r="E6675" s="15">
        <v>11.026999999999999</v>
      </c>
      <c r="F6675" s="42">
        <v>46198</v>
      </c>
    </row>
    <row r="6676" spans="1:6" x14ac:dyDescent="0.3">
      <c r="A6676" s="15" t="s">
        <v>42133</v>
      </c>
      <c r="B6676" s="15" t="s">
        <v>12208</v>
      </c>
      <c r="C6676" s="15" t="s">
        <v>800</v>
      </c>
      <c r="D6676" s="15" t="s">
        <v>12209</v>
      </c>
      <c r="E6676" s="15">
        <v>18.102</v>
      </c>
      <c r="F6676" s="42">
        <v>46198</v>
      </c>
    </row>
    <row r="6677" spans="1:6" x14ac:dyDescent="0.3">
      <c r="A6677" s="15" t="s">
        <v>42132</v>
      </c>
      <c r="B6677" s="15" t="s">
        <v>12210</v>
      </c>
      <c r="C6677" s="15" t="s">
        <v>800</v>
      </c>
      <c r="D6677" s="15" t="s">
        <v>12211</v>
      </c>
      <c r="E6677" s="15">
        <v>18.725000000000001</v>
      </c>
      <c r="F6677" s="42">
        <v>46198</v>
      </c>
    </row>
    <row r="6678" spans="1:6" x14ac:dyDescent="0.3">
      <c r="A6678" s="15" t="s">
        <v>42131</v>
      </c>
      <c r="B6678" s="15" t="s">
        <v>12212</v>
      </c>
      <c r="C6678" s="15" t="s">
        <v>12213</v>
      </c>
      <c r="D6678" s="15" t="s">
        <v>12214</v>
      </c>
      <c r="E6678" s="15">
        <v>18.102</v>
      </c>
      <c r="F6678" s="42">
        <v>46198</v>
      </c>
    </row>
    <row r="6679" spans="1:6" x14ac:dyDescent="0.3">
      <c r="A6679" s="15" t="s">
        <v>42130</v>
      </c>
      <c r="B6679" s="15" t="s">
        <v>12215</v>
      </c>
      <c r="C6679" s="15" t="s">
        <v>12216</v>
      </c>
      <c r="D6679" s="15" t="s">
        <v>12217</v>
      </c>
      <c r="E6679" s="15">
        <v>18.725000000000001</v>
      </c>
      <c r="F6679" s="42">
        <v>46198</v>
      </c>
    </row>
    <row r="6680" spans="1:6" x14ac:dyDescent="0.3">
      <c r="A6680" s="15" t="s">
        <v>33499</v>
      </c>
      <c r="B6680" s="15" t="s">
        <v>795</v>
      </c>
      <c r="C6680" s="15" t="s">
        <v>795</v>
      </c>
      <c r="D6680" s="15" t="s">
        <v>795</v>
      </c>
      <c r="F6680" s="42"/>
    </row>
    <row r="6681" spans="1:6" x14ac:dyDescent="0.3">
      <c r="A6681" s="15" t="s">
        <v>40598</v>
      </c>
      <c r="B6681" s="15" t="s">
        <v>795</v>
      </c>
      <c r="C6681" s="15" t="s">
        <v>795</v>
      </c>
      <c r="D6681" s="15" t="s">
        <v>795</v>
      </c>
      <c r="F6681" s="42"/>
    </row>
    <row r="6682" spans="1:6" x14ac:dyDescent="0.3">
      <c r="A6682" s="15" t="s">
        <v>33499</v>
      </c>
      <c r="B6682" s="15" t="s">
        <v>795</v>
      </c>
      <c r="C6682" s="15" t="s">
        <v>795</v>
      </c>
      <c r="D6682" s="15" t="s">
        <v>795</v>
      </c>
      <c r="F6682" s="42"/>
    </row>
    <row r="6683" spans="1:6" x14ac:dyDescent="0.3">
      <c r="A6683" s="15" t="s">
        <v>42129</v>
      </c>
      <c r="B6683" s="15" t="s">
        <v>12218</v>
      </c>
      <c r="C6683" s="15" t="s">
        <v>800</v>
      </c>
      <c r="D6683" s="15" t="s">
        <v>12219</v>
      </c>
      <c r="E6683" s="15">
        <v>11.84</v>
      </c>
      <c r="F6683" s="42">
        <v>46198</v>
      </c>
    </row>
    <row r="6684" spans="1:6" x14ac:dyDescent="0.3">
      <c r="A6684" s="15" t="s">
        <v>42128</v>
      </c>
      <c r="B6684" s="15" t="s">
        <v>12220</v>
      </c>
      <c r="C6684" s="15" t="s">
        <v>12221</v>
      </c>
      <c r="D6684" s="15" t="s">
        <v>12222</v>
      </c>
      <c r="E6684" s="15">
        <v>11.84</v>
      </c>
      <c r="F6684" s="42">
        <v>46198</v>
      </c>
    </row>
    <row r="6685" spans="1:6" x14ac:dyDescent="0.3">
      <c r="A6685" s="15" t="s">
        <v>42127</v>
      </c>
      <c r="B6685" s="15" t="s">
        <v>12223</v>
      </c>
      <c r="C6685" s="15" t="s">
        <v>800</v>
      </c>
      <c r="D6685" s="15" t="s">
        <v>12224</v>
      </c>
      <c r="E6685" s="15">
        <v>11.47</v>
      </c>
      <c r="F6685" s="42">
        <v>46198</v>
      </c>
    </row>
    <row r="6686" spans="1:6" x14ac:dyDescent="0.3">
      <c r="A6686" s="15" t="s">
        <v>42126</v>
      </c>
      <c r="B6686" s="15" t="s">
        <v>12225</v>
      </c>
      <c r="C6686" s="15" t="s">
        <v>12226</v>
      </c>
      <c r="D6686" s="15" t="s">
        <v>12227</v>
      </c>
      <c r="E6686" s="15">
        <v>11.48</v>
      </c>
      <c r="F6686" s="42">
        <v>46198</v>
      </c>
    </row>
    <row r="6687" spans="1:6" x14ac:dyDescent="0.3">
      <c r="A6687" s="15" t="s">
        <v>33499</v>
      </c>
      <c r="B6687" s="15" t="s">
        <v>795</v>
      </c>
      <c r="C6687" s="15" t="s">
        <v>795</v>
      </c>
      <c r="D6687" s="15" t="s">
        <v>795</v>
      </c>
      <c r="F6687" s="42"/>
    </row>
    <row r="6688" spans="1:6" x14ac:dyDescent="0.3">
      <c r="A6688" s="15" t="s">
        <v>36815</v>
      </c>
      <c r="B6688" s="15" t="s">
        <v>795</v>
      </c>
      <c r="C6688" s="15" t="s">
        <v>795</v>
      </c>
      <c r="D6688" s="15" t="s">
        <v>795</v>
      </c>
      <c r="F6688" s="42"/>
    </row>
    <row r="6689" spans="1:6" x14ac:dyDescent="0.3">
      <c r="A6689" s="15" t="s">
        <v>33499</v>
      </c>
      <c r="B6689" s="15" t="s">
        <v>795</v>
      </c>
      <c r="C6689" s="15" t="s">
        <v>795</v>
      </c>
      <c r="D6689" s="15" t="s">
        <v>795</v>
      </c>
      <c r="F6689" s="42"/>
    </row>
    <row r="6690" spans="1:6" x14ac:dyDescent="0.3">
      <c r="A6690" s="15" t="s">
        <v>42125</v>
      </c>
      <c r="B6690" s="15" t="s">
        <v>12228</v>
      </c>
      <c r="C6690" s="15" t="s">
        <v>800</v>
      </c>
      <c r="D6690" s="15" t="s">
        <v>12229</v>
      </c>
      <c r="E6690" s="15">
        <v>47.697699999999998</v>
      </c>
      <c r="F6690" s="42">
        <v>46198</v>
      </c>
    </row>
    <row r="6691" spans="1:6" x14ac:dyDescent="0.3">
      <c r="A6691" s="15" t="s">
        <v>42124</v>
      </c>
      <c r="B6691" s="15" t="s">
        <v>12230</v>
      </c>
      <c r="C6691" s="15" t="s">
        <v>12231</v>
      </c>
      <c r="D6691" s="15" t="s">
        <v>12232</v>
      </c>
      <c r="E6691" s="15">
        <v>27.4922</v>
      </c>
      <c r="F6691" s="42">
        <v>46198</v>
      </c>
    </row>
    <row r="6692" spans="1:6" x14ac:dyDescent="0.3">
      <c r="A6692" s="15" t="s">
        <v>42123</v>
      </c>
      <c r="B6692" s="15" t="s">
        <v>12233</v>
      </c>
      <c r="C6692" s="15" t="s">
        <v>800</v>
      </c>
      <c r="D6692" s="15" t="s">
        <v>12234</v>
      </c>
      <c r="E6692" s="15">
        <v>42.861400000000003</v>
      </c>
      <c r="F6692" s="42">
        <v>46198</v>
      </c>
    </row>
    <row r="6693" spans="1:6" x14ac:dyDescent="0.3">
      <c r="A6693" s="15" t="s">
        <v>42122</v>
      </c>
      <c r="B6693" s="15" t="s">
        <v>12235</v>
      </c>
      <c r="C6693" s="15" t="s">
        <v>12236</v>
      </c>
      <c r="D6693" s="15" t="s">
        <v>12237</v>
      </c>
      <c r="E6693" s="15">
        <v>24.840399999999999</v>
      </c>
      <c r="F6693" s="42">
        <v>46198</v>
      </c>
    </row>
    <row r="6694" spans="1:6" x14ac:dyDescent="0.3">
      <c r="A6694" s="15" t="s">
        <v>42121</v>
      </c>
      <c r="B6694" s="15" t="s">
        <v>12238</v>
      </c>
      <c r="C6694" s="15" t="s">
        <v>800</v>
      </c>
      <c r="D6694" s="15" t="s">
        <v>12239</v>
      </c>
      <c r="E6694" s="15">
        <v>14.827400000000001</v>
      </c>
      <c r="F6694" s="42">
        <v>46198</v>
      </c>
    </row>
    <row r="6695" spans="1:6" x14ac:dyDescent="0.3">
      <c r="A6695" s="15" t="s">
        <v>42120</v>
      </c>
      <c r="B6695" s="15" t="s">
        <v>12240</v>
      </c>
      <c r="C6695" s="15" t="s">
        <v>12241</v>
      </c>
      <c r="D6695" s="15" t="s">
        <v>12242</v>
      </c>
      <c r="E6695" s="15">
        <v>14.827400000000001</v>
      </c>
      <c r="F6695" s="42">
        <v>46198</v>
      </c>
    </row>
    <row r="6696" spans="1:6" x14ac:dyDescent="0.3">
      <c r="A6696" s="15" t="s">
        <v>42119</v>
      </c>
      <c r="B6696" s="15" t="s">
        <v>12243</v>
      </c>
      <c r="C6696" s="15" t="s">
        <v>800</v>
      </c>
      <c r="D6696" s="15" t="s">
        <v>12244</v>
      </c>
      <c r="E6696" s="15">
        <v>14.2775</v>
      </c>
      <c r="F6696" s="42">
        <v>46198</v>
      </c>
    </row>
    <row r="6697" spans="1:6" x14ac:dyDescent="0.3">
      <c r="A6697" s="15" t="s">
        <v>42118</v>
      </c>
      <c r="B6697" s="15" t="s">
        <v>12245</v>
      </c>
      <c r="C6697" s="15" t="s">
        <v>12246</v>
      </c>
      <c r="D6697" s="15" t="s">
        <v>12247</v>
      </c>
      <c r="E6697" s="15">
        <v>14.2775</v>
      </c>
      <c r="F6697" s="42">
        <v>46198</v>
      </c>
    </row>
    <row r="6698" spans="1:6" x14ac:dyDescent="0.3">
      <c r="A6698" s="15" t="s">
        <v>42117</v>
      </c>
      <c r="B6698" s="15" t="s">
        <v>12248</v>
      </c>
      <c r="C6698" s="15" t="s">
        <v>800</v>
      </c>
      <c r="D6698" s="15" t="s">
        <v>12249</v>
      </c>
      <c r="E6698" s="15">
        <v>12.8371</v>
      </c>
      <c r="F6698" s="42">
        <v>46198</v>
      </c>
    </row>
    <row r="6699" spans="1:6" x14ac:dyDescent="0.3">
      <c r="A6699" s="15" t="s">
        <v>42116</v>
      </c>
      <c r="B6699" s="15" t="s">
        <v>12250</v>
      </c>
      <c r="C6699" s="15" t="s">
        <v>12251</v>
      </c>
      <c r="D6699" s="15" t="s">
        <v>12252</v>
      </c>
      <c r="E6699" s="15">
        <v>12.8368</v>
      </c>
      <c r="F6699" s="42">
        <v>46198</v>
      </c>
    </row>
    <row r="6700" spans="1:6" x14ac:dyDescent="0.3">
      <c r="A6700" s="15" t="s">
        <v>42115</v>
      </c>
      <c r="B6700" s="15" t="s">
        <v>12253</v>
      </c>
      <c r="C6700" s="15" t="s">
        <v>800</v>
      </c>
      <c r="D6700" s="15" t="s">
        <v>12254</v>
      </c>
      <c r="E6700" s="15">
        <v>12.5938</v>
      </c>
      <c r="F6700" s="42">
        <v>46198</v>
      </c>
    </row>
    <row r="6701" spans="1:6" x14ac:dyDescent="0.3">
      <c r="A6701" s="15" t="s">
        <v>42114</v>
      </c>
      <c r="B6701" s="15" t="s">
        <v>12255</v>
      </c>
      <c r="C6701" s="15" t="s">
        <v>12256</v>
      </c>
      <c r="D6701" s="15" t="s">
        <v>12257</v>
      </c>
      <c r="E6701" s="15">
        <v>12.5938</v>
      </c>
      <c r="F6701" s="42">
        <v>46198</v>
      </c>
    </row>
    <row r="6702" spans="1:6" x14ac:dyDescent="0.3">
      <c r="A6702" s="15" t="s">
        <v>42113</v>
      </c>
      <c r="B6702" s="15" t="s">
        <v>12258</v>
      </c>
      <c r="C6702" s="15" t="s">
        <v>800</v>
      </c>
      <c r="D6702" s="15" t="s">
        <v>12259</v>
      </c>
      <c r="E6702" s="15">
        <v>11.063800000000001</v>
      </c>
      <c r="F6702" s="42">
        <v>46198</v>
      </c>
    </row>
    <row r="6703" spans="1:6" x14ac:dyDescent="0.3">
      <c r="A6703" s="15" t="s">
        <v>42112</v>
      </c>
      <c r="B6703" s="15" t="s">
        <v>12260</v>
      </c>
      <c r="C6703" s="15" t="s">
        <v>12261</v>
      </c>
      <c r="D6703" s="15" t="s">
        <v>12262</v>
      </c>
      <c r="E6703" s="15">
        <v>11.063700000000001</v>
      </c>
      <c r="F6703" s="42">
        <v>46198</v>
      </c>
    </row>
    <row r="6704" spans="1:6" x14ac:dyDescent="0.3">
      <c r="A6704" s="15" t="s">
        <v>42111</v>
      </c>
      <c r="B6704" s="15" t="s">
        <v>12263</v>
      </c>
      <c r="C6704" s="15" t="s">
        <v>800</v>
      </c>
      <c r="D6704" s="15" t="s">
        <v>12264</v>
      </c>
      <c r="E6704" s="15">
        <v>10.802300000000001</v>
      </c>
      <c r="F6704" s="42">
        <v>46198</v>
      </c>
    </row>
    <row r="6705" spans="1:6" x14ac:dyDescent="0.3">
      <c r="A6705" s="15" t="s">
        <v>42110</v>
      </c>
      <c r="B6705" s="15" t="s">
        <v>12265</v>
      </c>
      <c r="C6705" s="15" t="s">
        <v>12266</v>
      </c>
      <c r="D6705" s="15" t="s">
        <v>12267</v>
      </c>
      <c r="E6705" s="15">
        <v>10.802300000000001</v>
      </c>
      <c r="F6705" s="42">
        <v>46198</v>
      </c>
    </row>
    <row r="6706" spans="1:6" x14ac:dyDescent="0.3">
      <c r="A6706" s="15" t="s">
        <v>42109</v>
      </c>
      <c r="B6706" s="15" t="s">
        <v>12268</v>
      </c>
      <c r="C6706" s="15" t="s">
        <v>800</v>
      </c>
      <c r="D6706" s="15" t="s">
        <v>12269</v>
      </c>
      <c r="E6706" s="15">
        <v>57.680300000000003</v>
      </c>
      <c r="F6706" s="42">
        <v>46198</v>
      </c>
    </row>
    <row r="6707" spans="1:6" x14ac:dyDescent="0.3">
      <c r="A6707" s="15" t="s">
        <v>42108</v>
      </c>
      <c r="B6707" s="15" t="s">
        <v>12270</v>
      </c>
      <c r="C6707" s="15" t="s">
        <v>12271</v>
      </c>
      <c r="D6707" s="15" t="s">
        <v>12272</v>
      </c>
      <c r="E6707" s="15">
        <v>41.3538</v>
      </c>
      <c r="F6707" s="42">
        <v>46198</v>
      </c>
    </row>
    <row r="6708" spans="1:6" x14ac:dyDescent="0.3">
      <c r="A6708" s="15" t="s">
        <v>42107</v>
      </c>
      <c r="B6708" s="15" t="s">
        <v>12273</v>
      </c>
      <c r="C6708" s="15" t="s">
        <v>800</v>
      </c>
      <c r="D6708" s="15" t="s">
        <v>12274</v>
      </c>
      <c r="E6708" s="15">
        <v>50.810600000000001</v>
      </c>
      <c r="F6708" s="42">
        <v>46198</v>
      </c>
    </row>
    <row r="6709" spans="1:6" x14ac:dyDescent="0.3">
      <c r="A6709" s="15" t="s">
        <v>42106</v>
      </c>
      <c r="B6709" s="15" t="s">
        <v>12275</v>
      </c>
      <c r="C6709" s="15" t="s">
        <v>12276</v>
      </c>
      <c r="D6709" s="15" t="s">
        <v>12277</v>
      </c>
      <c r="E6709" s="15">
        <v>36.814399999999999</v>
      </c>
      <c r="F6709" s="42">
        <v>46198</v>
      </c>
    </row>
    <row r="6710" spans="1:6" x14ac:dyDescent="0.3">
      <c r="A6710" s="15" t="s">
        <v>33499</v>
      </c>
      <c r="B6710" s="15" t="s">
        <v>795</v>
      </c>
      <c r="C6710" s="15" t="s">
        <v>795</v>
      </c>
      <c r="D6710" s="15" t="s">
        <v>795</v>
      </c>
      <c r="F6710" s="42"/>
    </row>
    <row r="6711" spans="1:6" x14ac:dyDescent="0.3">
      <c r="A6711" s="15" t="s">
        <v>36764</v>
      </c>
      <c r="B6711" s="15" t="s">
        <v>795</v>
      </c>
      <c r="C6711" s="15" t="s">
        <v>795</v>
      </c>
      <c r="D6711" s="15" t="s">
        <v>795</v>
      </c>
      <c r="F6711" s="42"/>
    </row>
    <row r="6712" spans="1:6" x14ac:dyDescent="0.3">
      <c r="A6712" s="15" t="s">
        <v>33499</v>
      </c>
      <c r="B6712" s="15" t="s">
        <v>795</v>
      </c>
      <c r="C6712" s="15" t="s">
        <v>795</v>
      </c>
      <c r="D6712" s="15" t="s">
        <v>795</v>
      </c>
      <c r="F6712" s="42"/>
    </row>
    <row r="6713" spans="1:6" x14ac:dyDescent="0.3">
      <c r="A6713" s="15" t="s">
        <v>42105</v>
      </c>
      <c r="B6713" s="15" t="s">
        <v>12278</v>
      </c>
      <c r="C6713" s="15" t="s">
        <v>800</v>
      </c>
      <c r="D6713" s="15" t="s">
        <v>12279</v>
      </c>
      <c r="E6713" s="15">
        <v>11.01</v>
      </c>
      <c r="F6713" s="42">
        <v>46198</v>
      </c>
    </row>
    <row r="6714" spans="1:6" x14ac:dyDescent="0.3">
      <c r="A6714" s="15" t="s">
        <v>42104</v>
      </c>
      <c r="B6714" s="15" t="s">
        <v>12280</v>
      </c>
      <c r="C6714" s="15" t="s">
        <v>800</v>
      </c>
      <c r="D6714" s="15" t="s">
        <v>12281</v>
      </c>
      <c r="E6714" s="15">
        <v>10.89</v>
      </c>
      <c r="F6714" s="42">
        <v>46198</v>
      </c>
    </row>
    <row r="6715" spans="1:6" x14ac:dyDescent="0.3">
      <c r="A6715" s="15" t="s">
        <v>42103</v>
      </c>
      <c r="B6715" s="15" t="s">
        <v>12282</v>
      </c>
      <c r="C6715" s="15" t="s">
        <v>800</v>
      </c>
      <c r="D6715" s="15" t="s">
        <v>12283</v>
      </c>
      <c r="E6715" s="15">
        <v>132.88</v>
      </c>
      <c r="F6715" s="42">
        <v>46198</v>
      </c>
    </row>
    <row r="6716" spans="1:6" x14ac:dyDescent="0.3">
      <c r="A6716" s="15" t="s">
        <v>42102</v>
      </c>
      <c r="B6716" s="15" t="s">
        <v>12284</v>
      </c>
      <c r="C6716" s="15" t="s">
        <v>12285</v>
      </c>
      <c r="D6716" s="15" t="s">
        <v>12286</v>
      </c>
      <c r="E6716" s="15">
        <v>25.36</v>
      </c>
      <c r="F6716" s="42">
        <v>46198</v>
      </c>
    </row>
    <row r="6717" spans="1:6" x14ac:dyDescent="0.3">
      <c r="A6717" s="15" t="s">
        <v>42101</v>
      </c>
      <c r="B6717" s="15" t="s">
        <v>12287</v>
      </c>
      <c r="C6717" s="15" t="s">
        <v>800</v>
      </c>
      <c r="D6717" s="15" t="s">
        <v>12288</v>
      </c>
      <c r="E6717" s="15">
        <v>150.69</v>
      </c>
      <c r="F6717" s="42">
        <v>46198</v>
      </c>
    </row>
    <row r="6718" spans="1:6" x14ac:dyDescent="0.3">
      <c r="A6718" s="15" t="s">
        <v>42100</v>
      </c>
      <c r="B6718" s="15" t="s">
        <v>12289</v>
      </c>
      <c r="C6718" s="15" t="s">
        <v>12290</v>
      </c>
      <c r="D6718" s="15" t="s">
        <v>12291</v>
      </c>
      <c r="E6718" s="15">
        <v>69.239999999999995</v>
      </c>
      <c r="F6718" s="42">
        <v>46198</v>
      </c>
    </row>
    <row r="6719" spans="1:6" x14ac:dyDescent="0.3">
      <c r="A6719" s="15" t="s">
        <v>42099</v>
      </c>
      <c r="B6719" s="15" t="s">
        <v>12292</v>
      </c>
      <c r="C6719" s="15" t="s">
        <v>800</v>
      </c>
      <c r="D6719" s="15" t="s">
        <v>12293</v>
      </c>
      <c r="E6719" s="15">
        <v>26.59</v>
      </c>
      <c r="F6719" s="42">
        <v>46198</v>
      </c>
    </row>
    <row r="6720" spans="1:6" x14ac:dyDescent="0.3">
      <c r="A6720" s="15" t="s">
        <v>42098</v>
      </c>
      <c r="B6720" s="15" t="s">
        <v>12294</v>
      </c>
      <c r="C6720" s="15" t="s">
        <v>800</v>
      </c>
      <c r="D6720" s="15" t="s">
        <v>12295</v>
      </c>
      <c r="E6720" s="15">
        <v>17.07</v>
      </c>
      <c r="F6720" s="42">
        <v>46198</v>
      </c>
    </row>
    <row r="6721" spans="1:6" x14ac:dyDescent="0.3">
      <c r="A6721" s="15" t="s">
        <v>42097</v>
      </c>
      <c r="B6721" s="15" t="s">
        <v>12296</v>
      </c>
      <c r="C6721" s="15" t="s">
        <v>800</v>
      </c>
      <c r="D6721" s="15" t="s">
        <v>12297</v>
      </c>
      <c r="E6721" s="15">
        <v>24.55</v>
      </c>
      <c r="F6721" s="42">
        <v>46198</v>
      </c>
    </row>
    <row r="6722" spans="1:6" x14ac:dyDescent="0.3">
      <c r="A6722" s="15" t="s">
        <v>42096</v>
      </c>
      <c r="B6722" s="15" t="s">
        <v>12298</v>
      </c>
      <c r="C6722" s="15" t="s">
        <v>800</v>
      </c>
      <c r="D6722" s="15" t="s">
        <v>12299</v>
      </c>
      <c r="E6722" s="15">
        <v>15.25</v>
      </c>
      <c r="F6722" s="42">
        <v>46198</v>
      </c>
    </row>
    <row r="6723" spans="1:6" x14ac:dyDescent="0.3">
      <c r="A6723" s="15" t="s">
        <v>42095</v>
      </c>
      <c r="B6723" s="15" t="s">
        <v>12300</v>
      </c>
      <c r="C6723" s="15" t="s">
        <v>800</v>
      </c>
      <c r="D6723" s="15" t="s">
        <v>12301</v>
      </c>
      <c r="E6723" s="15">
        <v>26.63</v>
      </c>
      <c r="F6723" s="42">
        <v>46198</v>
      </c>
    </row>
    <row r="6724" spans="1:6" x14ac:dyDescent="0.3">
      <c r="A6724" s="15" t="s">
        <v>42094</v>
      </c>
      <c r="B6724" s="15" t="s">
        <v>12302</v>
      </c>
      <c r="C6724" s="15" t="s">
        <v>12303</v>
      </c>
      <c r="D6724" s="15" t="s">
        <v>12304</v>
      </c>
      <c r="E6724" s="15">
        <v>19.39</v>
      </c>
      <c r="F6724" s="42">
        <v>46198</v>
      </c>
    </row>
    <row r="6725" spans="1:6" x14ac:dyDescent="0.3">
      <c r="A6725" s="15" t="s">
        <v>42093</v>
      </c>
      <c r="B6725" s="15" t="s">
        <v>12305</v>
      </c>
      <c r="C6725" s="15" t="s">
        <v>800</v>
      </c>
      <c r="D6725" s="15" t="s">
        <v>12306</v>
      </c>
      <c r="E6725" s="15">
        <v>24.99</v>
      </c>
      <c r="F6725" s="42">
        <v>46198</v>
      </c>
    </row>
    <row r="6726" spans="1:6" x14ac:dyDescent="0.3">
      <c r="A6726" s="15" t="s">
        <v>42092</v>
      </c>
      <c r="B6726" s="15" t="s">
        <v>12307</v>
      </c>
      <c r="C6726" s="15" t="s">
        <v>12308</v>
      </c>
      <c r="D6726" s="15" t="s">
        <v>12309</v>
      </c>
      <c r="E6726" s="15">
        <v>17.87</v>
      </c>
      <c r="F6726" s="42">
        <v>46198</v>
      </c>
    </row>
    <row r="6727" spans="1:6" x14ac:dyDescent="0.3">
      <c r="A6727" s="15" t="s">
        <v>42091</v>
      </c>
      <c r="B6727" s="15" t="s">
        <v>12310</v>
      </c>
      <c r="C6727" s="15" t="s">
        <v>800</v>
      </c>
      <c r="D6727" s="15" t="s">
        <v>12311</v>
      </c>
      <c r="E6727" s="15">
        <v>50.25</v>
      </c>
      <c r="F6727" s="42">
        <v>46198</v>
      </c>
    </row>
    <row r="6728" spans="1:6" x14ac:dyDescent="0.3">
      <c r="A6728" s="15" t="s">
        <v>42090</v>
      </c>
      <c r="B6728" s="15" t="s">
        <v>12312</v>
      </c>
      <c r="C6728" s="15" t="s">
        <v>800</v>
      </c>
      <c r="D6728" s="15" t="s">
        <v>12313</v>
      </c>
      <c r="E6728" s="15">
        <v>33.31</v>
      </c>
      <c r="F6728" s="42">
        <v>46198</v>
      </c>
    </row>
    <row r="6729" spans="1:6" x14ac:dyDescent="0.3">
      <c r="A6729" s="15" t="s">
        <v>42089</v>
      </c>
      <c r="B6729" s="15" t="s">
        <v>12314</v>
      </c>
      <c r="C6729" s="15" t="s">
        <v>800</v>
      </c>
      <c r="D6729" s="15" t="s">
        <v>12315</v>
      </c>
      <c r="E6729" s="15">
        <v>46.11</v>
      </c>
      <c r="F6729" s="42">
        <v>46198</v>
      </c>
    </row>
    <row r="6730" spans="1:6" x14ac:dyDescent="0.3">
      <c r="A6730" s="15" t="s">
        <v>42088</v>
      </c>
      <c r="B6730" s="15" t="s">
        <v>12316</v>
      </c>
      <c r="C6730" s="15" t="s">
        <v>800</v>
      </c>
      <c r="D6730" s="15" t="s">
        <v>12317</v>
      </c>
      <c r="E6730" s="15">
        <v>29.64</v>
      </c>
      <c r="F6730" s="42">
        <v>46198</v>
      </c>
    </row>
    <row r="6731" spans="1:6" x14ac:dyDescent="0.3">
      <c r="A6731" s="15" t="s">
        <v>42087</v>
      </c>
      <c r="B6731" s="15" t="s">
        <v>12318</v>
      </c>
      <c r="C6731" s="15" t="s">
        <v>800</v>
      </c>
      <c r="D6731" s="15" t="s">
        <v>12319</v>
      </c>
      <c r="E6731" s="15">
        <v>10.19</v>
      </c>
      <c r="F6731" s="42">
        <v>46198</v>
      </c>
    </row>
    <row r="6732" spans="1:6" x14ac:dyDescent="0.3">
      <c r="A6732" s="15" t="s">
        <v>42086</v>
      </c>
      <c r="B6732" s="15" t="s">
        <v>12320</v>
      </c>
      <c r="C6732" s="15" t="s">
        <v>12321</v>
      </c>
      <c r="D6732" s="15" t="s">
        <v>12322</v>
      </c>
      <c r="E6732" s="15">
        <v>10.19</v>
      </c>
      <c r="F6732" s="42">
        <v>46198</v>
      </c>
    </row>
    <row r="6733" spans="1:6" x14ac:dyDescent="0.3">
      <c r="A6733" s="15" t="s">
        <v>42085</v>
      </c>
      <c r="B6733" s="15" t="s">
        <v>12323</v>
      </c>
      <c r="C6733" s="15" t="s">
        <v>800</v>
      </c>
      <c r="D6733" s="15" t="s">
        <v>12324</v>
      </c>
      <c r="E6733" s="15">
        <v>10.11</v>
      </c>
      <c r="F6733" s="42">
        <v>46198</v>
      </c>
    </row>
    <row r="6734" spans="1:6" x14ac:dyDescent="0.3">
      <c r="A6734" s="15" t="s">
        <v>42084</v>
      </c>
      <c r="B6734" s="15" t="s">
        <v>12325</v>
      </c>
      <c r="C6734" s="15" t="s">
        <v>12326</v>
      </c>
      <c r="D6734" s="15" t="s">
        <v>12327</v>
      </c>
      <c r="E6734" s="15">
        <v>10.11</v>
      </c>
      <c r="F6734" s="42">
        <v>46198</v>
      </c>
    </row>
    <row r="6735" spans="1:6" x14ac:dyDescent="0.3">
      <c r="A6735" s="15" t="s">
        <v>42083</v>
      </c>
      <c r="B6735" s="15" t="s">
        <v>12328</v>
      </c>
      <c r="C6735" s="15" t="s">
        <v>800</v>
      </c>
      <c r="D6735" s="15" t="s">
        <v>12329</v>
      </c>
      <c r="E6735" s="15">
        <v>11.94</v>
      </c>
      <c r="F6735" s="42">
        <v>46198</v>
      </c>
    </row>
    <row r="6736" spans="1:6" x14ac:dyDescent="0.3">
      <c r="A6736" s="15" t="s">
        <v>42082</v>
      </c>
      <c r="B6736" s="15" t="s">
        <v>12330</v>
      </c>
      <c r="C6736" s="15" t="s">
        <v>12331</v>
      </c>
      <c r="D6736" s="15" t="s">
        <v>12332</v>
      </c>
      <c r="E6736" s="15">
        <v>11.94</v>
      </c>
      <c r="F6736" s="42">
        <v>46198</v>
      </c>
    </row>
    <row r="6737" spans="1:6" x14ac:dyDescent="0.3">
      <c r="A6737" s="15" t="s">
        <v>42081</v>
      </c>
      <c r="B6737" s="15" t="s">
        <v>12333</v>
      </c>
      <c r="C6737" s="15" t="s">
        <v>800</v>
      </c>
      <c r="D6737" s="15" t="s">
        <v>12334</v>
      </c>
      <c r="E6737" s="15">
        <v>11.67</v>
      </c>
      <c r="F6737" s="42">
        <v>46198</v>
      </c>
    </row>
    <row r="6738" spans="1:6" x14ac:dyDescent="0.3">
      <c r="A6738" s="15" t="s">
        <v>42080</v>
      </c>
      <c r="B6738" s="15" t="s">
        <v>12335</v>
      </c>
      <c r="C6738" s="15" t="s">
        <v>12336</v>
      </c>
      <c r="D6738" s="15" t="s">
        <v>12337</v>
      </c>
      <c r="E6738" s="15">
        <v>11.67</v>
      </c>
      <c r="F6738" s="42">
        <v>46198</v>
      </c>
    </row>
    <row r="6739" spans="1:6" x14ac:dyDescent="0.3">
      <c r="A6739" s="15" t="s">
        <v>42079</v>
      </c>
      <c r="B6739" s="15" t="s">
        <v>12338</v>
      </c>
      <c r="C6739" s="15" t="s">
        <v>800</v>
      </c>
      <c r="D6739" s="15" t="s">
        <v>12339</v>
      </c>
      <c r="E6739" s="15">
        <v>10.71</v>
      </c>
      <c r="F6739" s="42">
        <v>46198</v>
      </c>
    </row>
    <row r="6740" spans="1:6" x14ac:dyDescent="0.3">
      <c r="A6740" s="15" t="s">
        <v>42078</v>
      </c>
      <c r="B6740" s="15" t="s">
        <v>12340</v>
      </c>
      <c r="C6740" s="15" t="s">
        <v>12341</v>
      </c>
      <c r="D6740" s="15" t="s">
        <v>12342</v>
      </c>
      <c r="E6740" s="15">
        <v>10.71</v>
      </c>
      <c r="F6740" s="42">
        <v>46198</v>
      </c>
    </row>
    <row r="6741" spans="1:6" x14ac:dyDescent="0.3">
      <c r="A6741" s="15" t="s">
        <v>42077</v>
      </c>
      <c r="B6741" s="15" t="s">
        <v>12343</v>
      </c>
      <c r="C6741" s="15" t="s">
        <v>800</v>
      </c>
      <c r="D6741" s="15" t="s">
        <v>12344</v>
      </c>
      <c r="E6741" s="15">
        <v>10.51</v>
      </c>
      <c r="F6741" s="42">
        <v>46198</v>
      </c>
    </row>
    <row r="6742" spans="1:6" x14ac:dyDescent="0.3">
      <c r="A6742" s="15" t="s">
        <v>42076</v>
      </c>
      <c r="B6742" s="15" t="s">
        <v>12345</v>
      </c>
      <c r="C6742" s="15" t="s">
        <v>12346</v>
      </c>
      <c r="D6742" s="15" t="s">
        <v>12347</v>
      </c>
      <c r="E6742" s="15">
        <v>10.51</v>
      </c>
      <c r="F6742" s="42">
        <v>46198</v>
      </c>
    </row>
    <row r="6743" spans="1:6" x14ac:dyDescent="0.3">
      <c r="A6743" s="15" t="s">
        <v>42075</v>
      </c>
      <c r="B6743" s="15" t="s">
        <v>12348</v>
      </c>
      <c r="C6743" s="15" t="s">
        <v>800</v>
      </c>
      <c r="D6743" s="15" t="s">
        <v>12349</v>
      </c>
      <c r="E6743" s="15">
        <v>22.83</v>
      </c>
      <c r="F6743" s="42">
        <v>46198</v>
      </c>
    </row>
    <row r="6744" spans="1:6" x14ac:dyDescent="0.3">
      <c r="A6744" s="15" t="s">
        <v>42074</v>
      </c>
      <c r="B6744" s="15" t="s">
        <v>12350</v>
      </c>
      <c r="C6744" s="15" t="s">
        <v>12351</v>
      </c>
      <c r="D6744" s="15" t="s">
        <v>12352</v>
      </c>
      <c r="E6744" s="15">
        <v>15.87</v>
      </c>
      <c r="F6744" s="42">
        <v>46198</v>
      </c>
    </row>
    <row r="6745" spans="1:6" x14ac:dyDescent="0.3">
      <c r="A6745" s="15" t="s">
        <v>42073</v>
      </c>
      <c r="B6745" s="15" t="s">
        <v>12353</v>
      </c>
      <c r="C6745" s="15" t="s">
        <v>800</v>
      </c>
      <c r="D6745" s="15" t="s">
        <v>12354</v>
      </c>
      <c r="E6745" s="15">
        <v>21.2</v>
      </c>
      <c r="F6745" s="42">
        <v>46198</v>
      </c>
    </row>
    <row r="6746" spans="1:6" x14ac:dyDescent="0.3">
      <c r="A6746" s="15" t="s">
        <v>42072</v>
      </c>
      <c r="B6746" s="15" t="s">
        <v>12355</v>
      </c>
      <c r="C6746" s="15" t="s">
        <v>12356</v>
      </c>
      <c r="D6746" s="15" t="s">
        <v>12357</v>
      </c>
      <c r="E6746" s="15">
        <v>14.42</v>
      </c>
      <c r="F6746" s="42">
        <v>46198</v>
      </c>
    </row>
    <row r="6747" spans="1:6" x14ac:dyDescent="0.3">
      <c r="A6747" s="15" t="s">
        <v>42071</v>
      </c>
      <c r="B6747" s="15" t="s">
        <v>12358</v>
      </c>
      <c r="C6747" s="15" t="s">
        <v>800</v>
      </c>
      <c r="D6747" s="15" t="s">
        <v>12359</v>
      </c>
      <c r="E6747" s="15">
        <v>182.83</v>
      </c>
      <c r="F6747" s="42">
        <v>46198</v>
      </c>
    </row>
    <row r="6748" spans="1:6" x14ac:dyDescent="0.3">
      <c r="A6748" s="15" t="s">
        <v>42070</v>
      </c>
      <c r="B6748" s="15" t="s">
        <v>12360</v>
      </c>
      <c r="C6748" s="15" t="s">
        <v>12361</v>
      </c>
      <c r="D6748" s="15" t="s">
        <v>12362</v>
      </c>
      <c r="E6748" s="15">
        <v>77.760000000000005</v>
      </c>
      <c r="F6748" s="42">
        <v>46198</v>
      </c>
    </row>
    <row r="6749" spans="1:6" x14ac:dyDescent="0.3">
      <c r="A6749" s="15" t="s">
        <v>42069</v>
      </c>
      <c r="B6749" s="15" t="s">
        <v>12363</v>
      </c>
      <c r="C6749" s="15" t="s">
        <v>800</v>
      </c>
      <c r="D6749" s="15" t="s">
        <v>12364</v>
      </c>
      <c r="E6749" s="15">
        <v>166.95</v>
      </c>
      <c r="F6749" s="42">
        <v>46198</v>
      </c>
    </row>
    <row r="6750" spans="1:6" x14ac:dyDescent="0.3">
      <c r="A6750" s="15" t="s">
        <v>42068</v>
      </c>
      <c r="B6750" s="15" t="s">
        <v>12365</v>
      </c>
      <c r="C6750" s="15" t="s">
        <v>12366</v>
      </c>
      <c r="D6750" s="15" t="s">
        <v>12367</v>
      </c>
      <c r="E6750" s="15">
        <v>37.630000000000003</v>
      </c>
      <c r="F6750" s="42">
        <v>46198</v>
      </c>
    </row>
    <row r="6751" spans="1:6" x14ac:dyDescent="0.3">
      <c r="A6751" s="15" t="s">
        <v>42067</v>
      </c>
      <c r="B6751" s="15" t="s">
        <v>12368</v>
      </c>
      <c r="C6751" s="15" t="s">
        <v>800</v>
      </c>
      <c r="D6751" s="15" t="s">
        <v>12369</v>
      </c>
      <c r="E6751" s="15">
        <v>464.69</v>
      </c>
      <c r="F6751" s="42">
        <v>46198</v>
      </c>
    </row>
    <row r="6752" spans="1:6" x14ac:dyDescent="0.3">
      <c r="A6752" s="15" t="s">
        <v>42066</v>
      </c>
      <c r="B6752" s="15" t="s">
        <v>12370</v>
      </c>
      <c r="C6752" s="15" t="s">
        <v>12371</v>
      </c>
      <c r="D6752" s="15" t="s">
        <v>12372</v>
      </c>
      <c r="E6752" s="15">
        <v>152.56</v>
      </c>
      <c r="F6752" s="42">
        <v>46198</v>
      </c>
    </row>
    <row r="6753" spans="1:6" x14ac:dyDescent="0.3">
      <c r="A6753" s="15" t="s">
        <v>42065</v>
      </c>
      <c r="B6753" s="15" t="s">
        <v>12373</v>
      </c>
      <c r="C6753" s="15" t="s">
        <v>800</v>
      </c>
      <c r="D6753" s="15" t="s">
        <v>12374</v>
      </c>
      <c r="E6753" s="15">
        <v>418.24</v>
      </c>
      <c r="F6753" s="42">
        <v>46198</v>
      </c>
    </row>
    <row r="6754" spans="1:6" x14ac:dyDescent="0.3">
      <c r="A6754" s="15" t="s">
        <v>42064</v>
      </c>
      <c r="B6754" s="15" t="s">
        <v>12375</v>
      </c>
      <c r="C6754" s="15" t="s">
        <v>12376</v>
      </c>
      <c r="D6754" s="15" t="s">
        <v>12377</v>
      </c>
      <c r="E6754" s="15">
        <v>77.3</v>
      </c>
      <c r="F6754" s="42">
        <v>46198</v>
      </c>
    </row>
    <row r="6755" spans="1:6" x14ac:dyDescent="0.3">
      <c r="A6755" s="15" t="s">
        <v>42063</v>
      </c>
      <c r="B6755" s="15" t="s">
        <v>12378</v>
      </c>
      <c r="C6755" s="15" t="s">
        <v>800</v>
      </c>
      <c r="D6755" s="15" t="s">
        <v>12379</v>
      </c>
      <c r="E6755" s="15">
        <v>18.27</v>
      </c>
      <c r="F6755" s="42">
        <v>46198</v>
      </c>
    </row>
    <row r="6756" spans="1:6" x14ac:dyDescent="0.3">
      <c r="A6756" s="15" t="s">
        <v>42062</v>
      </c>
      <c r="B6756" s="15" t="s">
        <v>12380</v>
      </c>
      <c r="C6756" s="15" t="s">
        <v>12381</v>
      </c>
      <c r="D6756" s="15" t="s">
        <v>12382</v>
      </c>
      <c r="E6756" s="15">
        <v>15.49</v>
      </c>
      <c r="F6756" s="42">
        <v>46198</v>
      </c>
    </row>
    <row r="6757" spans="1:6" x14ac:dyDescent="0.3">
      <c r="A6757" s="15" t="s">
        <v>42061</v>
      </c>
      <c r="B6757" s="15" t="s">
        <v>12383</v>
      </c>
      <c r="C6757" s="15" t="s">
        <v>800</v>
      </c>
      <c r="D6757" s="15" t="s">
        <v>12384</v>
      </c>
      <c r="E6757" s="15">
        <v>17.38</v>
      </c>
      <c r="F6757" s="42">
        <v>46198</v>
      </c>
    </row>
    <row r="6758" spans="1:6" x14ac:dyDescent="0.3">
      <c r="A6758" s="15" t="s">
        <v>42060</v>
      </c>
      <c r="B6758" s="15" t="s">
        <v>12385</v>
      </c>
      <c r="C6758" s="15" t="s">
        <v>12386</v>
      </c>
      <c r="D6758" s="15" t="s">
        <v>12387</v>
      </c>
      <c r="E6758" s="15">
        <v>14.61</v>
      </c>
      <c r="F6758" s="42">
        <v>46198</v>
      </c>
    </row>
    <row r="6759" spans="1:6" x14ac:dyDescent="0.3">
      <c r="A6759" s="15" t="s">
        <v>42059</v>
      </c>
      <c r="B6759" s="15" t="s">
        <v>12388</v>
      </c>
      <c r="C6759" s="15" t="s">
        <v>800</v>
      </c>
      <c r="D6759" s="15" t="s">
        <v>12389</v>
      </c>
      <c r="E6759" s="15">
        <v>36.26</v>
      </c>
      <c r="F6759" s="42">
        <v>46198</v>
      </c>
    </row>
    <row r="6760" spans="1:6" x14ac:dyDescent="0.3">
      <c r="A6760" s="15" t="s">
        <v>42058</v>
      </c>
      <c r="B6760" s="15" t="s">
        <v>12390</v>
      </c>
      <c r="C6760" s="15" t="s">
        <v>800</v>
      </c>
      <c r="D6760" s="15" t="s">
        <v>12391</v>
      </c>
      <c r="E6760" s="15">
        <v>39.840000000000003</v>
      </c>
      <c r="F6760" s="42">
        <v>46198</v>
      </c>
    </row>
    <row r="6761" spans="1:6" x14ac:dyDescent="0.3">
      <c r="A6761" s="15" t="s">
        <v>42057</v>
      </c>
      <c r="B6761" s="15" t="s">
        <v>12392</v>
      </c>
      <c r="C6761" s="15" t="s">
        <v>12393</v>
      </c>
      <c r="D6761" s="15" t="s">
        <v>12394</v>
      </c>
      <c r="E6761" s="15">
        <v>24.31</v>
      </c>
      <c r="F6761" s="42">
        <v>46198</v>
      </c>
    </row>
    <row r="6762" spans="1:6" x14ac:dyDescent="0.3">
      <c r="A6762" s="15" t="s">
        <v>42056</v>
      </c>
      <c r="B6762" s="15" t="s">
        <v>12395</v>
      </c>
      <c r="C6762" s="15" t="s">
        <v>12396</v>
      </c>
      <c r="D6762" s="15" t="s">
        <v>12397</v>
      </c>
      <c r="E6762" s="15">
        <v>21.17</v>
      </c>
      <c r="F6762" s="42">
        <v>46198</v>
      </c>
    </row>
    <row r="6763" spans="1:6" x14ac:dyDescent="0.3">
      <c r="A6763" s="15" t="s">
        <v>42055</v>
      </c>
      <c r="B6763" s="15" t="s">
        <v>12398</v>
      </c>
      <c r="C6763" s="15" t="s">
        <v>800</v>
      </c>
      <c r="D6763" s="15" t="s">
        <v>12399</v>
      </c>
      <c r="E6763" s="15">
        <v>223.97</v>
      </c>
      <c r="F6763" s="42">
        <v>46198</v>
      </c>
    </row>
    <row r="6764" spans="1:6" x14ac:dyDescent="0.3">
      <c r="A6764" s="15" t="s">
        <v>42054</v>
      </c>
      <c r="B6764" s="15" t="s">
        <v>12400</v>
      </c>
      <c r="C6764" s="15" t="s">
        <v>12401</v>
      </c>
      <c r="D6764" s="15" t="s">
        <v>12402</v>
      </c>
      <c r="E6764" s="15">
        <v>48.94</v>
      </c>
      <c r="F6764" s="42">
        <v>46198</v>
      </c>
    </row>
    <row r="6765" spans="1:6" x14ac:dyDescent="0.3">
      <c r="A6765" s="15" t="s">
        <v>42053</v>
      </c>
      <c r="B6765" s="15" t="s">
        <v>12403</v>
      </c>
      <c r="C6765" s="15" t="s">
        <v>800</v>
      </c>
      <c r="D6765" s="15" t="s">
        <v>12404</v>
      </c>
      <c r="E6765" s="15">
        <v>205.13</v>
      </c>
      <c r="F6765" s="42">
        <v>46198</v>
      </c>
    </row>
    <row r="6766" spans="1:6" x14ac:dyDescent="0.3">
      <c r="A6766" s="15" t="s">
        <v>42052</v>
      </c>
      <c r="B6766" s="15" t="s">
        <v>12405</v>
      </c>
      <c r="C6766" s="15" t="s">
        <v>12406</v>
      </c>
      <c r="D6766" s="15" t="s">
        <v>12407</v>
      </c>
      <c r="E6766" s="15">
        <v>28.88</v>
      </c>
      <c r="F6766" s="42">
        <v>46198</v>
      </c>
    </row>
    <row r="6767" spans="1:6" x14ac:dyDescent="0.3">
      <c r="A6767" s="15" t="s">
        <v>42051</v>
      </c>
      <c r="B6767" s="15" t="s">
        <v>12408</v>
      </c>
      <c r="C6767" s="15" t="s">
        <v>800</v>
      </c>
      <c r="D6767" s="15" t="s">
        <v>12409</v>
      </c>
      <c r="E6767" s="15">
        <v>19.55</v>
      </c>
      <c r="F6767" s="42">
        <v>46198</v>
      </c>
    </row>
    <row r="6768" spans="1:6" x14ac:dyDescent="0.3">
      <c r="A6768" s="15" t="s">
        <v>42050</v>
      </c>
      <c r="B6768" s="15" t="s">
        <v>12410</v>
      </c>
      <c r="C6768" s="15" t="s">
        <v>12411</v>
      </c>
      <c r="D6768" s="15" t="s">
        <v>12412</v>
      </c>
      <c r="E6768" s="15">
        <v>16.559999999999999</v>
      </c>
      <c r="F6768" s="42">
        <v>46198</v>
      </c>
    </row>
    <row r="6769" spans="1:6" x14ac:dyDescent="0.3">
      <c r="A6769" s="15" t="s">
        <v>42049</v>
      </c>
      <c r="B6769" s="15" t="s">
        <v>12413</v>
      </c>
      <c r="C6769" s="15" t="s">
        <v>800</v>
      </c>
      <c r="D6769" s="15" t="s">
        <v>12414</v>
      </c>
      <c r="E6769" s="15">
        <v>18.86</v>
      </c>
      <c r="F6769" s="42">
        <v>46198</v>
      </c>
    </row>
    <row r="6770" spans="1:6" x14ac:dyDescent="0.3">
      <c r="A6770" s="15" t="s">
        <v>42048</v>
      </c>
      <c r="B6770" s="15" t="s">
        <v>12415</v>
      </c>
      <c r="C6770" s="15" t="s">
        <v>12416</v>
      </c>
      <c r="D6770" s="15" t="s">
        <v>12417</v>
      </c>
      <c r="E6770" s="15">
        <v>15.89</v>
      </c>
      <c r="F6770" s="42">
        <v>46198</v>
      </c>
    </row>
    <row r="6771" spans="1:6" x14ac:dyDescent="0.3">
      <c r="A6771" s="15" t="s">
        <v>42047</v>
      </c>
      <c r="B6771" s="15" t="s">
        <v>12418</v>
      </c>
      <c r="C6771" s="15" t="s">
        <v>800</v>
      </c>
      <c r="D6771" s="15" t="s">
        <v>12419</v>
      </c>
      <c r="E6771" s="15">
        <v>38.43</v>
      </c>
      <c r="F6771" s="42">
        <v>46198</v>
      </c>
    </row>
    <row r="6772" spans="1:6" x14ac:dyDescent="0.3">
      <c r="A6772" s="15" t="s">
        <v>42046</v>
      </c>
      <c r="B6772" s="15" t="s">
        <v>12420</v>
      </c>
      <c r="C6772" s="15" t="s">
        <v>800</v>
      </c>
      <c r="D6772" s="15" t="s">
        <v>12421</v>
      </c>
      <c r="E6772" s="15">
        <v>41.79</v>
      </c>
      <c r="F6772" s="42">
        <v>46198</v>
      </c>
    </row>
    <row r="6773" spans="1:6" x14ac:dyDescent="0.3">
      <c r="A6773" s="15" t="s">
        <v>42045</v>
      </c>
      <c r="B6773" s="15" t="s">
        <v>12422</v>
      </c>
      <c r="C6773" s="15" t="s">
        <v>800</v>
      </c>
      <c r="D6773" s="15" t="s">
        <v>12423</v>
      </c>
      <c r="E6773" s="15">
        <v>24.87</v>
      </c>
      <c r="F6773" s="42">
        <v>46198</v>
      </c>
    </row>
    <row r="6774" spans="1:6" x14ac:dyDescent="0.3">
      <c r="A6774" s="15" t="s">
        <v>42044</v>
      </c>
      <c r="B6774" s="15" t="s">
        <v>12424</v>
      </c>
      <c r="C6774" s="15" t="s">
        <v>800</v>
      </c>
      <c r="D6774" s="15" t="s">
        <v>12425</v>
      </c>
      <c r="E6774" s="15">
        <v>22</v>
      </c>
      <c r="F6774" s="42">
        <v>46198</v>
      </c>
    </row>
    <row r="6775" spans="1:6" x14ac:dyDescent="0.3">
      <c r="A6775" s="15" t="s">
        <v>42043</v>
      </c>
      <c r="B6775" s="15" t="s">
        <v>12426</v>
      </c>
      <c r="C6775" s="15" t="s">
        <v>800</v>
      </c>
      <c r="D6775" s="15" t="s">
        <v>12427</v>
      </c>
      <c r="E6775" s="15">
        <v>32.770000000000003</v>
      </c>
      <c r="F6775" s="42">
        <v>46198</v>
      </c>
    </row>
    <row r="6776" spans="1:6" x14ac:dyDescent="0.3">
      <c r="A6776" s="15" t="s">
        <v>42042</v>
      </c>
      <c r="B6776" s="15" t="s">
        <v>12428</v>
      </c>
      <c r="C6776" s="15" t="s">
        <v>800</v>
      </c>
      <c r="D6776" s="15" t="s">
        <v>12429</v>
      </c>
      <c r="E6776" s="15">
        <v>19.649999999999999</v>
      </c>
      <c r="F6776" s="42">
        <v>46198</v>
      </c>
    </row>
    <row r="6777" spans="1:6" x14ac:dyDescent="0.3">
      <c r="A6777" s="15" t="s">
        <v>42041</v>
      </c>
      <c r="B6777" s="15" t="s">
        <v>12430</v>
      </c>
      <c r="C6777" s="15" t="s">
        <v>800</v>
      </c>
      <c r="D6777" s="15" t="s">
        <v>12431</v>
      </c>
      <c r="E6777" s="15">
        <v>29.99</v>
      </c>
      <c r="F6777" s="42">
        <v>46198</v>
      </c>
    </row>
    <row r="6778" spans="1:6" x14ac:dyDescent="0.3">
      <c r="A6778" s="15" t="s">
        <v>42040</v>
      </c>
      <c r="B6778" s="15" t="s">
        <v>12432</v>
      </c>
      <c r="C6778" s="15" t="s">
        <v>800</v>
      </c>
      <c r="D6778" s="15" t="s">
        <v>12433</v>
      </c>
      <c r="E6778" s="15">
        <v>17.309999999999999</v>
      </c>
      <c r="F6778" s="42">
        <v>46198</v>
      </c>
    </row>
    <row r="6779" spans="1:6" x14ac:dyDescent="0.3">
      <c r="A6779" s="15" t="s">
        <v>42039</v>
      </c>
      <c r="B6779" s="15" t="s">
        <v>12434</v>
      </c>
      <c r="C6779" s="15" t="s">
        <v>800</v>
      </c>
      <c r="D6779" s="15" t="s">
        <v>12435</v>
      </c>
      <c r="E6779" s="15">
        <v>42.63</v>
      </c>
      <c r="F6779" s="42">
        <v>46198</v>
      </c>
    </row>
    <row r="6780" spans="1:6" x14ac:dyDescent="0.3">
      <c r="A6780" s="15" t="s">
        <v>42038</v>
      </c>
      <c r="B6780" s="15" t="s">
        <v>12436</v>
      </c>
      <c r="C6780" s="15" t="s">
        <v>800</v>
      </c>
      <c r="D6780" s="15" t="s">
        <v>12437</v>
      </c>
      <c r="E6780" s="15">
        <v>46.28</v>
      </c>
      <c r="F6780" s="42">
        <v>46198</v>
      </c>
    </row>
    <row r="6781" spans="1:6" x14ac:dyDescent="0.3">
      <c r="A6781" s="15" t="s">
        <v>42037</v>
      </c>
      <c r="B6781" s="15" t="s">
        <v>12438</v>
      </c>
      <c r="C6781" s="15" t="s">
        <v>800</v>
      </c>
      <c r="D6781" s="15" t="s">
        <v>12439</v>
      </c>
      <c r="E6781" s="15">
        <v>27.95</v>
      </c>
      <c r="F6781" s="42">
        <v>46198</v>
      </c>
    </row>
    <row r="6782" spans="1:6" x14ac:dyDescent="0.3">
      <c r="A6782" s="15" t="s">
        <v>42036</v>
      </c>
      <c r="B6782" s="15" t="s">
        <v>12440</v>
      </c>
      <c r="C6782" s="15" t="s">
        <v>800</v>
      </c>
      <c r="D6782" s="15" t="s">
        <v>12441</v>
      </c>
      <c r="E6782" s="15">
        <v>24.87</v>
      </c>
      <c r="F6782" s="42">
        <v>46198</v>
      </c>
    </row>
    <row r="6783" spans="1:6" x14ac:dyDescent="0.3">
      <c r="A6783" s="15" t="s">
        <v>42035</v>
      </c>
      <c r="B6783" s="15" t="s">
        <v>12442</v>
      </c>
      <c r="C6783" s="15" t="s">
        <v>800</v>
      </c>
      <c r="D6783" s="15" t="s">
        <v>12443</v>
      </c>
      <c r="E6783" s="15">
        <v>22.99</v>
      </c>
      <c r="F6783" s="42">
        <v>46198</v>
      </c>
    </row>
    <row r="6784" spans="1:6" x14ac:dyDescent="0.3">
      <c r="A6784" s="15" t="s">
        <v>42034</v>
      </c>
      <c r="B6784" s="15" t="s">
        <v>12444</v>
      </c>
      <c r="C6784" s="15" t="s">
        <v>12445</v>
      </c>
      <c r="D6784" s="15" t="s">
        <v>12446</v>
      </c>
      <c r="E6784" s="15">
        <v>19.5</v>
      </c>
      <c r="F6784" s="42">
        <v>46198</v>
      </c>
    </row>
    <row r="6785" spans="1:6" x14ac:dyDescent="0.3">
      <c r="A6785" s="15" t="s">
        <v>42033</v>
      </c>
      <c r="B6785" s="15" t="s">
        <v>12447</v>
      </c>
      <c r="C6785" s="15" t="s">
        <v>800</v>
      </c>
      <c r="D6785" s="15" t="s">
        <v>12448</v>
      </c>
      <c r="E6785" s="15">
        <v>21.83</v>
      </c>
      <c r="F6785" s="42">
        <v>46198</v>
      </c>
    </row>
    <row r="6786" spans="1:6" x14ac:dyDescent="0.3">
      <c r="A6786" s="15" t="s">
        <v>42032</v>
      </c>
      <c r="B6786" s="15" t="s">
        <v>12449</v>
      </c>
      <c r="C6786" s="15" t="s">
        <v>12450</v>
      </c>
      <c r="D6786" s="15" t="s">
        <v>12451</v>
      </c>
      <c r="E6786" s="15">
        <v>18.38</v>
      </c>
      <c r="F6786" s="42">
        <v>46198</v>
      </c>
    </row>
    <row r="6787" spans="1:6" x14ac:dyDescent="0.3">
      <c r="A6787" s="15" t="s">
        <v>42031</v>
      </c>
      <c r="B6787" s="15" t="s">
        <v>12452</v>
      </c>
      <c r="C6787" s="15" t="s">
        <v>800</v>
      </c>
      <c r="D6787" s="15" t="s">
        <v>12453</v>
      </c>
      <c r="E6787" s="15">
        <v>10.51</v>
      </c>
      <c r="F6787" s="42">
        <v>46198</v>
      </c>
    </row>
    <row r="6788" spans="1:6" x14ac:dyDescent="0.3">
      <c r="A6788" s="15" t="s">
        <v>42030</v>
      </c>
      <c r="B6788" s="15" t="s">
        <v>12454</v>
      </c>
      <c r="C6788" s="15" t="s">
        <v>12455</v>
      </c>
      <c r="D6788" s="15" t="s">
        <v>12456</v>
      </c>
      <c r="E6788" s="15">
        <v>10.51</v>
      </c>
      <c r="F6788" s="42">
        <v>46198</v>
      </c>
    </row>
    <row r="6789" spans="1:6" x14ac:dyDescent="0.3">
      <c r="A6789" s="15" t="s">
        <v>42029</v>
      </c>
      <c r="B6789" s="15" t="s">
        <v>12457</v>
      </c>
      <c r="C6789" s="15" t="s">
        <v>800</v>
      </c>
      <c r="D6789" s="15" t="s">
        <v>12458</v>
      </c>
      <c r="E6789" s="15">
        <v>10.37</v>
      </c>
      <c r="F6789" s="42">
        <v>46198</v>
      </c>
    </row>
    <row r="6790" spans="1:6" x14ac:dyDescent="0.3">
      <c r="A6790" s="15" t="s">
        <v>42028</v>
      </c>
      <c r="B6790" s="15" t="s">
        <v>12459</v>
      </c>
      <c r="C6790" s="15" t="s">
        <v>12460</v>
      </c>
      <c r="D6790" s="15" t="s">
        <v>12461</v>
      </c>
      <c r="E6790" s="15">
        <v>10.37</v>
      </c>
      <c r="F6790" s="42">
        <v>46198</v>
      </c>
    </row>
    <row r="6791" spans="1:6" x14ac:dyDescent="0.3">
      <c r="A6791" s="15" t="s">
        <v>42027</v>
      </c>
      <c r="B6791" s="15" t="s">
        <v>12462</v>
      </c>
      <c r="C6791" s="15" t="s">
        <v>800</v>
      </c>
      <c r="D6791" s="15" t="s">
        <v>12463</v>
      </c>
      <c r="E6791" s="15">
        <v>23.31</v>
      </c>
      <c r="F6791" s="42">
        <v>46198</v>
      </c>
    </row>
    <row r="6792" spans="1:6" x14ac:dyDescent="0.3">
      <c r="A6792" s="15" t="s">
        <v>42026</v>
      </c>
      <c r="B6792" s="15" t="s">
        <v>12464</v>
      </c>
      <c r="C6792" s="15" t="s">
        <v>12465</v>
      </c>
      <c r="D6792" s="15" t="s">
        <v>12466</v>
      </c>
      <c r="E6792" s="15">
        <v>15.07</v>
      </c>
      <c r="F6792" s="42">
        <v>46198</v>
      </c>
    </row>
    <row r="6793" spans="1:6" x14ac:dyDescent="0.3">
      <c r="A6793" s="15" t="s">
        <v>42025</v>
      </c>
      <c r="B6793" s="15" t="s">
        <v>12467</v>
      </c>
      <c r="C6793" s="15" t="s">
        <v>800</v>
      </c>
      <c r="D6793" s="15" t="s">
        <v>12468</v>
      </c>
      <c r="E6793" s="15">
        <v>22.47</v>
      </c>
      <c r="F6793" s="42">
        <v>46198</v>
      </c>
    </row>
    <row r="6794" spans="1:6" x14ac:dyDescent="0.3">
      <c r="A6794" s="15" t="s">
        <v>42024</v>
      </c>
      <c r="B6794" s="15" t="s">
        <v>12469</v>
      </c>
      <c r="C6794" s="15" t="s">
        <v>12470</v>
      </c>
      <c r="D6794" s="15" t="s">
        <v>12471</v>
      </c>
      <c r="E6794" s="15">
        <v>14.38</v>
      </c>
      <c r="F6794" s="42">
        <v>46198</v>
      </c>
    </row>
    <row r="6795" spans="1:6" x14ac:dyDescent="0.3">
      <c r="A6795" s="15" t="s">
        <v>42023</v>
      </c>
      <c r="B6795" s="15" t="s">
        <v>12472</v>
      </c>
      <c r="C6795" s="15" t="s">
        <v>800</v>
      </c>
      <c r="D6795" s="15" t="s">
        <v>12473</v>
      </c>
      <c r="E6795" s="15">
        <v>11.1</v>
      </c>
      <c r="F6795" s="42">
        <v>46198</v>
      </c>
    </row>
    <row r="6796" spans="1:6" x14ac:dyDescent="0.3">
      <c r="A6796" s="15" t="s">
        <v>42022</v>
      </c>
      <c r="B6796" s="15" t="s">
        <v>12474</v>
      </c>
      <c r="C6796" s="15" t="s">
        <v>12475</v>
      </c>
      <c r="D6796" s="15" t="s">
        <v>12476</v>
      </c>
      <c r="E6796" s="15">
        <v>11.1</v>
      </c>
      <c r="F6796" s="42">
        <v>46198</v>
      </c>
    </row>
    <row r="6797" spans="1:6" x14ac:dyDescent="0.3">
      <c r="A6797" s="15" t="s">
        <v>42021</v>
      </c>
      <c r="B6797" s="15" t="s">
        <v>12477</v>
      </c>
      <c r="C6797" s="15" t="s">
        <v>800</v>
      </c>
      <c r="D6797" s="15" t="s">
        <v>12478</v>
      </c>
      <c r="E6797" s="15">
        <v>10.92</v>
      </c>
      <c r="F6797" s="42">
        <v>46198</v>
      </c>
    </row>
    <row r="6798" spans="1:6" x14ac:dyDescent="0.3">
      <c r="A6798" s="15" t="s">
        <v>42020</v>
      </c>
      <c r="B6798" s="15" t="s">
        <v>12479</v>
      </c>
      <c r="C6798" s="15" t="s">
        <v>12480</v>
      </c>
      <c r="D6798" s="15" t="s">
        <v>12481</v>
      </c>
      <c r="E6798" s="15">
        <v>10.92</v>
      </c>
      <c r="F6798" s="42">
        <v>46198</v>
      </c>
    </row>
    <row r="6799" spans="1:6" x14ac:dyDescent="0.3">
      <c r="A6799" s="15" t="s">
        <v>42019</v>
      </c>
      <c r="B6799" s="15" t="s">
        <v>12482</v>
      </c>
      <c r="C6799" s="15" t="s">
        <v>800</v>
      </c>
      <c r="D6799" s="15" t="s">
        <v>12483</v>
      </c>
      <c r="E6799" s="15">
        <v>184.64</v>
      </c>
      <c r="F6799" s="42">
        <v>46198</v>
      </c>
    </row>
    <row r="6800" spans="1:6" x14ac:dyDescent="0.3">
      <c r="A6800" s="15" t="s">
        <v>42018</v>
      </c>
      <c r="B6800" s="15" t="s">
        <v>12484</v>
      </c>
      <c r="C6800" s="15" t="s">
        <v>12485</v>
      </c>
      <c r="D6800" s="15" t="s">
        <v>12486</v>
      </c>
      <c r="E6800" s="15">
        <v>112.72</v>
      </c>
      <c r="F6800" s="42">
        <v>46198</v>
      </c>
    </row>
    <row r="6801" spans="1:6" x14ac:dyDescent="0.3">
      <c r="A6801" s="15" t="s">
        <v>42017</v>
      </c>
      <c r="B6801" s="15" t="s">
        <v>12487</v>
      </c>
      <c r="C6801" s="15" t="s">
        <v>800</v>
      </c>
      <c r="D6801" s="15" t="s">
        <v>12488</v>
      </c>
      <c r="E6801" s="15">
        <v>164.93</v>
      </c>
      <c r="F6801" s="42">
        <v>46198</v>
      </c>
    </row>
    <row r="6802" spans="1:6" x14ac:dyDescent="0.3">
      <c r="A6802" s="15" t="s">
        <v>42016</v>
      </c>
      <c r="B6802" s="15" t="s">
        <v>12489</v>
      </c>
      <c r="C6802" s="15" t="s">
        <v>12490</v>
      </c>
      <c r="D6802" s="15" t="s">
        <v>12491</v>
      </c>
      <c r="E6802" s="15">
        <v>51.5</v>
      </c>
      <c r="F6802" s="42">
        <v>46198</v>
      </c>
    </row>
    <row r="6803" spans="1:6" x14ac:dyDescent="0.3">
      <c r="A6803" s="15" t="s">
        <v>42015</v>
      </c>
      <c r="B6803" s="15" t="s">
        <v>12492</v>
      </c>
      <c r="C6803" s="15" t="s">
        <v>800</v>
      </c>
      <c r="D6803" s="15" t="s">
        <v>12493</v>
      </c>
      <c r="E6803" s="15">
        <v>21.7</v>
      </c>
      <c r="F6803" s="42">
        <v>46198</v>
      </c>
    </row>
    <row r="6804" spans="1:6" x14ac:dyDescent="0.3">
      <c r="A6804" s="15" t="s">
        <v>42014</v>
      </c>
      <c r="B6804" s="15" t="s">
        <v>12494</v>
      </c>
      <c r="C6804" s="15" t="s">
        <v>12495</v>
      </c>
      <c r="D6804" s="15" t="s">
        <v>12496</v>
      </c>
      <c r="E6804" s="15">
        <v>18.510000000000002</v>
      </c>
      <c r="F6804" s="42">
        <v>46198</v>
      </c>
    </row>
    <row r="6805" spans="1:6" x14ac:dyDescent="0.3">
      <c r="A6805" s="15" t="s">
        <v>42013</v>
      </c>
      <c r="B6805" s="15" t="s">
        <v>12497</v>
      </c>
      <c r="C6805" s="15" t="s">
        <v>800</v>
      </c>
      <c r="D6805" s="15" t="s">
        <v>12498</v>
      </c>
      <c r="E6805" s="15">
        <v>20.73</v>
      </c>
      <c r="F6805" s="42">
        <v>46198</v>
      </c>
    </row>
    <row r="6806" spans="1:6" x14ac:dyDescent="0.3">
      <c r="A6806" s="15" t="s">
        <v>42012</v>
      </c>
      <c r="B6806" s="15" t="s">
        <v>12499</v>
      </c>
      <c r="C6806" s="15" t="s">
        <v>12500</v>
      </c>
      <c r="D6806" s="15" t="s">
        <v>12501</v>
      </c>
      <c r="E6806" s="15">
        <v>17.579999999999998</v>
      </c>
      <c r="F6806" s="42">
        <v>46198</v>
      </c>
    </row>
    <row r="6807" spans="1:6" x14ac:dyDescent="0.3">
      <c r="A6807" s="15" t="s">
        <v>42011</v>
      </c>
      <c r="B6807" s="15" t="s">
        <v>12502</v>
      </c>
      <c r="C6807" s="15" t="s">
        <v>800</v>
      </c>
      <c r="D6807" s="15" t="s">
        <v>12503</v>
      </c>
      <c r="E6807" s="15">
        <v>81.75</v>
      </c>
      <c r="F6807" s="42">
        <v>46198</v>
      </c>
    </row>
    <row r="6808" spans="1:6" x14ac:dyDescent="0.3">
      <c r="A6808" s="15" t="s">
        <v>42010</v>
      </c>
      <c r="B6808" s="15" t="s">
        <v>12504</v>
      </c>
      <c r="C6808" s="15" t="s">
        <v>12505</v>
      </c>
      <c r="D6808" s="15" t="s">
        <v>12506</v>
      </c>
      <c r="E6808" s="15">
        <v>81.75</v>
      </c>
      <c r="F6808" s="42">
        <v>46198</v>
      </c>
    </row>
    <row r="6809" spans="1:6" x14ac:dyDescent="0.3">
      <c r="A6809" s="15" t="s">
        <v>42009</v>
      </c>
      <c r="B6809" s="15" t="s">
        <v>12507</v>
      </c>
      <c r="C6809" s="15" t="s">
        <v>800</v>
      </c>
      <c r="D6809" s="15" t="s">
        <v>12508</v>
      </c>
      <c r="E6809" s="15">
        <v>72.650000000000006</v>
      </c>
      <c r="F6809" s="42">
        <v>46198</v>
      </c>
    </row>
    <row r="6810" spans="1:6" x14ac:dyDescent="0.3">
      <c r="A6810" s="15" t="s">
        <v>42008</v>
      </c>
      <c r="B6810" s="15" t="s">
        <v>12509</v>
      </c>
      <c r="C6810" s="15" t="s">
        <v>12510</v>
      </c>
      <c r="D6810" s="15" t="s">
        <v>12511</v>
      </c>
      <c r="E6810" s="15">
        <v>72.650000000000006</v>
      </c>
      <c r="F6810" s="42">
        <v>46198</v>
      </c>
    </row>
    <row r="6811" spans="1:6" x14ac:dyDescent="0.3">
      <c r="A6811" s="15" t="s">
        <v>33499</v>
      </c>
      <c r="B6811" s="15" t="s">
        <v>795</v>
      </c>
      <c r="C6811" s="15" t="s">
        <v>795</v>
      </c>
      <c r="D6811" s="15" t="s">
        <v>795</v>
      </c>
      <c r="F6811" s="42"/>
    </row>
    <row r="6812" spans="1:6" x14ac:dyDescent="0.3">
      <c r="A6812" s="15" t="s">
        <v>37807</v>
      </c>
      <c r="B6812" s="15" t="s">
        <v>795</v>
      </c>
      <c r="C6812" s="15" t="s">
        <v>795</v>
      </c>
      <c r="D6812" s="15" t="s">
        <v>795</v>
      </c>
      <c r="F6812" s="42"/>
    </row>
    <row r="6813" spans="1:6" x14ac:dyDescent="0.3">
      <c r="A6813" s="15" t="s">
        <v>33499</v>
      </c>
      <c r="B6813" s="15" t="s">
        <v>795</v>
      </c>
      <c r="C6813" s="15" t="s">
        <v>795</v>
      </c>
      <c r="D6813" s="15" t="s">
        <v>795</v>
      </c>
      <c r="F6813" s="42"/>
    </row>
    <row r="6814" spans="1:6" x14ac:dyDescent="0.3">
      <c r="A6814" s="15" t="s">
        <v>42007</v>
      </c>
      <c r="B6814" s="15" t="s">
        <v>12512</v>
      </c>
      <c r="C6814" s="15" t="s">
        <v>800</v>
      </c>
      <c r="D6814" s="15" t="s">
        <v>12513</v>
      </c>
      <c r="E6814" s="15">
        <v>14.3</v>
      </c>
      <c r="F6814" s="42">
        <v>46198</v>
      </c>
    </row>
    <row r="6815" spans="1:6" x14ac:dyDescent="0.3">
      <c r="A6815" s="15" t="s">
        <v>42006</v>
      </c>
      <c r="B6815" s="15" t="s">
        <v>12514</v>
      </c>
      <c r="C6815" s="15" t="s">
        <v>12515</v>
      </c>
      <c r="D6815" s="15" t="s">
        <v>12516</v>
      </c>
      <c r="E6815" s="15">
        <v>14.31</v>
      </c>
      <c r="F6815" s="42">
        <v>46198</v>
      </c>
    </row>
    <row r="6816" spans="1:6" x14ac:dyDescent="0.3">
      <c r="A6816" s="15" t="s">
        <v>42005</v>
      </c>
      <c r="B6816" s="15" t="s">
        <v>12517</v>
      </c>
      <c r="C6816" s="15" t="s">
        <v>800</v>
      </c>
      <c r="D6816" s="15" t="s">
        <v>12518</v>
      </c>
      <c r="E6816" s="15">
        <v>14</v>
      </c>
      <c r="F6816" s="42">
        <v>46198</v>
      </c>
    </row>
    <row r="6817" spans="1:6" x14ac:dyDescent="0.3">
      <c r="A6817" s="15" t="s">
        <v>42004</v>
      </c>
      <c r="B6817" s="15" t="s">
        <v>12519</v>
      </c>
      <c r="C6817" s="15" t="s">
        <v>12520</v>
      </c>
      <c r="D6817" s="15" t="s">
        <v>12521</v>
      </c>
      <c r="E6817" s="15">
        <v>14</v>
      </c>
      <c r="F6817" s="42">
        <v>46198</v>
      </c>
    </row>
    <row r="6818" spans="1:6" x14ac:dyDescent="0.3">
      <c r="A6818" s="15" t="s">
        <v>42003</v>
      </c>
      <c r="B6818" s="15" t="s">
        <v>12522</v>
      </c>
      <c r="C6818" s="15" t="s">
        <v>800</v>
      </c>
      <c r="D6818" s="15" t="s">
        <v>12523</v>
      </c>
      <c r="E6818" s="15">
        <v>10.34</v>
      </c>
      <c r="F6818" s="42">
        <v>46198</v>
      </c>
    </row>
    <row r="6819" spans="1:6" x14ac:dyDescent="0.3">
      <c r="A6819" s="15" t="s">
        <v>42002</v>
      </c>
      <c r="B6819" s="15" t="s">
        <v>12524</v>
      </c>
      <c r="C6819" s="15" t="s">
        <v>12525</v>
      </c>
      <c r="D6819" s="15" t="s">
        <v>12526</v>
      </c>
      <c r="E6819" s="15">
        <v>10.34</v>
      </c>
      <c r="F6819" s="42">
        <v>46198</v>
      </c>
    </row>
    <row r="6820" spans="1:6" x14ac:dyDescent="0.3">
      <c r="A6820" s="15" t="s">
        <v>42001</v>
      </c>
      <c r="B6820" s="15" t="s">
        <v>12527</v>
      </c>
      <c r="C6820" s="15" t="s">
        <v>800</v>
      </c>
      <c r="D6820" s="15" t="s">
        <v>12528</v>
      </c>
      <c r="E6820" s="15">
        <v>10.23</v>
      </c>
      <c r="F6820" s="42">
        <v>46198</v>
      </c>
    </row>
    <row r="6821" spans="1:6" x14ac:dyDescent="0.3">
      <c r="A6821" s="15" t="s">
        <v>42000</v>
      </c>
      <c r="B6821" s="15" t="s">
        <v>12529</v>
      </c>
      <c r="C6821" s="15" t="s">
        <v>12530</v>
      </c>
      <c r="D6821" s="15" t="s">
        <v>12531</v>
      </c>
      <c r="E6821" s="15">
        <v>10.23</v>
      </c>
      <c r="F6821" s="42">
        <v>46198</v>
      </c>
    </row>
    <row r="6822" spans="1:6" x14ac:dyDescent="0.3">
      <c r="A6822" s="15" t="s">
        <v>41999</v>
      </c>
      <c r="B6822" s="15" t="s">
        <v>12532</v>
      </c>
      <c r="C6822" s="15" t="s">
        <v>800</v>
      </c>
      <c r="D6822" s="15" t="s">
        <v>12533</v>
      </c>
      <c r="E6822" s="15">
        <v>17.96</v>
      </c>
      <c r="F6822" s="42">
        <v>46198</v>
      </c>
    </row>
    <row r="6823" spans="1:6" x14ac:dyDescent="0.3">
      <c r="A6823" s="15" t="s">
        <v>41998</v>
      </c>
      <c r="B6823" s="15" t="s">
        <v>12534</v>
      </c>
      <c r="C6823" s="15" t="s">
        <v>12535</v>
      </c>
      <c r="D6823" s="15" t="s">
        <v>12536</v>
      </c>
      <c r="E6823" s="15">
        <v>14.65</v>
      </c>
      <c r="F6823" s="42">
        <v>46198</v>
      </c>
    </row>
    <row r="6824" spans="1:6" x14ac:dyDescent="0.3">
      <c r="A6824" s="15" t="s">
        <v>41997</v>
      </c>
      <c r="B6824" s="15" t="s">
        <v>12537</v>
      </c>
      <c r="C6824" s="15" t="s">
        <v>800</v>
      </c>
      <c r="D6824" s="15" t="s">
        <v>12538</v>
      </c>
      <c r="E6824" s="15">
        <v>16.55</v>
      </c>
      <c r="F6824" s="42">
        <v>46198</v>
      </c>
    </row>
    <row r="6825" spans="1:6" x14ac:dyDescent="0.3">
      <c r="A6825" s="15" t="s">
        <v>41996</v>
      </c>
      <c r="B6825" s="15" t="s">
        <v>12539</v>
      </c>
      <c r="C6825" s="15" t="s">
        <v>12540</v>
      </c>
      <c r="D6825" s="15" t="s">
        <v>12541</v>
      </c>
      <c r="E6825" s="15">
        <v>13.34</v>
      </c>
      <c r="F6825" s="42">
        <v>46198</v>
      </c>
    </row>
    <row r="6826" spans="1:6" x14ac:dyDescent="0.3">
      <c r="A6826" s="15" t="s">
        <v>41995</v>
      </c>
      <c r="B6826" s="15" t="s">
        <v>12542</v>
      </c>
      <c r="C6826" s="15" t="s">
        <v>800</v>
      </c>
      <c r="D6826" s="15" t="s">
        <v>12543</v>
      </c>
      <c r="E6826" s="15">
        <v>178.98</v>
      </c>
      <c r="F6826" s="42">
        <v>46198</v>
      </c>
    </row>
    <row r="6827" spans="1:6" x14ac:dyDescent="0.3">
      <c r="A6827" s="15" t="s">
        <v>41994</v>
      </c>
      <c r="B6827" s="15" t="s">
        <v>12544</v>
      </c>
      <c r="C6827" s="15" t="s">
        <v>12545</v>
      </c>
      <c r="D6827" s="15" t="s">
        <v>12546</v>
      </c>
      <c r="E6827" s="15">
        <v>92.12</v>
      </c>
      <c r="F6827" s="42">
        <v>46198</v>
      </c>
    </row>
    <row r="6828" spans="1:6" x14ac:dyDescent="0.3">
      <c r="A6828" s="15" t="s">
        <v>41993</v>
      </c>
      <c r="B6828" s="15" t="s">
        <v>12547</v>
      </c>
      <c r="C6828" s="15" t="s">
        <v>12548</v>
      </c>
      <c r="D6828" s="15" t="s">
        <v>12549</v>
      </c>
      <c r="E6828" s="15">
        <v>75.45</v>
      </c>
      <c r="F6828" s="42">
        <v>46198</v>
      </c>
    </row>
    <row r="6829" spans="1:6" x14ac:dyDescent="0.3">
      <c r="A6829" s="15" t="s">
        <v>41992</v>
      </c>
      <c r="B6829" s="15" t="s">
        <v>12550</v>
      </c>
      <c r="C6829" s="15" t="s">
        <v>800</v>
      </c>
      <c r="D6829" s="15" t="s">
        <v>12551</v>
      </c>
      <c r="E6829" s="15">
        <v>147.94999999999999</v>
      </c>
      <c r="F6829" s="42">
        <v>46198</v>
      </c>
    </row>
    <row r="6830" spans="1:6" x14ac:dyDescent="0.3">
      <c r="A6830" s="15" t="s">
        <v>41991</v>
      </c>
      <c r="B6830" s="15" t="s">
        <v>12552</v>
      </c>
      <c r="C6830" s="15" t="s">
        <v>800</v>
      </c>
      <c r="D6830" s="15" t="s">
        <v>12553</v>
      </c>
      <c r="E6830" s="15">
        <v>84.39</v>
      </c>
      <c r="F6830" s="42">
        <v>46198</v>
      </c>
    </row>
    <row r="6831" spans="1:6" x14ac:dyDescent="0.3">
      <c r="A6831" s="15" t="s">
        <v>41990</v>
      </c>
      <c r="B6831" s="15" t="s">
        <v>12554</v>
      </c>
      <c r="C6831" s="15" t="s">
        <v>12555</v>
      </c>
      <c r="D6831" s="15" t="s">
        <v>12556</v>
      </c>
      <c r="E6831" s="15">
        <v>56.46</v>
      </c>
      <c r="F6831" s="42">
        <v>46198</v>
      </c>
    </row>
    <row r="6832" spans="1:6" x14ac:dyDescent="0.3">
      <c r="A6832" s="15" t="s">
        <v>41989</v>
      </c>
      <c r="B6832" s="15" t="s">
        <v>12557</v>
      </c>
      <c r="C6832" s="15" t="s">
        <v>800</v>
      </c>
      <c r="D6832" s="15" t="s">
        <v>12558</v>
      </c>
      <c r="E6832" s="15">
        <v>69.400000000000006</v>
      </c>
      <c r="F6832" s="42">
        <v>46198</v>
      </c>
    </row>
    <row r="6833" spans="1:6" x14ac:dyDescent="0.3">
      <c r="A6833" s="15" t="s">
        <v>41988</v>
      </c>
      <c r="B6833" s="15" t="s">
        <v>12559</v>
      </c>
      <c r="C6833" s="15" t="s">
        <v>12560</v>
      </c>
      <c r="D6833" s="15" t="s">
        <v>12561</v>
      </c>
      <c r="E6833" s="15">
        <v>44.61</v>
      </c>
      <c r="F6833" s="42">
        <v>46198</v>
      </c>
    </row>
    <row r="6834" spans="1:6" x14ac:dyDescent="0.3">
      <c r="A6834" s="15" t="s">
        <v>41987</v>
      </c>
      <c r="B6834" s="15" t="s">
        <v>12562</v>
      </c>
      <c r="C6834" s="15" t="s">
        <v>800</v>
      </c>
      <c r="D6834" s="15" t="s">
        <v>12563</v>
      </c>
      <c r="E6834" s="15">
        <v>11.29</v>
      </c>
      <c r="F6834" s="42">
        <v>46198</v>
      </c>
    </row>
    <row r="6835" spans="1:6" x14ac:dyDescent="0.3">
      <c r="A6835" s="15" t="s">
        <v>41986</v>
      </c>
      <c r="B6835" s="15" t="s">
        <v>12564</v>
      </c>
      <c r="C6835" s="15" t="s">
        <v>12565</v>
      </c>
      <c r="D6835" s="15" t="s">
        <v>12566</v>
      </c>
      <c r="E6835" s="15">
        <v>11.29</v>
      </c>
      <c r="F6835" s="42">
        <v>46198</v>
      </c>
    </row>
    <row r="6836" spans="1:6" x14ac:dyDescent="0.3">
      <c r="A6836" s="15" t="s">
        <v>41985</v>
      </c>
      <c r="B6836" s="15" t="s">
        <v>12567</v>
      </c>
      <c r="C6836" s="15" t="s">
        <v>800</v>
      </c>
      <c r="D6836" s="15" t="s">
        <v>12568</v>
      </c>
      <c r="E6836" s="15">
        <v>10.97</v>
      </c>
      <c r="F6836" s="42">
        <v>46198</v>
      </c>
    </row>
    <row r="6837" spans="1:6" x14ac:dyDescent="0.3">
      <c r="A6837" s="15" t="s">
        <v>41984</v>
      </c>
      <c r="B6837" s="15" t="s">
        <v>12569</v>
      </c>
      <c r="C6837" s="15" t="s">
        <v>12570</v>
      </c>
      <c r="D6837" s="15" t="s">
        <v>12571</v>
      </c>
      <c r="E6837" s="15">
        <v>10.97</v>
      </c>
      <c r="F6837" s="42">
        <v>46198</v>
      </c>
    </row>
    <row r="6838" spans="1:6" x14ac:dyDescent="0.3">
      <c r="A6838" s="15" t="s">
        <v>41983</v>
      </c>
      <c r="B6838" s="15" t="s">
        <v>12572</v>
      </c>
      <c r="C6838" s="15" t="s">
        <v>800</v>
      </c>
      <c r="D6838" s="15" t="s">
        <v>12573</v>
      </c>
      <c r="E6838" s="15">
        <v>78.430000000000007</v>
      </c>
      <c r="F6838" s="42">
        <v>46198</v>
      </c>
    </row>
    <row r="6839" spans="1:6" x14ac:dyDescent="0.3">
      <c r="A6839" s="15" t="s">
        <v>41982</v>
      </c>
      <c r="B6839" s="15" t="s">
        <v>12574</v>
      </c>
      <c r="C6839" s="15" t="s">
        <v>12575</v>
      </c>
      <c r="D6839" s="15" t="s">
        <v>12576</v>
      </c>
      <c r="E6839" s="15">
        <v>49.72</v>
      </c>
      <c r="F6839" s="42">
        <v>46198</v>
      </c>
    </row>
    <row r="6840" spans="1:6" x14ac:dyDescent="0.3">
      <c r="A6840" s="15" t="s">
        <v>41981</v>
      </c>
      <c r="B6840" s="15" t="s">
        <v>12577</v>
      </c>
      <c r="C6840" s="15" t="s">
        <v>800</v>
      </c>
      <c r="D6840" s="15" t="s">
        <v>12578</v>
      </c>
      <c r="E6840" s="15">
        <v>65.37</v>
      </c>
      <c r="F6840" s="42">
        <v>46198</v>
      </c>
    </row>
    <row r="6841" spans="1:6" x14ac:dyDescent="0.3">
      <c r="A6841" s="15" t="s">
        <v>41980</v>
      </c>
      <c r="B6841" s="15" t="s">
        <v>12579</v>
      </c>
      <c r="C6841" s="15" t="s">
        <v>12580</v>
      </c>
      <c r="D6841" s="15" t="s">
        <v>12581</v>
      </c>
      <c r="E6841" s="15">
        <v>40.049999999999997</v>
      </c>
      <c r="F6841" s="42">
        <v>46198</v>
      </c>
    </row>
    <row r="6842" spans="1:6" x14ac:dyDescent="0.3">
      <c r="A6842" s="15" t="s">
        <v>41979</v>
      </c>
      <c r="B6842" s="15" t="s">
        <v>12582</v>
      </c>
      <c r="C6842" s="15" t="s">
        <v>800</v>
      </c>
      <c r="D6842" s="15" t="s">
        <v>12583</v>
      </c>
      <c r="E6842" s="15">
        <v>9.31</v>
      </c>
      <c r="F6842" s="42">
        <v>46198</v>
      </c>
    </row>
    <row r="6843" spans="1:6" x14ac:dyDescent="0.3">
      <c r="A6843" s="15" t="s">
        <v>41978</v>
      </c>
      <c r="B6843" s="15" t="s">
        <v>12584</v>
      </c>
      <c r="C6843" s="15" t="s">
        <v>12585</v>
      </c>
      <c r="D6843" s="15" t="s">
        <v>12586</v>
      </c>
      <c r="E6843" s="15">
        <v>9.31</v>
      </c>
      <c r="F6843" s="42">
        <v>46198</v>
      </c>
    </row>
    <row r="6844" spans="1:6" x14ac:dyDescent="0.3">
      <c r="A6844" s="15" t="s">
        <v>41977</v>
      </c>
      <c r="B6844" s="15" t="s">
        <v>12587</v>
      </c>
      <c r="C6844" s="15" t="s">
        <v>800</v>
      </c>
      <c r="D6844" s="15" t="s">
        <v>12588</v>
      </c>
      <c r="E6844" s="15">
        <v>9.06</v>
      </c>
      <c r="F6844" s="42">
        <v>46198</v>
      </c>
    </row>
    <row r="6845" spans="1:6" x14ac:dyDescent="0.3">
      <c r="A6845" s="15" t="s">
        <v>41976</v>
      </c>
      <c r="B6845" s="15" t="s">
        <v>12589</v>
      </c>
      <c r="C6845" s="15" t="s">
        <v>12590</v>
      </c>
      <c r="D6845" s="15" t="s">
        <v>12591</v>
      </c>
      <c r="E6845" s="15">
        <v>9.06</v>
      </c>
      <c r="F6845" s="42">
        <v>46198</v>
      </c>
    </row>
    <row r="6846" spans="1:6" x14ac:dyDescent="0.3">
      <c r="A6846" s="15" t="s">
        <v>33499</v>
      </c>
      <c r="B6846" s="15" t="s">
        <v>795</v>
      </c>
      <c r="C6846" s="15" t="s">
        <v>795</v>
      </c>
      <c r="D6846" s="15" t="s">
        <v>795</v>
      </c>
      <c r="F6846" s="42"/>
    </row>
    <row r="6847" spans="1:6" x14ac:dyDescent="0.3">
      <c r="A6847" s="15" t="s">
        <v>40577</v>
      </c>
      <c r="B6847" s="15" t="s">
        <v>795</v>
      </c>
      <c r="C6847" s="15" t="s">
        <v>795</v>
      </c>
      <c r="D6847" s="15" t="s">
        <v>795</v>
      </c>
      <c r="F6847" s="42"/>
    </row>
    <row r="6848" spans="1:6" x14ac:dyDescent="0.3">
      <c r="A6848" s="15" t="s">
        <v>33499</v>
      </c>
      <c r="B6848" s="15" t="s">
        <v>795</v>
      </c>
      <c r="C6848" s="15" t="s">
        <v>795</v>
      </c>
      <c r="D6848" s="15" t="s">
        <v>795</v>
      </c>
      <c r="F6848" s="42"/>
    </row>
    <row r="6849" spans="1:6" x14ac:dyDescent="0.3">
      <c r="A6849" s="15" t="s">
        <v>41975</v>
      </c>
      <c r="B6849" s="15" t="s">
        <v>12592</v>
      </c>
      <c r="C6849" s="15" t="s">
        <v>800</v>
      </c>
      <c r="D6849" s="15" t="s">
        <v>12593</v>
      </c>
      <c r="E6849" s="15">
        <v>17.5837</v>
      </c>
      <c r="F6849" s="42">
        <v>46198</v>
      </c>
    </row>
    <row r="6850" spans="1:6" x14ac:dyDescent="0.3">
      <c r="A6850" s="15" t="s">
        <v>41974</v>
      </c>
      <c r="B6850" s="15" t="s">
        <v>12594</v>
      </c>
      <c r="C6850" s="15" t="s">
        <v>12595</v>
      </c>
      <c r="D6850" s="15" t="s">
        <v>12596</v>
      </c>
      <c r="E6850" s="15">
        <v>16.5931</v>
      </c>
      <c r="F6850" s="42">
        <v>46198</v>
      </c>
    </row>
    <row r="6851" spans="1:6" x14ac:dyDescent="0.3">
      <c r="A6851" s="15" t="s">
        <v>41973</v>
      </c>
      <c r="B6851" s="15" t="s">
        <v>12597</v>
      </c>
      <c r="C6851" s="15" t="s">
        <v>12598</v>
      </c>
      <c r="D6851" s="15" t="s">
        <v>12599</v>
      </c>
      <c r="E6851" s="15">
        <v>15.0869</v>
      </c>
      <c r="F6851" s="42">
        <v>46198</v>
      </c>
    </row>
    <row r="6852" spans="1:6" x14ac:dyDescent="0.3">
      <c r="A6852" s="15" t="s">
        <v>41972</v>
      </c>
      <c r="B6852" s="15" t="s">
        <v>12600</v>
      </c>
      <c r="C6852" s="15" t="s">
        <v>800</v>
      </c>
      <c r="D6852" s="15" t="s">
        <v>12601</v>
      </c>
      <c r="E6852" s="15">
        <v>16.07</v>
      </c>
      <c r="F6852" s="42">
        <v>46198</v>
      </c>
    </row>
    <row r="6853" spans="1:6" x14ac:dyDescent="0.3">
      <c r="A6853" s="15" t="s">
        <v>41971</v>
      </c>
      <c r="B6853" s="15" t="s">
        <v>12602</v>
      </c>
      <c r="C6853" s="15" t="s">
        <v>800</v>
      </c>
      <c r="D6853" s="15" t="s">
        <v>12603</v>
      </c>
      <c r="E6853" s="15">
        <v>11.4474</v>
      </c>
      <c r="F6853" s="42">
        <v>46198</v>
      </c>
    </row>
    <row r="6854" spans="1:6" x14ac:dyDescent="0.3">
      <c r="A6854" s="15" t="s">
        <v>41970</v>
      </c>
      <c r="B6854" s="15" t="s">
        <v>12604</v>
      </c>
      <c r="C6854" s="15" t="s">
        <v>12605</v>
      </c>
      <c r="D6854" s="15" t="s">
        <v>12606</v>
      </c>
      <c r="E6854" s="15">
        <v>10.839499999999999</v>
      </c>
      <c r="F6854" s="42">
        <v>46198</v>
      </c>
    </row>
    <row r="6855" spans="1:6" x14ac:dyDescent="0.3">
      <c r="A6855" s="15" t="s">
        <v>41969</v>
      </c>
      <c r="B6855" s="15" t="s">
        <v>12607</v>
      </c>
      <c r="C6855" s="15" t="s">
        <v>12608</v>
      </c>
      <c r="D6855" s="15" t="s">
        <v>12609</v>
      </c>
      <c r="E6855" s="15">
        <v>10.5792</v>
      </c>
      <c r="F6855" s="42">
        <v>46198</v>
      </c>
    </row>
    <row r="6856" spans="1:6" x14ac:dyDescent="0.3">
      <c r="A6856" s="15" t="s">
        <v>41968</v>
      </c>
      <c r="B6856" s="15" t="s">
        <v>12610</v>
      </c>
      <c r="C6856" s="15" t="s">
        <v>800</v>
      </c>
      <c r="D6856" s="15" t="s">
        <v>12611</v>
      </c>
      <c r="E6856" s="15">
        <v>11.183299999999999</v>
      </c>
      <c r="F6856" s="42">
        <v>46198</v>
      </c>
    </row>
    <row r="6857" spans="1:6" x14ac:dyDescent="0.3">
      <c r="A6857" s="15" t="s">
        <v>41967</v>
      </c>
      <c r="B6857" s="15" t="s">
        <v>12612</v>
      </c>
      <c r="C6857" s="15" t="s">
        <v>800</v>
      </c>
      <c r="D6857" s="15" t="s">
        <v>12613</v>
      </c>
      <c r="E6857" s="15">
        <v>10.440899999999999</v>
      </c>
      <c r="F6857" s="42">
        <v>46198</v>
      </c>
    </row>
    <row r="6858" spans="1:6" x14ac:dyDescent="0.3">
      <c r="A6858" s="15" t="s">
        <v>41966</v>
      </c>
      <c r="B6858" s="15" t="s">
        <v>12614</v>
      </c>
      <c r="C6858" s="15" t="s">
        <v>12615</v>
      </c>
      <c r="D6858" s="15" t="s">
        <v>12616</v>
      </c>
      <c r="E6858" s="15">
        <v>10.440899999999999</v>
      </c>
      <c r="F6858" s="42">
        <v>46198</v>
      </c>
    </row>
    <row r="6859" spans="1:6" x14ac:dyDescent="0.3">
      <c r="A6859" s="15" t="s">
        <v>41965</v>
      </c>
      <c r="B6859" s="15" t="s">
        <v>12617</v>
      </c>
      <c r="C6859" s="15" t="s">
        <v>800</v>
      </c>
      <c r="D6859" s="15" t="s">
        <v>12618</v>
      </c>
      <c r="E6859" s="15">
        <v>10.3847</v>
      </c>
      <c r="F6859" s="42">
        <v>46198</v>
      </c>
    </row>
    <row r="6860" spans="1:6" x14ac:dyDescent="0.3">
      <c r="A6860" s="15" t="s">
        <v>41964</v>
      </c>
      <c r="B6860" s="15" t="s">
        <v>12619</v>
      </c>
      <c r="C6860" s="15" t="s">
        <v>12620</v>
      </c>
      <c r="D6860" s="15" t="s">
        <v>12621</v>
      </c>
      <c r="E6860" s="15">
        <v>10.3847</v>
      </c>
      <c r="F6860" s="42">
        <v>46198</v>
      </c>
    </row>
    <row r="6861" spans="1:6" x14ac:dyDescent="0.3">
      <c r="A6861" s="15" t="s">
        <v>41963</v>
      </c>
      <c r="B6861" s="15" t="s">
        <v>12622</v>
      </c>
      <c r="C6861" s="15" t="s">
        <v>800</v>
      </c>
      <c r="D6861" s="15" t="s">
        <v>12623</v>
      </c>
      <c r="E6861" s="15">
        <v>18.787500000000001</v>
      </c>
      <c r="F6861" s="42">
        <v>46198</v>
      </c>
    </row>
    <row r="6862" spans="1:6" x14ac:dyDescent="0.3">
      <c r="A6862" s="15" t="s">
        <v>41962</v>
      </c>
      <c r="B6862" s="15" t="s">
        <v>12624</v>
      </c>
      <c r="C6862" s="15" t="s">
        <v>12625</v>
      </c>
      <c r="D6862" s="15" t="s">
        <v>12626</v>
      </c>
      <c r="E6862" s="15">
        <v>18.785399999999999</v>
      </c>
      <c r="F6862" s="42">
        <v>46198</v>
      </c>
    </row>
    <row r="6863" spans="1:6" x14ac:dyDescent="0.3">
      <c r="A6863" s="15" t="s">
        <v>41961</v>
      </c>
      <c r="B6863" s="15" t="s">
        <v>12627</v>
      </c>
      <c r="C6863" s="15" t="s">
        <v>800</v>
      </c>
      <c r="D6863" s="15" t="s">
        <v>12628</v>
      </c>
      <c r="E6863" s="15">
        <v>17.127099999999999</v>
      </c>
      <c r="F6863" s="42">
        <v>46198</v>
      </c>
    </row>
    <row r="6864" spans="1:6" x14ac:dyDescent="0.3">
      <c r="A6864" s="15" t="s">
        <v>41960</v>
      </c>
      <c r="B6864" s="15" t="s">
        <v>12629</v>
      </c>
      <c r="C6864" s="15" t="s">
        <v>12630</v>
      </c>
      <c r="D6864" s="15" t="s">
        <v>12631</v>
      </c>
      <c r="E6864" s="15">
        <v>17.127199999999998</v>
      </c>
      <c r="F6864" s="42">
        <v>46198</v>
      </c>
    </row>
    <row r="6865" spans="1:6" x14ac:dyDescent="0.3">
      <c r="A6865" s="15" t="s">
        <v>33499</v>
      </c>
      <c r="B6865" s="15" t="s">
        <v>795</v>
      </c>
      <c r="C6865" s="15" t="s">
        <v>795</v>
      </c>
      <c r="D6865" s="15" t="s">
        <v>795</v>
      </c>
      <c r="F6865" s="42"/>
    </row>
    <row r="6866" spans="1:6" x14ac:dyDescent="0.3">
      <c r="A6866" s="15" t="s">
        <v>38568</v>
      </c>
      <c r="B6866" s="15" t="s">
        <v>795</v>
      </c>
      <c r="C6866" s="15" t="s">
        <v>795</v>
      </c>
      <c r="D6866" s="15" t="s">
        <v>795</v>
      </c>
      <c r="F6866" s="42"/>
    </row>
    <row r="6867" spans="1:6" x14ac:dyDescent="0.3">
      <c r="A6867" s="15" t="s">
        <v>33499</v>
      </c>
      <c r="B6867" s="15" t="s">
        <v>795</v>
      </c>
      <c r="C6867" s="15" t="s">
        <v>795</v>
      </c>
      <c r="D6867" s="15" t="s">
        <v>795</v>
      </c>
      <c r="F6867" s="42"/>
    </row>
    <row r="6868" spans="1:6" x14ac:dyDescent="0.3">
      <c r="A6868" s="15" t="s">
        <v>41959</v>
      </c>
      <c r="B6868" s="15" t="s">
        <v>12632</v>
      </c>
      <c r="C6868" s="15" t="s">
        <v>800</v>
      </c>
      <c r="D6868" s="15" t="s">
        <v>12633</v>
      </c>
      <c r="E6868" s="15">
        <v>9.9415999999999993</v>
      </c>
      <c r="F6868" s="42">
        <v>46198</v>
      </c>
    </row>
    <row r="6869" spans="1:6" x14ac:dyDescent="0.3">
      <c r="A6869" s="15" t="s">
        <v>33499</v>
      </c>
      <c r="B6869" s="15" t="s">
        <v>795</v>
      </c>
      <c r="C6869" s="15" t="s">
        <v>795</v>
      </c>
      <c r="D6869" s="15" t="s">
        <v>795</v>
      </c>
      <c r="F6869" s="42"/>
    </row>
    <row r="6870" spans="1:6" x14ac:dyDescent="0.3">
      <c r="A6870" s="15" t="s">
        <v>139</v>
      </c>
      <c r="B6870" s="15" t="s">
        <v>795</v>
      </c>
      <c r="C6870" s="15" t="s">
        <v>795</v>
      </c>
      <c r="D6870" s="15" t="s">
        <v>795</v>
      </c>
      <c r="F6870" s="42"/>
    </row>
    <row r="6871" spans="1:6" x14ac:dyDescent="0.3">
      <c r="A6871" s="15" t="s">
        <v>33499</v>
      </c>
      <c r="B6871" s="15" t="s">
        <v>795</v>
      </c>
      <c r="C6871" s="15" t="s">
        <v>795</v>
      </c>
      <c r="D6871" s="15" t="s">
        <v>795</v>
      </c>
      <c r="F6871" s="42"/>
    </row>
    <row r="6872" spans="1:6" x14ac:dyDescent="0.3">
      <c r="A6872" s="15" t="s">
        <v>41958</v>
      </c>
      <c r="B6872" s="15" t="s">
        <v>12634</v>
      </c>
      <c r="C6872" s="15" t="s">
        <v>800</v>
      </c>
      <c r="D6872" s="15" t="s">
        <v>12635</v>
      </c>
      <c r="E6872" s="15">
        <v>10.621</v>
      </c>
      <c r="F6872" s="42">
        <v>46198</v>
      </c>
    </row>
    <row r="6873" spans="1:6" x14ac:dyDescent="0.3">
      <c r="A6873" s="15" t="s">
        <v>41957</v>
      </c>
      <c r="B6873" s="15" t="s">
        <v>12636</v>
      </c>
      <c r="C6873" s="15" t="s">
        <v>12637</v>
      </c>
      <c r="D6873" s="15" t="s">
        <v>12638</v>
      </c>
      <c r="E6873" s="15">
        <v>10.621</v>
      </c>
      <c r="F6873" s="42">
        <v>46198</v>
      </c>
    </row>
    <row r="6874" spans="1:6" x14ac:dyDescent="0.3">
      <c r="A6874" s="15" t="s">
        <v>41956</v>
      </c>
      <c r="B6874" s="15" t="s">
        <v>12639</v>
      </c>
      <c r="C6874" s="15" t="s">
        <v>800</v>
      </c>
      <c r="D6874" s="15" t="s">
        <v>12640</v>
      </c>
      <c r="E6874" s="15">
        <v>10.497999999999999</v>
      </c>
      <c r="F6874" s="42">
        <v>46198</v>
      </c>
    </row>
    <row r="6875" spans="1:6" x14ac:dyDescent="0.3">
      <c r="A6875" s="15" t="s">
        <v>41955</v>
      </c>
      <c r="B6875" s="15" t="s">
        <v>12641</v>
      </c>
      <c r="C6875" s="15" t="s">
        <v>12642</v>
      </c>
      <c r="D6875" s="15" t="s">
        <v>12643</v>
      </c>
      <c r="E6875" s="15">
        <v>10.497999999999999</v>
      </c>
      <c r="F6875" s="42">
        <v>46198</v>
      </c>
    </row>
    <row r="6876" spans="1:6" x14ac:dyDescent="0.3">
      <c r="A6876" s="15" t="s">
        <v>41954</v>
      </c>
      <c r="B6876" s="15" t="s">
        <v>12644</v>
      </c>
      <c r="C6876" s="15" t="s">
        <v>800</v>
      </c>
      <c r="D6876" s="15" t="s">
        <v>12645</v>
      </c>
      <c r="E6876" s="15">
        <v>17.216000000000001</v>
      </c>
      <c r="F6876" s="42">
        <v>46198</v>
      </c>
    </row>
    <row r="6877" spans="1:6" x14ac:dyDescent="0.3">
      <c r="A6877" s="15" t="s">
        <v>41953</v>
      </c>
      <c r="B6877" s="15" t="s">
        <v>12646</v>
      </c>
      <c r="C6877" s="15" t="s">
        <v>12647</v>
      </c>
      <c r="D6877" s="15" t="s">
        <v>12648</v>
      </c>
      <c r="E6877" s="15">
        <v>17.213999999999999</v>
      </c>
      <c r="F6877" s="42">
        <v>46198</v>
      </c>
    </row>
    <row r="6878" spans="1:6" x14ac:dyDescent="0.3">
      <c r="A6878" s="15" t="s">
        <v>41952</v>
      </c>
      <c r="B6878" s="15" t="s">
        <v>12649</v>
      </c>
      <c r="C6878" s="15" t="s">
        <v>800</v>
      </c>
      <c r="D6878" s="15" t="s">
        <v>12650</v>
      </c>
      <c r="E6878" s="15">
        <v>16.350999999999999</v>
      </c>
      <c r="F6878" s="42">
        <v>46198</v>
      </c>
    </row>
    <row r="6879" spans="1:6" x14ac:dyDescent="0.3">
      <c r="A6879" s="15" t="s">
        <v>41951</v>
      </c>
      <c r="B6879" s="15" t="s">
        <v>12651</v>
      </c>
      <c r="C6879" s="15" t="s">
        <v>12652</v>
      </c>
      <c r="D6879" s="15" t="s">
        <v>12653</v>
      </c>
      <c r="E6879" s="15">
        <v>16.350999999999999</v>
      </c>
      <c r="F6879" s="42">
        <v>46198</v>
      </c>
    </row>
    <row r="6880" spans="1:6" x14ac:dyDescent="0.3">
      <c r="A6880" s="15" t="s">
        <v>41950</v>
      </c>
      <c r="B6880" s="15" t="s">
        <v>12654</v>
      </c>
      <c r="C6880" s="15" t="s">
        <v>800</v>
      </c>
      <c r="D6880" s="15" t="s">
        <v>12655</v>
      </c>
      <c r="E6880" s="15">
        <v>17.738</v>
      </c>
      <c r="F6880" s="42">
        <v>46198</v>
      </c>
    </row>
    <row r="6881" spans="1:6" x14ac:dyDescent="0.3">
      <c r="A6881" s="15" t="s">
        <v>41949</v>
      </c>
      <c r="B6881" s="15" t="s">
        <v>12656</v>
      </c>
      <c r="C6881" s="15" t="s">
        <v>12657</v>
      </c>
      <c r="D6881" s="15" t="s">
        <v>12658</v>
      </c>
      <c r="E6881" s="15">
        <v>16.486999999999998</v>
      </c>
      <c r="F6881" s="42">
        <v>46198</v>
      </c>
    </row>
    <row r="6882" spans="1:6" x14ac:dyDescent="0.3">
      <c r="A6882" s="15" t="s">
        <v>41948</v>
      </c>
      <c r="B6882" s="15" t="s">
        <v>12659</v>
      </c>
      <c r="C6882" s="15" t="s">
        <v>800</v>
      </c>
      <c r="D6882" s="15" t="s">
        <v>12660</v>
      </c>
      <c r="E6882" s="15">
        <v>16.768000000000001</v>
      </c>
      <c r="F6882" s="42">
        <v>46198</v>
      </c>
    </row>
    <row r="6883" spans="1:6" x14ac:dyDescent="0.3">
      <c r="A6883" s="15" t="s">
        <v>41947</v>
      </c>
      <c r="B6883" s="15" t="s">
        <v>12661</v>
      </c>
      <c r="C6883" s="15" t="s">
        <v>12662</v>
      </c>
      <c r="D6883" s="15" t="s">
        <v>12663</v>
      </c>
      <c r="E6883" s="15">
        <v>15.585000000000001</v>
      </c>
      <c r="F6883" s="42">
        <v>46198</v>
      </c>
    </row>
    <row r="6884" spans="1:6" x14ac:dyDescent="0.3">
      <c r="A6884" s="15" t="s">
        <v>41946</v>
      </c>
      <c r="B6884" s="15" t="s">
        <v>12664</v>
      </c>
      <c r="C6884" s="15" t="s">
        <v>800</v>
      </c>
      <c r="D6884" s="15" t="s">
        <v>12665</v>
      </c>
      <c r="E6884" s="15">
        <v>14.372999999999999</v>
      </c>
      <c r="F6884" s="42">
        <v>46198</v>
      </c>
    </row>
    <row r="6885" spans="1:6" x14ac:dyDescent="0.3">
      <c r="A6885" s="15" t="s">
        <v>41945</v>
      </c>
      <c r="B6885" s="15" t="s">
        <v>12666</v>
      </c>
      <c r="C6885" s="15" t="s">
        <v>12667</v>
      </c>
      <c r="D6885" s="15" t="s">
        <v>12668</v>
      </c>
      <c r="E6885" s="15">
        <v>14.371</v>
      </c>
      <c r="F6885" s="42">
        <v>46198</v>
      </c>
    </row>
    <row r="6886" spans="1:6" x14ac:dyDescent="0.3">
      <c r="A6886" s="15" t="s">
        <v>41944</v>
      </c>
      <c r="B6886" s="15" t="s">
        <v>12669</v>
      </c>
      <c r="C6886" s="15" t="s">
        <v>800</v>
      </c>
      <c r="D6886" s="15" t="s">
        <v>12670</v>
      </c>
      <c r="E6886" s="15">
        <v>13.79</v>
      </c>
      <c r="F6886" s="42">
        <v>46198</v>
      </c>
    </row>
    <row r="6887" spans="1:6" x14ac:dyDescent="0.3">
      <c r="A6887" s="15" t="s">
        <v>41943</v>
      </c>
      <c r="B6887" s="15" t="s">
        <v>12671</v>
      </c>
      <c r="C6887" s="15" t="s">
        <v>12672</v>
      </c>
      <c r="D6887" s="15" t="s">
        <v>12673</v>
      </c>
      <c r="E6887" s="15">
        <v>13.787000000000001</v>
      </c>
      <c r="F6887" s="42">
        <v>46198</v>
      </c>
    </row>
    <row r="6888" spans="1:6" x14ac:dyDescent="0.3">
      <c r="A6888" s="15" t="s">
        <v>41942</v>
      </c>
      <c r="B6888" s="15" t="s">
        <v>12674</v>
      </c>
      <c r="C6888" s="15" t="s">
        <v>800</v>
      </c>
      <c r="D6888" s="15" t="s">
        <v>12675</v>
      </c>
      <c r="E6888" s="15">
        <v>10.948</v>
      </c>
      <c r="F6888" s="42">
        <v>46198</v>
      </c>
    </row>
    <row r="6889" spans="1:6" x14ac:dyDescent="0.3">
      <c r="A6889" s="15" t="s">
        <v>41941</v>
      </c>
      <c r="B6889" s="15" t="s">
        <v>12676</v>
      </c>
      <c r="C6889" s="15" t="s">
        <v>12677</v>
      </c>
      <c r="D6889" s="15" t="s">
        <v>12678</v>
      </c>
      <c r="E6889" s="15">
        <v>10.946999999999999</v>
      </c>
      <c r="F6889" s="42">
        <v>46198</v>
      </c>
    </row>
    <row r="6890" spans="1:6" x14ac:dyDescent="0.3">
      <c r="A6890" s="15" t="s">
        <v>41940</v>
      </c>
      <c r="B6890" s="15" t="s">
        <v>12679</v>
      </c>
      <c r="C6890" s="15" t="s">
        <v>800</v>
      </c>
      <c r="D6890" s="15" t="s">
        <v>12680</v>
      </c>
      <c r="E6890" s="15">
        <v>10.754</v>
      </c>
      <c r="F6890" s="42">
        <v>46198</v>
      </c>
    </row>
    <row r="6891" spans="1:6" x14ac:dyDescent="0.3">
      <c r="A6891" s="15" t="s">
        <v>41939</v>
      </c>
      <c r="B6891" s="15" t="s">
        <v>12681</v>
      </c>
      <c r="C6891" s="15" t="s">
        <v>12682</v>
      </c>
      <c r="D6891" s="15" t="s">
        <v>12683</v>
      </c>
      <c r="E6891" s="15">
        <v>10.754</v>
      </c>
      <c r="F6891" s="42">
        <v>46198</v>
      </c>
    </row>
    <row r="6892" spans="1:6" x14ac:dyDescent="0.3">
      <c r="A6892" s="15" t="s">
        <v>41938</v>
      </c>
      <c r="B6892" s="15" t="s">
        <v>12684</v>
      </c>
      <c r="C6892" s="15" t="s">
        <v>800</v>
      </c>
      <c r="D6892" s="15" t="s">
        <v>12685</v>
      </c>
      <c r="E6892" s="15">
        <v>18.12</v>
      </c>
      <c r="F6892" s="42">
        <v>46198</v>
      </c>
    </row>
    <row r="6893" spans="1:6" x14ac:dyDescent="0.3">
      <c r="A6893" s="15" t="s">
        <v>41937</v>
      </c>
      <c r="B6893" s="15" t="s">
        <v>12686</v>
      </c>
      <c r="C6893" s="15" t="s">
        <v>12687</v>
      </c>
      <c r="D6893" s="15" t="s">
        <v>12688</v>
      </c>
      <c r="E6893" s="15">
        <v>18.12</v>
      </c>
      <c r="F6893" s="42">
        <v>46198</v>
      </c>
    </row>
    <row r="6894" spans="1:6" x14ac:dyDescent="0.3">
      <c r="A6894" s="15" t="s">
        <v>41936</v>
      </c>
      <c r="B6894" s="15" t="s">
        <v>12689</v>
      </c>
      <c r="C6894" s="15" t="s">
        <v>800</v>
      </c>
      <c r="D6894" s="15" t="s">
        <v>12690</v>
      </c>
      <c r="E6894" s="15">
        <v>16.591999999999999</v>
      </c>
      <c r="F6894" s="42">
        <v>46198</v>
      </c>
    </row>
    <row r="6895" spans="1:6" x14ac:dyDescent="0.3">
      <c r="A6895" s="15" t="s">
        <v>41935</v>
      </c>
      <c r="B6895" s="15" t="s">
        <v>12691</v>
      </c>
      <c r="C6895" s="15" t="s">
        <v>12692</v>
      </c>
      <c r="D6895" s="15" t="s">
        <v>12693</v>
      </c>
      <c r="E6895" s="15">
        <v>16.591999999999999</v>
      </c>
      <c r="F6895" s="42">
        <v>46198</v>
      </c>
    </row>
    <row r="6896" spans="1:6" x14ac:dyDescent="0.3">
      <c r="A6896" s="15" t="s">
        <v>41934</v>
      </c>
      <c r="B6896" s="15" t="s">
        <v>12694</v>
      </c>
      <c r="C6896" s="15" t="s">
        <v>800</v>
      </c>
      <c r="D6896" s="15" t="s">
        <v>12695</v>
      </c>
      <c r="E6896" s="15">
        <v>16.352</v>
      </c>
      <c r="F6896" s="42">
        <v>46198</v>
      </c>
    </row>
    <row r="6897" spans="1:6" x14ac:dyDescent="0.3">
      <c r="A6897" s="15" t="s">
        <v>41933</v>
      </c>
      <c r="B6897" s="15" t="s">
        <v>12696</v>
      </c>
      <c r="C6897" s="15" t="s">
        <v>12697</v>
      </c>
      <c r="D6897" s="15" t="s">
        <v>12698</v>
      </c>
      <c r="E6897" s="15">
        <v>16.350999999999999</v>
      </c>
      <c r="F6897" s="42">
        <v>46198</v>
      </c>
    </row>
    <row r="6898" spans="1:6" x14ac:dyDescent="0.3">
      <c r="A6898" s="15" t="s">
        <v>41932</v>
      </c>
      <c r="B6898" s="15" t="s">
        <v>12699</v>
      </c>
      <c r="C6898" s="15" t="s">
        <v>800</v>
      </c>
      <c r="D6898" s="15" t="s">
        <v>12700</v>
      </c>
      <c r="E6898" s="15">
        <v>15.686</v>
      </c>
      <c r="F6898" s="42">
        <v>46198</v>
      </c>
    </row>
    <row r="6899" spans="1:6" x14ac:dyDescent="0.3">
      <c r="A6899" s="15" t="s">
        <v>41931</v>
      </c>
      <c r="B6899" s="15" t="s">
        <v>12701</v>
      </c>
      <c r="C6899" s="15" t="s">
        <v>12702</v>
      </c>
      <c r="D6899" s="15" t="s">
        <v>12703</v>
      </c>
      <c r="E6899" s="15">
        <v>15.691000000000001</v>
      </c>
      <c r="F6899" s="42">
        <v>46198</v>
      </c>
    </row>
    <row r="6900" spans="1:6" x14ac:dyDescent="0.3">
      <c r="A6900" s="15" t="s">
        <v>41930</v>
      </c>
      <c r="B6900" s="15" t="s">
        <v>12704</v>
      </c>
      <c r="C6900" s="15" t="s">
        <v>800</v>
      </c>
      <c r="D6900" s="15" t="s">
        <v>12705</v>
      </c>
      <c r="E6900" s="15">
        <v>69.453000000000003</v>
      </c>
      <c r="F6900" s="42">
        <v>46198</v>
      </c>
    </row>
    <row r="6901" spans="1:6" x14ac:dyDescent="0.3">
      <c r="A6901" s="15" t="s">
        <v>41929</v>
      </c>
      <c r="B6901" s="15" t="s">
        <v>12706</v>
      </c>
      <c r="C6901" s="15" t="s">
        <v>12707</v>
      </c>
      <c r="D6901" s="15" t="s">
        <v>12708</v>
      </c>
      <c r="E6901" s="15">
        <v>55.545999999999999</v>
      </c>
      <c r="F6901" s="42">
        <v>46198</v>
      </c>
    </row>
    <row r="6902" spans="1:6" x14ac:dyDescent="0.3">
      <c r="A6902" s="15" t="s">
        <v>41928</v>
      </c>
      <c r="B6902" s="15" t="s">
        <v>12709</v>
      </c>
      <c r="C6902" s="15" t="s">
        <v>800</v>
      </c>
      <c r="D6902" s="15" t="s">
        <v>12710</v>
      </c>
      <c r="E6902" s="15">
        <v>82.980999999999995</v>
      </c>
      <c r="F6902" s="42">
        <v>46198</v>
      </c>
    </row>
    <row r="6903" spans="1:6" x14ac:dyDescent="0.3">
      <c r="A6903" s="15" t="s">
        <v>41927</v>
      </c>
      <c r="B6903" s="15" t="s">
        <v>12711</v>
      </c>
      <c r="C6903" s="15" t="s">
        <v>12712</v>
      </c>
      <c r="D6903" s="15" t="s">
        <v>12713</v>
      </c>
      <c r="E6903" s="15">
        <v>82.031999999999996</v>
      </c>
      <c r="F6903" s="42">
        <v>46198</v>
      </c>
    </row>
    <row r="6904" spans="1:6" x14ac:dyDescent="0.3">
      <c r="A6904" s="15" t="s">
        <v>41926</v>
      </c>
      <c r="B6904" s="15" t="s">
        <v>12714</v>
      </c>
      <c r="C6904" s="15" t="s">
        <v>800</v>
      </c>
      <c r="D6904" s="15" t="s">
        <v>12715</v>
      </c>
      <c r="E6904" s="15">
        <v>22.405999999999999</v>
      </c>
      <c r="F6904" s="42">
        <v>46198</v>
      </c>
    </row>
    <row r="6905" spans="1:6" x14ac:dyDescent="0.3">
      <c r="A6905" s="15" t="s">
        <v>41925</v>
      </c>
      <c r="B6905" s="15" t="s">
        <v>12716</v>
      </c>
      <c r="C6905" s="15" t="s">
        <v>12717</v>
      </c>
      <c r="D6905" s="15" t="s">
        <v>12718</v>
      </c>
      <c r="E6905" s="15">
        <v>22.405999999999999</v>
      </c>
      <c r="F6905" s="42">
        <v>46198</v>
      </c>
    </row>
    <row r="6906" spans="1:6" x14ac:dyDescent="0.3">
      <c r="A6906" s="15" t="s">
        <v>41924</v>
      </c>
      <c r="B6906" s="15" t="s">
        <v>12719</v>
      </c>
      <c r="C6906" s="15" t="s">
        <v>800</v>
      </c>
      <c r="D6906" s="15" t="s">
        <v>12720</v>
      </c>
      <c r="E6906" s="15">
        <v>20.948</v>
      </c>
      <c r="F6906" s="42">
        <v>46198</v>
      </c>
    </row>
    <row r="6907" spans="1:6" x14ac:dyDescent="0.3">
      <c r="A6907" s="15" t="s">
        <v>41923</v>
      </c>
      <c r="B6907" s="15" t="s">
        <v>12721</v>
      </c>
      <c r="C6907" s="15" t="s">
        <v>12722</v>
      </c>
      <c r="D6907" s="15" t="s">
        <v>12723</v>
      </c>
      <c r="E6907" s="15">
        <v>20.948</v>
      </c>
      <c r="F6907" s="42">
        <v>46198</v>
      </c>
    </row>
    <row r="6908" spans="1:6" x14ac:dyDescent="0.3">
      <c r="A6908" s="15" t="s">
        <v>41922</v>
      </c>
      <c r="B6908" s="15" t="s">
        <v>12724</v>
      </c>
      <c r="C6908" s="15" t="s">
        <v>800</v>
      </c>
      <c r="D6908" s="15" t="s">
        <v>12725</v>
      </c>
      <c r="E6908" s="15">
        <v>12.595000000000001</v>
      </c>
      <c r="F6908" s="42">
        <v>46198</v>
      </c>
    </row>
    <row r="6909" spans="1:6" x14ac:dyDescent="0.3">
      <c r="A6909" s="15" t="s">
        <v>41921</v>
      </c>
      <c r="B6909" s="15" t="s">
        <v>12726</v>
      </c>
      <c r="C6909" s="15" t="s">
        <v>12727</v>
      </c>
      <c r="D6909" s="15" t="s">
        <v>12728</v>
      </c>
      <c r="E6909" s="15">
        <v>12.596</v>
      </c>
      <c r="F6909" s="42">
        <v>46198</v>
      </c>
    </row>
    <row r="6910" spans="1:6" x14ac:dyDescent="0.3">
      <c r="A6910" s="15" t="s">
        <v>41920</v>
      </c>
      <c r="B6910" s="15" t="s">
        <v>12729</v>
      </c>
      <c r="C6910" s="15" t="s">
        <v>800</v>
      </c>
      <c r="D6910" s="15" t="s">
        <v>12730</v>
      </c>
      <c r="E6910" s="15">
        <v>12.298</v>
      </c>
      <c r="F6910" s="42">
        <v>46198</v>
      </c>
    </row>
    <row r="6911" spans="1:6" x14ac:dyDescent="0.3">
      <c r="A6911" s="15" t="s">
        <v>41919</v>
      </c>
      <c r="B6911" s="15" t="s">
        <v>12731</v>
      </c>
      <c r="C6911" s="15" t="s">
        <v>12732</v>
      </c>
      <c r="D6911" s="15" t="s">
        <v>12733</v>
      </c>
      <c r="E6911" s="15">
        <v>12.298</v>
      </c>
      <c r="F6911" s="42">
        <v>46198</v>
      </c>
    </row>
    <row r="6912" spans="1:6" x14ac:dyDescent="0.3">
      <c r="A6912" s="15" t="s">
        <v>41918</v>
      </c>
      <c r="B6912" s="15" t="s">
        <v>12734</v>
      </c>
      <c r="C6912" s="15" t="s">
        <v>800</v>
      </c>
      <c r="D6912" s="15" t="s">
        <v>12735</v>
      </c>
      <c r="E6912" s="15">
        <v>37.451000000000001</v>
      </c>
      <c r="F6912" s="42">
        <v>46198</v>
      </c>
    </row>
    <row r="6913" spans="1:6" x14ac:dyDescent="0.3">
      <c r="A6913" s="15" t="s">
        <v>41917</v>
      </c>
      <c r="B6913" s="15" t="s">
        <v>12736</v>
      </c>
      <c r="C6913" s="15" t="s">
        <v>800</v>
      </c>
      <c r="D6913" s="15" t="s">
        <v>12737</v>
      </c>
      <c r="E6913" s="15">
        <v>33.777999999999999</v>
      </c>
      <c r="F6913" s="42">
        <v>46198</v>
      </c>
    </row>
    <row r="6914" spans="1:6" x14ac:dyDescent="0.3">
      <c r="A6914" s="15" t="s">
        <v>41916</v>
      </c>
      <c r="B6914" s="15" t="s">
        <v>12738</v>
      </c>
      <c r="C6914" s="15" t="s">
        <v>12739</v>
      </c>
      <c r="D6914" s="15" t="s">
        <v>12740</v>
      </c>
      <c r="E6914" s="15">
        <v>33.792000000000002</v>
      </c>
      <c r="F6914" s="42">
        <v>46198</v>
      </c>
    </row>
    <row r="6915" spans="1:6" x14ac:dyDescent="0.3">
      <c r="A6915" s="15" t="s">
        <v>41915</v>
      </c>
      <c r="B6915" s="15" t="s">
        <v>12741</v>
      </c>
      <c r="C6915" s="15" t="s">
        <v>12742</v>
      </c>
      <c r="D6915" s="15" t="s">
        <v>12743</v>
      </c>
      <c r="E6915" s="15">
        <v>37.445</v>
      </c>
      <c r="F6915" s="42">
        <v>46198</v>
      </c>
    </row>
    <row r="6916" spans="1:6" x14ac:dyDescent="0.3">
      <c r="A6916" s="15" t="s">
        <v>41914</v>
      </c>
      <c r="B6916" s="15" t="s">
        <v>12744</v>
      </c>
      <c r="C6916" s="15" t="s">
        <v>800</v>
      </c>
      <c r="D6916" s="15" t="s">
        <v>12745</v>
      </c>
      <c r="E6916" s="15">
        <v>15.145</v>
      </c>
      <c r="F6916" s="42">
        <v>46198</v>
      </c>
    </row>
    <row r="6917" spans="1:6" x14ac:dyDescent="0.3">
      <c r="A6917" s="15" t="s">
        <v>41913</v>
      </c>
      <c r="B6917" s="15" t="s">
        <v>12746</v>
      </c>
      <c r="C6917" s="15" t="s">
        <v>12747</v>
      </c>
      <c r="D6917" s="15" t="s">
        <v>12748</v>
      </c>
      <c r="E6917" s="15">
        <v>15.145</v>
      </c>
      <c r="F6917" s="42">
        <v>46198</v>
      </c>
    </row>
    <row r="6918" spans="1:6" x14ac:dyDescent="0.3">
      <c r="A6918" s="15" t="s">
        <v>41912</v>
      </c>
      <c r="B6918" s="15" t="s">
        <v>12749</v>
      </c>
      <c r="C6918" s="15" t="s">
        <v>800</v>
      </c>
      <c r="D6918" s="15" t="s">
        <v>12750</v>
      </c>
      <c r="E6918" s="15">
        <v>14.977</v>
      </c>
      <c r="F6918" s="42">
        <v>46198</v>
      </c>
    </row>
    <row r="6919" spans="1:6" x14ac:dyDescent="0.3">
      <c r="A6919" s="15" t="s">
        <v>41911</v>
      </c>
      <c r="B6919" s="15" t="s">
        <v>12751</v>
      </c>
      <c r="C6919" s="15" t="s">
        <v>12752</v>
      </c>
      <c r="D6919" s="15" t="s">
        <v>12753</v>
      </c>
      <c r="E6919" s="15">
        <v>14.862</v>
      </c>
      <c r="F6919" s="42">
        <v>46198</v>
      </c>
    </row>
    <row r="6920" spans="1:6" x14ac:dyDescent="0.3">
      <c r="A6920" s="15" t="s">
        <v>41910</v>
      </c>
      <c r="B6920" s="15" t="s">
        <v>12754</v>
      </c>
      <c r="C6920" s="15" t="s">
        <v>800</v>
      </c>
      <c r="D6920" s="15" t="s">
        <v>12755</v>
      </c>
      <c r="E6920" s="15">
        <v>9.641</v>
      </c>
      <c r="F6920" s="42">
        <v>46198</v>
      </c>
    </row>
    <row r="6921" spans="1:6" x14ac:dyDescent="0.3">
      <c r="A6921" s="15" t="s">
        <v>41909</v>
      </c>
      <c r="B6921" s="15" t="s">
        <v>12756</v>
      </c>
      <c r="C6921" s="15" t="s">
        <v>12757</v>
      </c>
      <c r="D6921" s="15" t="s">
        <v>12758</v>
      </c>
      <c r="E6921" s="15">
        <v>9.641</v>
      </c>
      <c r="F6921" s="42">
        <v>46198</v>
      </c>
    </row>
    <row r="6922" spans="1:6" x14ac:dyDescent="0.3">
      <c r="A6922" s="15" t="s">
        <v>41908</v>
      </c>
      <c r="B6922" s="15" t="s">
        <v>12759</v>
      </c>
      <c r="C6922" s="15" t="s">
        <v>800</v>
      </c>
      <c r="D6922" s="15" t="s">
        <v>12760</v>
      </c>
      <c r="E6922" s="15">
        <v>9.5540000000000003</v>
      </c>
      <c r="F6922" s="42">
        <v>46198</v>
      </c>
    </row>
    <row r="6923" spans="1:6" x14ac:dyDescent="0.3">
      <c r="A6923" s="15" t="s">
        <v>41907</v>
      </c>
      <c r="B6923" s="15" t="s">
        <v>12761</v>
      </c>
      <c r="C6923" s="15" t="s">
        <v>12762</v>
      </c>
      <c r="D6923" s="15" t="s">
        <v>12763</v>
      </c>
      <c r="E6923" s="15">
        <v>9.5540000000000003</v>
      </c>
      <c r="F6923" s="42">
        <v>46198</v>
      </c>
    </row>
    <row r="6924" spans="1:6" x14ac:dyDescent="0.3">
      <c r="A6924" s="15" t="s">
        <v>41906</v>
      </c>
      <c r="B6924" s="15" t="s">
        <v>12764</v>
      </c>
      <c r="C6924" s="15" t="s">
        <v>800</v>
      </c>
      <c r="D6924" s="15" t="s">
        <v>12765</v>
      </c>
      <c r="E6924" s="15">
        <v>10.364000000000001</v>
      </c>
      <c r="F6924" s="42">
        <v>46198</v>
      </c>
    </row>
    <row r="6925" spans="1:6" x14ac:dyDescent="0.3">
      <c r="A6925" s="15" t="s">
        <v>41905</v>
      </c>
      <c r="B6925" s="15" t="s">
        <v>12766</v>
      </c>
      <c r="C6925" s="15" t="s">
        <v>12767</v>
      </c>
      <c r="D6925" s="15" t="s">
        <v>12768</v>
      </c>
      <c r="E6925" s="15">
        <v>10.364000000000001</v>
      </c>
      <c r="F6925" s="42">
        <v>46198</v>
      </c>
    </row>
    <row r="6926" spans="1:6" x14ac:dyDescent="0.3">
      <c r="A6926" s="15" t="s">
        <v>41904</v>
      </c>
      <c r="B6926" s="15" t="s">
        <v>12769</v>
      </c>
      <c r="C6926" s="15" t="s">
        <v>800</v>
      </c>
      <c r="D6926" s="15" t="s">
        <v>12770</v>
      </c>
      <c r="E6926" s="15">
        <v>10.315</v>
      </c>
      <c r="F6926" s="42">
        <v>46198</v>
      </c>
    </row>
    <row r="6927" spans="1:6" x14ac:dyDescent="0.3">
      <c r="A6927" s="15" t="s">
        <v>41903</v>
      </c>
      <c r="B6927" s="15" t="s">
        <v>12771</v>
      </c>
      <c r="C6927" s="15" t="s">
        <v>12772</v>
      </c>
      <c r="D6927" s="15" t="s">
        <v>12773</v>
      </c>
      <c r="E6927" s="15">
        <v>10.315</v>
      </c>
      <c r="F6927" s="42">
        <v>46198</v>
      </c>
    </row>
    <row r="6928" spans="1:6" x14ac:dyDescent="0.3">
      <c r="A6928" s="15" t="s">
        <v>41902</v>
      </c>
      <c r="B6928" s="15" t="s">
        <v>12774</v>
      </c>
      <c r="C6928" s="15" t="s">
        <v>800</v>
      </c>
      <c r="D6928" s="15" t="s">
        <v>12775</v>
      </c>
      <c r="E6928" s="15">
        <v>10.866</v>
      </c>
      <c r="F6928" s="42">
        <v>46198</v>
      </c>
    </row>
    <row r="6929" spans="1:6" x14ac:dyDescent="0.3">
      <c r="A6929" s="15" t="s">
        <v>41901</v>
      </c>
      <c r="B6929" s="15" t="s">
        <v>12776</v>
      </c>
      <c r="C6929" s="15" t="s">
        <v>800</v>
      </c>
      <c r="D6929" s="15" t="s">
        <v>12777</v>
      </c>
      <c r="E6929" s="15">
        <v>10.867000000000001</v>
      </c>
      <c r="F6929" s="42">
        <v>46198</v>
      </c>
    </row>
    <row r="6930" spans="1:6" x14ac:dyDescent="0.3">
      <c r="A6930" s="15" t="s">
        <v>41900</v>
      </c>
      <c r="B6930" s="15" t="s">
        <v>12778</v>
      </c>
      <c r="C6930" s="15" t="s">
        <v>800</v>
      </c>
      <c r="D6930" s="15" t="s">
        <v>12779</v>
      </c>
      <c r="E6930" s="15">
        <v>10.571</v>
      </c>
      <c r="F6930" s="42">
        <v>46198</v>
      </c>
    </row>
    <row r="6931" spans="1:6" x14ac:dyDescent="0.3">
      <c r="A6931" s="15" t="s">
        <v>41899</v>
      </c>
      <c r="B6931" s="15" t="s">
        <v>12780</v>
      </c>
      <c r="C6931" s="15" t="s">
        <v>12781</v>
      </c>
      <c r="D6931" s="15" t="s">
        <v>12782</v>
      </c>
      <c r="E6931" s="15">
        <v>10.571</v>
      </c>
      <c r="F6931" s="42">
        <v>46198</v>
      </c>
    </row>
    <row r="6932" spans="1:6" x14ac:dyDescent="0.3">
      <c r="A6932" s="15" t="s">
        <v>41898</v>
      </c>
      <c r="B6932" s="15" t="s">
        <v>12783</v>
      </c>
      <c r="C6932" s="15" t="s">
        <v>800</v>
      </c>
      <c r="D6932" s="15" t="s">
        <v>12784</v>
      </c>
      <c r="E6932" s="15">
        <v>9.6769999999999996</v>
      </c>
      <c r="F6932" s="42">
        <v>46198</v>
      </c>
    </row>
    <row r="6933" spans="1:6" x14ac:dyDescent="0.3">
      <c r="A6933" s="15" t="s">
        <v>41897</v>
      </c>
      <c r="B6933" s="15" t="s">
        <v>12785</v>
      </c>
      <c r="C6933" s="15" t="s">
        <v>12786</v>
      </c>
      <c r="D6933" s="15" t="s">
        <v>12787</v>
      </c>
      <c r="E6933" s="15">
        <v>9.6760000000000002</v>
      </c>
      <c r="F6933" s="42">
        <v>46198</v>
      </c>
    </row>
    <row r="6934" spans="1:6" x14ac:dyDescent="0.3">
      <c r="A6934" s="15" t="s">
        <v>41896</v>
      </c>
      <c r="B6934" s="15" t="s">
        <v>12788</v>
      </c>
      <c r="C6934" s="15" t="s">
        <v>800</v>
      </c>
      <c r="D6934" s="15" t="s">
        <v>12789</v>
      </c>
      <c r="E6934" s="15">
        <v>9.3559999999999999</v>
      </c>
      <c r="F6934" s="42">
        <v>46198</v>
      </c>
    </row>
    <row r="6935" spans="1:6" x14ac:dyDescent="0.3">
      <c r="A6935" s="15" t="s">
        <v>41895</v>
      </c>
      <c r="B6935" s="15" t="s">
        <v>12790</v>
      </c>
      <c r="C6935" s="15" t="s">
        <v>12791</v>
      </c>
      <c r="D6935" s="15" t="s">
        <v>12792</v>
      </c>
      <c r="E6935" s="15">
        <v>9.3569999999999993</v>
      </c>
      <c r="F6935" s="42">
        <v>46198</v>
      </c>
    </row>
    <row r="6936" spans="1:6" x14ac:dyDescent="0.3">
      <c r="A6936" s="15" t="s">
        <v>41894</v>
      </c>
      <c r="B6936" s="15" t="s">
        <v>12793</v>
      </c>
      <c r="C6936" s="15" t="s">
        <v>12794</v>
      </c>
      <c r="D6936" s="15" t="s">
        <v>12795</v>
      </c>
      <c r="E6936" s="15">
        <v>11.464</v>
      </c>
      <c r="F6936" s="42">
        <v>46198</v>
      </c>
    </row>
    <row r="6937" spans="1:6" x14ac:dyDescent="0.3">
      <c r="A6937" s="15" t="s">
        <v>41893</v>
      </c>
      <c r="B6937" s="15" t="s">
        <v>12796</v>
      </c>
      <c r="C6937" s="15" t="s">
        <v>800</v>
      </c>
      <c r="D6937" s="15" t="s">
        <v>12797</v>
      </c>
      <c r="E6937" s="15">
        <v>11.464</v>
      </c>
      <c r="F6937" s="42">
        <v>46198</v>
      </c>
    </row>
    <row r="6938" spans="1:6" x14ac:dyDescent="0.3">
      <c r="A6938" s="15" t="s">
        <v>41892</v>
      </c>
      <c r="B6938" s="15" t="s">
        <v>12798</v>
      </c>
      <c r="C6938" s="15" t="s">
        <v>800</v>
      </c>
      <c r="D6938" s="15" t="s">
        <v>12799</v>
      </c>
      <c r="E6938" s="15">
        <v>11.192</v>
      </c>
      <c r="F6938" s="42">
        <v>46198</v>
      </c>
    </row>
    <row r="6939" spans="1:6" x14ac:dyDescent="0.3">
      <c r="A6939" s="15" t="s">
        <v>41891</v>
      </c>
      <c r="B6939" s="15" t="s">
        <v>12800</v>
      </c>
      <c r="C6939" s="15" t="s">
        <v>12801</v>
      </c>
      <c r="D6939" s="15" t="s">
        <v>12802</v>
      </c>
      <c r="E6939" s="15">
        <v>11.192</v>
      </c>
      <c r="F6939" s="42">
        <v>46198</v>
      </c>
    </row>
    <row r="6940" spans="1:6" x14ac:dyDescent="0.3">
      <c r="A6940" s="15" t="s">
        <v>33499</v>
      </c>
      <c r="B6940" s="15" t="s">
        <v>795</v>
      </c>
      <c r="C6940" s="15" t="s">
        <v>795</v>
      </c>
      <c r="D6940" s="15" t="s">
        <v>795</v>
      </c>
      <c r="F6940" s="42"/>
    </row>
    <row r="6941" spans="1:6" x14ac:dyDescent="0.3">
      <c r="A6941" s="15" t="s">
        <v>37618</v>
      </c>
      <c r="B6941" s="15" t="s">
        <v>795</v>
      </c>
      <c r="C6941" s="15" t="s">
        <v>795</v>
      </c>
      <c r="D6941" s="15" t="s">
        <v>795</v>
      </c>
      <c r="F6941" s="42"/>
    </row>
    <row r="6942" spans="1:6" x14ac:dyDescent="0.3">
      <c r="A6942" s="15" t="s">
        <v>33499</v>
      </c>
      <c r="B6942" s="15" t="s">
        <v>795</v>
      </c>
      <c r="C6942" s="15" t="s">
        <v>795</v>
      </c>
      <c r="D6942" s="15" t="s">
        <v>795</v>
      </c>
      <c r="F6942" s="42"/>
    </row>
    <row r="6943" spans="1:6" x14ac:dyDescent="0.3">
      <c r="A6943" s="15" t="s">
        <v>41890</v>
      </c>
      <c r="B6943" s="15" t="s">
        <v>12803</v>
      </c>
      <c r="C6943" s="15" t="s">
        <v>800</v>
      </c>
      <c r="D6943" s="15" t="s">
        <v>12804</v>
      </c>
      <c r="E6943" s="15">
        <v>24.537299999999998</v>
      </c>
      <c r="F6943" s="42">
        <v>46198</v>
      </c>
    </row>
    <row r="6944" spans="1:6" x14ac:dyDescent="0.3">
      <c r="A6944" s="15" t="s">
        <v>41889</v>
      </c>
      <c r="B6944" s="15" t="s">
        <v>12805</v>
      </c>
      <c r="C6944" s="15" t="s">
        <v>12806</v>
      </c>
      <c r="D6944" s="15" t="s">
        <v>12807</v>
      </c>
      <c r="E6944" s="15">
        <v>24.366199999999999</v>
      </c>
      <c r="F6944" s="42">
        <v>46198</v>
      </c>
    </row>
    <row r="6945" spans="1:6" x14ac:dyDescent="0.3">
      <c r="A6945" s="15" t="s">
        <v>41888</v>
      </c>
      <c r="B6945" s="15" t="s">
        <v>12808</v>
      </c>
      <c r="C6945" s="15" t="s">
        <v>800</v>
      </c>
      <c r="D6945" s="15" t="s">
        <v>12809</v>
      </c>
      <c r="E6945" s="15">
        <v>21.482900000000001</v>
      </c>
      <c r="F6945" s="42">
        <v>46198</v>
      </c>
    </row>
    <row r="6946" spans="1:6" x14ac:dyDescent="0.3">
      <c r="A6946" s="15" t="s">
        <v>41887</v>
      </c>
      <c r="B6946" s="15" t="s">
        <v>12810</v>
      </c>
      <c r="C6946" s="15" t="s">
        <v>12811</v>
      </c>
      <c r="D6946" s="15" t="s">
        <v>12812</v>
      </c>
      <c r="E6946" s="15">
        <v>21.479099999999999</v>
      </c>
      <c r="F6946" s="42">
        <v>46198</v>
      </c>
    </row>
    <row r="6947" spans="1:6" x14ac:dyDescent="0.3">
      <c r="A6947" s="15" t="s">
        <v>41886</v>
      </c>
      <c r="B6947" s="15" t="s">
        <v>12813</v>
      </c>
      <c r="C6947" s="15" t="s">
        <v>800</v>
      </c>
      <c r="D6947" s="15" t="s">
        <v>12814</v>
      </c>
      <c r="E6947" s="15">
        <v>9.6986000000000008</v>
      </c>
      <c r="F6947" s="42">
        <v>46198</v>
      </c>
    </row>
    <row r="6948" spans="1:6" x14ac:dyDescent="0.3">
      <c r="A6948" s="15" t="s">
        <v>41885</v>
      </c>
      <c r="B6948" s="15" t="s">
        <v>12815</v>
      </c>
      <c r="C6948" s="15" t="s">
        <v>12816</v>
      </c>
      <c r="D6948" s="15" t="s">
        <v>12817</v>
      </c>
      <c r="E6948" s="15">
        <v>9.6986000000000008</v>
      </c>
      <c r="F6948" s="42">
        <v>46198</v>
      </c>
    </row>
    <row r="6949" spans="1:6" x14ac:dyDescent="0.3">
      <c r="A6949" s="15" t="s">
        <v>41884</v>
      </c>
      <c r="B6949" s="15" t="s">
        <v>12818</v>
      </c>
      <c r="C6949" s="15" t="s">
        <v>800</v>
      </c>
      <c r="D6949" s="15" t="s">
        <v>12819</v>
      </c>
      <c r="E6949" s="15">
        <v>9.6091999999999995</v>
      </c>
      <c r="F6949" s="42">
        <v>46198</v>
      </c>
    </row>
    <row r="6950" spans="1:6" x14ac:dyDescent="0.3">
      <c r="A6950" s="15" t="s">
        <v>41883</v>
      </c>
      <c r="B6950" s="15" t="s">
        <v>12820</v>
      </c>
      <c r="C6950" s="15" t="s">
        <v>12821</v>
      </c>
      <c r="D6950" s="15" t="s">
        <v>12822</v>
      </c>
      <c r="E6950" s="15">
        <v>9.6091999999999995</v>
      </c>
      <c r="F6950" s="42">
        <v>46198</v>
      </c>
    </row>
    <row r="6951" spans="1:6" x14ac:dyDescent="0.3">
      <c r="A6951" s="15" t="s">
        <v>41882</v>
      </c>
      <c r="B6951" s="15" t="s">
        <v>12823</v>
      </c>
      <c r="C6951" s="15" t="s">
        <v>800</v>
      </c>
      <c r="D6951" s="15" t="s">
        <v>12824</v>
      </c>
      <c r="E6951" s="15">
        <v>34.692</v>
      </c>
      <c r="F6951" s="42">
        <v>46198</v>
      </c>
    </row>
    <row r="6952" spans="1:6" x14ac:dyDescent="0.3">
      <c r="A6952" s="15" t="s">
        <v>41881</v>
      </c>
      <c r="B6952" s="15" t="s">
        <v>12825</v>
      </c>
      <c r="C6952" s="15" t="s">
        <v>12826</v>
      </c>
      <c r="D6952" s="15" t="s">
        <v>12827</v>
      </c>
      <c r="E6952" s="15">
        <v>34.680900000000001</v>
      </c>
      <c r="F6952" s="42">
        <v>46198</v>
      </c>
    </row>
    <row r="6953" spans="1:6" x14ac:dyDescent="0.3">
      <c r="A6953" s="15" t="s">
        <v>41880</v>
      </c>
      <c r="B6953" s="15" t="s">
        <v>12828</v>
      </c>
      <c r="C6953" s="15" t="s">
        <v>800</v>
      </c>
      <c r="D6953" s="15" t="s">
        <v>12829</v>
      </c>
      <c r="E6953" s="15">
        <v>31.396799999999999</v>
      </c>
      <c r="F6953" s="42">
        <v>46198</v>
      </c>
    </row>
    <row r="6954" spans="1:6" x14ac:dyDescent="0.3">
      <c r="A6954" s="15" t="s">
        <v>41879</v>
      </c>
      <c r="B6954" s="15" t="s">
        <v>12830</v>
      </c>
      <c r="C6954" s="15" t="s">
        <v>12831</v>
      </c>
      <c r="D6954" s="15" t="s">
        <v>12832</v>
      </c>
      <c r="E6954" s="15">
        <v>31.397300000000001</v>
      </c>
      <c r="F6954" s="42">
        <v>46198</v>
      </c>
    </row>
    <row r="6955" spans="1:6" x14ac:dyDescent="0.3">
      <c r="A6955" s="15" t="s">
        <v>41878</v>
      </c>
      <c r="B6955" s="15" t="s">
        <v>12833</v>
      </c>
      <c r="C6955" s="15" t="s">
        <v>800</v>
      </c>
      <c r="D6955" s="15" t="s">
        <v>12834</v>
      </c>
      <c r="E6955" s="15">
        <v>63.8459</v>
      </c>
      <c r="F6955" s="42">
        <v>46198</v>
      </c>
    </row>
    <row r="6956" spans="1:6" x14ac:dyDescent="0.3">
      <c r="A6956" s="15" t="s">
        <v>41877</v>
      </c>
      <c r="B6956" s="15" t="s">
        <v>12835</v>
      </c>
      <c r="C6956" s="15" t="s">
        <v>12836</v>
      </c>
      <c r="D6956" s="15" t="s">
        <v>12837</v>
      </c>
      <c r="E6956" s="15">
        <v>62.688200000000002</v>
      </c>
      <c r="F6956" s="42">
        <v>46198</v>
      </c>
    </row>
    <row r="6957" spans="1:6" x14ac:dyDescent="0.3">
      <c r="A6957" s="15" t="s">
        <v>41876</v>
      </c>
      <c r="B6957" s="15" t="s">
        <v>12838</v>
      </c>
      <c r="C6957" s="15" t="s">
        <v>800</v>
      </c>
      <c r="D6957" s="15" t="s">
        <v>12839</v>
      </c>
      <c r="E6957" s="15">
        <v>55.152299999999997</v>
      </c>
      <c r="F6957" s="42">
        <v>46198</v>
      </c>
    </row>
    <row r="6958" spans="1:6" x14ac:dyDescent="0.3">
      <c r="A6958" s="15" t="s">
        <v>41875</v>
      </c>
      <c r="B6958" s="15" t="s">
        <v>12840</v>
      </c>
      <c r="C6958" s="15" t="s">
        <v>12841</v>
      </c>
      <c r="D6958" s="15" t="s">
        <v>12842</v>
      </c>
      <c r="E6958" s="15">
        <v>55.153799999999997</v>
      </c>
      <c r="F6958" s="42">
        <v>46198</v>
      </c>
    </row>
    <row r="6959" spans="1:6" x14ac:dyDescent="0.3">
      <c r="A6959" s="15" t="s">
        <v>41874</v>
      </c>
      <c r="B6959" s="15" t="s">
        <v>12843</v>
      </c>
      <c r="C6959" s="15" t="s">
        <v>800</v>
      </c>
      <c r="D6959" s="15" t="s">
        <v>12844</v>
      </c>
      <c r="E6959" s="15">
        <v>11.645799999999999</v>
      </c>
      <c r="F6959" s="42">
        <v>46198</v>
      </c>
    </row>
    <row r="6960" spans="1:6" x14ac:dyDescent="0.3">
      <c r="A6960" s="15" t="s">
        <v>41873</v>
      </c>
      <c r="B6960" s="15" t="s">
        <v>12845</v>
      </c>
      <c r="C6960" s="15" t="s">
        <v>12846</v>
      </c>
      <c r="D6960" s="15" t="s">
        <v>12847</v>
      </c>
      <c r="E6960" s="15">
        <v>11.645799999999999</v>
      </c>
      <c r="F6960" s="42">
        <v>46198</v>
      </c>
    </row>
    <row r="6961" spans="1:6" x14ac:dyDescent="0.3">
      <c r="A6961" s="15" t="s">
        <v>41872</v>
      </c>
      <c r="B6961" s="15" t="s">
        <v>12848</v>
      </c>
      <c r="C6961" s="15" t="s">
        <v>800</v>
      </c>
      <c r="D6961" s="15" t="s">
        <v>12849</v>
      </c>
      <c r="E6961" s="15">
        <v>11.3307</v>
      </c>
      <c r="F6961" s="42">
        <v>46198</v>
      </c>
    </row>
    <row r="6962" spans="1:6" x14ac:dyDescent="0.3">
      <c r="A6962" s="15" t="s">
        <v>41871</v>
      </c>
      <c r="B6962" s="15" t="s">
        <v>12850</v>
      </c>
      <c r="C6962" s="15" t="s">
        <v>12851</v>
      </c>
      <c r="D6962" s="15" t="s">
        <v>12852</v>
      </c>
      <c r="E6962" s="15">
        <v>11.3307</v>
      </c>
      <c r="F6962" s="42">
        <v>46198</v>
      </c>
    </row>
    <row r="6963" spans="1:6" x14ac:dyDescent="0.3">
      <c r="A6963" s="15" t="s">
        <v>41870</v>
      </c>
      <c r="B6963" s="15" t="s">
        <v>12853</v>
      </c>
      <c r="C6963" s="15" t="s">
        <v>800</v>
      </c>
      <c r="D6963" s="15" t="s">
        <v>12854</v>
      </c>
      <c r="E6963" s="15">
        <v>10.6234</v>
      </c>
      <c r="F6963" s="42">
        <v>46198</v>
      </c>
    </row>
    <row r="6964" spans="1:6" x14ac:dyDescent="0.3">
      <c r="A6964" s="15" t="s">
        <v>41869</v>
      </c>
      <c r="B6964" s="15" t="s">
        <v>12855</v>
      </c>
      <c r="C6964" s="15" t="s">
        <v>12856</v>
      </c>
      <c r="D6964" s="15" t="s">
        <v>12857</v>
      </c>
      <c r="E6964" s="15">
        <v>10.623200000000001</v>
      </c>
      <c r="F6964" s="42">
        <v>46198</v>
      </c>
    </row>
    <row r="6965" spans="1:6" x14ac:dyDescent="0.3">
      <c r="A6965" s="15" t="s">
        <v>41868</v>
      </c>
      <c r="B6965" s="15" t="s">
        <v>12858</v>
      </c>
      <c r="C6965" s="15" t="s">
        <v>800</v>
      </c>
      <c r="D6965" s="15" t="s">
        <v>12859</v>
      </c>
      <c r="E6965" s="15">
        <v>10.576000000000001</v>
      </c>
      <c r="F6965" s="42">
        <v>46198</v>
      </c>
    </row>
    <row r="6966" spans="1:6" x14ac:dyDescent="0.3">
      <c r="A6966" s="15" t="s">
        <v>41867</v>
      </c>
      <c r="B6966" s="15" t="s">
        <v>12860</v>
      </c>
      <c r="C6966" s="15" t="s">
        <v>12861</v>
      </c>
      <c r="D6966" s="15" t="s">
        <v>12862</v>
      </c>
      <c r="E6966" s="15">
        <v>10.576000000000001</v>
      </c>
      <c r="F6966" s="42">
        <v>46198</v>
      </c>
    </row>
    <row r="6967" spans="1:6" x14ac:dyDescent="0.3">
      <c r="A6967" s="15" t="s">
        <v>33499</v>
      </c>
      <c r="B6967" s="15" t="s">
        <v>795</v>
      </c>
      <c r="C6967" s="15" t="s">
        <v>795</v>
      </c>
      <c r="D6967" s="15" t="s">
        <v>795</v>
      </c>
      <c r="F6967" s="42"/>
    </row>
    <row r="6968" spans="1:6" x14ac:dyDescent="0.3">
      <c r="A6968" s="15" t="s">
        <v>39301</v>
      </c>
      <c r="B6968" s="15" t="s">
        <v>795</v>
      </c>
      <c r="C6968" s="15" t="s">
        <v>795</v>
      </c>
      <c r="D6968" s="15" t="s">
        <v>795</v>
      </c>
      <c r="F6968" s="42"/>
    </row>
    <row r="6969" spans="1:6" x14ac:dyDescent="0.3">
      <c r="A6969" s="15" t="s">
        <v>33499</v>
      </c>
      <c r="B6969" s="15" t="s">
        <v>795</v>
      </c>
      <c r="C6969" s="15" t="s">
        <v>795</v>
      </c>
      <c r="D6969" s="15" t="s">
        <v>795</v>
      </c>
      <c r="F6969" s="42"/>
    </row>
    <row r="6970" spans="1:6" x14ac:dyDescent="0.3">
      <c r="A6970" s="15" t="s">
        <v>41866</v>
      </c>
      <c r="B6970" s="15" t="s">
        <v>12863</v>
      </c>
      <c r="C6970" s="15" t="s">
        <v>800</v>
      </c>
      <c r="D6970" s="15" t="s">
        <v>12864</v>
      </c>
      <c r="E6970" s="15">
        <v>16.333500000000001</v>
      </c>
      <c r="F6970" s="42">
        <v>46198</v>
      </c>
    </row>
    <row r="6971" spans="1:6" x14ac:dyDescent="0.3">
      <c r="A6971" s="15" t="s">
        <v>41865</v>
      </c>
      <c r="B6971" s="15" t="s">
        <v>12865</v>
      </c>
      <c r="C6971" s="15" t="s">
        <v>12866</v>
      </c>
      <c r="D6971" s="15" t="s">
        <v>12867</v>
      </c>
      <c r="E6971" s="15">
        <v>14.028499999999999</v>
      </c>
      <c r="F6971" s="42">
        <v>46198</v>
      </c>
    </row>
    <row r="6972" spans="1:6" x14ac:dyDescent="0.3">
      <c r="A6972" s="15" t="s">
        <v>41864</v>
      </c>
      <c r="B6972" s="15" t="s">
        <v>12868</v>
      </c>
      <c r="C6972" s="15" t="s">
        <v>12869</v>
      </c>
      <c r="D6972" s="15" t="s">
        <v>12870</v>
      </c>
      <c r="E6972" s="15">
        <v>13.3032</v>
      </c>
      <c r="F6972" s="42">
        <v>46198</v>
      </c>
    </row>
    <row r="6973" spans="1:6" x14ac:dyDescent="0.3">
      <c r="A6973" s="15" t="s">
        <v>41863</v>
      </c>
      <c r="B6973" s="15" t="s">
        <v>12871</v>
      </c>
      <c r="C6973" s="15" t="s">
        <v>800</v>
      </c>
      <c r="D6973" s="15" t="s">
        <v>12872</v>
      </c>
      <c r="E6973" s="15">
        <v>15.577400000000001</v>
      </c>
      <c r="F6973" s="42">
        <v>46198</v>
      </c>
    </row>
    <row r="6974" spans="1:6" x14ac:dyDescent="0.3">
      <c r="A6974" s="15" t="s">
        <v>41862</v>
      </c>
      <c r="B6974" s="15" t="s">
        <v>12873</v>
      </c>
      <c r="C6974" s="15" t="s">
        <v>12874</v>
      </c>
      <c r="D6974" s="15" t="s">
        <v>12875</v>
      </c>
      <c r="E6974" s="15">
        <v>17.2713</v>
      </c>
      <c r="F6974" s="42">
        <v>46198</v>
      </c>
    </row>
    <row r="6975" spans="1:6" x14ac:dyDescent="0.3">
      <c r="A6975" s="15" t="s">
        <v>41861</v>
      </c>
      <c r="B6975" s="15" t="s">
        <v>12876</v>
      </c>
      <c r="C6975" s="15" t="s">
        <v>800</v>
      </c>
      <c r="D6975" s="15" t="s">
        <v>12877</v>
      </c>
      <c r="E6975" s="15">
        <v>24.389399999999998</v>
      </c>
      <c r="F6975" s="42">
        <v>46198</v>
      </c>
    </row>
    <row r="6976" spans="1:6" x14ac:dyDescent="0.3">
      <c r="A6976" s="15" t="s">
        <v>41860</v>
      </c>
      <c r="B6976" s="15" t="s">
        <v>12878</v>
      </c>
      <c r="C6976" s="15" t="s">
        <v>12879</v>
      </c>
      <c r="D6976" s="15" t="s">
        <v>12880</v>
      </c>
      <c r="E6976" s="15">
        <v>14.5764</v>
      </c>
      <c r="F6976" s="42">
        <v>46198</v>
      </c>
    </row>
    <row r="6977" spans="1:6" x14ac:dyDescent="0.3">
      <c r="A6977" s="15" t="s">
        <v>41859</v>
      </c>
      <c r="B6977" s="15" t="s">
        <v>12881</v>
      </c>
      <c r="C6977" s="15" t="s">
        <v>800</v>
      </c>
      <c r="D6977" s="15" t="s">
        <v>12882</v>
      </c>
      <c r="E6977" s="15">
        <v>21.417100000000001</v>
      </c>
      <c r="F6977" s="42">
        <v>46198</v>
      </c>
    </row>
    <row r="6978" spans="1:6" x14ac:dyDescent="0.3">
      <c r="A6978" s="15" t="s">
        <v>41858</v>
      </c>
      <c r="B6978" s="15" t="s">
        <v>12883</v>
      </c>
      <c r="C6978" s="15" t="s">
        <v>800</v>
      </c>
      <c r="D6978" s="15" t="s">
        <v>12884</v>
      </c>
      <c r="E6978" s="15">
        <v>10.9</v>
      </c>
      <c r="F6978" s="42">
        <v>46198</v>
      </c>
    </row>
    <row r="6979" spans="1:6" x14ac:dyDescent="0.3">
      <c r="A6979" s="15" t="s">
        <v>41857</v>
      </c>
      <c r="B6979" s="15" t="s">
        <v>12885</v>
      </c>
      <c r="C6979" s="15" t="s">
        <v>12886</v>
      </c>
      <c r="D6979" s="15" t="s">
        <v>12887</v>
      </c>
      <c r="E6979" s="15">
        <v>10.9</v>
      </c>
      <c r="F6979" s="42">
        <v>46198</v>
      </c>
    </row>
    <row r="6980" spans="1:6" x14ac:dyDescent="0.3">
      <c r="A6980" s="15" t="s">
        <v>41856</v>
      </c>
      <c r="B6980" s="15" t="s">
        <v>12888</v>
      </c>
      <c r="C6980" s="15" t="s">
        <v>800</v>
      </c>
      <c r="D6980" s="15" t="s">
        <v>12889</v>
      </c>
      <c r="E6980" s="15">
        <v>10.819699999999999</v>
      </c>
      <c r="F6980" s="42">
        <v>46198</v>
      </c>
    </row>
    <row r="6981" spans="1:6" x14ac:dyDescent="0.3">
      <c r="A6981" s="15" t="s">
        <v>41855</v>
      </c>
      <c r="B6981" s="15" t="s">
        <v>12890</v>
      </c>
      <c r="C6981" s="15" t="s">
        <v>12891</v>
      </c>
      <c r="D6981" s="15" t="s">
        <v>12892</v>
      </c>
      <c r="E6981" s="15">
        <v>10.819699999999999</v>
      </c>
      <c r="F6981" s="42">
        <v>46198</v>
      </c>
    </row>
    <row r="6982" spans="1:6" x14ac:dyDescent="0.3">
      <c r="A6982" s="15" t="s">
        <v>41854</v>
      </c>
      <c r="B6982" s="15" t="s">
        <v>12893</v>
      </c>
      <c r="C6982" s="15" t="s">
        <v>800</v>
      </c>
      <c r="D6982" s="15" t="s">
        <v>12894</v>
      </c>
      <c r="E6982" s="15">
        <v>10.8171</v>
      </c>
      <c r="F6982" s="42">
        <v>46198</v>
      </c>
    </row>
    <row r="6983" spans="1:6" x14ac:dyDescent="0.3">
      <c r="A6983" s="15" t="s">
        <v>41853</v>
      </c>
      <c r="B6983" s="15" t="s">
        <v>12895</v>
      </c>
      <c r="C6983" s="15" t="s">
        <v>12896</v>
      </c>
      <c r="D6983" s="15" t="s">
        <v>12897</v>
      </c>
      <c r="E6983" s="15">
        <v>10.8171</v>
      </c>
      <c r="F6983" s="42">
        <v>46198</v>
      </c>
    </row>
    <row r="6984" spans="1:6" x14ac:dyDescent="0.3">
      <c r="A6984" s="15" t="s">
        <v>41852</v>
      </c>
      <c r="B6984" s="15" t="s">
        <v>12898</v>
      </c>
      <c r="C6984" s="15" t="s">
        <v>800</v>
      </c>
      <c r="D6984" s="15" t="s">
        <v>12899</v>
      </c>
      <c r="E6984" s="15">
        <v>10.481</v>
      </c>
      <c r="F6984" s="42">
        <v>46198</v>
      </c>
    </row>
    <row r="6985" spans="1:6" x14ac:dyDescent="0.3">
      <c r="A6985" s="15" t="s">
        <v>41851</v>
      </c>
      <c r="B6985" s="15" t="s">
        <v>12900</v>
      </c>
      <c r="C6985" s="15" t="s">
        <v>12901</v>
      </c>
      <c r="D6985" s="15" t="s">
        <v>12902</v>
      </c>
      <c r="E6985" s="15">
        <v>10.481</v>
      </c>
      <c r="F6985" s="42">
        <v>46198</v>
      </c>
    </row>
    <row r="6986" spans="1:6" x14ac:dyDescent="0.3">
      <c r="A6986" s="15" t="s">
        <v>41850</v>
      </c>
      <c r="B6986" s="15" t="s">
        <v>12903</v>
      </c>
      <c r="C6986" s="15" t="s">
        <v>800</v>
      </c>
      <c r="D6986" s="15" t="s">
        <v>12904</v>
      </c>
      <c r="E6986" s="15">
        <v>10.889099999999999</v>
      </c>
      <c r="F6986" s="42">
        <v>46198</v>
      </c>
    </row>
    <row r="6987" spans="1:6" x14ac:dyDescent="0.3">
      <c r="A6987" s="15" t="s">
        <v>41849</v>
      </c>
      <c r="B6987" s="15" t="s">
        <v>12905</v>
      </c>
      <c r="C6987" s="15" t="s">
        <v>12906</v>
      </c>
      <c r="D6987" s="15" t="s">
        <v>12907</v>
      </c>
      <c r="E6987" s="15">
        <v>10.889099999999999</v>
      </c>
      <c r="F6987" s="42">
        <v>46198</v>
      </c>
    </row>
    <row r="6988" spans="1:6" x14ac:dyDescent="0.3">
      <c r="A6988" s="15" t="s">
        <v>41848</v>
      </c>
      <c r="B6988" s="15" t="s">
        <v>12908</v>
      </c>
      <c r="C6988" s="15" t="s">
        <v>800</v>
      </c>
      <c r="D6988" s="15" t="s">
        <v>12909</v>
      </c>
      <c r="E6988" s="15">
        <v>10.707100000000001</v>
      </c>
      <c r="F6988" s="42">
        <v>46198</v>
      </c>
    </row>
    <row r="6989" spans="1:6" x14ac:dyDescent="0.3">
      <c r="A6989" s="15" t="s">
        <v>41847</v>
      </c>
      <c r="B6989" s="15" t="s">
        <v>12910</v>
      </c>
      <c r="C6989" s="15" t="s">
        <v>12911</v>
      </c>
      <c r="D6989" s="15" t="s">
        <v>12912</v>
      </c>
      <c r="E6989" s="15">
        <v>10.707100000000001</v>
      </c>
      <c r="F6989" s="42">
        <v>46198</v>
      </c>
    </row>
    <row r="6990" spans="1:6" x14ac:dyDescent="0.3">
      <c r="A6990" s="15" t="s">
        <v>33499</v>
      </c>
      <c r="B6990" s="15" t="s">
        <v>795</v>
      </c>
      <c r="C6990" s="15" t="s">
        <v>795</v>
      </c>
      <c r="D6990" s="15" t="s">
        <v>795</v>
      </c>
      <c r="F6990" s="42"/>
    </row>
    <row r="6991" spans="1:6" x14ac:dyDescent="0.3">
      <c r="A6991" s="15" t="s">
        <v>37780</v>
      </c>
      <c r="B6991" s="15" t="s">
        <v>795</v>
      </c>
      <c r="C6991" s="15" t="s">
        <v>795</v>
      </c>
      <c r="D6991" s="15" t="s">
        <v>795</v>
      </c>
      <c r="F6991" s="42"/>
    </row>
    <row r="6992" spans="1:6" x14ac:dyDescent="0.3">
      <c r="A6992" s="15" t="s">
        <v>33499</v>
      </c>
      <c r="B6992" s="15" t="s">
        <v>795</v>
      </c>
      <c r="C6992" s="15" t="s">
        <v>795</v>
      </c>
      <c r="D6992" s="15" t="s">
        <v>795</v>
      </c>
      <c r="F6992" s="42"/>
    </row>
    <row r="6993" spans="1:6" x14ac:dyDescent="0.3">
      <c r="A6993" s="15" t="s">
        <v>41846</v>
      </c>
      <c r="B6993" s="15" t="s">
        <v>12913</v>
      </c>
      <c r="C6993" s="15" t="s">
        <v>12914</v>
      </c>
      <c r="D6993" s="15" t="s">
        <v>12915</v>
      </c>
      <c r="E6993" s="15">
        <v>23.405000000000001</v>
      </c>
      <c r="F6993" s="42">
        <v>46198</v>
      </c>
    </row>
    <row r="6994" spans="1:6" x14ac:dyDescent="0.3">
      <c r="A6994" s="15" t="s">
        <v>41845</v>
      </c>
      <c r="B6994" s="15" t="s">
        <v>12916</v>
      </c>
      <c r="C6994" s="15" t="s">
        <v>800</v>
      </c>
      <c r="D6994" s="15" t="s">
        <v>12917</v>
      </c>
      <c r="E6994" s="15">
        <v>23.507999999999999</v>
      </c>
      <c r="F6994" s="42">
        <v>46198</v>
      </c>
    </row>
    <row r="6995" spans="1:6" x14ac:dyDescent="0.3">
      <c r="A6995" s="15" t="s">
        <v>41844</v>
      </c>
      <c r="B6995" s="15" t="s">
        <v>12918</v>
      </c>
      <c r="C6995" s="15" t="s">
        <v>800</v>
      </c>
      <c r="D6995" s="15" t="s">
        <v>12919</v>
      </c>
      <c r="E6995" s="15">
        <v>21.571999999999999</v>
      </c>
      <c r="F6995" s="42">
        <v>46198</v>
      </c>
    </row>
    <row r="6996" spans="1:6" x14ac:dyDescent="0.3">
      <c r="A6996" s="15" t="s">
        <v>41843</v>
      </c>
      <c r="B6996" s="15" t="s">
        <v>12920</v>
      </c>
      <c r="C6996" s="15" t="s">
        <v>12921</v>
      </c>
      <c r="D6996" s="15" t="s">
        <v>12922</v>
      </c>
      <c r="E6996" s="15">
        <v>21.599</v>
      </c>
      <c r="F6996" s="42">
        <v>46198</v>
      </c>
    </row>
    <row r="6997" spans="1:6" x14ac:dyDescent="0.3">
      <c r="A6997" s="15" t="s">
        <v>41842</v>
      </c>
      <c r="B6997" s="15" t="s">
        <v>12923</v>
      </c>
      <c r="C6997" s="15" t="s">
        <v>800</v>
      </c>
      <c r="D6997" s="15" t="s">
        <v>12924</v>
      </c>
      <c r="E6997" s="15">
        <v>108.755</v>
      </c>
      <c r="F6997" s="42">
        <v>46198</v>
      </c>
    </row>
    <row r="6998" spans="1:6" x14ac:dyDescent="0.3">
      <c r="A6998" s="15" t="s">
        <v>41841</v>
      </c>
      <c r="B6998" s="15" t="s">
        <v>12925</v>
      </c>
      <c r="C6998" s="15" t="s">
        <v>800</v>
      </c>
      <c r="D6998" s="15" t="s">
        <v>12926</v>
      </c>
      <c r="E6998" s="15">
        <v>90.055999999999997</v>
      </c>
      <c r="F6998" s="42">
        <v>46198</v>
      </c>
    </row>
    <row r="6999" spans="1:6" x14ac:dyDescent="0.3">
      <c r="A6999" s="15" t="s">
        <v>41840</v>
      </c>
      <c r="B6999" s="15" t="s">
        <v>12927</v>
      </c>
      <c r="C6999" s="15" t="s">
        <v>12928</v>
      </c>
      <c r="D6999" s="15" t="s">
        <v>12929</v>
      </c>
      <c r="E6999" s="15">
        <v>65.298000000000002</v>
      </c>
      <c r="F6999" s="42">
        <v>46198</v>
      </c>
    </row>
    <row r="7000" spans="1:6" x14ac:dyDescent="0.3">
      <c r="A7000" s="15" t="s">
        <v>41839</v>
      </c>
      <c r="B7000" s="15" t="s">
        <v>12930</v>
      </c>
      <c r="C7000" s="15" t="s">
        <v>12931</v>
      </c>
      <c r="D7000" s="15" t="s">
        <v>12932</v>
      </c>
      <c r="E7000" s="15">
        <v>25.231000000000002</v>
      </c>
      <c r="F7000" s="42">
        <v>46198</v>
      </c>
    </row>
    <row r="7001" spans="1:6" x14ac:dyDescent="0.3">
      <c r="A7001" s="15" t="s">
        <v>41838</v>
      </c>
      <c r="B7001" s="15" t="s">
        <v>12933</v>
      </c>
      <c r="C7001" s="15" t="s">
        <v>800</v>
      </c>
      <c r="D7001" s="15" t="s">
        <v>12934</v>
      </c>
      <c r="E7001" s="15">
        <v>42.948999999999998</v>
      </c>
      <c r="F7001" s="42">
        <v>46198</v>
      </c>
    </row>
    <row r="7002" spans="1:6" x14ac:dyDescent="0.3">
      <c r="A7002" s="15" t="s">
        <v>41837</v>
      </c>
      <c r="B7002" s="15" t="s">
        <v>12935</v>
      </c>
      <c r="C7002" s="15" t="s">
        <v>800</v>
      </c>
      <c r="D7002" s="15" t="s">
        <v>12936</v>
      </c>
      <c r="E7002" s="15">
        <v>48.533999999999999</v>
      </c>
      <c r="F7002" s="42">
        <v>46198</v>
      </c>
    </row>
    <row r="7003" spans="1:6" x14ac:dyDescent="0.3">
      <c r="A7003" s="15" t="s">
        <v>41836</v>
      </c>
      <c r="B7003" s="15" t="s">
        <v>12937</v>
      </c>
      <c r="C7003" s="15" t="s">
        <v>12938</v>
      </c>
      <c r="D7003" s="15" t="s">
        <v>12939</v>
      </c>
      <c r="E7003" s="15">
        <v>29.231999999999999</v>
      </c>
      <c r="F7003" s="42">
        <v>46198</v>
      </c>
    </row>
    <row r="7004" spans="1:6" x14ac:dyDescent="0.3">
      <c r="A7004" s="15" t="s">
        <v>41835</v>
      </c>
      <c r="B7004" s="15" t="s">
        <v>12940</v>
      </c>
      <c r="C7004" s="15" t="s">
        <v>12941</v>
      </c>
      <c r="D7004" s="15" t="s">
        <v>12942</v>
      </c>
      <c r="E7004" s="15">
        <v>25.283000000000001</v>
      </c>
      <c r="F7004" s="42">
        <v>46198</v>
      </c>
    </row>
    <row r="7005" spans="1:6" x14ac:dyDescent="0.3">
      <c r="A7005" s="15" t="s">
        <v>41834</v>
      </c>
      <c r="B7005" s="15" t="s">
        <v>12943</v>
      </c>
      <c r="C7005" s="15" t="s">
        <v>800</v>
      </c>
      <c r="D7005" s="15" t="s">
        <v>12944</v>
      </c>
      <c r="E7005" s="15">
        <v>11.118</v>
      </c>
      <c r="F7005" s="42">
        <v>46198</v>
      </c>
    </row>
    <row r="7006" spans="1:6" x14ac:dyDescent="0.3">
      <c r="A7006" s="15" t="s">
        <v>41833</v>
      </c>
      <c r="B7006" s="15" t="s">
        <v>12945</v>
      </c>
      <c r="C7006" s="15" t="s">
        <v>12946</v>
      </c>
      <c r="D7006" s="15" t="s">
        <v>12947</v>
      </c>
      <c r="E7006" s="15">
        <v>11.117000000000001</v>
      </c>
      <c r="F7006" s="42">
        <v>46198</v>
      </c>
    </row>
    <row r="7007" spans="1:6" x14ac:dyDescent="0.3">
      <c r="A7007" s="15" t="s">
        <v>41832</v>
      </c>
      <c r="B7007" s="15" t="s">
        <v>12948</v>
      </c>
      <c r="C7007" s="15" t="s">
        <v>800</v>
      </c>
      <c r="D7007" s="15" t="s">
        <v>12949</v>
      </c>
      <c r="E7007" s="15">
        <v>11.021000000000001</v>
      </c>
      <c r="F7007" s="42">
        <v>46198</v>
      </c>
    </row>
    <row r="7008" spans="1:6" x14ac:dyDescent="0.3">
      <c r="A7008" s="15" t="s">
        <v>41831</v>
      </c>
      <c r="B7008" s="15" t="s">
        <v>12950</v>
      </c>
      <c r="C7008" s="15" t="s">
        <v>12951</v>
      </c>
      <c r="D7008" s="15" t="s">
        <v>12952</v>
      </c>
      <c r="E7008" s="15">
        <v>11.023</v>
      </c>
      <c r="F7008" s="42">
        <v>46198</v>
      </c>
    </row>
    <row r="7009" spans="1:6" x14ac:dyDescent="0.3">
      <c r="A7009" s="15" t="s">
        <v>33499</v>
      </c>
      <c r="B7009" s="15" t="s">
        <v>795</v>
      </c>
      <c r="C7009" s="15" t="s">
        <v>795</v>
      </c>
      <c r="D7009" s="15" t="s">
        <v>795</v>
      </c>
      <c r="F7009" s="42"/>
    </row>
    <row r="7010" spans="1:6" x14ac:dyDescent="0.3">
      <c r="A7010" s="15" t="s">
        <v>37742</v>
      </c>
      <c r="B7010" s="15" t="s">
        <v>795</v>
      </c>
      <c r="C7010" s="15" t="s">
        <v>795</v>
      </c>
      <c r="D7010" s="15" t="s">
        <v>795</v>
      </c>
      <c r="F7010" s="42"/>
    </row>
    <row r="7011" spans="1:6" x14ac:dyDescent="0.3">
      <c r="A7011" s="15" t="s">
        <v>33499</v>
      </c>
      <c r="B7011" s="15" t="s">
        <v>795</v>
      </c>
      <c r="C7011" s="15" t="s">
        <v>795</v>
      </c>
      <c r="D7011" s="15" t="s">
        <v>795</v>
      </c>
      <c r="F7011" s="42"/>
    </row>
    <row r="7012" spans="1:6" x14ac:dyDescent="0.3">
      <c r="A7012" s="15" t="s">
        <v>41830</v>
      </c>
      <c r="B7012" s="15" t="s">
        <v>12953</v>
      </c>
      <c r="C7012" s="15" t="s">
        <v>12954</v>
      </c>
      <c r="D7012" s="15" t="s">
        <v>12955</v>
      </c>
      <c r="E7012" s="15">
        <v>13.5984</v>
      </c>
      <c r="F7012" s="42">
        <v>46198</v>
      </c>
    </row>
    <row r="7013" spans="1:6" x14ac:dyDescent="0.3">
      <c r="A7013" s="15" t="s">
        <v>41829</v>
      </c>
      <c r="B7013" s="15" t="s">
        <v>12956</v>
      </c>
      <c r="C7013" s="15" t="s">
        <v>800</v>
      </c>
      <c r="D7013" s="15" t="s">
        <v>12957</v>
      </c>
      <c r="E7013" s="15">
        <v>13.615500000000001</v>
      </c>
      <c r="F7013" s="42">
        <v>46198</v>
      </c>
    </row>
    <row r="7014" spans="1:6" x14ac:dyDescent="0.3">
      <c r="A7014" s="15" t="s">
        <v>41828</v>
      </c>
      <c r="B7014" s="15" t="s">
        <v>12958</v>
      </c>
      <c r="C7014" s="15" t="s">
        <v>12959</v>
      </c>
      <c r="D7014" s="15" t="s">
        <v>12960</v>
      </c>
      <c r="E7014" s="15">
        <v>13.6152</v>
      </c>
      <c r="F7014" s="42">
        <v>46198</v>
      </c>
    </row>
    <row r="7015" spans="1:6" x14ac:dyDescent="0.3">
      <c r="A7015" s="15" t="s">
        <v>41827</v>
      </c>
      <c r="B7015" s="15" t="s">
        <v>12961</v>
      </c>
      <c r="C7015" s="15" t="s">
        <v>800</v>
      </c>
      <c r="D7015" s="15" t="s">
        <v>12962</v>
      </c>
      <c r="E7015" s="15">
        <v>13.598000000000001</v>
      </c>
      <c r="F7015" s="42">
        <v>46198</v>
      </c>
    </row>
    <row r="7016" spans="1:6" x14ac:dyDescent="0.3">
      <c r="A7016" s="15" t="s">
        <v>41826</v>
      </c>
      <c r="B7016" s="15" t="s">
        <v>12963</v>
      </c>
      <c r="C7016" s="15" t="s">
        <v>800</v>
      </c>
      <c r="D7016" s="15" t="s">
        <v>12964</v>
      </c>
      <c r="E7016" s="15">
        <v>11.6432</v>
      </c>
      <c r="F7016" s="42">
        <v>46198</v>
      </c>
    </row>
    <row r="7017" spans="1:6" x14ac:dyDescent="0.3">
      <c r="A7017" s="15" t="s">
        <v>41825</v>
      </c>
      <c r="B7017" s="15" t="s">
        <v>12965</v>
      </c>
      <c r="C7017" s="15" t="s">
        <v>12966</v>
      </c>
      <c r="D7017" s="15" t="s">
        <v>12967</v>
      </c>
      <c r="E7017" s="15">
        <v>11.6424</v>
      </c>
      <c r="F7017" s="42">
        <v>46198</v>
      </c>
    </row>
    <row r="7018" spans="1:6" x14ac:dyDescent="0.3">
      <c r="A7018" s="15" t="s">
        <v>41824</v>
      </c>
      <c r="B7018" s="15" t="s">
        <v>12968</v>
      </c>
      <c r="C7018" s="15" t="s">
        <v>800</v>
      </c>
      <c r="D7018" s="15" t="s">
        <v>12969</v>
      </c>
      <c r="E7018" s="15">
        <v>11.3561</v>
      </c>
      <c r="F7018" s="42">
        <v>46198</v>
      </c>
    </row>
    <row r="7019" spans="1:6" x14ac:dyDescent="0.3">
      <c r="A7019" s="15" t="s">
        <v>41823</v>
      </c>
      <c r="B7019" s="15" t="s">
        <v>12970</v>
      </c>
      <c r="C7019" s="15" t="s">
        <v>12971</v>
      </c>
      <c r="D7019" s="15" t="s">
        <v>12972</v>
      </c>
      <c r="E7019" s="15">
        <v>11.356199999999999</v>
      </c>
      <c r="F7019" s="42">
        <v>46198</v>
      </c>
    </row>
    <row r="7020" spans="1:6" x14ac:dyDescent="0.3">
      <c r="A7020" s="15" t="s">
        <v>41822</v>
      </c>
      <c r="B7020" s="15" t="s">
        <v>12973</v>
      </c>
      <c r="C7020" s="15" t="s">
        <v>800</v>
      </c>
      <c r="D7020" s="15" t="s">
        <v>12974</v>
      </c>
      <c r="E7020" s="15">
        <v>9.7499000000000002</v>
      </c>
      <c r="F7020" s="42">
        <v>46198</v>
      </c>
    </row>
    <row r="7021" spans="1:6" x14ac:dyDescent="0.3">
      <c r="A7021" s="15" t="s">
        <v>41821</v>
      </c>
      <c r="B7021" s="15" t="s">
        <v>12975</v>
      </c>
      <c r="C7021" s="15" t="s">
        <v>12976</v>
      </c>
      <c r="D7021" s="15" t="s">
        <v>12977</v>
      </c>
      <c r="E7021" s="15">
        <v>9.7499000000000002</v>
      </c>
      <c r="F7021" s="42">
        <v>46198</v>
      </c>
    </row>
    <row r="7022" spans="1:6" x14ac:dyDescent="0.3">
      <c r="A7022" s="15" t="s">
        <v>41820</v>
      </c>
      <c r="B7022" s="15" t="s">
        <v>12978</v>
      </c>
      <c r="C7022" s="15" t="s">
        <v>800</v>
      </c>
      <c r="D7022" s="15" t="s">
        <v>12979</v>
      </c>
      <c r="E7022" s="15">
        <v>9.6438000000000006</v>
      </c>
      <c r="F7022" s="42">
        <v>46198</v>
      </c>
    </row>
    <row r="7023" spans="1:6" x14ac:dyDescent="0.3">
      <c r="A7023" s="15" t="s">
        <v>41819</v>
      </c>
      <c r="B7023" s="15" t="s">
        <v>12980</v>
      </c>
      <c r="C7023" s="15" t="s">
        <v>12981</v>
      </c>
      <c r="D7023" s="15" t="s">
        <v>12982</v>
      </c>
      <c r="E7023" s="15">
        <v>9.6438000000000006</v>
      </c>
      <c r="F7023" s="42">
        <v>46198</v>
      </c>
    </row>
    <row r="7024" spans="1:6" x14ac:dyDescent="0.3">
      <c r="A7024" s="15" t="s">
        <v>41818</v>
      </c>
      <c r="B7024" s="15" t="s">
        <v>12983</v>
      </c>
      <c r="C7024" s="15" t="s">
        <v>800</v>
      </c>
      <c r="D7024" s="15" t="s">
        <v>12984</v>
      </c>
      <c r="E7024" s="15">
        <v>9.1245999999999992</v>
      </c>
      <c r="F7024" s="42">
        <v>46198</v>
      </c>
    </row>
    <row r="7025" spans="1:6" x14ac:dyDescent="0.3">
      <c r="A7025" s="15" t="s">
        <v>41817</v>
      </c>
      <c r="B7025" s="15" t="s">
        <v>12985</v>
      </c>
      <c r="C7025" s="15" t="s">
        <v>12986</v>
      </c>
      <c r="D7025" s="15" t="s">
        <v>12987</v>
      </c>
      <c r="E7025" s="15">
        <v>9.1242999999999999</v>
      </c>
      <c r="F7025" s="42">
        <v>46198</v>
      </c>
    </row>
    <row r="7026" spans="1:6" x14ac:dyDescent="0.3">
      <c r="A7026" s="15" t="s">
        <v>41816</v>
      </c>
      <c r="B7026" s="15" t="s">
        <v>12988</v>
      </c>
      <c r="C7026" s="15" t="s">
        <v>12989</v>
      </c>
      <c r="D7026" s="15" t="s">
        <v>12990</v>
      </c>
      <c r="E7026" s="15">
        <v>8.9085999999999999</v>
      </c>
      <c r="F7026" s="42">
        <v>46198</v>
      </c>
    </row>
    <row r="7027" spans="1:6" x14ac:dyDescent="0.3">
      <c r="A7027" s="15" t="s">
        <v>41815</v>
      </c>
      <c r="B7027" s="15" t="s">
        <v>12991</v>
      </c>
      <c r="C7027" s="15" t="s">
        <v>800</v>
      </c>
      <c r="D7027" s="15" t="s">
        <v>12992</v>
      </c>
      <c r="E7027" s="15">
        <v>8.9085000000000001</v>
      </c>
      <c r="F7027" s="42">
        <v>46198</v>
      </c>
    </row>
    <row r="7028" spans="1:6" x14ac:dyDescent="0.3">
      <c r="A7028" s="15" t="s">
        <v>41814</v>
      </c>
      <c r="B7028" s="15" t="s">
        <v>12993</v>
      </c>
      <c r="C7028" s="15" t="s">
        <v>800</v>
      </c>
      <c r="D7028" s="15" t="s">
        <v>12994</v>
      </c>
      <c r="E7028" s="15">
        <v>10.419</v>
      </c>
      <c r="F7028" s="42">
        <v>46198</v>
      </c>
    </row>
    <row r="7029" spans="1:6" x14ac:dyDescent="0.3">
      <c r="A7029" s="15" t="s">
        <v>41813</v>
      </c>
      <c r="B7029" s="15" t="s">
        <v>12995</v>
      </c>
      <c r="C7029" s="15" t="s">
        <v>12996</v>
      </c>
      <c r="D7029" s="15" t="s">
        <v>12997</v>
      </c>
      <c r="E7029" s="15">
        <v>10.419</v>
      </c>
      <c r="F7029" s="42">
        <v>46198</v>
      </c>
    </row>
    <row r="7030" spans="1:6" x14ac:dyDescent="0.3">
      <c r="A7030" s="15" t="s">
        <v>41812</v>
      </c>
      <c r="B7030" s="15" t="s">
        <v>12998</v>
      </c>
      <c r="C7030" s="15" t="s">
        <v>800</v>
      </c>
      <c r="D7030" s="15" t="s">
        <v>12999</v>
      </c>
      <c r="E7030" s="15">
        <v>10.3635</v>
      </c>
      <c r="F7030" s="42">
        <v>46198</v>
      </c>
    </row>
    <row r="7031" spans="1:6" x14ac:dyDescent="0.3">
      <c r="A7031" s="15" t="s">
        <v>41811</v>
      </c>
      <c r="B7031" s="15" t="s">
        <v>13000</v>
      </c>
      <c r="C7031" s="15" t="s">
        <v>13001</v>
      </c>
      <c r="D7031" s="15" t="s">
        <v>13002</v>
      </c>
      <c r="E7031" s="15">
        <v>10.3635</v>
      </c>
      <c r="F7031" s="42">
        <v>46198</v>
      </c>
    </row>
    <row r="7032" spans="1:6" x14ac:dyDescent="0.3">
      <c r="A7032" s="15" t="s">
        <v>41810</v>
      </c>
      <c r="B7032" s="15" t="s">
        <v>13003</v>
      </c>
      <c r="C7032" s="15" t="s">
        <v>800</v>
      </c>
      <c r="D7032" s="15" t="s">
        <v>13004</v>
      </c>
      <c r="E7032" s="15">
        <v>12.9842</v>
      </c>
      <c r="F7032" s="42">
        <v>46198</v>
      </c>
    </row>
    <row r="7033" spans="1:6" x14ac:dyDescent="0.3">
      <c r="A7033" s="15" t="s">
        <v>41809</v>
      </c>
      <c r="B7033" s="15" t="s">
        <v>13005</v>
      </c>
      <c r="C7033" s="15" t="s">
        <v>13006</v>
      </c>
      <c r="D7033" s="15" t="s">
        <v>13007</v>
      </c>
      <c r="E7033" s="15">
        <v>12.533799999999999</v>
      </c>
      <c r="F7033" s="42">
        <v>46198</v>
      </c>
    </row>
    <row r="7034" spans="1:6" x14ac:dyDescent="0.3">
      <c r="A7034" s="15" t="s">
        <v>41808</v>
      </c>
      <c r="B7034" s="15" t="s">
        <v>13008</v>
      </c>
      <c r="C7034" s="15" t="s">
        <v>800</v>
      </c>
      <c r="D7034" s="15" t="s">
        <v>13009</v>
      </c>
      <c r="E7034" s="15">
        <v>12.8779</v>
      </c>
      <c r="F7034" s="42">
        <v>46198</v>
      </c>
    </row>
    <row r="7035" spans="1:6" x14ac:dyDescent="0.3">
      <c r="A7035" s="15" t="s">
        <v>41807</v>
      </c>
      <c r="B7035" s="15" t="s">
        <v>13010</v>
      </c>
      <c r="C7035" s="15" t="s">
        <v>13011</v>
      </c>
      <c r="D7035" s="15" t="s">
        <v>13012</v>
      </c>
      <c r="E7035" s="15">
        <v>12.4291</v>
      </c>
      <c r="F7035" s="42">
        <v>46198</v>
      </c>
    </row>
    <row r="7036" spans="1:6" x14ac:dyDescent="0.3">
      <c r="A7036" s="15" t="s">
        <v>41806</v>
      </c>
      <c r="B7036" s="15" t="s">
        <v>13013</v>
      </c>
      <c r="C7036" s="15" t="s">
        <v>800</v>
      </c>
      <c r="D7036" s="15" t="s">
        <v>13014</v>
      </c>
      <c r="E7036" s="15">
        <v>14.2948</v>
      </c>
      <c r="F7036" s="42">
        <v>46198</v>
      </c>
    </row>
    <row r="7037" spans="1:6" x14ac:dyDescent="0.3">
      <c r="A7037" s="15" t="s">
        <v>41805</v>
      </c>
      <c r="B7037" s="15" t="s">
        <v>13015</v>
      </c>
      <c r="C7037" s="15" t="s">
        <v>13016</v>
      </c>
      <c r="D7037" s="15" t="s">
        <v>13017</v>
      </c>
      <c r="E7037" s="15">
        <v>14.293900000000001</v>
      </c>
      <c r="F7037" s="42">
        <v>46198</v>
      </c>
    </row>
    <row r="7038" spans="1:6" x14ac:dyDescent="0.3">
      <c r="A7038" s="15" t="s">
        <v>41804</v>
      </c>
      <c r="B7038" s="15" t="s">
        <v>13018</v>
      </c>
      <c r="C7038" s="15" t="s">
        <v>800</v>
      </c>
      <c r="D7038" s="15" t="s">
        <v>13019</v>
      </c>
      <c r="E7038" s="15">
        <v>14.0265</v>
      </c>
      <c r="F7038" s="42">
        <v>46198</v>
      </c>
    </row>
    <row r="7039" spans="1:6" x14ac:dyDescent="0.3">
      <c r="A7039" s="15" t="s">
        <v>41803</v>
      </c>
      <c r="B7039" s="15" t="s">
        <v>13020</v>
      </c>
      <c r="C7039" s="15" t="s">
        <v>13021</v>
      </c>
      <c r="D7039" s="15" t="s">
        <v>13022</v>
      </c>
      <c r="E7039" s="15">
        <v>14.0267</v>
      </c>
      <c r="F7039" s="42">
        <v>46198</v>
      </c>
    </row>
    <row r="7040" spans="1:6" x14ac:dyDescent="0.3">
      <c r="A7040" s="15" t="s">
        <v>41802</v>
      </c>
      <c r="B7040" s="15" t="s">
        <v>13023</v>
      </c>
      <c r="C7040" s="15" t="s">
        <v>13024</v>
      </c>
      <c r="D7040" s="15" t="s">
        <v>13025</v>
      </c>
      <c r="E7040" s="15">
        <v>11.6252</v>
      </c>
      <c r="F7040" s="42">
        <v>46198</v>
      </c>
    </row>
    <row r="7041" spans="1:6" x14ac:dyDescent="0.3">
      <c r="A7041" s="15" t="s">
        <v>41801</v>
      </c>
      <c r="B7041" s="15" t="s">
        <v>13026</v>
      </c>
      <c r="C7041" s="15" t="s">
        <v>800</v>
      </c>
      <c r="D7041" s="15" t="s">
        <v>13027</v>
      </c>
      <c r="E7041" s="15">
        <v>11.6258</v>
      </c>
      <c r="F7041" s="42">
        <v>46198</v>
      </c>
    </row>
    <row r="7042" spans="1:6" x14ac:dyDescent="0.3">
      <c r="A7042" s="15" t="s">
        <v>41800</v>
      </c>
      <c r="B7042" s="15" t="s">
        <v>13028</v>
      </c>
      <c r="C7042" s="15" t="s">
        <v>13029</v>
      </c>
      <c r="D7042" s="15" t="s">
        <v>13030</v>
      </c>
      <c r="E7042" s="15">
        <v>11.319000000000001</v>
      </c>
      <c r="F7042" s="42">
        <v>46198</v>
      </c>
    </row>
    <row r="7043" spans="1:6" x14ac:dyDescent="0.3">
      <c r="A7043" s="15" t="s">
        <v>41799</v>
      </c>
      <c r="B7043" s="15" t="s">
        <v>13031</v>
      </c>
      <c r="C7043" s="15" t="s">
        <v>800</v>
      </c>
      <c r="D7043" s="15" t="s">
        <v>13032</v>
      </c>
      <c r="E7043" s="15">
        <v>11.3192</v>
      </c>
      <c r="F7043" s="42">
        <v>46198</v>
      </c>
    </row>
    <row r="7044" spans="1:6" x14ac:dyDescent="0.3">
      <c r="A7044" s="15" t="s">
        <v>41798</v>
      </c>
      <c r="B7044" s="15" t="s">
        <v>13033</v>
      </c>
      <c r="C7044" s="15" t="s">
        <v>800</v>
      </c>
      <c r="D7044" s="15" t="s">
        <v>13034</v>
      </c>
      <c r="E7044" s="15">
        <v>10.163399999999999</v>
      </c>
      <c r="F7044" s="42">
        <v>46198</v>
      </c>
    </row>
    <row r="7045" spans="1:6" x14ac:dyDescent="0.3">
      <c r="A7045" s="15" t="s">
        <v>41797</v>
      </c>
      <c r="B7045" s="15" t="s">
        <v>13035</v>
      </c>
      <c r="C7045" s="15" t="s">
        <v>13036</v>
      </c>
      <c r="D7045" s="15" t="s">
        <v>13037</v>
      </c>
      <c r="E7045" s="15">
        <v>9.5574999999999992</v>
      </c>
      <c r="F7045" s="42">
        <v>46198</v>
      </c>
    </row>
    <row r="7046" spans="1:6" x14ac:dyDescent="0.3">
      <c r="A7046" s="15" t="s">
        <v>41796</v>
      </c>
      <c r="B7046" s="15" t="s">
        <v>13038</v>
      </c>
      <c r="C7046" s="15" t="s">
        <v>800</v>
      </c>
      <c r="D7046" s="15" t="s">
        <v>13039</v>
      </c>
      <c r="E7046" s="15">
        <v>9.5934000000000008</v>
      </c>
      <c r="F7046" s="42">
        <v>46198</v>
      </c>
    </row>
    <row r="7047" spans="1:6" x14ac:dyDescent="0.3">
      <c r="A7047" s="15" t="s">
        <v>41795</v>
      </c>
      <c r="B7047" s="15" t="s">
        <v>13040</v>
      </c>
      <c r="C7047" s="15" t="s">
        <v>13041</v>
      </c>
      <c r="D7047" s="15" t="s">
        <v>13042</v>
      </c>
      <c r="E7047" s="15">
        <v>8.8449000000000009</v>
      </c>
      <c r="F7047" s="42">
        <v>46198</v>
      </c>
    </row>
    <row r="7048" spans="1:6" x14ac:dyDescent="0.3">
      <c r="A7048" s="15" t="s">
        <v>41794</v>
      </c>
      <c r="B7048" s="15" t="s">
        <v>13043</v>
      </c>
      <c r="C7048" s="15" t="s">
        <v>800</v>
      </c>
      <c r="D7048" s="15" t="s">
        <v>13044</v>
      </c>
      <c r="E7048" s="15">
        <v>11.036099999999999</v>
      </c>
      <c r="F7048" s="42">
        <v>46198</v>
      </c>
    </row>
    <row r="7049" spans="1:6" x14ac:dyDescent="0.3">
      <c r="A7049" s="15" t="s">
        <v>41793</v>
      </c>
      <c r="B7049" s="15" t="s">
        <v>13045</v>
      </c>
      <c r="C7049" s="15" t="s">
        <v>13046</v>
      </c>
      <c r="D7049" s="15" t="s">
        <v>13047</v>
      </c>
      <c r="E7049" s="15">
        <v>11.036099999999999</v>
      </c>
      <c r="F7049" s="42">
        <v>46198</v>
      </c>
    </row>
    <row r="7050" spans="1:6" x14ac:dyDescent="0.3">
      <c r="A7050" s="15" t="s">
        <v>41792</v>
      </c>
      <c r="B7050" s="15" t="s">
        <v>13048</v>
      </c>
      <c r="C7050" s="15" t="s">
        <v>800</v>
      </c>
      <c r="D7050" s="15" t="s">
        <v>13049</v>
      </c>
      <c r="E7050" s="15">
        <v>10.947100000000001</v>
      </c>
      <c r="F7050" s="42">
        <v>46198</v>
      </c>
    </row>
    <row r="7051" spans="1:6" x14ac:dyDescent="0.3">
      <c r="A7051" s="15" t="s">
        <v>41791</v>
      </c>
      <c r="B7051" s="15" t="s">
        <v>13050</v>
      </c>
      <c r="C7051" s="15" t="s">
        <v>13051</v>
      </c>
      <c r="D7051" s="15" t="s">
        <v>13052</v>
      </c>
      <c r="E7051" s="15">
        <v>10.947100000000001</v>
      </c>
      <c r="F7051" s="42">
        <v>46198</v>
      </c>
    </row>
    <row r="7052" spans="1:6" x14ac:dyDescent="0.3">
      <c r="A7052" s="15" t="s">
        <v>41790</v>
      </c>
      <c r="B7052" s="15" t="s">
        <v>13053</v>
      </c>
      <c r="C7052" s="15" t="s">
        <v>800</v>
      </c>
      <c r="D7052" s="15" t="s">
        <v>13054</v>
      </c>
      <c r="E7052" s="15">
        <v>11.5283</v>
      </c>
      <c r="F7052" s="42">
        <v>46198</v>
      </c>
    </row>
    <row r="7053" spans="1:6" x14ac:dyDescent="0.3">
      <c r="A7053" s="15" t="s">
        <v>41789</v>
      </c>
      <c r="B7053" s="15" t="s">
        <v>13055</v>
      </c>
      <c r="C7053" s="15" t="s">
        <v>13056</v>
      </c>
      <c r="D7053" s="15" t="s">
        <v>13057</v>
      </c>
      <c r="E7053" s="15">
        <v>11.5283</v>
      </c>
      <c r="F7053" s="42">
        <v>46198</v>
      </c>
    </row>
    <row r="7054" spans="1:6" x14ac:dyDescent="0.3">
      <c r="A7054" s="15" t="s">
        <v>41788</v>
      </c>
      <c r="B7054" s="15" t="s">
        <v>13058</v>
      </c>
      <c r="C7054" s="15" t="s">
        <v>13059</v>
      </c>
      <c r="D7054" s="15" t="s">
        <v>13060</v>
      </c>
      <c r="E7054" s="15">
        <v>11.517899999999999</v>
      </c>
      <c r="F7054" s="42">
        <v>46198</v>
      </c>
    </row>
    <row r="7055" spans="1:6" x14ac:dyDescent="0.3">
      <c r="A7055" s="15" t="s">
        <v>41787</v>
      </c>
      <c r="B7055" s="15" t="s">
        <v>13061</v>
      </c>
      <c r="C7055" s="15" t="s">
        <v>800</v>
      </c>
      <c r="D7055" s="15" t="s">
        <v>13062</v>
      </c>
      <c r="E7055" s="15">
        <v>11.517899999999999</v>
      </c>
      <c r="F7055" s="42">
        <v>46198</v>
      </c>
    </row>
    <row r="7056" spans="1:6" x14ac:dyDescent="0.3">
      <c r="A7056" s="15" t="s">
        <v>33499</v>
      </c>
      <c r="B7056" s="15" t="s">
        <v>795</v>
      </c>
      <c r="C7056" s="15" t="s">
        <v>795</v>
      </c>
      <c r="D7056" s="15" t="s">
        <v>795</v>
      </c>
      <c r="F7056" s="42"/>
    </row>
    <row r="7057" spans="1:6" x14ac:dyDescent="0.3">
      <c r="A7057" s="15" t="s">
        <v>208</v>
      </c>
      <c r="B7057" s="15" t="s">
        <v>795</v>
      </c>
      <c r="C7057" s="15" t="s">
        <v>795</v>
      </c>
      <c r="D7057" s="15" t="s">
        <v>795</v>
      </c>
      <c r="F7057" s="42"/>
    </row>
    <row r="7058" spans="1:6" x14ac:dyDescent="0.3">
      <c r="A7058" s="15" t="s">
        <v>33499</v>
      </c>
      <c r="B7058" s="15" t="s">
        <v>795</v>
      </c>
      <c r="C7058" s="15" t="s">
        <v>795</v>
      </c>
      <c r="D7058" s="15" t="s">
        <v>795</v>
      </c>
      <c r="F7058" s="42"/>
    </row>
    <row r="7059" spans="1:6" x14ac:dyDescent="0.3">
      <c r="A7059" s="15" t="s">
        <v>41786</v>
      </c>
      <c r="B7059" s="15" t="s">
        <v>13063</v>
      </c>
      <c r="C7059" s="15" t="s">
        <v>800</v>
      </c>
      <c r="D7059" s="15" t="s">
        <v>13064</v>
      </c>
      <c r="E7059" s="15">
        <v>12.5939</v>
      </c>
      <c r="F7059" s="42">
        <v>46198</v>
      </c>
    </row>
    <row r="7060" spans="1:6" x14ac:dyDescent="0.3">
      <c r="A7060" s="15" t="s">
        <v>41785</v>
      </c>
      <c r="B7060" s="15" t="s">
        <v>13065</v>
      </c>
      <c r="C7060" s="15" t="s">
        <v>13066</v>
      </c>
      <c r="D7060" s="15" t="s">
        <v>13067</v>
      </c>
      <c r="E7060" s="15">
        <v>12.7569</v>
      </c>
      <c r="F7060" s="42">
        <v>46198</v>
      </c>
    </row>
    <row r="7061" spans="1:6" x14ac:dyDescent="0.3">
      <c r="A7061" s="15" t="s">
        <v>41784</v>
      </c>
      <c r="B7061" s="15" t="s">
        <v>13068</v>
      </c>
      <c r="C7061" s="15" t="s">
        <v>13069</v>
      </c>
      <c r="D7061" s="15" t="s">
        <v>13070</v>
      </c>
      <c r="E7061" s="15">
        <v>12.5939</v>
      </c>
      <c r="F7061" s="42">
        <v>46198</v>
      </c>
    </row>
    <row r="7062" spans="1:6" x14ac:dyDescent="0.3">
      <c r="A7062" s="15" t="s">
        <v>41783</v>
      </c>
      <c r="B7062" s="15" t="s">
        <v>13071</v>
      </c>
      <c r="C7062" s="15" t="s">
        <v>800</v>
      </c>
      <c r="D7062" s="15" t="s">
        <v>13072</v>
      </c>
      <c r="E7062" s="15">
        <v>12.7569</v>
      </c>
      <c r="F7062" s="42">
        <v>46198</v>
      </c>
    </row>
    <row r="7063" spans="1:6" x14ac:dyDescent="0.3">
      <c r="A7063" s="15" t="s">
        <v>41782</v>
      </c>
      <c r="B7063" s="15" t="s">
        <v>13073</v>
      </c>
      <c r="C7063" s="15" t="s">
        <v>800</v>
      </c>
      <c r="D7063" s="15" t="s">
        <v>13074</v>
      </c>
      <c r="E7063" s="15">
        <v>715.42809999999997</v>
      </c>
      <c r="F7063" s="42">
        <v>46198</v>
      </c>
    </row>
    <row r="7064" spans="1:6" x14ac:dyDescent="0.3">
      <c r="A7064" s="15" t="s">
        <v>41781</v>
      </c>
      <c r="B7064" s="15" t="s">
        <v>13075</v>
      </c>
      <c r="C7064" s="15" t="s">
        <v>800</v>
      </c>
      <c r="D7064" s="15" t="s">
        <v>13076</v>
      </c>
      <c r="E7064" s="15">
        <v>715.42809999999997</v>
      </c>
      <c r="F7064" s="42">
        <v>46198</v>
      </c>
    </row>
    <row r="7065" spans="1:6" x14ac:dyDescent="0.3">
      <c r="A7065" s="15" t="s">
        <v>41780</v>
      </c>
      <c r="B7065" s="15" t="s">
        <v>13077</v>
      </c>
      <c r="C7065" s="15" t="s">
        <v>13078</v>
      </c>
      <c r="D7065" s="15" t="s">
        <v>13079</v>
      </c>
      <c r="E7065" s="15">
        <v>68.867199999999997</v>
      </c>
      <c r="F7065" s="42">
        <v>46198</v>
      </c>
    </row>
    <row r="7066" spans="1:6" x14ac:dyDescent="0.3">
      <c r="A7066" s="15" t="s">
        <v>41779</v>
      </c>
      <c r="B7066" s="15" t="s">
        <v>13080</v>
      </c>
      <c r="C7066" s="15" t="s">
        <v>13081</v>
      </c>
      <c r="D7066" s="15" t="s">
        <v>13082</v>
      </c>
      <c r="E7066" s="15">
        <v>103.911</v>
      </c>
      <c r="F7066" s="42">
        <v>46198</v>
      </c>
    </row>
    <row r="7067" spans="1:6" x14ac:dyDescent="0.3">
      <c r="A7067" s="15" t="s">
        <v>41778</v>
      </c>
      <c r="B7067" s="15" t="s">
        <v>13083</v>
      </c>
      <c r="C7067" s="15" t="s">
        <v>800</v>
      </c>
      <c r="D7067" s="15" t="s">
        <v>13084</v>
      </c>
      <c r="E7067" s="15">
        <v>649.50459999999998</v>
      </c>
      <c r="F7067" s="42">
        <v>46198</v>
      </c>
    </row>
    <row r="7068" spans="1:6" x14ac:dyDescent="0.3">
      <c r="A7068" s="15" t="s">
        <v>41777</v>
      </c>
      <c r="B7068" s="15" t="s">
        <v>13085</v>
      </c>
      <c r="C7068" s="15" t="s">
        <v>800</v>
      </c>
      <c r="D7068" s="15" t="s">
        <v>13086</v>
      </c>
      <c r="E7068" s="15">
        <v>649.50459999999998</v>
      </c>
      <c r="F7068" s="42">
        <v>46198</v>
      </c>
    </row>
    <row r="7069" spans="1:6" x14ac:dyDescent="0.3">
      <c r="A7069" s="15" t="s">
        <v>41776</v>
      </c>
      <c r="B7069" s="15" t="s">
        <v>13087</v>
      </c>
      <c r="C7069" s="15" t="s">
        <v>13088</v>
      </c>
      <c r="D7069" s="15" t="s">
        <v>13089</v>
      </c>
      <c r="E7069" s="15">
        <v>52.019199999999998</v>
      </c>
      <c r="F7069" s="42">
        <v>46198</v>
      </c>
    </row>
    <row r="7070" spans="1:6" x14ac:dyDescent="0.3">
      <c r="A7070" s="15" t="s">
        <v>41775</v>
      </c>
      <c r="B7070" s="15" t="s">
        <v>13090</v>
      </c>
      <c r="C7070" s="15" t="s">
        <v>800</v>
      </c>
      <c r="D7070" s="15" t="s">
        <v>13091</v>
      </c>
      <c r="E7070" s="15">
        <v>212.3802</v>
      </c>
      <c r="F7070" s="42">
        <v>46198</v>
      </c>
    </row>
    <row r="7071" spans="1:6" x14ac:dyDescent="0.3">
      <c r="A7071" s="15" t="s">
        <v>41774</v>
      </c>
      <c r="B7071" s="15" t="s">
        <v>13092</v>
      </c>
      <c r="C7071" s="15" t="s">
        <v>800</v>
      </c>
      <c r="D7071" s="15" t="s">
        <v>13093</v>
      </c>
      <c r="E7071" s="15">
        <v>212.3802</v>
      </c>
      <c r="F7071" s="42">
        <v>46198</v>
      </c>
    </row>
    <row r="7072" spans="1:6" x14ac:dyDescent="0.3">
      <c r="A7072" s="15" t="s">
        <v>41773</v>
      </c>
      <c r="B7072" s="15" t="s">
        <v>13094</v>
      </c>
      <c r="C7072" s="15" t="s">
        <v>13095</v>
      </c>
      <c r="D7072" s="15" t="s">
        <v>13096</v>
      </c>
      <c r="E7072" s="15">
        <v>33.736699999999999</v>
      </c>
      <c r="F7072" s="42">
        <v>46198</v>
      </c>
    </row>
    <row r="7073" spans="1:6" x14ac:dyDescent="0.3">
      <c r="A7073" s="15" t="s">
        <v>41772</v>
      </c>
      <c r="B7073" s="15" t="s">
        <v>13097</v>
      </c>
      <c r="C7073" s="15" t="s">
        <v>800</v>
      </c>
      <c r="D7073" s="15" t="s">
        <v>13098</v>
      </c>
      <c r="E7073" s="15">
        <v>186.6739</v>
      </c>
      <c r="F7073" s="42">
        <v>46198</v>
      </c>
    </row>
    <row r="7074" spans="1:6" x14ac:dyDescent="0.3">
      <c r="A7074" s="15" t="s">
        <v>41771</v>
      </c>
      <c r="B7074" s="15" t="s">
        <v>13099</v>
      </c>
      <c r="C7074" s="15" t="s">
        <v>800</v>
      </c>
      <c r="D7074" s="15" t="s">
        <v>13100</v>
      </c>
      <c r="E7074" s="15">
        <v>186.6739</v>
      </c>
      <c r="F7074" s="42">
        <v>46198</v>
      </c>
    </row>
    <row r="7075" spans="1:6" x14ac:dyDescent="0.3">
      <c r="A7075" s="15" t="s">
        <v>41770</v>
      </c>
      <c r="B7075" s="15" t="s">
        <v>13101</v>
      </c>
      <c r="C7075" s="15" t="s">
        <v>800</v>
      </c>
      <c r="D7075" s="15" t="s">
        <v>13102</v>
      </c>
      <c r="E7075" s="15">
        <v>14.9611</v>
      </c>
      <c r="F7075" s="42">
        <v>46198</v>
      </c>
    </row>
    <row r="7076" spans="1:6" x14ac:dyDescent="0.3">
      <c r="A7076" s="15" t="s">
        <v>41769</v>
      </c>
      <c r="B7076" s="15" t="s">
        <v>13103</v>
      </c>
      <c r="C7076" s="15" t="s">
        <v>13104</v>
      </c>
      <c r="D7076" s="15" t="s">
        <v>13105</v>
      </c>
      <c r="E7076" s="15">
        <v>14.9611</v>
      </c>
      <c r="F7076" s="42">
        <v>46198</v>
      </c>
    </row>
    <row r="7077" spans="1:6" x14ac:dyDescent="0.3">
      <c r="A7077" s="15" t="s">
        <v>41768</v>
      </c>
      <c r="B7077" s="15" t="s">
        <v>13106</v>
      </c>
      <c r="C7077" s="15" t="s">
        <v>800</v>
      </c>
      <c r="D7077" s="15" t="s">
        <v>13107</v>
      </c>
      <c r="E7077" s="15">
        <v>14.4155</v>
      </c>
      <c r="F7077" s="42">
        <v>46198</v>
      </c>
    </row>
    <row r="7078" spans="1:6" x14ac:dyDescent="0.3">
      <c r="A7078" s="15" t="s">
        <v>41767</v>
      </c>
      <c r="B7078" s="15" t="s">
        <v>13108</v>
      </c>
      <c r="C7078" s="15" t="s">
        <v>13109</v>
      </c>
      <c r="D7078" s="15" t="s">
        <v>13110</v>
      </c>
      <c r="E7078" s="15">
        <v>14.4155</v>
      </c>
      <c r="F7078" s="42">
        <v>46198</v>
      </c>
    </row>
    <row r="7079" spans="1:6" x14ac:dyDescent="0.3">
      <c r="A7079" s="15" t="s">
        <v>41766</v>
      </c>
      <c r="B7079" s="15" t="s">
        <v>13111</v>
      </c>
      <c r="C7079" s="15" t="s">
        <v>800</v>
      </c>
      <c r="D7079" s="15" t="s">
        <v>13112</v>
      </c>
      <c r="E7079" s="15">
        <v>30.249600000000001</v>
      </c>
      <c r="F7079" s="42">
        <v>46198</v>
      </c>
    </row>
    <row r="7080" spans="1:6" x14ac:dyDescent="0.3">
      <c r="A7080" s="15" t="s">
        <v>41765</v>
      </c>
      <c r="B7080" s="15" t="s">
        <v>13113</v>
      </c>
      <c r="C7080" s="15" t="s">
        <v>800</v>
      </c>
      <c r="D7080" s="15" t="s">
        <v>13114</v>
      </c>
      <c r="E7080" s="15">
        <v>26.799299999999999</v>
      </c>
      <c r="F7080" s="42">
        <v>46198</v>
      </c>
    </row>
    <row r="7081" spans="1:6" x14ac:dyDescent="0.3">
      <c r="A7081" s="15" t="s">
        <v>41764</v>
      </c>
      <c r="B7081" s="15" t="s">
        <v>13115</v>
      </c>
      <c r="C7081" s="15" t="s">
        <v>800</v>
      </c>
      <c r="D7081" s="15" t="s">
        <v>13116</v>
      </c>
      <c r="E7081" s="15">
        <v>30.249600000000001</v>
      </c>
      <c r="F7081" s="42">
        <v>46198</v>
      </c>
    </row>
    <row r="7082" spans="1:6" x14ac:dyDescent="0.3">
      <c r="A7082" s="15" t="s">
        <v>41763</v>
      </c>
      <c r="B7082" s="15" t="s">
        <v>13117</v>
      </c>
      <c r="C7082" s="15" t="s">
        <v>800</v>
      </c>
      <c r="D7082" s="15" t="s">
        <v>13118</v>
      </c>
      <c r="E7082" s="15">
        <v>30.249600000000001</v>
      </c>
      <c r="F7082" s="42">
        <v>46198</v>
      </c>
    </row>
    <row r="7083" spans="1:6" x14ac:dyDescent="0.3">
      <c r="A7083" s="15" t="s">
        <v>41762</v>
      </c>
      <c r="B7083" s="15" t="s">
        <v>13119</v>
      </c>
      <c r="C7083" s="15" t="s">
        <v>800</v>
      </c>
      <c r="D7083" s="15" t="s">
        <v>13120</v>
      </c>
      <c r="E7083" s="15">
        <v>26.799299999999999</v>
      </c>
      <c r="F7083" s="42">
        <v>46198</v>
      </c>
    </row>
    <row r="7084" spans="1:6" x14ac:dyDescent="0.3">
      <c r="A7084" s="15" t="s">
        <v>41761</v>
      </c>
      <c r="B7084" s="15" t="s">
        <v>13121</v>
      </c>
      <c r="C7084" s="15" t="s">
        <v>800</v>
      </c>
      <c r="D7084" s="15" t="s">
        <v>13122</v>
      </c>
      <c r="E7084" s="15">
        <v>26.799299999999999</v>
      </c>
      <c r="F7084" s="42">
        <v>46198</v>
      </c>
    </row>
    <row r="7085" spans="1:6" x14ac:dyDescent="0.3">
      <c r="A7085" s="15" t="s">
        <v>41760</v>
      </c>
      <c r="B7085" s="15" t="s">
        <v>13123</v>
      </c>
      <c r="C7085" s="15" t="s">
        <v>800</v>
      </c>
      <c r="D7085" s="15" t="s">
        <v>13124</v>
      </c>
      <c r="E7085" s="15">
        <v>10.768000000000001</v>
      </c>
      <c r="F7085" s="42">
        <v>46198</v>
      </c>
    </row>
    <row r="7086" spans="1:6" x14ac:dyDescent="0.3">
      <c r="A7086" s="15" t="s">
        <v>41759</v>
      </c>
      <c r="B7086" s="15" t="s">
        <v>13125</v>
      </c>
      <c r="C7086" s="15" t="s">
        <v>13126</v>
      </c>
      <c r="D7086" s="15" t="s">
        <v>13127</v>
      </c>
      <c r="E7086" s="15">
        <v>10.768000000000001</v>
      </c>
      <c r="F7086" s="42">
        <v>46198</v>
      </c>
    </row>
    <row r="7087" spans="1:6" x14ac:dyDescent="0.3">
      <c r="A7087" s="15" t="s">
        <v>41758</v>
      </c>
      <c r="B7087" s="15" t="s">
        <v>13128</v>
      </c>
      <c r="C7087" s="15" t="s">
        <v>13129</v>
      </c>
      <c r="D7087" s="15" t="s">
        <v>13130</v>
      </c>
      <c r="E7087" s="15">
        <v>10.6411</v>
      </c>
      <c r="F7087" s="42">
        <v>46198</v>
      </c>
    </row>
    <row r="7088" spans="1:6" x14ac:dyDescent="0.3">
      <c r="A7088" s="15" t="s">
        <v>41757</v>
      </c>
      <c r="B7088" s="15" t="s">
        <v>13131</v>
      </c>
      <c r="C7088" s="15" t="s">
        <v>800</v>
      </c>
      <c r="D7088" s="15" t="s">
        <v>13132</v>
      </c>
      <c r="E7088" s="15">
        <v>10.6411</v>
      </c>
      <c r="F7088" s="42">
        <v>46198</v>
      </c>
    </row>
    <row r="7089" spans="1:6" x14ac:dyDescent="0.3">
      <c r="A7089" s="15" t="s">
        <v>41756</v>
      </c>
      <c r="B7089" s="15" t="s">
        <v>13133</v>
      </c>
      <c r="C7089" s="15" t="s">
        <v>13134</v>
      </c>
      <c r="D7089" s="15" t="s">
        <v>13135</v>
      </c>
      <c r="E7089" s="15">
        <v>169.3126</v>
      </c>
      <c r="F7089" s="42">
        <v>46198</v>
      </c>
    </row>
    <row r="7090" spans="1:6" x14ac:dyDescent="0.3">
      <c r="A7090" s="15" t="s">
        <v>41755</v>
      </c>
      <c r="B7090" s="15" t="s">
        <v>13136</v>
      </c>
      <c r="C7090" s="15" t="s">
        <v>800</v>
      </c>
      <c r="D7090" s="15" t="s">
        <v>13137</v>
      </c>
      <c r="E7090" s="15">
        <v>618.65430000000003</v>
      </c>
      <c r="F7090" s="42">
        <v>46198</v>
      </c>
    </row>
    <row r="7091" spans="1:6" x14ac:dyDescent="0.3">
      <c r="A7091" s="15" t="s">
        <v>41754</v>
      </c>
      <c r="B7091" s="15" t="s">
        <v>13138</v>
      </c>
      <c r="C7091" s="15" t="s">
        <v>800</v>
      </c>
      <c r="D7091" s="15" t="s">
        <v>13139</v>
      </c>
      <c r="E7091" s="15">
        <v>618.65430000000003</v>
      </c>
      <c r="F7091" s="42">
        <v>46198</v>
      </c>
    </row>
    <row r="7092" spans="1:6" x14ac:dyDescent="0.3">
      <c r="A7092" s="15" t="s">
        <v>41753</v>
      </c>
      <c r="B7092" s="15" t="s">
        <v>13140</v>
      </c>
      <c r="C7092" s="15" t="s">
        <v>13141</v>
      </c>
      <c r="D7092" s="15" t="s">
        <v>13142</v>
      </c>
      <c r="E7092" s="15">
        <v>118.9465</v>
      </c>
      <c r="F7092" s="42">
        <v>46198</v>
      </c>
    </row>
    <row r="7093" spans="1:6" x14ac:dyDescent="0.3">
      <c r="A7093" s="15" t="s">
        <v>41752</v>
      </c>
      <c r="B7093" s="15" t="s">
        <v>13143</v>
      </c>
      <c r="C7093" s="15" t="s">
        <v>800</v>
      </c>
      <c r="D7093" s="15" t="s">
        <v>13144</v>
      </c>
      <c r="E7093" s="15">
        <v>550.82079999999996</v>
      </c>
      <c r="F7093" s="42">
        <v>46198</v>
      </c>
    </row>
    <row r="7094" spans="1:6" x14ac:dyDescent="0.3">
      <c r="A7094" s="15" t="s">
        <v>41751</v>
      </c>
      <c r="B7094" s="15" t="s">
        <v>13145</v>
      </c>
      <c r="C7094" s="15" t="s">
        <v>800</v>
      </c>
      <c r="D7094" s="15" t="s">
        <v>13146</v>
      </c>
      <c r="E7094" s="15">
        <v>550.82079999999996</v>
      </c>
      <c r="F7094" s="42">
        <v>46198</v>
      </c>
    </row>
    <row r="7095" spans="1:6" x14ac:dyDescent="0.3">
      <c r="A7095" s="15" t="s">
        <v>41750</v>
      </c>
      <c r="B7095" s="15" t="s">
        <v>13147</v>
      </c>
      <c r="C7095" s="15" t="s">
        <v>13148</v>
      </c>
      <c r="D7095" s="15" t="s">
        <v>13149</v>
      </c>
      <c r="E7095" s="15">
        <v>76.991699999999994</v>
      </c>
      <c r="F7095" s="42">
        <v>46198</v>
      </c>
    </row>
    <row r="7096" spans="1:6" x14ac:dyDescent="0.3">
      <c r="A7096" s="15" t="s">
        <v>41749</v>
      </c>
      <c r="B7096" s="15" t="s">
        <v>13150</v>
      </c>
      <c r="C7096" s="15" t="s">
        <v>800</v>
      </c>
      <c r="D7096" s="15" t="s">
        <v>13151</v>
      </c>
      <c r="E7096" s="15">
        <v>420.02820000000003</v>
      </c>
      <c r="F7096" s="42">
        <v>46198</v>
      </c>
    </row>
    <row r="7097" spans="1:6" x14ac:dyDescent="0.3">
      <c r="A7097" s="15" t="s">
        <v>41748</v>
      </c>
      <c r="B7097" s="15" t="s">
        <v>13152</v>
      </c>
      <c r="C7097" s="15" t="s">
        <v>800</v>
      </c>
      <c r="D7097" s="15" t="s">
        <v>13153</v>
      </c>
      <c r="E7097" s="15">
        <v>420.02820000000003</v>
      </c>
      <c r="F7097" s="42">
        <v>46198</v>
      </c>
    </row>
    <row r="7098" spans="1:6" x14ac:dyDescent="0.3">
      <c r="A7098" s="15" t="s">
        <v>41747</v>
      </c>
      <c r="B7098" s="15" t="s">
        <v>13154</v>
      </c>
      <c r="C7098" s="15" t="s">
        <v>13155</v>
      </c>
      <c r="D7098" s="15" t="s">
        <v>13156</v>
      </c>
      <c r="E7098" s="15">
        <v>66.923900000000003</v>
      </c>
      <c r="F7098" s="42">
        <v>46198</v>
      </c>
    </row>
    <row r="7099" spans="1:6" x14ac:dyDescent="0.3">
      <c r="A7099" s="15" t="s">
        <v>41746</v>
      </c>
      <c r="B7099" s="15" t="s">
        <v>13157</v>
      </c>
      <c r="C7099" s="15" t="s">
        <v>800</v>
      </c>
      <c r="D7099" s="15" t="s">
        <v>13158</v>
      </c>
      <c r="E7099" s="15">
        <v>384.86079999999998</v>
      </c>
      <c r="F7099" s="42">
        <v>46198</v>
      </c>
    </row>
    <row r="7100" spans="1:6" x14ac:dyDescent="0.3">
      <c r="A7100" s="15" t="s">
        <v>41745</v>
      </c>
      <c r="B7100" s="15" t="s">
        <v>13159</v>
      </c>
      <c r="C7100" s="15" t="s">
        <v>800</v>
      </c>
      <c r="D7100" s="15" t="s">
        <v>13160</v>
      </c>
      <c r="E7100" s="15">
        <v>384.86079999999998</v>
      </c>
      <c r="F7100" s="42">
        <v>46198</v>
      </c>
    </row>
    <row r="7101" spans="1:6" x14ac:dyDescent="0.3">
      <c r="A7101" s="15" t="s">
        <v>41744</v>
      </c>
      <c r="B7101" s="15" t="s">
        <v>13161</v>
      </c>
      <c r="C7101" s="15" t="s">
        <v>13162</v>
      </c>
      <c r="D7101" s="15" t="s">
        <v>13163</v>
      </c>
      <c r="E7101" s="15">
        <v>45.366</v>
      </c>
      <c r="F7101" s="42">
        <v>46198</v>
      </c>
    </row>
    <row r="7102" spans="1:6" x14ac:dyDescent="0.3">
      <c r="A7102" s="15" t="s">
        <v>41743</v>
      </c>
      <c r="B7102" s="15" t="s">
        <v>13164</v>
      </c>
      <c r="C7102" s="15" t="s">
        <v>800</v>
      </c>
      <c r="D7102" s="15" t="s">
        <v>13165</v>
      </c>
      <c r="E7102" s="15">
        <v>79.082800000000006</v>
      </c>
      <c r="F7102" s="42">
        <v>46198</v>
      </c>
    </row>
    <row r="7103" spans="1:6" x14ac:dyDescent="0.3">
      <c r="A7103" s="15" t="s">
        <v>41742</v>
      </c>
      <c r="B7103" s="15" t="s">
        <v>13166</v>
      </c>
      <c r="C7103" s="15" t="s">
        <v>800</v>
      </c>
      <c r="D7103" s="15" t="s">
        <v>13167</v>
      </c>
      <c r="E7103" s="15">
        <v>79.082800000000006</v>
      </c>
      <c r="F7103" s="42">
        <v>46198</v>
      </c>
    </row>
    <row r="7104" spans="1:6" x14ac:dyDescent="0.3">
      <c r="A7104" s="15" t="s">
        <v>41741</v>
      </c>
      <c r="B7104" s="15" t="s">
        <v>13168</v>
      </c>
      <c r="C7104" s="15" t="s">
        <v>13169</v>
      </c>
      <c r="D7104" s="15" t="s">
        <v>13170</v>
      </c>
      <c r="E7104" s="15">
        <v>38.749400000000001</v>
      </c>
      <c r="F7104" s="42">
        <v>46198</v>
      </c>
    </row>
    <row r="7105" spans="1:6" x14ac:dyDescent="0.3">
      <c r="A7105" s="15" t="s">
        <v>41740</v>
      </c>
      <c r="B7105" s="15" t="s">
        <v>13171</v>
      </c>
      <c r="C7105" s="15" t="s">
        <v>800</v>
      </c>
      <c r="D7105" s="15" t="s">
        <v>13172</v>
      </c>
      <c r="E7105" s="15">
        <v>72.687899999999999</v>
      </c>
      <c r="F7105" s="42">
        <v>46198</v>
      </c>
    </row>
    <row r="7106" spans="1:6" x14ac:dyDescent="0.3">
      <c r="A7106" s="15" t="s">
        <v>41739</v>
      </c>
      <c r="B7106" s="15" t="s">
        <v>13173</v>
      </c>
      <c r="C7106" s="15" t="s">
        <v>800</v>
      </c>
      <c r="D7106" s="15" t="s">
        <v>13174</v>
      </c>
      <c r="E7106" s="15">
        <v>72.687899999999999</v>
      </c>
      <c r="F7106" s="42">
        <v>46198</v>
      </c>
    </row>
    <row r="7107" spans="1:6" x14ac:dyDescent="0.3">
      <c r="A7107" s="15" t="s">
        <v>41738</v>
      </c>
      <c r="B7107" s="15" t="s">
        <v>13175</v>
      </c>
      <c r="C7107" s="15" t="s">
        <v>800</v>
      </c>
      <c r="D7107" s="15" t="s">
        <v>13176</v>
      </c>
      <c r="E7107" s="15">
        <v>38.893999999999998</v>
      </c>
      <c r="F7107" s="42">
        <v>46198</v>
      </c>
    </row>
    <row r="7108" spans="1:6" x14ac:dyDescent="0.3">
      <c r="A7108" s="15" t="s">
        <v>41737</v>
      </c>
      <c r="B7108" s="15" t="s">
        <v>13177</v>
      </c>
      <c r="C7108" s="15" t="s">
        <v>13178</v>
      </c>
      <c r="D7108" s="15" t="s">
        <v>13179</v>
      </c>
      <c r="E7108" s="15">
        <v>38.893999999999998</v>
      </c>
      <c r="F7108" s="42">
        <v>46198</v>
      </c>
    </row>
    <row r="7109" spans="1:6" x14ac:dyDescent="0.3">
      <c r="A7109" s="15" t="s">
        <v>41736</v>
      </c>
      <c r="B7109" s="15" t="s">
        <v>13180</v>
      </c>
      <c r="C7109" s="15" t="s">
        <v>800</v>
      </c>
      <c r="D7109" s="15" t="s">
        <v>13181</v>
      </c>
      <c r="E7109" s="15">
        <v>36.415599999999998</v>
      </c>
      <c r="F7109" s="42">
        <v>46198</v>
      </c>
    </row>
    <row r="7110" spans="1:6" x14ac:dyDescent="0.3">
      <c r="A7110" s="15" t="s">
        <v>41735</v>
      </c>
      <c r="B7110" s="15" t="s">
        <v>13182</v>
      </c>
      <c r="C7110" s="15" t="s">
        <v>13183</v>
      </c>
      <c r="D7110" s="15" t="s">
        <v>13184</v>
      </c>
      <c r="E7110" s="15">
        <v>36.415599999999998</v>
      </c>
      <c r="F7110" s="42">
        <v>46198</v>
      </c>
    </row>
    <row r="7111" spans="1:6" x14ac:dyDescent="0.3">
      <c r="A7111" s="15" t="s">
        <v>41734</v>
      </c>
      <c r="B7111" s="15" t="s">
        <v>13185</v>
      </c>
      <c r="C7111" s="15" t="s">
        <v>13186</v>
      </c>
      <c r="D7111" s="15" t="s">
        <v>13187</v>
      </c>
      <c r="E7111" s="15">
        <v>44.049399999999999</v>
      </c>
      <c r="F7111" s="42">
        <v>46198</v>
      </c>
    </row>
    <row r="7112" spans="1:6" x14ac:dyDescent="0.3">
      <c r="A7112" s="15" t="s">
        <v>41733</v>
      </c>
      <c r="B7112" s="15" t="s">
        <v>13188</v>
      </c>
      <c r="C7112" s="15" t="s">
        <v>13189</v>
      </c>
      <c r="D7112" s="15" t="s">
        <v>13190</v>
      </c>
      <c r="E7112" s="15">
        <v>39.066699999999997</v>
      </c>
      <c r="F7112" s="42">
        <v>46198</v>
      </c>
    </row>
    <row r="7113" spans="1:6" x14ac:dyDescent="0.3">
      <c r="A7113" s="15" t="s">
        <v>41732</v>
      </c>
      <c r="B7113" s="15" t="s">
        <v>13191</v>
      </c>
      <c r="C7113" s="15" t="s">
        <v>800</v>
      </c>
      <c r="D7113" s="15" t="s">
        <v>13192</v>
      </c>
      <c r="E7113" s="15">
        <v>44.049399999999999</v>
      </c>
      <c r="F7113" s="42">
        <v>46198</v>
      </c>
    </row>
    <row r="7114" spans="1:6" x14ac:dyDescent="0.3">
      <c r="A7114" s="15" t="s">
        <v>41731</v>
      </c>
      <c r="B7114" s="15" t="s">
        <v>13193</v>
      </c>
      <c r="C7114" s="15" t="s">
        <v>800</v>
      </c>
      <c r="D7114" s="15" t="s">
        <v>13194</v>
      </c>
      <c r="E7114" s="15">
        <v>39.066699999999997</v>
      </c>
      <c r="F7114" s="42">
        <v>46198</v>
      </c>
    </row>
    <row r="7115" spans="1:6" x14ac:dyDescent="0.3">
      <c r="A7115" s="15" t="s">
        <v>33499</v>
      </c>
      <c r="B7115" s="15" t="s">
        <v>795</v>
      </c>
      <c r="C7115" s="15" t="s">
        <v>795</v>
      </c>
      <c r="D7115" s="15" t="s">
        <v>795</v>
      </c>
      <c r="F7115" s="42"/>
    </row>
    <row r="7116" spans="1:6" x14ac:dyDescent="0.3">
      <c r="A7116" s="15" t="s">
        <v>37523</v>
      </c>
      <c r="B7116" s="15" t="s">
        <v>795</v>
      </c>
      <c r="C7116" s="15" t="s">
        <v>795</v>
      </c>
      <c r="D7116" s="15" t="s">
        <v>795</v>
      </c>
      <c r="F7116" s="42"/>
    </row>
    <row r="7117" spans="1:6" x14ac:dyDescent="0.3">
      <c r="A7117" s="15" t="s">
        <v>33499</v>
      </c>
      <c r="B7117" s="15" t="s">
        <v>795</v>
      </c>
      <c r="C7117" s="15" t="s">
        <v>795</v>
      </c>
      <c r="D7117" s="15" t="s">
        <v>795</v>
      </c>
      <c r="F7117" s="42"/>
    </row>
    <row r="7118" spans="1:6" x14ac:dyDescent="0.3">
      <c r="A7118" s="15" t="s">
        <v>41730</v>
      </c>
      <c r="B7118" s="15" t="s">
        <v>13195</v>
      </c>
      <c r="C7118" s="15" t="s">
        <v>800</v>
      </c>
      <c r="D7118" s="15" t="s">
        <v>13196</v>
      </c>
      <c r="E7118" s="15">
        <v>11.5</v>
      </c>
      <c r="F7118" s="42">
        <v>46198</v>
      </c>
    </row>
    <row r="7119" spans="1:6" x14ac:dyDescent="0.3">
      <c r="A7119" s="15" t="s">
        <v>41729</v>
      </c>
      <c r="B7119" s="15" t="s">
        <v>13197</v>
      </c>
      <c r="C7119" s="15" t="s">
        <v>13198</v>
      </c>
      <c r="D7119" s="15" t="s">
        <v>13199</v>
      </c>
      <c r="E7119" s="15">
        <v>11.5</v>
      </c>
      <c r="F7119" s="42">
        <v>46198</v>
      </c>
    </row>
    <row r="7120" spans="1:6" x14ac:dyDescent="0.3">
      <c r="A7120" s="15" t="s">
        <v>41728</v>
      </c>
      <c r="B7120" s="15" t="s">
        <v>13200</v>
      </c>
      <c r="C7120" s="15" t="s">
        <v>800</v>
      </c>
      <c r="D7120" s="15" t="s">
        <v>13201</v>
      </c>
      <c r="E7120" s="15">
        <v>11.2</v>
      </c>
      <c r="F7120" s="42">
        <v>46198</v>
      </c>
    </row>
    <row r="7121" spans="1:6" x14ac:dyDescent="0.3">
      <c r="A7121" s="15" t="s">
        <v>41727</v>
      </c>
      <c r="B7121" s="15" t="s">
        <v>13202</v>
      </c>
      <c r="C7121" s="15" t="s">
        <v>13203</v>
      </c>
      <c r="D7121" s="15" t="s">
        <v>13204</v>
      </c>
      <c r="E7121" s="15">
        <v>11.2</v>
      </c>
      <c r="F7121" s="42">
        <v>46198</v>
      </c>
    </row>
    <row r="7122" spans="1:6" x14ac:dyDescent="0.3">
      <c r="A7122" s="15" t="s">
        <v>33499</v>
      </c>
      <c r="B7122" s="15" t="s">
        <v>795</v>
      </c>
      <c r="C7122" s="15" t="s">
        <v>795</v>
      </c>
      <c r="D7122" s="15" t="s">
        <v>795</v>
      </c>
      <c r="F7122" s="42"/>
    </row>
    <row r="7123" spans="1:6" x14ac:dyDescent="0.3">
      <c r="A7123" s="15" t="s">
        <v>40216</v>
      </c>
      <c r="B7123" s="15" t="s">
        <v>795</v>
      </c>
      <c r="C7123" s="15" t="s">
        <v>795</v>
      </c>
      <c r="D7123" s="15" t="s">
        <v>795</v>
      </c>
      <c r="F7123" s="42"/>
    </row>
    <row r="7124" spans="1:6" x14ac:dyDescent="0.3">
      <c r="A7124" s="15" t="s">
        <v>33499</v>
      </c>
      <c r="B7124" s="15" t="s">
        <v>795</v>
      </c>
      <c r="C7124" s="15" t="s">
        <v>795</v>
      </c>
      <c r="D7124" s="15" t="s">
        <v>795</v>
      </c>
      <c r="F7124" s="42"/>
    </row>
    <row r="7125" spans="1:6" x14ac:dyDescent="0.3">
      <c r="A7125" s="15" t="s">
        <v>41726</v>
      </c>
      <c r="B7125" s="15" t="s">
        <v>13205</v>
      </c>
      <c r="C7125" s="15" t="s">
        <v>800</v>
      </c>
      <c r="D7125" s="15" t="s">
        <v>13206</v>
      </c>
      <c r="E7125" s="15">
        <v>21.255400000000002</v>
      </c>
      <c r="F7125" s="42">
        <v>46198</v>
      </c>
    </row>
    <row r="7126" spans="1:6" x14ac:dyDescent="0.3">
      <c r="A7126" s="15" t="s">
        <v>41725</v>
      </c>
      <c r="B7126" s="15" t="s">
        <v>13207</v>
      </c>
      <c r="C7126" s="15" t="s">
        <v>800</v>
      </c>
      <c r="D7126" s="15" t="s">
        <v>13208</v>
      </c>
      <c r="E7126" s="15">
        <v>20.248899999999999</v>
      </c>
      <c r="F7126" s="42">
        <v>46198</v>
      </c>
    </row>
    <row r="7127" spans="1:6" x14ac:dyDescent="0.3">
      <c r="A7127" s="15" t="s">
        <v>41724</v>
      </c>
      <c r="B7127" s="15" t="s">
        <v>13209</v>
      </c>
      <c r="C7127" s="15" t="s">
        <v>13210</v>
      </c>
      <c r="D7127" s="15" t="s">
        <v>13211</v>
      </c>
      <c r="E7127" s="15">
        <v>21.2791</v>
      </c>
      <c r="F7127" s="42">
        <v>46198</v>
      </c>
    </row>
    <row r="7128" spans="1:6" x14ac:dyDescent="0.3">
      <c r="A7128" s="15" t="s">
        <v>41723</v>
      </c>
      <c r="B7128" s="15" t="s">
        <v>13212</v>
      </c>
      <c r="C7128" s="15" t="s">
        <v>13213</v>
      </c>
      <c r="D7128" s="15" t="s">
        <v>13214</v>
      </c>
      <c r="E7128" s="15">
        <v>20.247399999999999</v>
      </c>
      <c r="F7128" s="42">
        <v>46198</v>
      </c>
    </row>
    <row r="7129" spans="1:6" x14ac:dyDescent="0.3">
      <c r="A7129" s="15" t="s">
        <v>41722</v>
      </c>
      <c r="B7129" s="15" t="s">
        <v>13215</v>
      </c>
      <c r="C7129" s="15" t="s">
        <v>800</v>
      </c>
      <c r="D7129" s="15" t="s">
        <v>13216</v>
      </c>
      <c r="E7129" s="15">
        <v>17.575199999999999</v>
      </c>
      <c r="F7129" s="42">
        <v>46198</v>
      </c>
    </row>
    <row r="7130" spans="1:6" x14ac:dyDescent="0.3">
      <c r="A7130" s="15" t="s">
        <v>41721</v>
      </c>
      <c r="B7130" s="15" t="s">
        <v>13217</v>
      </c>
      <c r="C7130" s="15" t="s">
        <v>800</v>
      </c>
      <c r="D7130" s="15" t="s">
        <v>13218</v>
      </c>
      <c r="E7130" s="15">
        <v>16.7577</v>
      </c>
      <c r="F7130" s="42">
        <v>46198</v>
      </c>
    </row>
    <row r="7131" spans="1:6" x14ac:dyDescent="0.3">
      <c r="A7131" s="15" t="s">
        <v>41720</v>
      </c>
      <c r="B7131" s="15" t="s">
        <v>13219</v>
      </c>
      <c r="C7131" s="15" t="s">
        <v>13220</v>
      </c>
      <c r="D7131" s="15" t="s">
        <v>13221</v>
      </c>
      <c r="E7131" s="15">
        <v>17.5624</v>
      </c>
      <c r="F7131" s="42">
        <v>46198</v>
      </c>
    </row>
    <row r="7132" spans="1:6" x14ac:dyDescent="0.3">
      <c r="A7132" s="15" t="s">
        <v>41719</v>
      </c>
      <c r="B7132" s="15" t="s">
        <v>13222</v>
      </c>
      <c r="C7132" s="15" t="s">
        <v>13223</v>
      </c>
      <c r="D7132" s="15" t="s">
        <v>13224</v>
      </c>
      <c r="E7132" s="15">
        <v>16.773700000000002</v>
      </c>
      <c r="F7132" s="42">
        <v>46198</v>
      </c>
    </row>
    <row r="7133" spans="1:6" x14ac:dyDescent="0.3">
      <c r="A7133" s="15" t="s">
        <v>41718</v>
      </c>
      <c r="B7133" s="15" t="s">
        <v>13225</v>
      </c>
      <c r="C7133" s="15" t="s">
        <v>800</v>
      </c>
      <c r="D7133" s="15" t="s">
        <v>13226</v>
      </c>
      <c r="E7133" s="15">
        <v>15.3935</v>
      </c>
      <c r="F7133" s="42">
        <v>46198</v>
      </c>
    </row>
    <row r="7134" spans="1:6" x14ac:dyDescent="0.3">
      <c r="A7134" s="15" t="s">
        <v>41717</v>
      </c>
      <c r="B7134" s="15" t="s">
        <v>13227</v>
      </c>
      <c r="C7134" s="15" t="s">
        <v>800</v>
      </c>
      <c r="D7134" s="15" t="s">
        <v>13228</v>
      </c>
      <c r="E7134" s="15">
        <v>14.825900000000001</v>
      </c>
      <c r="F7134" s="42">
        <v>46198</v>
      </c>
    </row>
    <row r="7135" spans="1:6" x14ac:dyDescent="0.3">
      <c r="A7135" s="15" t="s">
        <v>41716</v>
      </c>
      <c r="B7135" s="15" t="s">
        <v>13229</v>
      </c>
      <c r="C7135" s="15" t="s">
        <v>13230</v>
      </c>
      <c r="D7135" s="15" t="s">
        <v>13231</v>
      </c>
      <c r="E7135" s="15">
        <v>15.3886</v>
      </c>
      <c r="F7135" s="42">
        <v>46198</v>
      </c>
    </row>
    <row r="7136" spans="1:6" x14ac:dyDescent="0.3">
      <c r="A7136" s="15" t="s">
        <v>41715</v>
      </c>
      <c r="B7136" s="15" t="s">
        <v>13232</v>
      </c>
      <c r="C7136" s="15" t="s">
        <v>13233</v>
      </c>
      <c r="D7136" s="15" t="s">
        <v>13234</v>
      </c>
      <c r="E7136" s="15">
        <v>14.823600000000001</v>
      </c>
      <c r="F7136" s="42">
        <v>46198</v>
      </c>
    </row>
    <row r="7137" spans="1:6" x14ac:dyDescent="0.3">
      <c r="A7137" s="15" t="s">
        <v>41714</v>
      </c>
      <c r="B7137" s="15" t="s">
        <v>13235</v>
      </c>
      <c r="C7137" s="15" t="s">
        <v>800</v>
      </c>
      <c r="D7137" s="15" t="s">
        <v>13236</v>
      </c>
      <c r="E7137" s="15">
        <v>10.4215</v>
      </c>
      <c r="F7137" s="42">
        <v>46198</v>
      </c>
    </row>
    <row r="7138" spans="1:6" x14ac:dyDescent="0.3">
      <c r="A7138" s="15" t="s">
        <v>41713</v>
      </c>
      <c r="B7138" s="15" t="s">
        <v>13237</v>
      </c>
      <c r="C7138" s="15" t="s">
        <v>800</v>
      </c>
      <c r="D7138" s="15" t="s">
        <v>13238</v>
      </c>
      <c r="E7138" s="15">
        <v>10.0395</v>
      </c>
      <c r="F7138" s="42">
        <v>46198</v>
      </c>
    </row>
    <row r="7139" spans="1:6" x14ac:dyDescent="0.3">
      <c r="A7139" s="15" t="s">
        <v>41712</v>
      </c>
      <c r="B7139" s="15" t="s">
        <v>13239</v>
      </c>
      <c r="C7139" s="15" t="s">
        <v>13240</v>
      </c>
      <c r="D7139" s="15" t="s">
        <v>13241</v>
      </c>
      <c r="E7139" s="15">
        <v>10.426299999999999</v>
      </c>
      <c r="F7139" s="42">
        <v>46198</v>
      </c>
    </row>
    <row r="7140" spans="1:6" x14ac:dyDescent="0.3">
      <c r="A7140" s="15" t="s">
        <v>41711</v>
      </c>
      <c r="B7140" s="15" t="s">
        <v>13242</v>
      </c>
      <c r="C7140" s="15" t="s">
        <v>13243</v>
      </c>
      <c r="D7140" s="15" t="s">
        <v>13244</v>
      </c>
      <c r="E7140" s="15">
        <v>10.0435</v>
      </c>
      <c r="F7140" s="42">
        <v>46198</v>
      </c>
    </row>
    <row r="7141" spans="1:6" x14ac:dyDescent="0.3">
      <c r="A7141" s="15" t="s">
        <v>41710</v>
      </c>
      <c r="B7141" s="15" t="s">
        <v>13245</v>
      </c>
      <c r="C7141" s="15" t="s">
        <v>800</v>
      </c>
      <c r="D7141" s="15" t="s">
        <v>13246</v>
      </c>
      <c r="E7141" s="15">
        <v>42.283999999999999</v>
      </c>
      <c r="F7141" s="42">
        <v>46198</v>
      </c>
    </row>
    <row r="7142" spans="1:6" x14ac:dyDescent="0.3">
      <c r="A7142" s="15" t="s">
        <v>41709</v>
      </c>
      <c r="B7142" s="15" t="s">
        <v>13247</v>
      </c>
      <c r="C7142" s="15" t="s">
        <v>800</v>
      </c>
      <c r="D7142" s="15" t="s">
        <v>13248</v>
      </c>
      <c r="E7142" s="15">
        <v>38.759799999999998</v>
      </c>
      <c r="F7142" s="42">
        <v>46198</v>
      </c>
    </row>
    <row r="7143" spans="1:6" x14ac:dyDescent="0.3">
      <c r="A7143" s="15" t="s">
        <v>41708</v>
      </c>
      <c r="B7143" s="15" t="s">
        <v>13249</v>
      </c>
      <c r="C7143" s="15" t="s">
        <v>13250</v>
      </c>
      <c r="D7143" s="15" t="s">
        <v>13251</v>
      </c>
      <c r="E7143" s="15">
        <v>42.230499999999999</v>
      </c>
      <c r="F7143" s="42">
        <v>46198</v>
      </c>
    </row>
    <row r="7144" spans="1:6" x14ac:dyDescent="0.3">
      <c r="A7144" s="15" t="s">
        <v>41707</v>
      </c>
      <c r="B7144" s="15" t="s">
        <v>13252</v>
      </c>
      <c r="C7144" s="15" t="s">
        <v>13253</v>
      </c>
      <c r="D7144" s="15" t="s">
        <v>13254</v>
      </c>
      <c r="E7144" s="15">
        <v>38.571399999999997</v>
      </c>
      <c r="F7144" s="42">
        <v>46198</v>
      </c>
    </row>
    <row r="7145" spans="1:6" x14ac:dyDescent="0.3">
      <c r="A7145" s="15" t="s">
        <v>41706</v>
      </c>
      <c r="B7145" s="15" t="s">
        <v>13255</v>
      </c>
      <c r="C7145" s="15" t="s">
        <v>800</v>
      </c>
      <c r="D7145" s="15" t="s">
        <v>13256</v>
      </c>
      <c r="E7145" s="15">
        <v>17.560600000000001</v>
      </c>
      <c r="F7145" s="42">
        <v>46198</v>
      </c>
    </row>
    <row r="7146" spans="1:6" x14ac:dyDescent="0.3">
      <c r="A7146" s="15" t="s">
        <v>41705</v>
      </c>
      <c r="B7146" s="15" t="s">
        <v>13257</v>
      </c>
      <c r="C7146" s="15" t="s">
        <v>800</v>
      </c>
      <c r="D7146" s="15" t="s">
        <v>13258</v>
      </c>
      <c r="E7146" s="15">
        <v>16.737400000000001</v>
      </c>
      <c r="F7146" s="42">
        <v>46198</v>
      </c>
    </row>
    <row r="7147" spans="1:6" x14ac:dyDescent="0.3">
      <c r="A7147" s="15" t="s">
        <v>41704</v>
      </c>
      <c r="B7147" s="15" t="s">
        <v>13259</v>
      </c>
      <c r="C7147" s="15" t="s">
        <v>13260</v>
      </c>
      <c r="D7147" s="15" t="s">
        <v>13261</v>
      </c>
      <c r="E7147" s="15">
        <v>17.558900000000001</v>
      </c>
      <c r="F7147" s="42">
        <v>46198</v>
      </c>
    </row>
    <row r="7148" spans="1:6" x14ac:dyDescent="0.3">
      <c r="A7148" s="15" t="s">
        <v>41703</v>
      </c>
      <c r="B7148" s="15" t="s">
        <v>13262</v>
      </c>
      <c r="C7148" s="15" t="s">
        <v>13263</v>
      </c>
      <c r="D7148" s="15" t="s">
        <v>13264</v>
      </c>
      <c r="E7148" s="15">
        <v>16.736599999999999</v>
      </c>
      <c r="F7148" s="42">
        <v>46198</v>
      </c>
    </row>
    <row r="7149" spans="1:6" x14ac:dyDescent="0.3">
      <c r="A7149" s="15" t="s">
        <v>41702</v>
      </c>
      <c r="B7149" s="15" t="s">
        <v>13265</v>
      </c>
      <c r="C7149" s="15" t="s">
        <v>800</v>
      </c>
      <c r="D7149" s="15" t="s">
        <v>13266</v>
      </c>
      <c r="E7149" s="15">
        <v>41.839199999999998</v>
      </c>
      <c r="F7149" s="42">
        <v>46198</v>
      </c>
    </row>
    <row r="7150" spans="1:6" x14ac:dyDescent="0.3">
      <c r="A7150" s="15" t="s">
        <v>41701</v>
      </c>
      <c r="B7150" s="15" t="s">
        <v>13267</v>
      </c>
      <c r="C7150" s="15" t="s">
        <v>800</v>
      </c>
      <c r="D7150" s="15" t="s">
        <v>13268</v>
      </c>
      <c r="E7150" s="15">
        <v>46.4373</v>
      </c>
      <c r="F7150" s="42">
        <v>46198</v>
      </c>
    </row>
    <row r="7151" spans="1:6" x14ac:dyDescent="0.3">
      <c r="A7151" s="15" t="s">
        <v>41700</v>
      </c>
      <c r="B7151" s="15" t="s">
        <v>13269</v>
      </c>
      <c r="C7151" s="15" t="s">
        <v>13270</v>
      </c>
      <c r="D7151" s="15" t="s">
        <v>13271</v>
      </c>
      <c r="E7151" s="15">
        <v>46.399900000000002</v>
      </c>
      <c r="F7151" s="42">
        <v>46198</v>
      </c>
    </row>
    <row r="7152" spans="1:6" x14ac:dyDescent="0.3">
      <c r="A7152" s="15" t="s">
        <v>41699</v>
      </c>
      <c r="B7152" s="15" t="s">
        <v>13272</v>
      </c>
      <c r="C7152" s="15" t="s">
        <v>13273</v>
      </c>
      <c r="D7152" s="15" t="s">
        <v>13274</v>
      </c>
      <c r="E7152" s="15">
        <v>41.745699999999999</v>
      </c>
      <c r="F7152" s="42">
        <v>46198</v>
      </c>
    </row>
    <row r="7153" spans="1:6" x14ac:dyDescent="0.3">
      <c r="A7153" s="15" t="s">
        <v>41698</v>
      </c>
      <c r="B7153" s="15" t="s">
        <v>13275</v>
      </c>
      <c r="C7153" s="15" t="s">
        <v>800</v>
      </c>
      <c r="D7153" s="15" t="s">
        <v>13276</v>
      </c>
      <c r="E7153" s="15">
        <v>17.172000000000001</v>
      </c>
      <c r="F7153" s="42">
        <v>46198</v>
      </c>
    </row>
    <row r="7154" spans="1:6" x14ac:dyDescent="0.3">
      <c r="A7154" s="15" t="s">
        <v>41697</v>
      </c>
      <c r="B7154" s="15" t="s">
        <v>13277</v>
      </c>
      <c r="C7154" s="15" t="s">
        <v>800</v>
      </c>
      <c r="D7154" s="15" t="s">
        <v>13278</v>
      </c>
      <c r="E7154" s="15">
        <v>16.436499999999999</v>
      </c>
      <c r="F7154" s="42">
        <v>46198</v>
      </c>
    </row>
    <row r="7155" spans="1:6" x14ac:dyDescent="0.3">
      <c r="A7155" s="15" t="s">
        <v>41696</v>
      </c>
      <c r="B7155" s="15" t="s">
        <v>13279</v>
      </c>
      <c r="C7155" s="15" t="s">
        <v>13280</v>
      </c>
      <c r="D7155" s="15" t="s">
        <v>13281</v>
      </c>
      <c r="E7155" s="15">
        <v>17.167400000000001</v>
      </c>
      <c r="F7155" s="42">
        <v>46198</v>
      </c>
    </row>
    <row r="7156" spans="1:6" x14ac:dyDescent="0.3">
      <c r="A7156" s="15" t="s">
        <v>41695</v>
      </c>
      <c r="B7156" s="15" t="s">
        <v>13282</v>
      </c>
      <c r="C7156" s="15" t="s">
        <v>13283</v>
      </c>
      <c r="D7156" s="15" t="s">
        <v>13284</v>
      </c>
      <c r="E7156" s="15">
        <v>16.561900000000001</v>
      </c>
      <c r="F7156" s="42">
        <v>46198</v>
      </c>
    </row>
    <row r="7157" spans="1:6" x14ac:dyDescent="0.3">
      <c r="A7157" s="15" t="s">
        <v>41694</v>
      </c>
      <c r="B7157" s="15" t="s">
        <v>13285</v>
      </c>
      <c r="C7157" s="15" t="s">
        <v>800</v>
      </c>
      <c r="D7157" s="15" t="s">
        <v>13286</v>
      </c>
      <c r="E7157" s="15">
        <v>15.924200000000001</v>
      </c>
      <c r="F7157" s="42">
        <v>46198</v>
      </c>
    </row>
    <row r="7158" spans="1:6" x14ac:dyDescent="0.3">
      <c r="A7158" s="15" t="s">
        <v>41693</v>
      </c>
      <c r="B7158" s="15" t="s">
        <v>13287</v>
      </c>
      <c r="C7158" s="15" t="s">
        <v>800</v>
      </c>
      <c r="D7158" s="15" t="s">
        <v>13288</v>
      </c>
      <c r="E7158" s="15">
        <v>15.403700000000001</v>
      </c>
      <c r="F7158" s="42">
        <v>46198</v>
      </c>
    </row>
    <row r="7159" spans="1:6" x14ac:dyDescent="0.3">
      <c r="A7159" s="15" t="s">
        <v>41692</v>
      </c>
      <c r="B7159" s="15" t="s">
        <v>13289</v>
      </c>
      <c r="C7159" s="15" t="s">
        <v>13290</v>
      </c>
      <c r="D7159" s="15" t="s">
        <v>13291</v>
      </c>
      <c r="E7159" s="15">
        <v>15.908099999999999</v>
      </c>
      <c r="F7159" s="42">
        <v>46198</v>
      </c>
    </row>
    <row r="7160" spans="1:6" x14ac:dyDescent="0.3">
      <c r="A7160" s="15" t="s">
        <v>41691</v>
      </c>
      <c r="B7160" s="15" t="s">
        <v>13292</v>
      </c>
      <c r="C7160" s="15" t="s">
        <v>13293</v>
      </c>
      <c r="D7160" s="15" t="s">
        <v>13294</v>
      </c>
      <c r="E7160" s="15">
        <v>15.354900000000001</v>
      </c>
      <c r="F7160" s="42">
        <v>46198</v>
      </c>
    </row>
    <row r="7161" spans="1:6" x14ac:dyDescent="0.3">
      <c r="A7161" s="15" t="s">
        <v>41690</v>
      </c>
      <c r="B7161" s="15" t="s">
        <v>13295</v>
      </c>
      <c r="C7161" s="15" t="s">
        <v>800</v>
      </c>
      <c r="D7161" s="15" t="s">
        <v>13296</v>
      </c>
      <c r="E7161" s="15">
        <v>10.9902</v>
      </c>
      <c r="F7161" s="42">
        <v>46198</v>
      </c>
    </row>
    <row r="7162" spans="1:6" x14ac:dyDescent="0.3">
      <c r="A7162" s="15" t="s">
        <v>41689</v>
      </c>
      <c r="B7162" s="15" t="s">
        <v>13297</v>
      </c>
      <c r="C7162" s="15" t="s">
        <v>800</v>
      </c>
      <c r="D7162" s="15" t="s">
        <v>13298</v>
      </c>
      <c r="E7162" s="15">
        <v>10.6326</v>
      </c>
      <c r="F7162" s="42">
        <v>46198</v>
      </c>
    </row>
    <row r="7163" spans="1:6" x14ac:dyDescent="0.3">
      <c r="A7163" s="15" t="s">
        <v>41688</v>
      </c>
      <c r="B7163" s="15" t="s">
        <v>13299</v>
      </c>
      <c r="C7163" s="15" t="s">
        <v>13300</v>
      </c>
      <c r="D7163" s="15" t="s">
        <v>13301</v>
      </c>
      <c r="E7163" s="15">
        <v>10.996600000000001</v>
      </c>
      <c r="F7163" s="42">
        <v>46198</v>
      </c>
    </row>
    <row r="7164" spans="1:6" x14ac:dyDescent="0.3">
      <c r="A7164" s="15" t="s">
        <v>41687</v>
      </c>
      <c r="B7164" s="15" t="s">
        <v>13302</v>
      </c>
      <c r="C7164" s="15" t="s">
        <v>13303</v>
      </c>
      <c r="D7164" s="15" t="s">
        <v>13304</v>
      </c>
      <c r="E7164" s="15">
        <v>10.632300000000001</v>
      </c>
      <c r="F7164" s="42">
        <v>46198</v>
      </c>
    </row>
    <row r="7165" spans="1:6" x14ac:dyDescent="0.3">
      <c r="A7165" s="15" t="s">
        <v>41686</v>
      </c>
      <c r="B7165" s="15" t="s">
        <v>13305</v>
      </c>
      <c r="C7165" s="15" t="s">
        <v>800</v>
      </c>
      <c r="D7165" s="15" t="s">
        <v>13306</v>
      </c>
      <c r="E7165" s="15">
        <v>27.579000000000001</v>
      </c>
      <c r="F7165" s="42">
        <v>46198</v>
      </c>
    </row>
    <row r="7166" spans="1:6" x14ac:dyDescent="0.3">
      <c r="A7166" s="15" t="s">
        <v>41685</v>
      </c>
      <c r="B7166" s="15" t="s">
        <v>13307</v>
      </c>
      <c r="C7166" s="15" t="s">
        <v>800</v>
      </c>
      <c r="D7166" s="15" t="s">
        <v>13308</v>
      </c>
      <c r="E7166" s="15">
        <v>25.5015</v>
      </c>
      <c r="F7166" s="42">
        <v>46198</v>
      </c>
    </row>
    <row r="7167" spans="1:6" x14ac:dyDescent="0.3">
      <c r="A7167" s="15" t="s">
        <v>41684</v>
      </c>
      <c r="B7167" s="15" t="s">
        <v>13309</v>
      </c>
      <c r="C7167" s="15" t="s">
        <v>13310</v>
      </c>
      <c r="D7167" s="15" t="s">
        <v>13311</v>
      </c>
      <c r="E7167" s="15">
        <v>27.730699999999999</v>
      </c>
      <c r="F7167" s="42">
        <v>46198</v>
      </c>
    </row>
    <row r="7168" spans="1:6" x14ac:dyDescent="0.3">
      <c r="A7168" s="15" t="s">
        <v>41683</v>
      </c>
      <c r="B7168" s="15" t="s">
        <v>13312</v>
      </c>
      <c r="C7168" s="15" t="s">
        <v>13313</v>
      </c>
      <c r="D7168" s="15" t="s">
        <v>13314</v>
      </c>
      <c r="E7168" s="15">
        <v>25.531099999999999</v>
      </c>
      <c r="F7168" s="42">
        <v>46198</v>
      </c>
    </row>
    <row r="7169" spans="1:6" x14ac:dyDescent="0.3">
      <c r="A7169" s="15" t="s">
        <v>41682</v>
      </c>
      <c r="B7169" s="15" t="s">
        <v>13315</v>
      </c>
      <c r="C7169" s="15" t="s">
        <v>800</v>
      </c>
      <c r="D7169" s="15" t="s">
        <v>13316</v>
      </c>
      <c r="E7169" s="15">
        <v>11.2133</v>
      </c>
      <c r="F7169" s="42">
        <v>46198</v>
      </c>
    </row>
    <row r="7170" spans="1:6" x14ac:dyDescent="0.3">
      <c r="A7170" s="15" t="s">
        <v>41681</v>
      </c>
      <c r="B7170" s="15" t="s">
        <v>13317</v>
      </c>
      <c r="C7170" s="15" t="s">
        <v>800</v>
      </c>
      <c r="D7170" s="15" t="s">
        <v>13318</v>
      </c>
      <c r="E7170" s="15">
        <v>10.7272</v>
      </c>
      <c r="F7170" s="42">
        <v>46198</v>
      </c>
    </row>
    <row r="7171" spans="1:6" x14ac:dyDescent="0.3">
      <c r="A7171" s="15" t="s">
        <v>41680</v>
      </c>
      <c r="B7171" s="15" t="s">
        <v>13319</v>
      </c>
      <c r="C7171" s="15" t="s">
        <v>13320</v>
      </c>
      <c r="D7171" s="15" t="s">
        <v>13321</v>
      </c>
      <c r="E7171" s="15">
        <v>11.2074</v>
      </c>
      <c r="F7171" s="42">
        <v>46198</v>
      </c>
    </row>
    <row r="7172" spans="1:6" x14ac:dyDescent="0.3">
      <c r="A7172" s="15" t="s">
        <v>41679</v>
      </c>
      <c r="B7172" s="15" t="s">
        <v>13322</v>
      </c>
      <c r="C7172" s="15" t="s">
        <v>13323</v>
      </c>
      <c r="D7172" s="15" t="s">
        <v>13324</v>
      </c>
      <c r="E7172" s="15">
        <v>10.7287</v>
      </c>
      <c r="F7172" s="42">
        <v>46198</v>
      </c>
    </row>
    <row r="7173" spans="1:6" x14ac:dyDescent="0.3">
      <c r="A7173" s="15" t="s">
        <v>33499</v>
      </c>
      <c r="B7173" s="15" t="s">
        <v>795</v>
      </c>
      <c r="C7173" s="15" t="s">
        <v>795</v>
      </c>
      <c r="D7173" s="15" t="s">
        <v>795</v>
      </c>
      <c r="F7173" s="42"/>
    </row>
    <row r="7174" spans="1:6" x14ac:dyDescent="0.3">
      <c r="A7174" s="15" t="s">
        <v>37684</v>
      </c>
      <c r="B7174" s="15" t="s">
        <v>795</v>
      </c>
      <c r="C7174" s="15" t="s">
        <v>795</v>
      </c>
      <c r="D7174" s="15" t="s">
        <v>795</v>
      </c>
      <c r="F7174" s="42"/>
    </row>
    <row r="7175" spans="1:6" x14ac:dyDescent="0.3">
      <c r="A7175" s="15" t="s">
        <v>33499</v>
      </c>
      <c r="B7175" s="15" t="s">
        <v>795</v>
      </c>
      <c r="C7175" s="15" t="s">
        <v>795</v>
      </c>
      <c r="D7175" s="15" t="s">
        <v>795</v>
      </c>
      <c r="F7175" s="42"/>
    </row>
    <row r="7176" spans="1:6" x14ac:dyDescent="0.3">
      <c r="A7176" s="15" t="s">
        <v>41678</v>
      </c>
      <c r="B7176" s="15" t="s">
        <v>13325</v>
      </c>
      <c r="C7176" s="15" t="s">
        <v>800</v>
      </c>
      <c r="D7176" s="15" t="s">
        <v>13326</v>
      </c>
      <c r="E7176" s="15">
        <v>24.38</v>
      </c>
      <c r="F7176" s="42">
        <v>46198</v>
      </c>
    </row>
    <row r="7177" spans="1:6" x14ac:dyDescent="0.3">
      <c r="A7177" s="15" t="s">
        <v>41677</v>
      </c>
      <c r="B7177" s="15" t="s">
        <v>13327</v>
      </c>
      <c r="C7177" s="15" t="s">
        <v>800</v>
      </c>
      <c r="D7177" s="15" t="s">
        <v>13328</v>
      </c>
      <c r="E7177" s="15">
        <v>22.8</v>
      </c>
      <c r="F7177" s="42">
        <v>46198</v>
      </c>
    </row>
    <row r="7178" spans="1:6" x14ac:dyDescent="0.3">
      <c r="A7178" s="15" t="s">
        <v>41676</v>
      </c>
      <c r="B7178" s="15" t="s">
        <v>13329</v>
      </c>
      <c r="C7178" s="15" t="s">
        <v>800</v>
      </c>
      <c r="D7178" s="15" t="s">
        <v>13330</v>
      </c>
      <c r="E7178" s="15">
        <v>9.7899999999999991</v>
      </c>
      <c r="F7178" s="42">
        <v>46198</v>
      </c>
    </row>
    <row r="7179" spans="1:6" x14ac:dyDescent="0.3">
      <c r="A7179" s="15" t="s">
        <v>41675</v>
      </c>
      <c r="B7179" s="15" t="s">
        <v>13331</v>
      </c>
      <c r="C7179" s="15" t="s">
        <v>800</v>
      </c>
      <c r="D7179" s="15" t="s">
        <v>13332</v>
      </c>
      <c r="E7179" s="15">
        <v>9.59</v>
      </c>
      <c r="F7179" s="42">
        <v>46198</v>
      </c>
    </row>
    <row r="7180" spans="1:6" x14ac:dyDescent="0.3">
      <c r="A7180" s="15" t="s">
        <v>33499</v>
      </c>
      <c r="B7180" s="15" t="s">
        <v>795</v>
      </c>
      <c r="C7180" s="15" t="s">
        <v>795</v>
      </c>
      <c r="D7180" s="15" t="s">
        <v>795</v>
      </c>
      <c r="F7180" s="42"/>
    </row>
    <row r="7181" spans="1:6" x14ac:dyDescent="0.3">
      <c r="A7181" s="15" t="s">
        <v>40209</v>
      </c>
      <c r="B7181" s="15" t="s">
        <v>795</v>
      </c>
      <c r="C7181" s="15" t="s">
        <v>795</v>
      </c>
      <c r="D7181" s="15" t="s">
        <v>795</v>
      </c>
      <c r="F7181" s="42"/>
    </row>
    <row r="7182" spans="1:6" x14ac:dyDescent="0.3">
      <c r="A7182" s="15" t="s">
        <v>33499</v>
      </c>
      <c r="B7182" s="15" t="s">
        <v>795</v>
      </c>
      <c r="C7182" s="15" t="s">
        <v>795</v>
      </c>
      <c r="D7182" s="15" t="s">
        <v>795</v>
      </c>
      <c r="F7182" s="42"/>
    </row>
    <row r="7183" spans="1:6" x14ac:dyDescent="0.3">
      <c r="A7183" s="15" t="s">
        <v>41674</v>
      </c>
      <c r="B7183" s="15" t="s">
        <v>13333</v>
      </c>
      <c r="C7183" s="15" t="s">
        <v>800</v>
      </c>
      <c r="D7183" s="15" t="s">
        <v>13334</v>
      </c>
      <c r="E7183" s="15">
        <v>14.96</v>
      </c>
      <c r="F7183" s="42">
        <v>46198</v>
      </c>
    </row>
    <row r="7184" spans="1:6" x14ac:dyDescent="0.3">
      <c r="A7184" s="15" t="s">
        <v>41673</v>
      </c>
      <c r="B7184" s="15" t="s">
        <v>13335</v>
      </c>
      <c r="C7184" s="15" t="s">
        <v>800</v>
      </c>
      <c r="D7184" s="15" t="s">
        <v>13336</v>
      </c>
      <c r="E7184" s="15">
        <v>14.35</v>
      </c>
      <c r="F7184" s="42">
        <v>46198</v>
      </c>
    </row>
    <row r="7185" spans="1:6" x14ac:dyDescent="0.3">
      <c r="A7185" s="15" t="s">
        <v>41672</v>
      </c>
      <c r="B7185" s="15" t="s">
        <v>13337</v>
      </c>
      <c r="C7185" s="15" t="s">
        <v>800</v>
      </c>
      <c r="D7185" s="15" t="s">
        <v>13338</v>
      </c>
      <c r="E7185" s="15">
        <v>8.8800000000000008</v>
      </c>
      <c r="F7185" s="42">
        <v>46198</v>
      </c>
    </row>
    <row r="7186" spans="1:6" x14ac:dyDescent="0.3">
      <c r="A7186" s="15" t="s">
        <v>41671</v>
      </c>
      <c r="B7186" s="15" t="s">
        <v>13339</v>
      </c>
      <c r="C7186" s="15" t="s">
        <v>800</v>
      </c>
      <c r="D7186" s="15" t="s">
        <v>13340</v>
      </c>
      <c r="E7186" s="15">
        <v>8.6</v>
      </c>
      <c r="F7186" s="42">
        <v>46198</v>
      </c>
    </row>
    <row r="7187" spans="1:6" x14ac:dyDescent="0.3">
      <c r="A7187" s="15" t="s">
        <v>33499</v>
      </c>
      <c r="B7187" s="15" t="s">
        <v>795</v>
      </c>
      <c r="C7187" s="15" t="s">
        <v>795</v>
      </c>
      <c r="D7187" s="15" t="s">
        <v>795</v>
      </c>
      <c r="F7187" s="42"/>
    </row>
    <row r="7188" spans="1:6" x14ac:dyDescent="0.3">
      <c r="A7188" s="15" t="s">
        <v>33636</v>
      </c>
      <c r="B7188" s="15" t="s">
        <v>795</v>
      </c>
      <c r="C7188" s="15" t="s">
        <v>795</v>
      </c>
      <c r="D7188" s="15" t="s">
        <v>795</v>
      </c>
      <c r="F7188" s="42"/>
    </row>
    <row r="7189" spans="1:6" x14ac:dyDescent="0.3">
      <c r="A7189" s="15" t="s">
        <v>33499</v>
      </c>
      <c r="B7189" s="15" t="s">
        <v>795</v>
      </c>
      <c r="C7189" s="15" t="s">
        <v>795</v>
      </c>
      <c r="D7189" s="15" t="s">
        <v>795</v>
      </c>
      <c r="F7189" s="42"/>
    </row>
    <row r="7190" spans="1:6" x14ac:dyDescent="0.3">
      <c r="A7190" s="15" t="s">
        <v>41670</v>
      </c>
      <c r="B7190" s="15" t="s">
        <v>13341</v>
      </c>
      <c r="C7190" s="15" t="s">
        <v>800</v>
      </c>
      <c r="D7190" s="15" t="s">
        <v>13342</v>
      </c>
      <c r="E7190" s="15">
        <v>12.4361</v>
      </c>
      <c r="F7190" s="42">
        <v>46198</v>
      </c>
    </row>
    <row r="7191" spans="1:6" x14ac:dyDescent="0.3">
      <c r="A7191" s="15" t="s">
        <v>41669</v>
      </c>
      <c r="B7191" s="15" t="s">
        <v>13343</v>
      </c>
      <c r="C7191" s="15" t="s">
        <v>13344</v>
      </c>
      <c r="D7191" s="15" t="s">
        <v>13345</v>
      </c>
      <c r="E7191" s="15">
        <v>12.435700000000001</v>
      </c>
      <c r="F7191" s="42">
        <v>46198</v>
      </c>
    </row>
    <row r="7192" spans="1:6" x14ac:dyDescent="0.3">
      <c r="A7192" s="15" t="s">
        <v>41668</v>
      </c>
      <c r="B7192" s="15" t="s">
        <v>13346</v>
      </c>
      <c r="C7192" s="15" t="s">
        <v>800</v>
      </c>
      <c r="D7192" s="15" t="s">
        <v>13347</v>
      </c>
      <c r="E7192" s="15">
        <v>12.1539</v>
      </c>
      <c r="F7192" s="42">
        <v>46198</v>
      </c>
    </row>
    <row r="7193" spans="1:6" x14ac:dyDescent="0.3">
      <c r="A7193" s="15" t="s">
        <v>41667</v>
      </c>
      <c r="B7193" s="15" t="s">
        <v>13348</v>
      </c>
      <c r="C7193" s="15" t="s">
        <v>13349</v>
      </c>
      <c r="D7193" s="15" t="s">
        <v>13350</v>
      </c>
      <c r="E7193" s="15">
        <v>12.1541</v>
      </c>
      <c r="F7193" s="42">
        <v>46198</v>
      </c>
    </row>
    <row r="7194" spans="1:6" x14ac:dyDescent="0.3">
      <c r="A7194" s="15" t="s">
        <v>41666</v>
      </c>
      <c r="B7194" s="15" t="s">
        <v>13351</v>
      </c>
      <c r="C7194" s="15" t="s">
        <v>800</v>
      </c>
      <c r="D7194" s="15" t="s">
        <v>13352</v>
      </c>
      <c r="E7194" s="15">
        <v>50.003700000000002</v>
      </c>
      <c r="F7194" s="42">
        <v>46198</v>
      </c>
    </row>
    <row r="7195" spans="1:6" x14ac:dyDescent="0.3">
      <c r="A7195" s="15" t="s">
        <v>41665</v>
      </c>
      <c r="B7195" s="15" t="s">
        <v>13353</v>
      </c>
      <c r="C7195" s="15" t="s">
        <v>13354</v>
      </c>
      <c r="D7195" s="15" t="s">
        <v>13355</v>
      </c>
      <c r="E7195" s="15">
        <v>44.695799999999998</v>
      </c>
      <c r="F7195" s="42">
        <v>46198</v>
      </c>
    </row>
    <row r="7196" spans="1:6" x14ac:dyDescent="0.3">
      <c r="A7196" s="15" t="s">
        <v>41664</v>
      </c>
      <c r="B7196" s="15" t="s">
        <v>13356</v>
      </c>
      <c r="C7196" s="15" t="s">
        <v>800</v>
      </c>
      <c r="D7196" s="15" t="s">
        <v>13357</v>
      </c>
      <c r="E7196" s="15">
        <v>44.3611</v>
      </c>
      <c r="F7196" s="42">
        <v>46198</v>
      </c>
    </row>
    <row r="7197" spans="1:6" x14ac:dyDescent="0.3">
      <c r="A7197" s="15" t="s">
        <v>41663</v>
      </c>
      <c r="B7197" s="15" t="s">
        <v>13358</v>
      </c>
      <c r="C7197" s="15" t="s">
        <v>13359</v>
      </c>
      <c r="D7197" s="15" t="s">
        <v>13360</v>
      </c>
      <c r="E7197" s="15">
        <v>39.838500000000003</v>
      </c>
      <c r="F7197" s="42">
        <v>46198</v>
      </c>
    </row>
    <row r="7198" spans="1:6" x14ac:dyDescent="0.3">
      <c r="A7198" s="15" t="s">
        <v>41662</v>
      </c>
      <c r="B7198" s="15" t="s">
        <v>13361</v>
      </c>
      <c r="C7198" s="15" t="s">
        <v>800</v>
      </c>
      <c r="D7198" s="15" t="s">
        <v>13362</v>
      </c>
      <c r="E7198" s="15">
        <v>123.9817</v>
      </c>
      <c r="F7198" s="42">
        <v>46198</v>
      </c>
    </row>
    <row r="7199" spans="1:6" x14ac:dyDescent="0.3">
      <c r="A7199" s="15" t="s">
        <v>41661</v>
      </c>
      <c r="B7199" s="15" t="s">
        <v>13363</v>
      </c>
      <c r="C7199" s="15" t="s">
        <v>13364</v>
      </c>
      <c r="D7199" s="15" t="s">
        <v>13365</v>
      </c>
      <c r="E7199" s="15">
        <v>70.551400000000001</v>
      </c>
      <c r="F7199" s="42">
        <v>46198</v>
      </c>
    </row>
    <row r="7200" spans="1:6" x14ac:dyDescent="0.3">
      <c r="A7200" s="15" t="s">
        <v>41660</v>
      </c>
      <c r="B7200" s="15" t="s">
        <v>13366</v>
      </c>
      <c r="C7200" s="15" t="s">
        <v>800</v>
      </c>
      <c r="D7200" s="15" t="s">
        <v>13367</v>
      </c>
      <c r="E7200" s="15">
        <v>113.9158</v>
      </c>
      <c r="F7200" s="42">
        <v>46198</v>
      </c>
    </row>
    <row r="7201" spans="1:6" x14ac:dyDescent="0.3">
      <c r="A7201" s="15" t="s">
        <v>41659</v>
      </c>
      <c r="B7201" s="15" t="s">
        <v>13368</v>
      </c>
      <c r="C7201" s="15" t="s">
        <v>13369</v>
      </c>
      <c r="D7201" s="15" t="s">
        <v>13370</v>
      </c>
      <c r="E7201" s="15">
        <v>64.659400000000005</v>
      </c>
      <c r="F7201" s="42">
        <v>46198</v>
      </c>
    </row>
    <row r="7202" spans="1:6" x14ac:dyDescent="0.3">
      <c r="A7202" s="15" t="s">
        <v>41658</v>
      </c>
      <c r="B7202" s="15" t="s">
        <v>13371</v>
      </c>
      <c r="C7202" s="15" t="s">
        <v>800</v>
      </c>
      <c r="D7202" s="15" t="s">
        <v>13372</v>
      </c>
      <c r="E7202" s="15">
        <v>327.91289999999998</v>
      </c>
      <c r="F7202" s="42">
        <v>46198</v>
      </c>
    </row>
    <row r="7203" spans="1:6" x14ac:dyDescent="0.3">
      <c r="A7203" s="15" t="s">
        <v>41657</v>
      </c>
      <c r="B7203" s="15" t="s">
        <v>13373</v>
      </c>
      <c r="C7203" s="15" t="s">
        <v>13374</v>
      </c>
      <c r="D7203" s="15" t="s">
        <v>13375</v>
      </c>
      <c r="E7203" s="15">
        <v>230.84739999999999</v>
      </c>
      <c r="F7203" s="42">
        <v>46198</v>
      </c>
    </row>
    <row r="7204" spans="1:6" x14ac:dyDescent="0.3">
      <c r="A7204" s="15" t="s">
        <v>41656</v>
      </c>
      <c r="B7204" s="15" t="s">
        <v>13376</v>
      </c>
      <c r="C7204" s="15" t="s">
        <v>800</v>
      </c>
      <c r="D7204" s="15" t="s">
        <v>13377</v>
      </c>
      <c r="E7204" s="15">
        <v>284.62900000000002</v>
      </c>
      <c r="F7204" s="42">
        <v>46198</v>
      </c>
    </row>
    <row r="7205" spans="1:6" x14ac:dyDescent="0.3">
      <c r="A7205" s="15" t="s">
        <v>41655</v>
      </c>
      <c r="B7205" s="15" t="s">
        <v>13378</v>
      </c>
      <c r="C7205" s="15" t="s">
        <v>13379</v>
      </c>
      <c r="D7205" s="15" t="s">
        <v>13380</v>
      </c>
      <c r="E7205" s="15">
        <v>171.36619999999999</v>
      </c>
      <c r="F7205" s="42">
        <v>46198</v>
      </c>
    </row>
    <row r="7206" spans="1:6" x14ac:dyDescent="0.3">
      <c r="A7206" s="15" t="s">
        <v>41654</v>
      </c>
      <c r="B7206" s="15" t="s">
        <v>13381</v>
      </c>
      <c r="C7206" s="15" t="s">
        <v>800</v>
      </c>
      <c r="D7206" s="15" t="s">
        <v>13382</v>
      </c>
      <c r="E7206" s="15">
        <v>11.4688</v>
      </c>
      <c r="F7206" s="42">
        <v>46198</v>
      </c>
    </row>
    <row r="7207" spans="1:6" x14ac:dyDescent="0.3">
      <c r="A7207" s="15" t="s">
        <v>41653</v>
      </c>
      <c r="B7207" s="15" t="s">
        <v>13383</v>
      </c>
      <c r="C7207" s="15" t="s">
        <v>13384</v>
      </c>
      <c r="D7207" s="15" t="s">
        <v>13385</v>
      </c>
      <c r="E7207" s="15">
        <v>11.4686</v>
      </c>
      <c r="F7207" s="42">
        <v>46198</v>
      </c>
    </row>
    <row r="7208" spans="1:6" x14ac:dyDescent="0.3">
      <c r="A7208" s="15" t="s">
        <v>41652</v>
      </c>
      <c r="B7208" s="15" t="s">
        <v>13386</v>
      </c>
      <c r="C7208" s="15" t="s">
        <v>800</v>
      </c>
      <c r="D7208" s="15" t="s">
        <v>13387</v>
      </c>
      <c r="E7208" s="15">
        <v>11.1838</v>
      </c>
      <c r="F7208" s="42">
        <v>46198</v>
      </c>
    </row>
    <row r="7209" spans="1:6" x14ac:dyDescent="0.3">
      <c r="A7209" s="15" t="s">
        <v>41651</v>
      </c>
      <c r="B7209" s="15" t="s">
        <v>13388</v>
      </c>
      <c r="C7209" s="15" t="s">
        <v>13389</v>
      </c>
      <c r="D7209" s="15" t="s">
        <v>13390</v>
      </c>
      <c r="E7209" s="15">
        <v>11.184100000000001</v>
      </c>
      <c r="F7209" s="42">
        <v>46198</v>
      </c>
    </row>
    <row r="7210" spans="1:6" x14ac:dyDescent="0.3">
      <c r="A7210" s="15" t="s">
        <v>41650</v>
      </c>
      <c r="B7210" s="15" t="s">
        <v>13391</v>
      </c>
      <c r="C7210" s="15" t="s">
        <v>800</v>
      </c>
      <c r="D7210" s="15" t="s">
        <v>13392</v>
      </c>
      <c r="E7210" s="15">
        <v>24.436</v>
      </c>
      <c r="F7210" s="42">
        <v>46198</v>
      </c>
    </row>
    <row r="7211" spans="1:6" x14ac:dyDescent="0.3">
      <c r="A7211" s="15" t="s">
        <v>41649</v>
      </c>
      <c r="B7211" s="15" t="s">
        <v>13393</v>
      </c>
      <c r="C7211" s="15" t="s">
        <v>13394</v>
      </c>
      <c r="D7211" s="15" t="s">
        <v>13395</v>
      </c>
      <c r="E7211" s="15">
        <v>24.4345</v>
      </c>
      <c r="F7211" s="42">
        <v>46198</v>
      </c>
    </row>
    <row r="7212" spans="1:6" x14ac:dyDescent="0.3">
      <c r="A7212" s="15" t="s">
        <v>41648</v>
      </c>
      <c r="B7212" s="15" t="s">
        <v>13396</v>
      </c>
      <c r="C7212" s="15" t="s">
        <v>800</v>
      </c>
      <c r="D7212" s="15" t="s">
        <v>13397</v>
      </c>
      <c r="E7212" s="15">
        <v>23.8064</v>
      </c>
      <c r="F7212" s="42">
        <v>46198</v>
      </c>
    </row>
    <row r="7213" spans="1:6" x14ac:dyDescent="0.3">
      <c r="A7213" s="15" t="s">
        <v>41647</v>
      </c>
      <c r="B7213" s="15" t="s">
        <v>13398</v>
      </c>
      <c r="C7213" s="15" t="s">
        <v>13399</v>
      </c>
      <c r="D7213" s="15" t="s">
        <v>13400</v>
      </c>
      <c r="E7213" s="15">
        <v>23.810199999999998</v>
      </c>
      <c r="F7213" s="42">
        <v>46198</v>
      </c>
    </row>
    <row r="7214" spans="1:6" x14ac:dyDescent="0.3">
      <c r="A7214" s="15" t="s">
        <v>41646</v>
      </c>
      <c r="B7214" s="15" t="s">
        <v>13401</v>
      </c>
      <c r="C7214" s="15" t="s">
        <v>13402</v>
      </c>
      <c r="D7214" s="15" t="s">
        <v>13403</v>
      </c>
      <c r="E7214" s="15">
        <v>93.972499999999997</v>
      </c>
      <c r="F7214" s="42">
        <v>46198</v>
      </c>
    </row>
    <row r="7215" spans="1:6" x14ac:dyDescent="0.3">
      <c r="A7215" s="15" t="s">
        <v>41645</v>
      </c>
      <c r="B7215" s="15" t="s">
        <v>13404</v>
      </c>
      <c r="C7215" s="15" t="s">
        <v>800</v>
      </c>
      <c r="D7215" s="15" t="s">
        <v>13405</v>
      </c>
      <c r="E7215" s="15">
        <v>261.76499999999999</v>
      </c>
      <c r="F7215" s="42">
        <v>46198</v>
      </c>
    </row>
    <row r="7216" spans="1:6" x14ac:dyDescent="0.3">
      <c r="A7216" s="15" t="s">
        <v>41644</v>
      </c>
      <c r="B7216" s="15" t="s">
        <v>13406</v>
      </c>
      <c r="C7216" s="15" t="s">
        <v>800</v>
      </c>
      <c r="D7216" s="15" t="s">
        <v>13407</v>
      </c>
      <c r="E7216" s="15">
        <v>237.5959</v>
      </c>
      <c r="F7216" s="42">
        <v>46198</v>
      </c>
    </row>
    <row r="7217" spans="1:6" x14ac:dyDescent="0.3">
      <c r="A7217" s="15" t="s">
        <v>41643</v>
      </c>
      <c r="B7217" s="15" t="s">
        <v>13408</v>
      </c>
      <c r="C7217" s="15" t="s">
        <v>13409</v>
      </c>
      <c r="D7217" s="15" t="s">
        <v>13410</v>
      </c>
      <c r="E7217" s="15">
        <v>74.306899999999999</v>
      </c>
      <c r="F7217" s="42">
        <v>46198</v>
      </c>
    </row>
    <row r="7218" spans="1:6" x14ac:dyDescent="0.3">
      <c r="A7218" s="15" t="s">
        <v>41642</v>
      </c>
      <c r="B7218" s="15" t="s">
        <v>13411</v>
      </c>
      <c r="C7218" s="15" t="s">
        <v>13412</v>
      </c>
      <c r="D7218" s="15" t="s">
        <v>13413</v>
      </c>
      <c r="E7218" s="15">
        <v>388.77890000000002</v>
      </c>
      <c r="F7218" s="42">
        <v>46198</v>
      </c>
    </row>
    <row r="7219" spans="1:6" x14ac:dyDescent="0.3">
      <c r="A7219" s="15" t="s">
        <v>41641</v>
      </c>
      <c r="B7219" s="15" t="s">
        <v>13414</v>
      </c>
      <c r="C7219" s="15" t="s">
        <v>800</v>
      </c>
      <c r="D7219" s="15" t="s">
        <v>13415</v>
      </c>
      <c r="E7219" s="15">
        <v>559.57899999999995</v>
      </c>
      <c r="F7219" s="42">
        <v>46198</v>
      </c>
    </row>
    <row r="7220" spans="1:6" x14ac:dyDescent="0.3">
      <c r="A7220" s="15" t="s">
        <v>41640</v>
      </c>
      <c r="B7220" s="15" t="s">
        <v>13416</v>
      </c>
      <c r="C7220" s="15" t="s">
        <v>13417</v>
      </c>
      <c r="D7220" s="15" t="s">
        <v>13418</v>
      </c>
      <c r="E7220" s="15">
        <v>304.94040000000001</v>
      </c>
      <c r="F7220" s="42">
        <v>46198</v>
      </c>
    </row>
    <row r="7221" spans="1:6" x14ac:dyDescent="0.3">
      <c r="A7221" s="15" t="s">
        <v>41639</v>
      </c>
      <c r="B7221" s="15" t="s">
        <v>13419</v>
      </c>
      <c r="C7221" s="15" t="s">
        <v>800</v>
      </c>
      <c r="D7221" s="15" t="s">
        <v>13420</v>
      </c>
      <c r="E7221" s="15">
        <v>484.07310000000001</v>
      </c>
      <c r="F7221" s="42">
        <v>46198</v>
      </c>
    </row>
    <row r="7222" spans="1:6" x14ac:dyDescent="0.3">
      <c r="A7222" s="15" t="s">
        <v>41638</v>
      </c>
      <c r="B7222" s="15" t="s">
        <v>13421</v>
      </c>
      <c r="C7222" s="15" t="s">
        <v>800</v>
      </c>
      <c r="D7222" s="15" t="s">
        <v>13422</v>
      </c>
      <c r="E7222" s="15">
        <v>55.933300000000003</v>
      </c>
      <c r="F7222" s="42">
        <v>46198</v>
      </c>
    </row>
    <row r="7223" spans="1:6" x14ac:dyDescent="0.3">
      <c r="A7223" s="15" t="s">
        <v>41637</v>
      </c>
      <c r="B7223" s="15" t="s">
        <v>13423</v>
      </c>
      <c r="C7223" s="15" t="s">
        <v>800</v>
      </c>
      <c r="D7223" s="15" t="s">
        <v>13424</v>
      </c>
      <c r="E7223" s="15">
        <v>51.378999999999998</v>
      </c>
      <c r="F7223" s="42">
        <v>46198</v>
      </c>
    </row>
    <row r="7224" spans="1:6" x14ac:dyDescent="0.3">
      <c r="A7224" s="15" t="s">
        <v>41636</v>
      </c>
      <c r="B7224" s="15" t="s">
        <v>13425</v>
      </c>
      <c r="C7224" s="15" t="s">
        <v>13426</v>
      </c>
      <c r="D7224" s="15" t="s">
        <v>13427</v>
      </c>
      <c r="E7224" s="15">
        <v>49.501800000000003</v>
      </c>
      <c r="F7224" s="42">
        <v>46198</v>
      </c>
    </row>
    <row r="7225" spans="1:6" x14ac:dyDescent="0.3">
      <c r="A7225" s="15" t="s">
        <v>41635</v>
      </c>
      <c r="B7225" s="15" t="s">
        <v>13428</v>
      </c>
      <c r="C7225" s="15" t="s">
        <v>13429</v>
      </c>
      <c r="D7225" s="15" t="s">
        <v>13430</v>
      </c>
      <c r="E7225" s="15">
        <v>45.7059</v>
      </c>
      <c r="F7225" s="42">
        <v>46198</v>
      </c>
    </row>
    <row r="7226" spans="1:6" x14ac:dyDescent="0.3">
      <c r="A7226" s="15" t="s">
        <v>41634</v>
      </c>
      <c r="B7226" s="15" t="s">
        <v>13431</v>
      </c>
      <c r="C7226" s="15" t="s">
        <v>800</v>
      </c>
      <c r="D7226" s="15" t="s">
        <v>13432</v>
      </c>
      <c r="E7226" s="15">
        <v>9.6936999999999998</v>
      </c>
      <c r="F7226" s="42">
        <v>46198</v>
      </c>
    </row>
    <row r="7227" spans="1:6" x14ac:dyDescent="0.3">
      <c r="A7227" s="15" t="s">
        <v>41633</v>
      </c>
      <c r="B7227" s="15" t="s">
        <v>13433</v>
      </c>
      <c r="C7227" s="15" t="s">
        <v>13434</v>
      </c>
      <c r="D7227" s="15" t="s">
        <v>13435</v>
      </c>
      <c r="E7227" s="15">
        <v>9.6936999999999998</v>
      </c>
      <c r="F7227" s="42">
        <v>46198</v>
      </c>
    </row>
    <row r="7228" spans="1:6" x14ac:dyDescent="0.3">
      <c r="A7228" s="15" t="s">
        <v>41632</v>
      </c>
      <c r="B7228" s="15" t="s">
        <v>13436</v>
      </c>
      <c r="C7228" s="15" t="s">
        <v>800</v>
      </c>
      <c r="D7228" s="15" t="s">
        <v>13437</v>
      </c>
      <c r="E7228" s="15">
        <v>9.4998000000000005</v>
      </c>
      <c r="F7228" s="42">
        <v>46198</v>
      </c>
    </row>
    <row r="7229" spans="1:6" x14ac:dyDescent="0.3">
      <c r="A7229" s="15" t="s">
        <v>41631</v>
      </c>
      <c r="B7229" s="15" t="s">
        <v>13438</v>
      </c>
      <c r="C7229" s="15" t="s">
        <v>13439</v>
      </c>
      <c r="D7229" s="15" t="s">
        <v>13440</v>
      </c>
      <c r="E7229" s="15">
        <v>9.5001999999999995</v>
      </c>
      <c r="F7229" s="42">
        <v>46198</v>
      </c>
    </row>
    <row r="7230" spans="1:6" x14ac:dyDescent="0.3">
      <c r="A7230" s="15" t="s">
        <v>41630</v>
      </c>
      <c r="B7230" s="15" t="s">
        <v>13441</v>
      </c>
      <c r="C7230" s="15" t="s">
        <v>13442</v>
      </c>
      <c r="D7230" s="15" t="s">
        <v>13443</v>
      </c>
      <c r="E7230" s="15">
        <v>154.6104</v>
      </c>
      <c r="F7230" s="42">
        <v>46198</v>
      </c>
    </row>
    <row r="7231" spans="1:6" x14ac:dyDescent="0.3">
      <c r="A7231" s="15" t="s">
        <v>41629</v>
      </c>
      <c r="B7231" s="15" t="s">
        <v>13444</v>
      </c>
      <c r="C7231" s="15" t="s">
        <v>800</v>
      </c>
      <c r="D7231" s="15" t="s">
        <v>13445</v>
      </c>
      <c r="E7231" s="15">
        <v>433.125</v>
      </c>
      <c r="F7231" s="42">
        <v>46198</v>
      </c>
    </row>
    <row r="7232" spans="1:6" x14ac:dyDescent="0.3">
      <c r="A7232" s="15" t="s">
        <v>41628</v>
      </c>
      <c r="B7232" s="15" t="s">
        <v>13446</v>
      </c>
      <c r="C7232" s="15" t="s">
        <v>13447</v>
      </c>
      <c r="D7232" s="15" t="s">
        <v>13448</v>
      </c>
      <c r="E7232" s="15">
        <v>119.3505</v>
      </c>
      <c r="F7232" s="42">
        <v>46198</v>
      </c>
    </row>
    <row r="7233" spans="1:6" x14ac:dyDescent="0.3">
      <c r="A7233" s="15" t="s">
        <v>41627</v>
      </c>
      <c r="B7233" s="15" t="s">
        <v>13449</v>
      </c>
      <c r="C7233" s="15" t="s">
        <v>800</v>
      </c>
      <c r="D7233" s="15" t="s">
        <v>13450</v>
      </c>
      <c r="E7233" s="15">
        <v>390.68259999999998</v>
      </c>
      <c r="F7233" s="42">
        <v>46198</v>
      </c>
    </row>
    <row r="7234" spans="1:6" x14ac:dyDescent="0.3">
      <c r="A7234" s="15" t="s">
        <v>41626</v>
      </c>
      <c r="B7234" s="15" t="s">
        <v>13451</v>
      </c>
      <c r="C7234" s="15" t="s">
        <v>800</v>
      </c>
      <c r="D7234" s="15" t="s">
        <v>13452</v>
      </c>
      <c r="E7234" s="15">
        <v>38.531599999999997</v>
      </c>
      <c r="F7234" s="42">
        <v>46198</v>
      </c>
    </row>
    <row r="7235" spans="1:6" x14ac:dyDescent="0.3">
      <c r="A7235" s="15" t="s">
        <v>41625</v>
      </c>
      <c r="B7235" s="15" t="s">
        <v>13453</v>
      </c>
      <c r="C7235" s="15" t="s">
        <v>13454</v>
      </c>
      <c r="D7235" s="15" t="s">
        <v>13455</v>
      </c>
      <c r="E7235" s="15">
        <v>38.475299999999997</v>
      </c>
      <c r="F7235" s="42">
        <v>46198</v>
      </c>
    </row>
    <row r="7236" spans="1:6" x14ac:dyDescent="0.3">
      <c r="A7236" s="15" t="s">
        <v>41624</v>
      </c>
      <c r="B7236" s="15" t="s">
        <v>13456</v>
      </c>
      <c r="C7236" s="15" t="s">
        <v>13457</v>
      </c>
      <c r="D7236" s="15" t="s">
        <v>13458</v>
      </c>
      <c r="E7236" s="15">
        <v>34.663699999999999</v>
      </c>
      <c r="F7236" s="42">
        <v>46198</v>
      </c>
    </row>
    <row r="7237" spans="1:6" x14ac:dyDescent="0.3">
      <c r="A7237" s="15" t="s">
        <v>41623</v>
      </c>
      <c r="B7237" s="15" t="s">
        <v>13459</v>
      </c>
      <c r="C7237" s="15" t="s">
        <v>800</v>
      </c>
      <c r="D7237" s="15" t="s">
        <v>13460</v>
      </c>
      <c r="E7237" s="15">
        <v>34.6678</v>
      </c>
      <c r="F7237" s="42">
        <v>46198</v>
      </c>
    </row>
    <row r="7238" spans="1:6" x14ac:dyDescent="0.3">
      <c r="A7238" s="15" t="s">
        <v>41622</v>
      </c>
      <c r="B7238" s="15" t="s">
        <v>13461</v>
      </c>
      <c r="C7238" s="15" t="s">
        <v>800</v>
      </c>
      <c r="D7238" s="15" t="s">
        <v>13462</v>
      </c>
      <c r="E7238" s="15">
        <v>10.332000000000001</v>
      </c>
      <c r="F7238" s="42">
        <v>46198</v>
      </c>
    </row>
    <row r="7239" spans="1:6" x14ac:dyDescent="0.3">
      <c r="A7239" s="15" t="s">
        <v>41621</v>
      </c>
      <c r="B7239" s="15" t="s">
        <v>13463</v>
      </c>
      <c r="C7239" s="15" t="s">
        <v>13464</v>
      </c>
      <c r="D7239" s="15" t="s">
        <v>13465</v>
      </c>
      <c r="E7239" s="15">
        <v>10.332100000000001</v>
      </c>
      <c r="F7239" s="42">
        <v>46198</v>
      </c>
    </row>
    <row r="7240" spans="1:6" x14ac:dyDescent="0.3">
      <c r="A7240" s="15" t="s">
        <v>41620</v>
      </c>
      <c r="B7240" s="15" t="s">
        <v>13466</v>
      </c>
      <c r="C7240" s="15" t="s">
        <v>800</v>
      </c>
      <c r="D7240" s="15" t="s">
        <v>13467</v>
      </c>
      <c r="E7240" s="15">
        <v>10.2888</v>
      </c>
      <c r="F7240" s="42">
        <v>46198</v>
      </c>
    </row>
    <row r="7241" spans="1:6" x14ac:dyDescent="0.3">
      <c r="A7241" s="15" t="s">
        <v>41619</v>
      </c>
      <c r="B7241" s="15" t="s">
        <v>13468</v>
      </c>
      <c r="C7241" s="15" t="s">
        <v>13469</v>
      </c>
      <c r="D7241" s="15" t="s">
        <v>13470</v>
      </c>
      <c r="E7241" s="15">
        <v>10.2888</v>
      </c>
      <c r="F7241" s="42">
        <v>46198</v>
      </c>
    </row>
    <row r="7242" spans="1:6" x14ac:dyDescent="0.3">
      <c r="A7242" s="15" t="s">
        <v>41618</v>
      </c>
      <c r="B7242" s="15" t="s">
        <v>13471</v>
      </c>
      <c r="C7242" s="15" t="s">
        <v>800</v>
      </c>
      <c r="D7242" s="15" t="s">
        <v>13472</v>
      </c>
      <c r="E7242" s="15">
        <v>9.7288999999999994</v>
      </c>
      <c r="F7242" s="42">
        <v>46198</v>
      </c>
    </row>
    <row r="7243" spans="1:6" x14ac:dyDescent="0.3">
      <c r="A7243" s="15" t="s">
        <v>41617</v>
      </c>
      <c r="B7243" s="15" t="s">
        <v>13473</v>
      </c>
      <c r="C7243" s="15" t="s">
        <v>13474</v>
      </c>
      <c r="D7243" s="15" t="s">
        <v>13475</v>
      </c>
      <c r="E7243" s="15">
        <v>9.7286999999999999</v>
      </c>
      <c r="F7243" s="42">
        <v>46198</v>
      </c>
    </row>
    <row r="7244" spans="1:6" x14ac:dyDescent="0.3">
      <c r="A7244" s="15" t="s">
        <v>41616</v>
      </c>
      <c r="B7244" s="15" t="s">
        <v>13476</v>
      </c>
      <c r="C7244" s="15" t="s">
        <v>800</v>
      </c>
      <c r="D7244" s="15" t="s">
        <v>13477</v>
      </c>
      <c r="E7244" s="15">
        <v>9.5635999999999992</v>
      </c>
      <c r="F7244" s="42">
        <v>46198</v>
      </c>
    </row>
    <row r="7245" spans="1:6" x14ac:dyDescent="0.3">
      <c r="A7245" s="15" t="s">
        <v>41615</v>
      </c>
      <c r="B7245" s="15" t="s">
        <v>13478</v>
      </c>
      <c r="C7245" s="15" t="s">
        <v>13479</v>
      </c>
      <c r="D7245" s="15" t="s">
        <v>13480</v>
      </c>
      <c r="E7245" s="15">
        <v>9.5635999999999992</v>
      </c>
      <c r="F7245" s="42">
        <v>46198</v>
      </c>
    </row>
    <row r="7246" spans="1:6" x14ac:dyDescent="0.3">
      <c r="A7246" s="15" t="s">
        <v>41614</v>
      </c>
      <c r="B7246" s="15" t="s">
        <v>13481</v>
      </c>
      <c r="C7246" s="15" t="s">
        <v>800</v>
      </c>
      <c r="D7246" s="15" t="s">
        <v>13482</v>
      </c>
      <c r="E7246" s="15">
        <v>205.42910000000001</v>
      </c>
      <c r="F7246" s="42">
        <v>46198</v>
      </c>
    </row>
    <row r="7247" spans="1:6" x14ac:dyDescent="0.3">
      <c r="A7247" s="15" t="s">
        <v>41613</v>
      </c>
      <c r="B7247" s="15" t="s">
        <v>13483</v>
      </c>
      <c r="C7247" s="15" t="s">
        <v>13484</v>
      </c>
      <c r="D7247" s="15" t="s">
        <v>13485</v>
      </c>
      <c r="E7247" s="15">
        <v>145.9093</v>
      </c>
      <c r="F7247" s="42">
        <v>46198</v>
      </c>
    </row>
    <row r="7248" spans="1:6" x14ac:dyDescent="0.3">
      <c r="A7248" s="15" t="s">
        <v>41612</v>
      </c>
      <c r="B7248" s="15" t="s">
        <v>13486</v>
      </c>
      <c r="C7248" s="15" t="s">
        <v>800</v>
      </c>
      <c r="D7248" s="15" t="s">
        <v>13487</v>
      </c>
      <c r="E7248" s="15">
        <v>178.6969</v>
      </c>
      <c r="F7248" s="42">
        <v>46198</v>
      </c>
    </row>
    <row r="7249" spans="1:6" x14ac:dyDescent="0.3">
      <c r="A7249" s="15" t="s">
        <v>41611</v>
      </c>
      <c r="B7249" s="15" t="s">
        <v>13488</v>
      </c>
      <c r="C7249" s="15" t="s">
        <v>13489</v>
      </c>
      <c r="D7249" s="15" t="s">
        <v>13490</v>
      </c>
      <c r="E7249" s="15">
        <v>107.6087</v>
      </c>
      <c r="F7249" s="42">
        <v>46198</v>
      </c>
    </row>
    <row r="7250" spans="1:6" x14ac:dyDescent="0.3">
      <c r="A7250" s="15" t="s">
        <v>33499</v>
      </c>
      <c r="B7250" s="15" t="s">
        <v>795</v>
      </c>
      <c r="C7250" s="15" t="s">
        <v>795</v>
      </c>
      <c r="D7250" s="15" t="s">
        <v>795</v>
      </c>
      <c r="F7250" s="42"/>
    </row>
    <row r="7251" spans="1:6" x14ac:dyDescent="0.3">
      <c r="A7251" s="15" t="s">
        <v>37664</v>
      </c>
      <c r="B7251" s="15" t="s">
        <v>795</v>
      </c>
      <c r="C7251" s="15" t="s">
        <v>795</v>
      </c>
      <c r="D7251" s="15" t="s">
        <v>795</v>
      </c>
      <c r="F7251" s="42"/>
    </row>
    <row r="7252" spans="1:6" x14ac:dyDescent="0.3">
      <c r="A7252" s="15" t="s">
        <v>33499</v>
      </c>
      <c r="B7252" s="15" t="s">
        <v>795</v>
      </c>
      <c r="C7252" s="15" t="s">
        <v>795</v>
      </c>
      <c r="D7252" s="15" t="s">
        <v>795</v>
      </c>
      <c r="F7252" s="42"/>
    </row>
    <row r="7253" spans="1:6" x14ac:dyDescent="0.3">
      <c r="A7253" s="15" t="s">
        <v>41610</v>
      </c>
      <c r="B7253" s="15" t="s">
        <v>13491</v>
      </c>
      <c r="C7253" s="15" t="s">
        <v>800</v>
      </c>
      <c r="D7253" s="15" t="s">
        <v>13492</v>
      </c>
      <c r="E7253" s="15">
        <v>8.1967999999999996</v>
      </c>
      <c r="F7253" s="42">
        <v>46198</v>
      </c>
    </row>
    <row r="7254" spans="1:6" x14ac:dyDescent="0.3">
      <c r="A7254" s="15" t="s">
        <v>41609</v>
      </c>
      <c r="B7254" s="15" t="s">
        <v>13493</v>
      </c>
      <c r="C7254" s="15" t="s">
        <v>800</v>
      </c>
      <c r="D7254" s="15" t="s">
        <v>13494</v>
      </c>
      <c r="E7254" s="15">
        <v>7.984</v>
      </c>
      <c r="F7254" s="42">
        <v>46198</v>
      </c>
    </row>
    <row r="7255" spans="1:6" x14ac:dyDescent="0.3">
      <c r="A7255" s="15" t="s">
        <v>33499</v>
      </c>
      <c r="B7255" s="15" t="s">
        <v>795</v>
      </c>
      <c r="C7255" s="15" t="s">
        <v>795</v>
      </c>
      <c r="D7255" s="15" t="s">
        <v>795</v>
      </c>
      <c r="F7255" s="42"/>
    </row>
    <row r="7256" spans="1:6" x14ac:dyDescent="0.3">
      <c r="A7256" s="15" t="s">
        <v>37414</v>
      </c>
      <c r="B7256" s="15" t="s">
        <v>795</v>
      </c>
      <c r="C7256" s="15" t="s">
        <v>795</v>
      </c>
      <c r="D7256" s="15" t="s">
        <v>795</v>
      </c>
      <c r="F7256" s="42"/>
    </row>
    <row r="7257" spans="1:6" x14ac:dyDescent="0.3">
      <c r="A7257" s="15" t="s">
        <v>33499</v>
      </c>
      <c r="B7257" s="15" t="s">
        <v>795</v>
      </c>
      <c r="C7257" s="15" t="s">
        <v>795</v>
      </c>
      <c r="D7257" s="15" t="s">
        <v>795</v>
      </c>
      <c r="F7257" s="42"/>
    </row>
    <row r="7258" spans="1:6" x14ac:dyDescent="0.3">
      <c r="A7258" s="15" t="s">
        <v>41608</v>
      </c>
      <c r="B7258" s="15" t="s">
        <v>13495</v>
      </c>
      <c r="C7258" s="15" t="s">
        <v>800</v>
      </c>
      <c r="D7258" s="15" t="s">
        <v>13496</v>
      </c>
      <c r="E7258" s="15">
        <v>11.255000000000001</v>
      </c>
      <c r="F7258" s="42">
        <v>46198</v>
      </c>
    </row>
    <row r="7259" spans="1:6" x14ac:dyDescent="0.3">
      <c r="A7259" s="15" t="s">
        <v>41607</v>
      </c>
      <c r="B7259" s="15" t="s">
        <v>13497</v>
      </c>
      <c r="C7259" s="15" t="s">
        <v>800</v>
      </c>
      <c r="D7259" s="15" t="s">
        <v>13498</v>
      </c>
      <c r="E7259" s="15">
        <v>11.255000000000001</v>
      </c>
      <c r="F7259" s="42">
        <v>46198</v>
      </c>
    </row>
    <row r="7260" spans="1:6" x14ac:dyDescent="0.3">
      <c r="A7260" s="15" t="s">
        <v>41606</v>
      </c>
      <c r="B7260" s="15" t="s">
        <v>800</v>
      </c>
      <c r="C7260" s="15" t="s">
        <v>13499</v>
      </c>
      <c r="D7260" s="15" t="s">
        <v>13500</v>
      </c>
      <c r="E7260" s="15">
        <v>11.255000000000001</v>
      </c>
      <c r="F7260" s="42">
        <v>46198</v>
      </c>
    </row>
    <row r="7261" spans="1:6" x14ac:dyDescent="0.3">
      <c r="A7261" s="15" t="s">
        <v>41605</v>
      </c>
      <c r="B7261" s="15" t="s">
        <v>13501</v>
      </c>
      <c r="C7261" s="15" t="s">
        <v>800</v>
      </c>
      <c r="D7261" s="15" t="s">
        <v>13502</v>
      </c>
      <c r="E7261" s="15">
        <v>10.9091</v>
      </c>
      <c r="F7261" s="42">
        <v>46198</v>
      </c>
    </row>
    <row r="7262" spans="1:6" x14ac:dyDescent="0.3">
      <c r="A7262" s="15" t="s">
        <v>41604</v>
      </c>
      <c r="B7262" s="15" t="s">
        <v>13503</v>
      </c>
      <c r="C7262" s="15" t="s">
        <v>800</v>
      </c>
      <c r="D7262" s="15" t="s">
        <v>13504</v>
      </c>
      <c r="E7262" s="15">
        <v>10.9091</v>
      </c>
      <c r="F7262" s="42">
        <v>46198</v>
      </c>
    </row>
    <row r="7263" spans="1:6" x14ac:dyDescent="0.3">
      <c r="A7263" s="15" t="s">
        <v>41603</v>
      </c>
      <c r="B7263" s="15" t="s">
        <v>800</v>
      </c>
      <c r="C7263" s="15" t="s">
        <v>13505</v>
      </c>
      <c r="D7263" s="15" t="s">
        <v>13506</v>
      </c>
      <c r="E7263" s="15">
        <v>10.9091</v>
      </c>
      <c r="F7263" s="42">
        <v>46198</v>
      </c>
    </row>
    <row r="7264" spans="1:6" x14ac:dyDescent="0.3">
      <c r="A7264" s="15" t="s">
        <v>41602</v>
      </c>
      <c r="B7264" s="15" t="s">
        <v>13507</v>
      </c>
      <c r="C7264" s="15" t="s">
        <v>800</v>
      </c>
      <c r="D7264" s="15" t="s">
        <v>13508</v>
      </c>
      <c r="E7264" s="15">
        <v>99.619699999999995</v>
      </c>
      <c r="F7264" s="42">
        <v>46198</v>
      </c>
    </row>
    <row r="7265" spans="1:6" x14ac:dyDescent="0.3">
      <c r="A7265" s="15" t="s">
        <v>41601</v>
      </c>
      <c r="B7265" s="15" t="s">
        <v>13509</v>
      </c>
      <c r="C7265" s="15" t="s">
        <v>13510</v>
      </c>
      <c r="D7265" s="15" t="s">
        <v>13511</v>
      </c>
      <c r="E7265" s="15">
        <v>31.9314</v>
      </c>
      <c r="F7265" s="42">
        <v>43434</v>
      </c>
    </row>
    <row r="7266" spans="1:6" x14ac:dyDescent="0.3">
      <c r="A7266" s="15" t="s">
        <v>41600</v>
      </c>
      <c r="B7266" s="15" t="s">
        <v>13512</v>
      </c>
      <c r="C7266" s="15" t="s">
        <v>13513</v>
      </c>
      <c r="D7266" s="15" t="s">
        <v>13514</v>
      </c>
      <c r="E7266" s="15">
        <v>23.552299999999999</v>
      </c>
      <c r="F7266" s="42">
        <v>46198</v>
      </c>
    </row>
    <row r="7267" spans="1:6" x14ac:dyDescent="0.3">
      <c r="A7267" s="15" t="s">
        <v>41599</v>
      </c>
      <c r="B7267" s="15" t="s">
        <v>13515</v>
      </c>
      <c r="C7267" s="15" t="s">
        <v>13516</v>
      </c>
      <c r="D7267" s="15" t="s">
        <v>13517</v>
      </c>
      <c r="E7267" s="15">
        <v>26.491700000000002</v>
      </c>
      <c r="F7267" s="42">
        <v>46198</v>
      </c>
    </row>
    <row r="7268" spans="1:6" x14ac:dyDescent="0.3">
      <c r="A7268" s="15" t="s">
        <v>41598</v>
      </c>
      <c r="B7268" s="15" t="s">
        <v>13518</v>
      </c>
      <c r="C7268" s="15" t="s">
        <v>800</v>
      </c>
      <c r="D7268" s="15" t="s">
        <v>13519</v>
      </c>
      <c r="E7268" s="15">
        <v>90.114999999999995</v>
      </c>
      <c r="F7268" s="42">
        <v>46198</v>
      </c>
    </row>
    <row r="7269" spans="1:6" x14ac:dyDescent="0.3">
      <c r="A7269" s="15" t="s">
        <v>41597</v>
      </c>
      <c r="B7269" s="15" t="s">
        <v>13520</v>
      </c>
      <c r="C7269" s="15" t="s">
        <v>800</v>
      </c>
      <c r="D7269" s="15" t="s">
        <v>13521</v>
      </c>
      <c r="E7269" s="15">
        <v>124.2029</v>
      </c>
      <c r="F7269" s="42">
        <v>46198</v>
      </c>
    </row>
    <row r="7270" spans="1:6" x14ac:dyDescent="0.3">
      <c r="A7270" s="15" t="s">
        <v>41596</v>
      </c>
      <c r="B7270" s="15" t="s">
        <v>13522</v>
      </c>
      <c r="C7270" s="15" t="s">
        <v>13523</v>
      </c>
      <c r="D7270" s="15" t="s">
        <v>13524</v>
      </c>
      <c r="E7270" s="15">
        <v>33.870100000000001</v>
      </c>
      <c r="F7270" s="42">
        <v>46198</v>
      </c>
    </row>
    <row r="7271" spans="1:6" x14ac:dyDescent="0.3">
      <c r="A7271" s="15" t="s">
        <v>41595</v>
      </c>
      <c r="B7271" s="15" t="s">
        <v>13525</v>
      </c>
      <c r="C7271" s="15" t="s">
        <v>800</v>
      </c>
      <c r="D7271" s="15" t="s">
        <v>13526</v>
      </c>
      <c r="E7271" s="15">
        <v>104.9194</v>
      </c>
      <c r="F7271" s="42">
        <v>45679</v>
      </c>
    </row>
    <row r="7272" spans="1:6" x14ac:dyDescent="0.3">
      <c r="A7272" s="15" t="s">
        <v>41594</v>
      </c>
      <c r="B7272" s="15" t="s">
        <v>13527</v>
      </c>
      <c r="C7272" s="15" t="s">
        <v>13528</v>
      </c>
      <c r="D7272" s="15" t="s">
        <v>13529</v>
      </c>
      <c r="E7272" s="15">
        <v>33.849499999999999</v>
      </c>
      <c r="F7272" s="42">
        <v>45663</v>
      </c>
    </row>
    <row r="7273" spans="1:6" x14ac:dyDescent="0.3">
      <c r="A7273" s="15" t="s">
        <v>41593</v>
      </c>
      <c r="B7273" s="15" t="s">
        <v>13530</v>
      </c>
      <c r="C7273" s="15" t="s">
        <v>800</v>
      </c>
      <c r="D7273" s="15" t="s">
        <v>13531</v>
      </c>
      <c r="E7273" s="15">
        <v>108.71680000000001</v>
      </c>
      <c r="F7273" s="42">
        <v>46198</v>
      </c>
    </row>
    <row r="7274" spans="1:6" x14ac:dyDescent="0.3">
      <c r="A7274" s="15" t="s">
        <v>41592</v>
      </c>
      <c r="B7274" s="15" t="s">
        <v>13532</v>
      </c>
      <c r="C7274" s="15" t="s">
        <v>13533</v>
      </c>
      <c r="D7274" s="15" t="s">
        <v>13534</v>
      </c>
      <c r="E7274" s="15">
        <v>29.1358</v>
      </c>
      <c r="F7274" s="42">
        <v>46198</v>
      </c>
    </row>
    <row r="7275" spans="1:6" x14ac:dyDescent="0.3">
      <c r="A7275" s="15" t="s">
        <v>41591</v>
      </c>
      <c r="B7275" s="15" t="s">
        <v>13535</v>
      </c>
      <c r="C7275" s="15" t="s">
        <v>800</v>
      </c>
      <c r="D7275" s="15" t="s">
        <v>13536</v>
      </c>
      <c r="E7275" s="15">
        <v>111.5921</v>
      </c>
      <c r="F7275" s="42">
        <v>46198</v>
      </c>
    </row>
    <row r="7276" spans="1:6" x14ac:dyDescent="0.3">
      <c r="A7276" s="15" t="s">
        <v>41590</v>
      </c>
      <c r="B7276" s="15" t="s">
        <v>13537</v>
      </c>
      <c r="C7276" s="15" t="s">
        <v>13538</v>
      </c>
      <c r="D7276" s="15" t="s">
        <v>13539</v>
      </c>
      <c r="E7276" s="15">
        <v>64.251499999999993</v>
      </c>
      <c r="F7276" s="42">
        <v>46198</v>
      </c>
    </row>
    <row r="7277" spans="1:6" x14ac:dyDescent="0.3">
      <c r="A7277" s="15" t="s">
        <v>41589</v>
      </c>
      <c r="B7277" s="15" t="s">
        <v>13540</v>
      </c>
      <c r="C7277" s="15" t="s">
        <v>800</v>
      </c>
      <c r="D7277" s="15" t="s">
        <v>13541</v>
      </c>
      <c r="E7277" s="15">
        <v>103.8475</v>
      </c>
      <c r="F7277" s="42">
        <v>46198</v>
      </c>
    </row>
    <row r="7278" spans="1:6" x14ac:dyDescent="0.3">
      <c r="A7278" s="15" t="s">
        <v>41588</v>
      </c>
      <c r="B7278" s="15" t="s">
        <v>13542</v>
      </c>
      <c r="C7278" s="15" t="s">
        <v>13543</v>
      </c>
      <c r="D7278" s="15" t="s">
        <v>13544</v>
      </c>
      <c r="E7278" s="15">
        <v>59.472499999999997</v>
      </c>
      <c r="F7278" s="42">
        <v>46198</v>
      </c>
    </row>
    <row r="7279" spans="1:6" x14ac:dyDescent="0.3">
      <c r="A7279" s="15" t="s">
        <v>41587</v>
      </c>
      <c r="B7279" s="15" t="s">
        <v>13545</v>
      </c>
      <c r="C7279" s="15" t="s">
        <v>800</v>
      </c>
      <c r="D7279" s="15" t="s">
        <v>13546</v>
      </c>
      <c r="E7279" s="15">
        <v>9.8535000000000004</v>
      </c>
      <c r="F7279" s="42">
        <v>46198</v>
      </c>
    </row>
    <row r="7280" spans="1:6" x14ac:dyDescent="0.3">
      <c r="A7280" s="15" t="s">
        <v>41586</v>
      </c>
      <c r="B7280" s="15" t="s">
        <v>13547</v>
      </c>
      <c r="C7280" s="15" t="s">
        <v>800</v>
      </c>
      <c r="D7280" s="15" t="s">
        <v>13548</v>
      </c>
      <c r="E7280" s="15">
        <v>9.8535000000000004</v>
      </c>
      <c r="F7280" s="42">
        <v>46198</v>
      </c>
    </row>
    <row r="7281" spans="1:6" x14ac:dyDescent="0.3">
      <c r="A7281" s="15" t="s">
        <v>41585</v>
      </c>
      <c r="B7281" s="15" t="s">
        <v>800</v>
      </c>
      <c r="C7281" s="15" t="s">
        <v>13549</v>
      </c>
      <c r="D7281" s="15" t="s">
        <v>13550</v>
      </c>
      <c r="E7281" s="15">
        <v>9.8535000000000004</v>
      </c>
      <c r="F7281" s="42">
        <v>46198</v>
      </c>
    </row>
    <row r="7282" spans="1:6" x14ac:dyDescent="0.3">
      <c r="A7282" s="15" t="s">
        <v>41584</v>
      </c>
      <c r="B7282" s="15" t="s">
        <v>13551</v>
      </c>
      <c r="C7282" s="15" t="s">
        <v>800</v>
      </c>
      <c r="D7282" s="15" t="s">
        <v>13552</v>
      </c>
      <c r="E7282" s="15">
        <v>9.7070000000000007</v>
      </c>
      <c r="F7282" s="42">
        <v>46198</v>
      </c>
    </row>
    <row r="7283" spans="1:6" x14ac:dyDescent="0.3">
      <c r="A7283" s="15" t="s">
        <v>41583</v>
      </c>
      <c r="B7283" s="15" t="s">
        <v>13553</v>
      </c>
      <c r="C7283" s="15" t="s">
        <v>800</v>
      </c>
      <c r="D7283" s="15" t="s">
        <v>13554</v>
      </c>
      <c r="E7283" s="15">
        <v>9.7070000000000007</v>
      </c>
      <c r="F7283" s="42">
        <v>46198</v>
      </c>
    </row>
    <row r="7284" spans="1:6" x14ac:dyDescent="0.3">
      <c r="A7284" s="15" t="s">
        <v>41582</v>
      </c>
      <c r="B7284" s="15" t="s">
        <v>800</v>
      </c>
      <c r="C7284" s="15" t="s">
        <v>13555</v>
      </c>
      <c r="D7284" s="15" t="s">
        <v>13556</v>
      </c>
      <c r="E7284" s="15">
        <v>9.7070000000000007</v>
      </c>
      <c r="F7284" s="42">
        <v>46198</v>
      </c>
    </row>
    <row r="7285" spans="1:6" x14ac:dyDescent="0.3">
      <c r="A7285" s="15" t="s">
        <v>41581</v>
      </c>
      <c r="B7285" s="15" t="s">
        <v>13557</v>
      </c>
      <c r="C7285" s="15" t="s">
        <v>800</v>
      </c>
      <c r="D7285" s="15" t="s">
        <v>13558</v>
      </c>
      <c r="E7285" s="15">
        <v>38.360799999999998</v>
      </c>
      <c r="F7285" s="42">
        <v>46198</v>
      </c>
    </row>
    <row r="7286" spans="1:6" x14ac:dyDescent="0.3">
      <c r="A7286" s="15" t="s">
        <v>41580</v>
      </c>
      <c r="B7286" s="15" t="s">
        <v>13559</v>
      </c>
      <c r="C7286" s="15" t="s">
        <v>800</v>
      </c>
      <c r="D7286" s="15" t="s">
        <v>13560</v>
      </c>
      <c r="E7286" s="15">
        <v>22.846900000000002</v>
      </c>
      <c r="F7286" s="42">
        <v>46198</v>
      </c>
    </row>
    <row r="7287" spans="1:6" x14ac:dyDescent="0.3">
      <c r="A7287" s="15" t="s">
        <v>41579</v>
      </c>
      <c r="B7287" s="15" t="s">
        <v>800</v>
      </c>
      <c r="C7287" s="15" t="s">
        <v>13561</v>
      </c>
      <c r="D7287" s="15" t="s">
        <v>47062</v>
      </c>
      <c r="E7287" s="15">
        <v>22.846900000000002</v>
      </c>
      <c r="F7287" s="42">
        <v>46198</v>
      </c>
    </row>
    <row r="7288" spans="1:6" x14ac:dyDescent="0.3">
      <c r="A7288" s="15" t="s">
        <v>41578</v>
      </c>
      <c r="B7288" s="15" t="s">
        <v>13562</v>
      </c>
      <c r="C7288" s="15" t="s">
        <v>800</v>
      </c>
      <c r="D7288" s="15" t="s">
        <v>13563</v>
      </c>
      <c r="E7288" s="15">
        <v>35.060299999999998</v>
      </c>
      <c r="F7288" s="42">
        <v>46198</v>
      </c>
    </row>
    <row r="7289" spans="1:6" x14ac:dyDescent="0.3">
      <c r="A7289" s="15" t="s">
        <v>41577</v>
      </c>
      <c r="B7289" s="15" t="s">
        <v>13564</v>
      </c>
      <c r="C7289" s="15" t="s">
        <v>800</v>
      </c>
      <c r="D7289" s="15" t="s">
        <v>13565</v>
      </c>
      <c r="E7289" s="15">
        <v>20.841699999999999</v>
      </c>
      <c r="F7289" s="42">
        <v>46198</v>
      </c>
    </row>
    <row r="7290" spans="1:6" x14ac:dyDescent="0.3">
      <c r="A7290" s="15" t="s">
        <v>41576</v>
      </c>
      <c r="B7290" s="15" t="s">
        <v>800</v>
      </c>
      <c r="C7290" s="15" t="s">
        <v>13566</v>
      </c>
      <c r="D7290" s="15" t="s">
        <v>47063</v>
      </c>
      <c r="E7290" s="15">
        <v>20.841699999999999</v>
      </c>
      <c r="F7290" s="42">
        <v>46198</v>
      </c>
    </row>
    <row r="7291" spans="1:6" x14ac:dyDescent="0.3">
      <c r="A7291" s="15" t="s">
        <v>33499</v>
      </c>
      <c r="B7291" s="15" t="s">
        <v>795</v>
      </c>
      <c r="C7291" s="15" t="s">
        <v>795</v>
      </c>
      <c r="D7291" s="15" t="s">
        <v>795</v>
      </c>
      <c r="F7291" s="42"/>
    </row>
    <row r="7292" spans="1:6" x14ac:dyDescent="0.3">
      <c r="A7292" s="15" t="s">
        <v>33519</v>
      </c>
      <c r="B7292" s="15" t="s">
        <v>795</v>
      </c>
      <c r="C7292" s="15" t="s">
        <v>795</v>
      </c>
      <c r="D7292" s="15" t="s">
        <v>795</v>
      </c>
      <c r="F7292" s="42"/>
    </row>
    <row r="7293" spans="1:6" x14ac:dyDescent="0.3">
      <c r="A7293" s="15" t="s">
        <v>33499</v>
      </c>
      <c r="B7293" s="15" t="s">
        <v>795</v>
      </c>
      <c r="C7293" s="15" t="s">
        <v>795</v>
      </c>
      <c r="D7293" s="15" t="s">
        <v>795</v>
      </c>
      <c r="F7293" s="42"/>
    </row>
    <row r="7294" spans="1:6" x14ac:dyDescent="0.3">
      <c r="A7294" s="15" t="s">
        <v>41575</v>
      </c>
      <c r="B7294" s="15" t="s">
        <v>13567</v>
      </c>
      <c r="C7294" s="15" t="s">
        <v>800</v>
      </c>
      <c r="D7294" s="15" t="s">
        <v>13568</v>
      </c>
      <c r="E7294" s="15">
        <v>50.2958</v>
      </c>
      <c r="F7294" s="42">
        <v>46198</v>
      </c>
    </row>
    <row r="7295" spans="1:6" x14ac:dyDescent="0.3">
      <c r="A7295" s="15" t="s">
        <v>41574</v>
      </c>
      <c r="B7295" s="15" t="s">
        <v>800</v>
      </c>
      <c r="C7295" s="15" t="s">
        <v>13569</v>
      </c>
      <c r="D7295" s="15" t="s">
        <v>13570</v>
      </c>
      <c r="E7295" s="15">
        <v>50.2958</v>
      </c>
      <c r="F7295" s="42">
        <v>46198</v>
      </c>
    </row>
    <row r="7296" spans="1:6" x14ac:dyDescent="0.3">
      <c r="A7296" s="15" t="s">
        <v>41573</v>
      </c>
      <c r="B7296" s="15" t="s">
        <v>13571</v>
      </c>
      <c r="C7296" s="15" t="s">
        <v>800</v>
      </c>
      <c r="D7296" s="15" t="s">
        <v>13572</v>
      </c>
      <c r="E7296" s="15">
        <v>38.841000000000001</v>
      </c>
      <c r="F7296" s="42">
        <v>46198</v>
      </c>
    </row>
    <row r="7297" spans="1:6" x14ac:dyDescent="0.3">
      <c r="A7297" s="15" t="s">
        <v>41572</v>
      </c>
      <c r="B7297" s="15" t="s">
        <v>800</v>
      </c>
      <c r="C7297" s="15" t="s">
        <v>13573</v>
      </c>
      <c r="D7297" s="15" t="s">
        <v>13574</v>
      </c>
      <c r="E7297" s="15">
        <v>38.841000000000001</v>
      </c>
      <c r="F7297" s="42">
        <v>46198</v>
      </c>
    </row>
    <row r="7298" spans="1:6" x14ac:dyDescent="0.3">
      <c r="A7298" s="15" t="s">
        <v>41571</v>
      </c>
      <c r="B7298" s="15" t="s">
        <v>13575</v>
      </c>
      <c r="C7298" s="15" t="s">
        <v>800</v>
      </c>
      <c r="D7298" s="15" t="s">
        <v>13576</v>
      </c>
      <c r="E7298" s="15">
        <v>51.9221</v>
      </c>
      <c r="F7298" s="42">
        <v>46198</v>
      </c>
    </row>
    <row r="7299" spans="1:6" x14ac:dyDescent="0.3">
      <c r="A7299" s="15" t="s">
        <v>41570</v>
      </c>
      <c r="B7299" s="15" t="s">
        <v>13577</v>
      </c>
      <c r="C7299" s="15" t="s">
        <v>800</v>
      </c>
      <c r="D7299" s="15" t="s">
        <v>13578</v>
      </c>
      <c r="E7299" s="15">
        <v>43.9938</v>
      </c>
      <c r="F7299" s="42">
        <v>46198</v>
      </c>
    </row>
    <row r="7300" spans="1:6" x14ac:dyDescent="0.3">
      <c r="A7300" s="15" t="s">
        <v>41569</v>
      </c>
      <c r="B7300" s="15" t="s">
        <v>13579</v>
      </c>
      <c r="C7300" s="15" t="s">
        <v>800</v>
      </c>
      <c r="D7300" s="15" t="s">
        <v>13580</v>
      </c>
      <c r="E7300" s="15">
        <v>20.529399999999999</v>
      </c>
      <c r="F7300" s="42">
        <v>46198</v>
      </c>
    </row>
    <row r="7301" spans="1:6" x14ac:dyDescent="0.3">
      <c r="A7301" s="15" t="s">
        <v>41568</v>
      </c>
      <c r="B7301" s="15" t="s">
        <v>13581</v>
      </c>
      <c r="C7301" s="15" t="s">
        <v>800</v>
      </c>
      <c r="D7301" s="15" t="s">
        <v>13582</v>
      </c>
      <c r="E7301" s="15">
        <v>20.529399999999999</v>
      </c>
      <c r="F7301" s="42">
        <v>46198</v>
      </c>
    </row>
    <row r="7302" spans="1:6" x14ac:dyDescent="0.3">
      <c r="A7302" s="15" t="s">
        <v>41567</v>
      </c>
      <c r="B7302" s="15" t="s">
        <v>800</v>
      </c>
      <c r="C7302" s="15" t="s">
        <v>13583</v>
      </c>
      <c r="D7302" s="15" t="s">
        <v>13584</v>
      </c>
      <c r="E7302" s="15">
        <v>20.529399999999999</v>
      </c>
      <c r="F7302" s="42">
        <v>46198</v>
      </c>
    </row>
    <row r="7303" spans="1:6" x14ac:dyDescent="0.3">
      <c r="A7303" s="15" t="s">
        <v>41566</v>
      </c>
      <c r="B7303" s="15" t="s">
        <v>13585</v>
      </c>
      <c r="C7303" s="15" t="s">
        <v>800</v>
      </c>
      <c r="D7303" s="15" t="s">
        <v>13586</v>
      </c>
      <c r="E7303" s="15">
        <v>19.010100000000001</v>
      </c>
      <c r="F7303" s="42">
        <v>46198</v>
      </c>
    </row>
    <row r="7304" spans="1:6" x14ac:dyDescent="0.3">
      <c r="A7304" s="15" t="s">
        <v>41565</v>
      </c>
      <c r="B7304" s="15" t="s">
        <v>13587</v>
      </c>
      <c r="C7304" s="15" t="s">
        <v>800</v>
      </c>
      <c r="D7304" s="15" t="s">
        <v>13588</v>
      </c>
      <c r="E7304" s="15">
        <v>19.010100000000001</v>
      </c>
      <c r="F7304" s="42">
        <v>46198</v>
      </c>
    </row>
    <row r="7305" spans="1:6" x14ac:dyDescent="0.3">
      <c r="A7305" s="15" t="s">
        <v>41564</v>
      </c>
      <c r="B7305" s="15" t="s">
        <v>800</v>
      </c>
      <c r="C7305" s="15" t="s">
        <v>13589</v>
      </c>
      <c r="D7305" s="15" t="s">
        <v>13590</v>
      </c>
      <c r="E7305" s="15">
        <v>19.010100000000001</v>
      </c>
      <c r="F7305" s="42">
        <v>46198</v>
      </c>
    </row>
    <row r="7306" spans="1:6" x14ac:dyDescent="0.3">
      <c r="A7306" s="15" t="s">
        <v>41563</v>
      </c>
      <c r="B7306" s="15" t="s">
        <v>13591</v>
      </c>
      <c r="C7306" s="15" t="s">
        <v>800</v>
      </c>
      <c r="D7306" s="15" t="s">
        <v>13592</v>
      </c>
      <c r="E7306" s="15">
        <v>43.570500000000003</v>
      </c>
      <c r="F7306" s="42">
        <v>46198</v>
      </c>
    </row>
    <row r="7307" spans="1:6" x14ac:dyDescent="0.3">
      <c r="A7307" s="15" t="s">
        <v>41562</v>
      </c>
      <c r="B7307" s="15" t="s">
        <v>800</v>
      </c>
      <c r="C7307" s="15" t="s">
        <v>13593</v>
      </c>
      <c r="D7307" s="15" t="s">
        <v>13594</v>
      </c>
      <c r="E7307" s="15">
        <v>43.570500000000003</v>
      </c>
      <c r="F7307" s="42">
        <v>46198</v>
      </c>
    </row>
    <row r="7308" spans="1:6" x14ac:dyDescent="0.3">
      <c r="A7308" s="15" t="s">
        <v>41561</v>
      </c>
      <c r="B7308" s="15" t="s">
        <v>13595</v>
      </c>
      <c r="C7308" s="15" t="s">
        <v>800</v>
      </c>
      <c r="D7308" s="15" t="s">
        <v>13596</v>
      </c>
      <c r="E7308" s="15">
        <v>36.7455</v>
      </c>
      <c r="F7308" s="42">
        <v>46198</v>
      </c>
    </row>
    <row r="7309" spans="1:6" x14ac:dyDescent="0.3">
      <c r="A7309" s="15" t="s">
        <v>41560</v>
      </c>
      <c r="B7309" s="15" t="s">
        <v>800</v>
      </c>
      <c r="C7309" s="15" t="s">
        <v>13597</v>
      </c>
      <c r="D7309" s="15" t="s">
        <v>13598</v>
      </c>
      <c r="E7309" s="15">
        <v>36.7455</v>
      </c>
      <c r="F7309" s="42">
        <v>46198</v>
      </c>
    </row>
    <row r="7310" spans="1:6" x14ac:dyDescent="0.3">
      <c r="A7310" s="15" t="s">
        <v>41559</v>
      </c>
      <c r="B7310" s="15" t="s">
        <v>13599</v>
      </c>
      <c r="C7310" s="15" t="s">
        <v>800</v>
      </c>
      <c r="D7310" s="15" t="s">
        <v>13600</v>
      </c>
      <c r="E7310" s="15">
        <v>45.081699999999998</v>
      </c>
      <c r="F7310" s="42">
        <v>46198</v>
      </c>
    </row>
    <row r="7311" spans="1:6" x14ac:dyDescent="0.3">
      <c r="A7311" s="15" t="s">
        <v>41558</v>
      </c>
      <c r="B7311" s="15" t="s">
        <v>13601</v>
      </c>
      <c r="C7311" s="15" t="s">
        <v>800</v>
      </c>
      <c r="D7311" s="15" t="s">
        <v>13602</v>
      </c>
      <c r="E7311" s="15">
        <v>38.254300000000001</v>
      </c>
      <c r="F7311" s="42">
        <v>46198</v>
      </c>
    </row>
    <row r="7312" spans="1:6" x14ac:dyDescent="0.3">
      <c r="A7312" s="15" t="s">
        <v>41557</v>
      </c>
      <c r="B7312" s="15" t="s">
        <v>13603</v>
      </c>
      <c r="C7312" s="15" t="s">
        <v>800</v>
      </c>
      <c r="D7312" s="15" t="s">
        <v>13604</v>
      </c>
      <c r="E7312" s="15">
        <v>408.97649999999999</v>
      </c>
      <c r="F7312" s="42">
        <v>46198</v>
      </c>
    </row>
    <row r="7313" spans="1:6" x14ac:dyDescent="0.3">
      <c r="A7313" s="15" t="s">
        <v>41556</v>
      </c>
      <c r="B7313" s="15" t="s">
        <v>13605</v>
      </c>
      <c r="C7313" s="15" t="s">
        <v>13606</v>
      </c>
      <c r="D7313" s="15" t="s">
        <v>13607</v>
      </c>
      <c r="E7313" s="15">
        <v>218.6729</v>
      </c>
      <c r="F7313" s="42">
        <v>46198</v>
      </c>
    </row>
    <row r="7314" spans="1:6" x14ac:dyDescent="0.3">
      <c r="A7314" s="15" t="s">
        <v>41555</v>
      </c>
      <c r="B7314" s="15" t="s">
        <v>13608</v>
      </c>
      <c r="C7314" s="15" t="s">
        <v>13609</v>
      </c>
      <c r="D7314" s="15" t="s">
        <v>13610</v>
      </c>
      <c r="E7314" s="15">
        <v>138.50810000000001</v>
      </c>
      <c r="F7314" s="42">
        <v>46198</v>
      </c>
    </row>
    <row r="7315" spans="1:6" x14ac:dyDescent="0.3">
      <c r="A7315" s="15" t="s">
        <v>41554</v>
      </c>
      <c r="B7315" s="15" t="s">
        <v>13611</v>
      </c>
      <c r="C7315" s="15" t="s">
        <v>800</v>
      </c>
      <c r="D7315" s="15" t="s">
        <v>13612</v>
      </c>
      <c r="E7315" s="15">
        <v>354.11970000000002</v>
      </c>
      <c r="F7315" s="42">
        <v>46198</v>
      </c>
    </row>
    <row r="7316" spans="1:6" x14ac:dyDescent="0.3">
      <c r="A7316" s="15" t="s">
        <v>41553</v>
      </c>
      <c r="B7316" s="15" t="s">
        <v>13613</v>
      </c>
      <c r="C7316" s="15" t="s">
        <v>800</v>
      </c>
      <c r="D7316" s="15" t="s">
        <v>13614</v>
      </c>
      <c r="E7316" s="15">
        <v>15.886100000000001</v>
      </c>
      <c r="F7316" s="42">
        <v>46198</v>
      </c>
    </row>
    <row r="7317" spans="1:6" x14ac:dyDescent="0.3">
      <c r="A7317" s="15" t="s">
        <v>41552</v>
      </c>
      <c r="B7317" s="15" t="s">
        <v>13615</v>
      </c>
      <c r="C7317" s="15" t="s">
        <v>800</v>
      </c>
      <c r="D7317" s="15" t="s">
        <v>13616</v>
      </c>
      <c r="E7317" s="15">
        <v>15.886100000000001</v>
      </c>
      <c r="F7317" s="42">
        <v>46198</v>
      </c>
    </row>
    <row r="7318" spans="1:6" x14ac:dyDescent="0.3">
      <c r="A7318" s="15" t="s">
        <v>41551</v>
      </c>
      <c r="B7318" s="15" t="s">
        <v>800</v>
      </c>
      <c r="C7318" s="15" t="s">
        <v>13617</v>
      </c>
      <c r="D7318" s="15" t="s">
        <v>13618</v>
      </c>
      <c r="E7318" s="15">
        <v>15.886100000000001</v>
      </c>
      <c r="F7318" s="42">
        <v>46198</v>
      </c>
    </row>
    <row r="7319" spans="1:6" x14ac:dyDescent="0.3">
      <c r="A7319" s="15" t="s">
        <v>41550</v>
      </c>
      <c r="B7319" s="15" t="s">
        <v>13619</v>
      </c>
      <c r="C7319" s="15" t="s">
        <v>800</v>
      </c>
      <c r="D7319" s="15" t="s">
        <v>13620</v>
      </c>
      <c r="E7319" s="15">
        <v>14.885</v>
      </c>
      <c r="F7319" s="42">
        <v>46198</v>
      </c>
    </row>
    <row r="7320" spans="1:6" x14ac:dyDescent="0.3">
      <c r="A7320" s="15" t="s">
        <v>41549</v>
      </c>
      <c r="B7320" s="15" t="s">
        <v>13621</v>
      </c>
      <c r="C7320" s="15" t="s">
        <v>800</v>
      </c>
      <c r="D7320" s="15" t="s">
        <v>13622</v>
      </c>
      <c r="E7320" s="15">
        <v>14.885</v>
      </c>
      <c r="F7320" s="42">
        <v>46198</v>
      </c>
    </row>
    <row r="7321" spans="1:6" x14ac:dyDescent="0.3">
      <c r="A7321" s="15" t="s">
        <v>41548</v>
      </c>
      <c r="B7321" s="15" t="s">
        <v>800</v>
      </c>
      <c r="C7321" s="15" t="s">
        <v>13623</v>
      </c>
      <c r="D7321" s="15" t="s">
        <v>13624</v>
      </c>
      <c r="E7321" s="15">
        <v>14.885</v>
      </c>
      <c r="F7321" s="42">
        <v>46198</v>
      </c>
    </row>
    <row r="7322" spans="1:6" x14ac:dyDescent="0.3">
      <c r="A7322" s="15" t="s">
        <v>41547</v>
      </c>
      <c r="B7322" s="15" t="s">
        <v>13625</v>
      </c>
      <c r="C7322" s="15" t="s">
        <v>800</v>
      </c>
      <c r="D7322" s="15" t="s">
        <v>13626</v>
      </c>
      <c r="E7322" s="15">
        <v>51.001100000000001</v>
      </c>
      <c r="F7322" s="42">
        <v>46198</v>
      </c>
    </row>
    <row r="7323" spans="1:6" x14ac:dyDescent="0.3">
      <c r="A7323" s="15" t="s">
        <v>41546</v>
      </c>
      <c r="B7323" s="15" t="s">
        <v>800</v>
      </c>
      <c r="C7323" s="15" t="s">
        <v>13627</v>
      </c>
      <c r="D7323" s="15" t="s">
        <v>13628</v>
      </c>
      <c r="E7323" s="15">
        <v>51.001100000000001</v>
      </c>
      <c r="F7323" s="42">
        <v>46198</v>
      </c>
    </row>
    <row r="7324" spans="1:6" x14ac:dyDescent="0.3">
      <c r="A7324" s="15" t="s">
        <v>41545</v>
      </c>
      <c r="B7324" s="15" t="s">
        <v>13629</v>
      </c>
      <c r="C7324" s="15" t="s">
        <v>800</v>
      </c>
      <c r="D7324" s="15" t="s">
        <v>13630</v>
      </c>
      <c r="E7324" s="15">
        <v>40.062399999999997</v>
      </c>
      <c r="F7324" s="42">
        <v>46198</v>
      </c>
    </row>
    <row r="7325" spans="1:6" x14ac:dyDescent="0.3">
      <c r="A7325" s="15" t="s">
        <v>41544</v>
      </c>
      <c r="B7325" s="15" t="s">
        <v>800</v>
      </c>
      <c r="C7325" s="15" t="s">
        <v>13631</v>
      </c>
      <c r="D7325" s="15" t="s">
        <v>13632</v>
      </c>
      <c r="E7325" s="15">
        <v>40.062399999999997</v>
      </c>
      <c r="F7325" s="42">
        <v>46198</v>
      </c>
    </row>
    <row r="7326" spans="1:6" x14ac:dyDescent="0.3">
      <c r="A7326" s="15" t="s">
        <v>41543</v>
      </c>
      <c r="B7326" s="15" t="s">
        <v>13633</v>
      </c>
      <c r="C7326" s="15" t="s">
        <v>800</v>
      </c>
      <c r="D7326" s="15" t="s">
        <v>13634</v>
      </c>
      <c r="E7326" s="15">
        <v>52.624499999999998</v>
      </c>
      <c r="F7326" s="42">
        <v>46198</v>
      </c>
    </row>
    <row r="7327" spans="1:6" x14ac:dyDescent="0.3">
      <c r="A7327" s="15" t="s">
        <v>41542</v>
      </c>
      <c r="B7327" s="15" t="s">
        <v>13635</v>
      </c>
      <c r="C7327" s="15" t="s">
        <v>800</v>
      </c>
      <c r="D7327" s="15" t="s">
        <v>13636</v>
      </c>
      <c r="E7327" s="15">
        <v>45.200400000000002</v>
      </c>
      <c r="F7327" s="42">
        <v>46198</v>
      </c>
    </row>
    <row r="7328" spans="1:6" x14ac:dyDescent="0.3">
      <c r="A7328" s="15" t="s">
        <v>41541</v>
      </c>
      <c r="B7328" s="15" t="s">
        <v>13637</v>
      </c>
      <c r="C7328" s="15" t="s">
        <v>800</v>
      </c>
      <c r="D7328" s="15" t="s">
        <v>13638</v>
      </c>
      <c r="E7328" s="15">
        <v>10.0434</v>
      </c>
      <c r="F7328" s="42">
        <v>46198</v>
      </c>
    </row>
    <row r="7329" spans="1:6" x14ac:dyDescent="0.3">
      <c r="A7329" s="15" t="s">
        <v>41540</v>
      </c>
      <c r="B7329" s="15" t="s">
        <v>13639</v>
      </c>
      <c r="C7329" s="15" t="s">
        <v>800</v>
      </c>
      <c r="D7329" s="15" t="s">
        <v>13640</v>
      </c>
      <c r="E7329" s="15">
        <v>10.0434</v>
      </c>
      <c r="F7329" s="42">
        <v>46198</v>
      </c>
    </row>
    <row r="7330" spans="1:6" x14ac:dyDescent="0.3">
      <c r="A7330" s="15" t="s">
        <v>41539</v>
      </c>
      <c r="B7330" s="15" t="s">
        <v>800</v>
      </c>
      <c r="C7330" s="15" t="s">
        <v>13641</v>
      </c>
      <c r="D7330" s="15" t="s">
        <v>13642</v>
      </c>
      <c r="E7330" s="15">
        <v>10.0434</v>
      </c>
      <c r="F7330" s="42">
        <v>46198</v>
      </c>
    </row>
    <row r="7331" spans="1:6" x14ac:dyDescent="0.3">
      <c r="A7331" s="15" t="s">
        <v>41538</v>
      </c>
      <c r="B7331" s="15" t="s">
        <v>13643</v>
      </c>
      <c r="C7331" s="15" t="s">
        <v>800</v>
      </c>
      <c r="D7331" s="15" t="s">
        <v>13644</v>
      </c>
      <c r="E7331" s="15">
        <v>9.8076000000000008</v>
      </c>
      <c r="F7331" s="42">
        <v>46198</v>
      </c>
    </row>
    <row r="7332" spans="1:6" x14ac:dyDescent="0.3">
      <c r="A7332" s="15" t="s">
        <v>41537</v>
      </c>
      <c r="B7332" s="15" t="s">
        <v>13645</v>
      </c>
      <c r="C7332" s="15" t="s">
        <v>800</v>
      </c>
      <c r="D7332" s="15" t="s">
        <v>13646</v>
      </c>
      <c r="E7332" s="15">
        <v>9.8076000000000008</v>
      </c>
      <c r="F7332" s="42">
        <v>46198</v>
      </c>
    </row>
    <row r="7333" spans="1:6" x14ac:dyDescent="0.3">
      <c r="A7333" s="15" t="s">
        <v>41536</v>
      </c>
      <c r="B7333" s="15" t="s">
        <v>800</v>
      </c>
      <c r="C7333" s="15" t="s">
        <v>13647</v>
      </c>
      <c r="D7333" s="15" t="s">
        <v>13648</v>
      </c>
      <c r="E7333" s="15">
        <v>9.8076000000000008</v>
      </c>
      <c r="F7333" s="42">
        <v>46198</v>
      </c>
    </row>
    <row r="7334" spans="1:6" x14ac:dyDescent="0.3">
      <c r="A7334" s="15" t="s">
        <v>41535</v>
      </c>
      <c r="B7334" s="15" t="s">
        <v>13649</v>
      </c>
      <c r="C7334" s="15" t="s">
        <v>800</v>
      </c>
      <c r="D7334" s="15" t="s">
        <v>13650</v>
      </c>
      <c r="E7334" s="15">
        <v>36.509099999999997</v>
      </c>
      <c r="F7334" s="42">
        <v>46198</v>
      </c>
    </row>
    <row r="7335" spans="1:6" x14ac:dyDescent="0.3">
      <c r="A7335" s="15" t="s">
        <v>41534</v>
      </c>
      <c r="B7335" s="15" t="s">
        <v>13651</v>
      </c>
      <c r="C7335" s="15" t="s">
        <v>800</v>
      </c>
      <c r="D7335" s="15" t="s">
        <v>13652</v>
      </c>
      <c r="E7335" s="15">
        <v>30.784300000000002</v>
      </c>
      <c r="F7335" s="42">
        <v>46198</v>
      </c>
    </row>
    <row r="7336" spans="1:6" x14ac:dyDescent="0.3">
      <c r="A7336" s="15" t="s">
        <v>41533</v>
      </c>
      <c r="B7336" s="15" t="s">
        <v>800</v>
      </c>
      <c r="C7336" s="15" t="s">
        <v>13653</v>
      </c>
      <c r="D7336" s="15" t="s">
        <v>13654</v>
      </c>
      <c r="E7336" s="15">
        <v>36.509099999999997</v>
      </c>
      <c r="F7336" s="42">
        <v>46198</v>
      </c>
    </row>
    <row r="7337" spans="1:6" x14ac:dyDescent="0.3">
      <c r="A7337" s="15" t="s">
        <v>41532</v>
      </c>
      <c r="B7337" s="15" t="s">
        <v>800</v>
      </c>
      <c r="C7337" s="15" t="s">
        <v>13655</v>
      </c>
      <c r="D7337" s="15" t="s">
        <v>13656</v>
      </c>
      <c r="E7337" s="15">
        <v>30.784300000000002</v>
      </c>
      <c r="F7337" s="42">
        <v>46198</v>
      </c>
    </row>
    <row r="7338" spans="1:6" x14ac:dyDescent="0.3">
      <c r="A7338" s="15" t="s">
        <v>41531</v>
      </c>
      <c r="B7338" s="15" t="s">
        <v>13657</v>
      </c>
      <c r="C7338" s="15" t="s">
        <v>800</v>
      </c>
      <c r="D7338" s="15" t="s">
        <v>13658</v>
      </c>
      <c r="E7338" s="15">
        <v>37.735700000000001</v>
      </c>
      <c r="F7338" s="42">
        <v>46198</v>
      </c>
    </row>
    <row r="7339" spans="1:6" x14ac:dyDescent="0.3">
      <c r="A7339" s="15" t="s">
        <v>41530</v>
      </c>
      <c r="B7339" s="15" t="s">
        <v>13659</v>
      </c>
      <c r="C7339" s="15" t="s">
        <v>800</v>
      </c>
      <c r="D7339" s="15" t="s">
        <v>13660</v>
      </c>
      <c r="E7339" s="15">
        <v>32.008899999999997</v>
      </c>
      <c r="F7339" s="42">
        <v>46198</v>
      </c>
    </row>
    <row r="7340" spans="1:6" x14ac:dyDescent="0.3">
      <c r="A7340" s="15" t="s">
        <v>41529</v>
      </c>
      <c r="B7340" s="15" t="s">
        <v>13661</v>
      </c>
      <c r="C7340" s="15" t="s">
        <v>800</v>
      </c>
      <c r="D7340" s="15" t="s">
        <v>13662</v>
      </c>
      <c r="E7340" s="15">
        <v>201.9323</v>
      </c>
      <c r="F7340" s="42">
        <v>46198</v>
      </c>
    </row>
    <row r="7341" spans="1:6" x14ac:dyDescent="0.3">
      <c r="A7341" s="15" t="s">
        <v>41528</v>
      </c>
      <c r="B7341" s="15" t="s">
        <v>13663</v>
      </c>
      <c r="C7341" s="15" t="s">
        <v>13664</v>
      </c>
      <c r="D7341" s="15" t="s">
        <v>13665</v>
      </c>
      <c r="E7341" s="15">
        <v>80.389700000000005</v>
      </c>
      <c r="F7341" s="42">
        <v>46198</v>
      </c>
    </row>
    <row r="7342" spans="1:6" x14ac:dyDescent="0.3">
      <c r="A7342" s="15" t="s">
        <v>41527</v>
      </c>
      <c r="B7342" s="15" t="s">
        <v>13666</v>
      </c>
      <c r="C7342" s="15" t="s">
        <v>13667</v>
      </c>
      <c r="D7342" s="15" t="s">
        <v>13668</v>
      </c>
      <c r="E7342" s="15">
        <v>98.906400000000005</v>
      </c>
      <c r="F7342" s="42">
        <v>46198</v>
      </c>
    </row>
    <row r="7343" spans="1:6" x14ac:dyDescent="0.3">
      <c r="A7343" s="15" t="s">
        <v>41526</v>
      </c>
      <c r="B7343" s="15" t="s">
        <v>13669</v>
      </c>
      <c r="C7343" s="15" t="s">
        <v>800</v>
      </c>
      <c r="D7343" s="15" t="s">
        <v>13670</v>
      </c>
      <c r="E7343" s="15">
        <v>184.14689999999999</v>
      </c>
      <c r="F7343" s="42">
        <v>46198</v>
      </c>
    </row>
    <row r="7344" spans="1:6" x14ac:dyDescent="0.3">
      <c r="A7344" s="15" t="s">
        <v>41525</v>
      </c>
      <c r="B7344" s="15" t="s">
        <v>13671</v>
      </c>
      <c r="C7344" s="15" t="s">
        <v>800</v>
      </c>
      <c r="D7344" s="15" t="s">
        <v>13672</v>
      </c>
      <c r="E7344" s="15">
        <v>0</v>
      </c>
      <c r="F7344" s="42">
        <v>45748</v>
      </c>
    </row>
    <row r="7345" spans="1:6" x14ac:dyDescent="0.3">
      <c r="A7345" s="15" t="s">
        <v>41524</v>
      </c>
      <c r="B7345" s="15" t="s">
        <v>13673</v>
      </c>
      <c r="C7345" s="15" t="s">
        <v>800</v>
      </c>
      <c r="D7345" s="15" t="s">
        <v>13674</v>
      </c>
      <c r="E7345" s="15">
        <v>0</v>
      </c>
      <c r="F7345" s="42">
        <v>45748</v>
      </c>
    </row>
    <row r="7346" spans="1:6" x14ac:dyDescent="0.3">
      <c r="A7346" s="15" t="s">
        <v>41523</v>
      </c>
      <c r="B7346" s="15" t="s">
        <v>800</v>
      </c>
      <c r="C7346" s="15" t="s">
        <v>13675</v>
      </c>
      <c r="D7346" s="15" t="s">
        <v>13676</v>
      </c>
      <c r="E7346" s="15">
        <v>0</v>
      </c>
      <c r="F7346" s="42">
        <v>45748</v>
      </c>
    </row>
    <row r="7347" spans="1:6" x14ac:dyDescent="0.3">
      <c r="A7347" s="15" t="s">
        <v>41522</v>
      </c>
      <c r="B7347" s="15" t="s">
        <v>800</v>
      </c>
      <c r="C7347" s="15" t="s">
        <v>13677</v>
      </c>
      <c r="D7347" s="15" t="s">
        <v>13678</v>
      </c>
      <c r="E7347" s="15">
        <v>0</v>
      </c>
      <c r="F7347" s="42">
        <v>45748</v>
      </c>
    </row>
    <row r="7348" spans="1:6" x14ac:dyDescent="0.3">
      <c r="A7348" s="15" t="s">
        <v>41521</v>
      </c>
      <c r="B7348" s="15" t="s">
        <v>13679</v>
      </c>
      <c r="C7348" s="15" t="s">
        <v>800</v>
      </c>
      <c r="D7348" s="15" t="s">
        <v>13680</v>
      </c>
      <c r="E7348" s="15">
        <v>0</v>
      </c>
      <c r="F7348" s="42">
        <v>45748</v>
      </c>
    </row>
    <row r="7349" spans="1:6" x14ac:dyDescent="0.3">
      <c r="A7349" s="15" t="s">
        <v>41520</v>
      </c>
      <c r="B7349" s="15" t="s">
        <v>13681</v>
      </c>
      <c r="C7349" s="15" t="s">
        <v>800</v>
      </c>
      <c r="D7349" s="15" t="s">
        <v>13682</v>
      </c>
      <c r="E7349" s="15">
        <v>0</v>
      </c>
      <c r="F7349" s="42">
        <v>45748</v>
      </c>
    </row>
    <row r="7350" spans="1:6" x14ac:dyDescent="0.3">
      <c r="A7350" s="15" t="s">
        <v>41519</v>
      </c>
      <c r="B7350" s="15" t="s">
        <v>13683</v>
      </c>
      <c r="C7350" s="15" t="s">
        <v>800</v>
      </c>
      <c r="D7350" s="15" t="s">
        <v>13684</v>
      </c>
      <c r="E7350" s="15">
        <v>55.332599999999999</v>
      </c>
      <c r="F7350" s="42">
        <v>46198</v>
      </c>
    </row>
    <row r="7351" spans="1:6" x14ac:dyDescent="0.3">
      <c r="A7351" s="15" t="s">
        <v>41518</v>
      </c>
      <c r="B7351" s="15" t="s">
        <v>800</v>
      </c>
      <c r="C7351" s="15" t="s">
        <v>13685</v>
      </c>
      <c r="D7351" s="15" t="s">
        <v>13686</v>
      </c>
      <c r="E7351" s="15">
        <v>55.332599999999999</v>
      </c>
      <c r="F7351" s="42">
        <v>46198</v>
      </c>
    </row>
    <row r="7352" spans="1:6" x14ac:dyDescent="0.3">
      <c r="A7352" s="15" t="s">
        <v>41517</v>
      </c>
      <c r="B7352" s="15" t="s">
        <v>13687</v>
      </c>
      <c r="C7352" s="15" t="s">
        <v>800</v>
      </c>
      <c r="D7352" s="15" t="s">
        <v>13688</v>
      </c>
      <c r="E7352" s="15">
        <v>42.125799999999998</v>
      </c>
      <c r="F7352" s="42">
        <v>46198</v>
      </c>
    </row>
    <row r="7353" spans="1:6" x14ac:dyDescent="0.3">
      <c r="A7353" s="15" t="s">
        <v>41516</v>
      </c>
      <c r="B7353" s="15" t="s">
        <v>800</v>
      </c>
      <c r="C7353" s="15" t="s">
        <v>13689</v>
      </c>
      <c r="D7353" s="15" t="s">
        <v>13690</v>
      </c>
      <c r="E7353" s="15">
        <v>42.125799999999998</v>
      </c>
      <c r="F7353" s="42">
        <v>46198</v>
      </c>
    </row>
    <row r="7354" spans="1:6" x14ac:dyDescent="0.3">
      <c r="A7354" s="15" t="s">
        <v>41515</v>
      </c>
      <c r="B7354" s="15" t="s">
        <v>13691</v>
      </c>
      <c r="C7354" s="15" t="s">
        <v>800</v>
      </c>
      <c r="D7354" s="15" t="s">
        <v>13692</v>
      </c>
      <c r="E7354" s="15">
        <v>57.055100000000003</v>
      </c>
      <c r="F7354" s="42">
        <v>46198</v>
      </c>
    </row>
    <row r="7355" spans="1:6" x14ac:dyDescent="0.3">
      <c r="A7355" s="15" t="s">
        <v>41514</v>
      </c>
      <c r="B7355" s="15" t="s">
        <v>13693</v>
      </c>
      <c r="C7355" s="15" t="s">
        <v>800</v>
      </c>
      <c r="D7355" s="15" t="s">
        <v>13694</v>
      </c>
      <c r="E7355" s="15">
        <v>47.933799999999998</v>
      </c>
      <c r="F7355" s="42">
        <v>46198</v>
      </c>
    </row>
    <row r="7356" spans="1:6" x14ac:dyDescent="0.3">
      <c r="A7356" s="15" t="s">
        <v>33499</v>
      </c>
      <c r="B7356" s="15" t="s">
        <v>795</v>
      </c>
      <c r="C7356" s="15" t="s">
        <v>795</v>
      </c>
      <c r="D7356" s="15" t="s">
        <v>795</v>
      </c>
      <c r="F7356" s="42"/>
    </row>
    <row r="7357" spans="1:6" x14ac:dyDescent="0.3">
      <c r="A7357" s="15" t="s">
        <v>38009</v>
      </c>
      <c r="B7357" s="15" t="s">
        <v>795</v>
      </c>
      <c r="C7357" s="15" t="s">
        <v>795</v>
      </c>
      <c r="D7357" s="15" t="s">
        <v>795</v>
      </c>
      <c r="F7357" s="42"/>
    </row>
    <row r="7358" spans="1:6" x14ac:dyDescent="0.3">
      <c r="A7358" s="15" t="s">
        <v>33499</v>
      </c>
      <c r="B7358" s="15" t="s">
        <v>795</v>
      </c>
      <c r="C7358" s="15" t="s">
        <v>795</v>
      </c>
      <c r="D7358" s="15" t="s">
        <v>795</v>
      </c>
      <c r="F7358" s="42"/>
    </row>
    <row r="7359" spans="1:6" x14ac:dyDescent="0.3">
      <c r="A7359" s="15" t="s">
        <v>41513</v>
      </c>
      <c r="B7359" s="15" t="s">
        <v>13695</v>
      </c>
      <c r="C7359" s="15" t="s">
        <v>800</v>
      </c>
      <c r="D7359" s="15" t="s">
        <v>13696</v>
      </c>
      <c r="E7359" s="15">
        <v>60.89</v>
      </c>
      <c r="F7359" s="42">
        <v>46198</v>
      </c>
    </row>
    <row r="7360" spans="1:6" x14ac:dyDescent="0.3">
      <c r="A7360" s="15" t="s">
        <v>41512</v>
      </c>
      <c r="B7360" s="15" t="s">
        <v>13697</v>
      </c>
      <c r="C7360" s="15" t="s">
        <v>13698</v>
      </c>
      <c r="D7360" s="15" t="s">
        <v>13699</v>
      </c>
      <c r="E7360" s="15">
        <v>60.18</v>
      </c>
      <c r="F7360" s="42">
        <v>46198</v>
      </c>
    </row>
    <row r="7361" spans="1:6" x14ac:dyDescent="0.3">
      <c r="A7361" s="15" t="s">
        <v>41511</v>
      </c>
      <c r="B7361" s="15" t="s">
        <v>13700</v>
      </c>
      <c r="C7361" s="15" t="s">
        <v>800</v>
      </c>
      <c r="D7361" s="15" t="s">
        <v>13701</v>
      </c>
      <c r="E7361" s="15">
        <v>54.1</v>
      </c>
      <c r="F7361" s="42">
        <v>46198</v>
      </c>
    </row>
    <row r="7362" spans="1:6" x14ac:dyDescent="0.3">
      <c r="A7362" s="15" t="s">
        <v>41510</v>
      </c>
      <c r="B7362" s="15" t="s">
        <v>13702</v>
      </c>
      <c r="C7362" s="15" t="s">
        <v>13703</v>
      </c>
      <c r="D7362" s="15" t="s">
        <v>13704</v>
      </c>
      <c r="E7362" s="15">
        <v>48.43</v>
      </c>
      <c r="F7362" s="42">
        <v>46198</v>
      </c>
    </row>
    <row r="7363" spans="1:6" x14ac:dyDescent="0.3">
      <c r="A7363" s="15" t="s">
        <v>41509</v>
      </c>
      <c r="B7363" s="15" t="s">
        <v>13705</v>
      </c>
      <c r="C7363" s="15" t="s">
        <v>800</v>
      </c>
      <c r="D7363" s="15" t="s">
        <v>13706</v>
      </c>
      <c r="E7363" s="15">
        <v>124.62</v>
      </c>
      <c r="F7363" s="42">
        <v>46198</v>
      </c>
    </row>
    <row r="7364" spans="1:6" x14ac:dyDescent="0.3">
      <c r="A7364" s="15" t="s">
        <v>41508</v>
      </c>
      <c r="B7364" s="15" t="s">
        <v>13707</v>
      </c>
      <c r="C7364" s="15" t="s">
        <v>800</v>
      </c>
      <c r="D7364" s="15" t="s">
        <v>13708</v>
      </c>
      <c r="E7364" s="15">
        <v>142.29</v>
      </c>
      <c r="F7364" s="42">
        <v>46198</v>
      </c>
    </row>
    <row r="7365" spans="1:6" x14ac:dyDescent="0.3">
      <c r="A7365" s="15" t="s">
        <v>41507</v>
      </c>
      <c r="B7365" s="15" t="s">
        <v>13709</v>
      </c>
      <c r="C7365" s="15" t="s">
        <v>13710</v>
      </c>
      <c r="D7365" s="15" t="s">
        <v>13711</v>
      </c>
      <c r="E7365" s="15">
        <v>95.52</v>
      </c>
      <c r="F7365" s="42">
        <v>46198</v>
      </c>
    </row>
    <row r="7366" spans="1:6" x14ac:dyDescent="0.3">
      <c r="A7366" s="15" t="s">
        <v>41506</v>
      </c>
      <c r="B7366" s="15" t="s">
        <v>13712</v>
      </c>
      <c r="C7366" s="15" t="s">
        <v>800</v>
      </c>
      <c r="D7366" s="15" t="s">
        <v>13713</v>
      </c>
      <c r="E7366" s="15">
        <v>124.64</v>
      </c>
      <c r="F7366" s="42">
        <v>46198</v>
      </c>
    </row>
    <row r="7367" spans="1:6" x14ac:dyDescent="0.3">
      <c r="A7367" s="15" t="s">
        <v>41505</v>
      </c>
      <c r="B7367" s="15" t="s">
        <v>13714</v>
      </c>
      <c r="C7367" s="15" t="s">
        <v>13715</v>
      </c>
      <c r="D7367" s="15" t="s">
        <v>13716</v>
      </c>
      <c r="E7367" s="15">
        <v>84.26</v>
      </c>
      <c r="F7367" s="42">
        <v>46198</v>
      </c>
    </row>
    <row r="7368" spans="1:6" x14ac:dyDescent="0.3">
      <c r="A7368" s="15" t="s">
        <v>41504</v>
      </c>
      <c r="B7368" s="15" t="s">
        <v>13717</v>
      </c>
      <c r="C7368" s="15" t="s">
        <v>800</v>
      </c>
      <c r="D7368" s="15" t="s">
        <v>13718</v>
      </c>
      <c r="E7368" s="15">
        <v>46.63</v>
      </c>
      <c r="F7368" s="42">
        <v>46198</v>
      </c>
    </row>
    <row r="7369" spans="1:6" x14ac:dyDescent="0.3">
      <c r="A7369" s="15" t="s">
        <v>41503</v>
      </c>
      <c r="B7369" s="15" t="s">
        <v>13719</v>
      </c>
      <c r="C7369" s="15" t="s">
        <v>800</v>
      </c>
      <c r="D7369" s="15" t="s">
        <v>13720</v>
      </c>
      <c r="E7369" s="15">
        <v>70.22</v>
      </c>
      <c r="F7369" s="42">
        <v>46198</v>
      </c>
    </row>
    <row r="7370" spans="1:6" x14ac:dyDescent="0.3">
      <c r="A7370" s="15" t="s">
        <v>41502</v>
      </c>
      <c r="B7370" s="15" t="s">
        <v>13721</v>
      </c>
      <c r="C7370" s="15" t="s">
        <v>13722</v>
      </c>
      <c r="D7370" s="15" t="s">
        <v>13723</v>
      </c>
      <c r="E7370" s="15">
        <v>65.400000000000006</v>
      </c>
      <c r="F7370" s="42">
        <v>46198</v>
      </c>
    </row>
    <row r="7371" spans="1:6" x14ac:dyDescent="0.3">
      <c r="A7371" s="15" t="s">
        <v>41501</v>
      </c>
      <c r="B7371" s="15" t="s">
        <v>13724</v>
      </c>
      <c r="C7371" s="15" t="s">
        <v>800</v>
      </c>
      <c r="D7371" s="15" t="s">
        <v>13725</v>
      </c>
      <c r="E7371" s="15">
        <v>65.09</v>
      </c>
      <c r="F7371" s="42">
        <v>46198</v>
      </c>
    </row>
    <row r="7372" spans="1:6" x14ac:dyDescent="0.3">
      <c r="A7372" s="15" t="s">
        <v>41500</v>
      </c>
      <c r="B7372" s="15" t="s">
        <v>13726</v>
      </c>
      <c r="C7372" s="15" t="s">
        <v>13727</v>
      </c>
      <c r="D7372" s="15" t="s">
        <v>13728</v>
      </c>
      <c r="E7372" s="15">
        <v>61.14</v>
      </c>
      <c r="F7372" s="42">
        <v>46198</v>
      </c>
    </row>
    <row r="7373" spans="1:6" x14ac:dyDescent="0.3">
      <c r="A7373" s="15" t="s">
        <v>33499</v>
      </c>
      <c r="B7373" s="15" t="s">
        <v>795</v>
      </c>
      <c r="C7373" s="15" t="s">
        <v>795</v>
      </c>
      <c r="D7373" s="15" t="s">
        <v>795</v>
      </c>
      <c r="F7373" s="42"/>
    </row>
    <row r="7374" spans="1:6" x14ac:dyDescent="0.3">
      <c r="A7374" s="15" t="s">
        <v>39242</v>
      </c>
      <c r="B7374" s="15" t="s">
        <v>795</v>
      </c>
      <c r="C7374" s="15" t="s">
        <v>795</v>
      </c>
      <c r="D7374" s="15" t="s">
        <v>795</v>
      </c>
      <c r="F7374" s="42"/>
    </row>
    <row r="7375" spans="1:6" x14ac:dyDescent="0.3">
      <c r="A7375" s="15" t="s">
        <v>33499</v>
      </c>
      <c r="B7375" s="15" t="s">
        <v>795</v>
      </c>
      <c r="C7375" s="15" t="s">
        <v>795</v>
      </c>
      <c r="D7375" s="15" t="s">
        <v>795</v>
      </c>
      <c r="F7375" s="42"/>
    </row>
    <row r="7376" spans="1:6" x14ac:dyDescent="0.3">
      <c r="A7376" s="15" t="s">
        <v>41499</v>
      </c>
      <c r="B7376" s="15" t="s">
        <v>13729</v>
      </c>
      <c r="C7376" s="15" t="s">
        <v>800</v>
      </c>
      <c r="D7376" s="15" t="s">
        <v>13730</v>
      </c>
      <c r="E7376" s="15">
        <v>9.7713999999999999</v>
      </c>
      <c r="F7376" s="42">
        <v>46198</v>
      </c>
    </row>
    <row r="7377" spans="1:6" x14ac:dyDescent="0.3">
      <c r="A7377" s="15" t="s">
        <v>41498</v>
      </c>
      <c r="B7377" s="15" t="s">
        <v>13731</v>
      </c>
      <c r="C7377" s="15" t="s">
        <v>13732</v>
      </c>
      <c r="D7377" s="15" t="s">
        <v>13733</v>
      </c>
      <c r="E7377" s="15">
        <v>9.7720000000000002</v>
      </c>
      <c r="F7377" s="42">
        <v>46198</v>
      </c>
    </row>
    <row r="7378" spans="1:6" x14ac:dyDescent="0.3">
      <c r="A7378" s="15" t="s">
        <v>41497</v>
      </c>
      <c r="B7378" s="15" t="s">
        <v>13734</v>
      </c>
      <c r="C7378" s="15" t="s">
        <v>800</v>
      </c>
      <c r="D7378" s="15" t="s">
        <v>13735</v>
      </c>
      <c r="E7378" s="15">
        <v>9.6696000000000009</v>
      </c>
      <c r="F7378" s="42">
        <v>46198</v>
      </c>
    </row>
    <row r="7379" spans="1:6" x14ac:dyDescent="0.3">
      <c r="A7379" s="15" t="s">
        <v>41496</v>
      </c>
      <c r="B7379" s="15" t="s">
        <v>13736</v>
      </c>
      <c r="C7379" s="15" t="s">
        <v>13737</v>
      </c>
      <c r="D7379" s="15" t="s">
        <v>13738</v>
      </c>
      <c r="E7379" s="15">
        <v>9.6691000000000003</v>
      </c>
      <c r="F7379" s="42">
        <v>46198</v>
      </c>
    </row>
    <row r="7380" spans="1:6" x14ac:dyDescent="0.3">
      <c r="A7380" s="15" t="s">
        <v>33499</v>
      </c>
      <c r="B7380" s="15" t="s">
        <v>795</v>
      </c>
      <c r="C7380" s="15" t="s">
        <v>795</v>
      </c>
      <c r="D7380" s="15" t="s">
        <v>795</v>
      </c>
      <c r="F7380" s="42"/>
    </row>
    <row r="7381" spans="1:6" x14ac:dyDescent="0.3">
      <c r="A7381" s="15" t="s">
        <v>33504</v>
      </c>
      <c r="B7381" s="15" t="s">
        <v>795</v>
      </c>
      <c r="C7381" s="15" t="s">
        <v>795</v>
      </c>
      <c r="D7381" s="15" t="s">
        <v>795</v>
      </c>
      <c r="F7381" s="42"/>
    </row>
    <row r="7382" spans="1:6" x14ac:dyDescent="0.3">
      <c r="A7382" s="15" t="s">
        <v>33499</v>
      </c>
      <c r="B7382" s="15" t="s">
        <v>795</v>
      </c>
      <c r="C7382" s="15" t="s">
        <v>795</v>
      </c>
      <c r="D7382" s="15" t="s">
        <v>795</v>
      </c>
      <c r="F7382" s="42"/>
    </row>
    <row r="7383" spans="1:6" x14ac:dyDescent="0.3">
      <c r="A7383" s="15" t="s">
        <v>41495</v>
      </c>
      <c r="B7383" s="15" t="s">
        <v>13739</v>
      </c>
      <c r="C7383" s="15" t="s">
        <v>800</v>
      </c>
      <c r="D7383" s="15" t="s">
        <v>13740</v>
      </c>
      <c r="E7383" s="15">
        <v>9.7899999999999991</v>
      </c>
      <c r="F7383" s="42">
        <v>46198</v>
      </c>
    </row>
    <row r="7384" spans="1:6" x14ac:dyDescent="0.3">
      <c r="A7384" s="15" t="s">
        <v>41494</v>
      </c>
      <c r="B7384" s="15" t="s">
        <v>13741</v>
      </c>
      <c r="C7384" s="15" t="s">
        <v>13742</v>
      </c>
      <c r="D7384" s="15" t="s">
        <v>13743</v>
      </c>
      <c r="E7384" s="15">
        <v>9.7899999999999991</v>
      </c>
      <c r="F7384" s="42">
        <v>46198</v>
      </c>
    </row>
    <row r="7385" spans="1:6" x14ac:dyDescent="0.3">
      <c r="A7385" s="15" t="s">
        <v>41493</v>
      </c>
      <c r="B7385" s="15" t="s">
        <v>13744</v>
      </c>
      <c r="C7385" s="15" t="s">
        <v>800</v>
      </c>
      <c r="D7385" s="15" t="s">
        <v>13745</v>
      </c>
      <c r="E7385" s="15">
        <v>9.59</v>
      </c>
      <c r="F7385" s="42">
        <v>46198</v>
      </c>
    </row>
    <row r="7386" spans="1:6" x14ac:dyDescent="0.3">
      <c r="A7386" s="15" t="s">
        <v>41492</v>
      </c>
      <c r="B7386" s="15" t="s">
        <v>13746</v>
      </c>
      <c r="C7386" s="15" t="s">
        <v>13747</v>
      </c>
      <c r="D7386" s="15" t="s">
        <v>13748</v>
      </c>
      <c r="E7386" s="15">
        <v>9.59</v>
      </c>
      <c r="F7386" s="42">
        <v>46198</v>
      </c>
    </row>
    <row r="7387" spans="1:6" x14ac:dyDescent="0.3">
      <c r="A7387" s="15" t="s">
        <v>41491</v>
      </c>
      <c r="B7387" s="15" t="s">
        <v>13749</v>
      </c>
      <c r="C7387" s="15" t="s">
        <v>800</v>
      </c>
      <c r="D7387" s="15" t="s">
        <v>13750</v>
      </c>
      <c r="E7387" s="15">
        <v>12.08</v>
      </c>
      <c r="F7387" s="42">
        <v>46198</v>
      </c>
    </row>
    <row r="7388" spans="1:6" x14ac:dyDescent="0.3">
      <c r="A7388" s="15" t="s">
        <v>41490</v>
      </c>
      <c r="B7388" s="15" t="s">
        <v>13751</v>
      </c>
      <c r="C7388" s="15" t="s">
        <v>13752</v>
      </c>
      <c r="D7388" s="15" t="s">
        <v>13753</v>
      </c>
      <c r="E7388" s="15">
        <v>12.08</v>
      </c>
      <c r="F7388" s="42">
        <v>46198</v>
      </c>
    </row>
    <row r="7389" spans="1:6" x14ac:dyDescent="0.3">
      <c r="A7389" s="15" t="s">
        <v>41489</v>
      </c>
      <c r="B7389" s="15" t="s">
        <v>13754</v>
      </c>
      <c r="C7389" s="15" t="s">
        <v>800</v>
      </c>
      <c r="D7389" s="15" t="s">
        <v>13755</v>
      </c>
      <c r="E7389" s="15">
        <v>11.72</v>
      </c>
      <c r="F7389" s="42">
        <v>46198</v>
      </c>
    </row>
    <row r="7390" spans="1:6" x14ac:dyDescent="0.3">
      <c r="A7390" s="15" t="s">
        <v>41488</v>
      </c>
      <c r="B7390" s="15" t="s">
        <v>13756</v>
      </c>
      <c r="C7390" s="15" t="s">
        <v>13757</v>
      </c>
      <c r="D7390" s="15" t="s">
        <v>13758</v>
      </c>
      <c r="E7390" s="15">
        <v>11.72</v>
      </c>
      <c r="F7390" s="42">
        <v>46198</v>
      </c>
    </row>
    <row r="7391" spans="1:6" x14ac:dyDescent="0.3">
      <c r="A7391" s="15" t="s">
        <v>41487</v>
      </c>
      <c r="B7391" s="15" t="s">
        <v>13759</v>
      </c>
      <c r="C7391" s="15" t="s">
        <v>800</v>
      </c>
      <c r="D7391" s="15" t="s">
        <v>13760</v>
      </c>
      <c r="E7391" s="15">
        <v>9.4700000000000006</v>
      </c>
      <c r="F7391" s="42">
        <v>46198</v>
      </c>
    </row>
    <row r="7392" spans="1:6" x14ac:dyDescent="0.3">
      <c r="A7392" s="15" t="s">
        <v>41486</v>
      </c>
      <c r="B7392" s="15" t="s">
        <v>13761</v>
      </c>
      <c r="C7392" s="15" t="s">
        <v>13762</v>
      </c>
      <c r="D7392" s="15" t="s">
        <v>13763</v>
      </c>
      <c r="E7392" s="15">
        <v>9.4700000000000006</v>
      </c>
      <c r="F7392" s="42">
        <v>46198</v>
      </c>
    </row>
    <row r="7393" spans="1:6" x14ac:dyDescent="0.3">
      <c r="A7393" s="15" t="s">
        <v>41485</v>
      </c>
      <c r="B7393" s="15" t="s">
        <v>13764</v>
      </c>
      <c r="C7393" s="15" t="s">
        <v>800</v>
      </c>
      <c r="D7393" s="15" t="s">
        <v>13765</v>
      </c>
      <c r="E7393" s="15">
        <v>9.41</v>
      </c>
      <c r="F7393" s="42">
        <v>46198</v>
      </c>
    </row>
    <row r="7394" spans="1:6" x14ac:dyDescent="0.3">
      <c r="A7394" s="15" t="s">
        <v>41484</v>
      </c>
      <c r="B7394" s="15" t="s">
        <v>13766</v>
      </c>
      <c r="C7394" s="15" t="s">
        <v>13767</v>
      </c>
      <c r="D7394" s="15" t="s">
        <v>13768</v>
      </c>
      <c r="E7394" s="15">
        <v>9.41</v>
      </c>
      <c r="F7394" s="42">
        <v>46198</v>
      </c>
    </row>
    <row r="7395" spans="1:6" x14ac:dyDescent="0.3">
      <c r="A7395" s="15" t="s">
        <v>41483</v>
      </c>
      <c r="B7395" s="15" t="s">
        <v>13769</v>
      </c>
      <c r="C7395" s="15" t="s">
        <v>800</v>
      </c>
      <c r="D7395" s="15" t="s">
        <v>13770</v>
      </c>
      <c r="E7395" s="15">
        <v>15.37</v>
      </c>
      <c r="F7395" s="42">
        <v>46198</v>
      </c>
    </row>
    <row r="7396" spans="1:6" x14ac:dyDescent="0.3">
      <c r="A7396" s="15" t="s">
        <v>41482</v>
      </c>
      <c r="B7396" s="15" t="s">
        <v>13771</v>
      </c>
      <c r="C7396" s="15" t="s">
        <v>13772</v>
      </c>
      <c r="D7396" s="15" t="s">
        <v>13773</v>
      </c>
      <c r="E7396" s="15">
        <v>15.37</v>
      </c>
      <c r="F7396" s="42">
        <v>46198</v>
      </c>
    </row>
    <row r="7397" spans="1:6" x14ac:dyDescent="0.3">
      <c r="A7397" s="15" t="s">
        <v>41481</v>
      </c>
      <c r="B7397" s="15" t="s">
        <v>13774</v>
      </c>
      <c r="C7397" s="15" t="s">
        <v>800</v>
      </c>
      <c r="D7397" s="15" t="s">
        <v>13775</v>
      </c>
      <c r="E7397" s="15">
        <v>14.75</v>
      </c>
      <c r="F7397" s="42">
        <v>46198</v>
      </c>
    </row>
    <row r="7398" spans="1:6" x14ac:dyDescent="0.3">
      <c r="A7398" s="15" t="s">
        <v>41480</v>
      </c>
      <c r="B7398" s="15" t="s">
        <v>13776</v>
      </c>
      <c r="C7398" s="15" t="s">
        <v>13777</v>
      </c>
      <c r="D7398" s="15" t="s">
        <v>13778</v>
      </c>
      <c r="E7398" s="15">
        <v>14.75</v>
      </c>
      <c r="F7398" s="42">
        <v>46198</v>
      </c>
    </row>
    <row r="7399" spans="1:6" x14ac:dyDescent="0.3">
      <c r="A7399" s="15" t="s">
        <v>33499</v>
      </c>
      <c r="B7399" s="15" t="s">
        <v>795</v>
      </c>
      <c r="C7399" s="15" t="s">
        <v>795</v>
      </c>
      <c r="D7399" s="15" t="s">
        <v>795</v>
      </c>
      <c r="F7399" s="42"/>
    </row>
    <row r="7400" spans="1:6" x14ac:dyDescent="0.3">
      <c r="A7400" s="15" t="s">
        <v>33500</v>
      </c>
      <c r="B7400" s="15" t="s">
        <v>795</v>
      </c>
      <c r="C7400" s="15" t="s">
        <v>795</v>
      </c>
      <c r="D7400" s="15" t="s">
        <v>795</v>
      </c>
      <c r="F7400" s="42"/>
    </row>
    <row r="7401" spans="1:6" x14ac:dyDescent="0.3">
      <c r="A7401" s="15" t="s">
        <v>33499</v>
      </c>
      <c r="B7401" s="15" t="s">
        <v>795</v>
      </c>
      <c r="C7401" s="15" t="s">
        <v>795</v>
      </c>
      <c r="D7401" s="15" t="s">
        <v>795</v>
      </c>
      <c r="F7401" s="42"/>
    </row>
    <row r="7402" spans="1:6" x14ac:dyDescent="0.3">
      <c r="A7402" s="15" t="s">
        <v>41479</v>
      </c>
      <c r="B7402" s="15" t="s">
        <v>13779</v>
      </c>
      <c r="C7402" s="15" t="s">
        <v>800</v>
      </c>
      <c r="D7402" s="15" t="s">
        <v>13780</v>
      </c>
      <c r="E7402" s="15">
        <v>226.7098</v>
      </c>
      <c r="F7402" s="42">
        <v>46198</v>
      </c>
    </row>
    <row r="7403" spans="1:6" x14ac:dyDescent="0.3">
      <c r="A7403" s="15" t="s">
        <v>41478</v>
      </c>
      <c r="B7403" s="15" t="s">
        <v>13781</v>
      </c>
      <c r="C7403" s="15" t="s">
        <v>13782</v>
      </c>
      <c r="D7403" s="15" t="s">
        <v>13783</v>
      </c>
      <c r="E7403" s="15">
        <v>88.7303</v>
      </c>
      <c r="F7403" s="42">
        <v>46198</v>
      </c>
    </row>
    <row r="7404" spans="1:6" x14ac:dyDescent="0.3">
      <c r="A7404" s="15" t="s">
        <v>41477</v>
      </c>
      <c r="B7404" s="15" t="s">
        <v>13784</v>
      </c>
      <c r="C7404" s="15" t="s">
        <v>800</v>
      </c>
      <c r="D7404" s="15" t="s">
        <v>13785</v>
      </c>
      <c r="E7404" s="15">
        <v>197.011</v>
      </c>
      <c r="F7404" s="42">
        <v>46198</v>
      </c>
    </row>
    <row r="7405" spans="1:6" x14ac:dyDescent="0.3">
      <c r="A7405" s="15" t="s">
        <v>41476</v>
      </c>
      <c r="B7405" s="15" t="s">
        <v>13786</v>
      </c>
      <c r="C7405" s="15" t="s">
        <v>13787</v>
      </c>
      <c r="D7405" s="15" t="s">
        <v>13788</v>
      </c>
      <c r="E7405" s="15">
        <v>76.675700000000006</v>
      </c>
      <c r="F7405" s="42">
        <v>46198</v>
      </c>
    </row>
    <row r="7406" spans="1:6" x14ac:dyDescent="0.3">
      <c r="A7406" s="15" t="s">
        <v>41475</v>
      </c>
      <c r="B7406" s="15" t="s">
        <v>13789</v>
      </c>
      <c r="C7406" s="15" t="s">
        <v>800</v>
      </c>
      <c r="D7406" s="15" t="s">
        <v>13790</v>
      </c>
      <c r="E7406" s="15">
        <v>364.97039999999998</v>
      </c>
      <c r="F7406" s="42">
        <v>46198</v>
      </c>
    </row>
    <row r="7407" spans="1:6" x14ac:dyDescent="0.3">
      <c r="A7407" s="15" t="s">
        <v>41474</v>
      </c>
      <c r="B7407" s="15" t="s">
        <v>13791</v>
      </c>
      <c r="C7407" s="15" t="s">
        <v>13792</v>
      </c>
      <c r="D7407" s="15" t="s">
        <v>13793</v>
      </c>
      <c r="E7407" s="15">
        <v>282.09539999999998</v>
      </c>
      <c r="F7407" s="42">
        <v>46198</v>
      </c>
    </row>
    <row r="7408" spans="1:6" x14ac:dyDescent="0.3">
      <c r="A7408" s="15" t="s">
        <v>41473</v>
      </c>
      <c r="B7408" s="15" t="s">
        <v>13794</v>
      </c>
      <c r="C7408" s="15" t="s">
        <v>800</v>
      </c>
      <c r="D7408" s="15" t="s">
        <v>13795</v>
      </c>
      <c r="E7408" s="15">
        <v>320.76740000000001</v>
      </c>
      <c r="F7408" s="42">
        <v>46198</v>
      </c>
    </row>
    <row r="7409" spans="1:6" x14ac:dyDescent="0.3">
      <c r="A7409" s="15" t="s">
        <v>41472</v>
      </c>
      <c r="B7409" s="15" t="s">
        <v>13796</v>
      </c>
      <c r="C7409" s="15" t="s">
        <v>13797</v>
      </c>
      <c r="D7409" s="15" t="s">
        <v>13798</v>
      </c>
      <c r="E7409" s="15">
        <v>247.9084</v>
      </c>
      <c r="F7409" s="42">
        <v>46198</v>
      </c>
    </row>
    <row r="7410" spans="1:6" x14ac:dyDescent="0.3">
      <c r="A7410" s="15" t="s">
        <v>41471</v>
      </c>
      <c r="B7410" s="15" t="s">
        <v>13799</v>
      </c>
      <c r="C7410" s="15" t="s">
        <v>800</v>
      </c>
      <c r="D7410" s="15" t="s">
        <v>13800</v>
      </c>
      <c r="E7410" s="15">
        <v>61.175699999999999</v>
      </c>
      <c r="F7410" s="42">
        <v>46198</v>
      </c>
    </row>
    <row r="7411" spans="1:6" x14ac:dyDescent="0.3">
      <c r="A7411" s="15" t="s">
        <v>41470</v>
      </c>
      <c r="B7411" s="15" t="s">
        <v>13801</v>
      </c>
      <c r="C7411" s="15" t="s">
        <v>13802</v>
      </c>
      <c r="D7411" s="15" t="s">
        <v>13803</v>
      </c>
      <c r="E7411" s="15">
        <v>53.705300000000001</v>
      </c>
      <c r="F7411" s="42">
        <v>46198</v>
      </c>
    </row>
    <row r="7412" spans="1:6" x14ac:dyDescent="0.3">
      <c r="A7412" s="15" t="s">
        <v>41469</v>
      </c>
      <c r="B7412" s="15" t="s">
        <v>13804</v>
      </c>
      <c r="C7412" s="15" t="s">
        <v>800</v>
      </c>
      <c r="D7412" s="15" t="s">
        <v>13805</v>
      </c>
      <c r="E7412" s="15">
        <v>56.078600000000002</v>
      </c>
      <c r="F7412" s="42">
        <v>46198</v>
      </c>
    </row>
    <row r="7413" spans="1:6" x14ac:dyDescent="0.3">
      <c r="A7413" s="15" t="s">
        <v>41468</v>
      </c>
      <c r="B7413" s="15" t="s">
        <v>13806</v>
      </c>
      <c r="C7413" s="15" t="s">
        <v>13807</v>
      </c>
      <c r="D7413" s="15" t="s">
        <v>13808</v>
      </c>
      <c r="E7413" s="15">
        <v>49.020400000000002</v>
      </c>
      <c r="F7413" s="42">
        <v>46198</v>
      </c>
    </row>
    <row r="7414" spans="1:6" x14ac:dyDescent="0.3">
      <c r="A7414" s="15" t="s">
        <v>41467</v>
      </c>
      <c r="B7414" s="15" t="s">
        <v>13809</v>
      </c>
      <c r="C7414" s="15" t="s">
        <v>13810</v>
      </c>
      <c r="D7414" s="15" t="s">
        <v>13811</v>
      </c>
      <c r="E7414" s="15">
        <v>80.634100000000004</v>
      </c>
      <c r="F7414" s="42">
        <v>46198</v>
      </c>
    </row>
    <row r="7415" spans="1:6" x14ac:dyDescent="0.3">
      <c r="A7415" s="15" t="s">
        <v>41466</v>
      </c>
      <c r="B7415" s="15" t="s">
        <v>13812</v>
      </c>
      <c r="C7415" s="15" t="s">
        <v>13813</v>
      </c>
      <c r="D7415" s="15" t="s">
        <v>13814</v>
      </c>
      <c r="E7415" s="15">
        <v>76.463700000000003</v>
      </c>
      <c r="F7415" s="42">
        <v>46198</v>
      </c>
    </row>
    <row r="7416" spans="1:6" x14ac:dyDescent="0.3">
      <c r="A7416" s="15" t="s">
        <v>41465</v>
      </c>
      <c r="B7416" s="15" t="s">
        <v>13815</v>
      </c>
      <c r="C7416" s="15" t="s">
        <v>800</v>
      </c>
      <c r="D7416" s="15" t="s">
        <v>13816</v>
      </c>
      <c r="E7416" s="15">
        <v>146.30170000000001</v>
      </c>
      <c r="F7416" s="42">
        <v>46198</v>
      </c>
    </row>
    <row r="7417" spans="1:6" x14ac:dyDescent="0.3">
      <c r="A7417" s="15" t="s">
        <v>41464</v>
      </c>
      <c r="B7417" s="15" t="s">
        <v>13817</v>
      </c>
      <c r="C7417" s="15" t="s">
        <v>800</v>
      </c>
      <c r="D7417" s="15" t="s">
        <v>13818</v>
      </c>
      <c r="E7417" s="15">
        <v>154.0866</v>
      </c>
      <c r="F7417" s="42">
        <v>46198</v>
      </c>
    </row>
    <row r="7418" spans="1:6" x14ac:dyDescent="0.3">
      <c r="A7418" s="15" t="s">
        <v>41463</v>
      </c>
      <c r="B7418" s="15" t="s">
        <v>13819</v>
      </c>
      <c r="C7418" s="15" t="s">
        <v>800</v>
      </c>
      <c r="D7418" s="15" t="s">
        <v>13820</v>
      </c>
      <c r="E7418" s="15">
        <v>442.41140000000001</v>
      </c>
      <c r="F7418" s="42">
        <v>46198</v>
      </c>
    </row>
    <row r="7419" spans="1:6" x14ac:dyDescent="0.3">
      <c r="A7419" s="15" t="s">
        <v>41462</v>
      </c>
      <c r="B7419" s="15" t="s">
        <v>13821</v>
      </c>
      <c r="C7419" s="15" t="s">
        <v>800</v>
      </c>
      <c r="D7419" s="15" t="s">
        <v>13822</v>
      </c>
      <c r="E7419" s="15">
        <v>394.29669999999999</v>
      </c>
      <c r="F7419" s="42">
        <v>46198</v>
      </c>
    </row>
    <row r="7420" spans="1:6" x14ac:dyDescent="0.3">
      <c r="A7420" s="15" t="s">
        <v>41461</v>
      </c>
      <c r="B7420" s="15" t="s">
        <v>13823</v>
      </c>
      <c r="C7420" s="15" t="s">
        <v>13824</v>
      </c>
      <c r="D7420" s="15" t="s">
        <v>13825</v>
      </c>
      <c r="E7420" s="15">
        <v>229.4933</v>
      </c>
      <c r="F7420" s="42">
        <v>46198</v>
      </c>
    </row>
    <row r="7421" spans="1:6" x14ac:dyDescent="0.3">
      <c r="A7421" s="15" t="s">
        <v>41460</v>
      </c>
      <c r="B7421" s="15" t="s">
        <v>13826</v>
      </c>
      <c r="C7421" s="15" t="s">
        <v>13827</v>
      </c>
      <c r="D7421" s="15" t="s">
        <v>13828</v>
      </c>
      <c r="E7421" s="15">
        <v>203.29339999999999</v>
      </c>
      <c r="F7421" s="42">
        <v>46198</v>
      </c>
    </row>
    <row r="7422" spans="1:6" x14ac:dyDescent="0.3">
      <c r="A7422" s="15" t="s">
        <v>41459</v>
      </c>
      <c r="B7422" s="15" t="s">
        <v>13829</v>
      </c>
      <c r="C7422" s="15" t="s">
        <v>13830</v>
      </c>
      <c r="D7422" s="15" t="s">
        <v>13831</v>
      </c>
      <c r="E7422" s="15">
        <v>151.7818</v>
      </c>
      <c r="F7422" s="42">
        <v>46198</v>
      </c>
    </row>
    <row r="7423" spans="1:6" x14ac:dyDescent="0.3">
      <c r="A7423" s="15" t="s">
        <v>41458</v>
      </c>
      <c r="B7423" s="15" t="s">
        <v>13832</v>
      </c>
      <c r="C7423" s="15" t="s">
        <v>13833</v>
      </c>
      <c r="D7423" s="15" t="s">
        <v>13834</v>
      </c>
      <c r="E7423" s="15">
        <v>130.72229999999999</v>
      </c>
      <c r="F7423" s="42">
        <v>46198</v>
      </c>
    </row>
    <row r="7424" spans="1:6" x14ac:dyDescent="0.3">
      <c r="A7424" s="15" t="s">
        <v>41457</v>
      </c>
      <c r="B7424" s="15" t="s">
        <v>13835</v>
      </c>
      <c r="C7424" s="15" t="s">
        <v>800</v>
      </c>
      <c r="D7424" s="15" t="s">
        <v>13836</v>
      </c>
      <c r="E7424" s="15">
        <v>283.49529999999999</v>
      </c>
      <c r="F7424" s="42">
        <v>46198</v>
      </c>
    </row>
    <row r="7425" spans="1:6" x14ac:dyDescent="0.3">
      <c r="A7425" s="15" t="s">
        <v>41456</v>
      </c>
      <c r="B7425" s="15" t="s">
        <v>13837</v>
      </c>
      <c r="C7425" s="15" t="s">
        <v>800</v>
      </c>
      <c r="D7425" s="15" t="s">
        <v>13838</v>
      </c>
      <c r="E7425" s="15">
        <v>328.178</v>
      </c>
      <c r="F7425" s="42">
        <v>46198</v>
      </c>
    </row>
    <row r="7426" spans="1:6" x14ac:dyDescent="0.3">
      <c r="A7426" s="15" t="s">
        <v>41455</v>
      </c>
      <c r="B7426" s="15" t="s">
        <v>13839</v>
      </c>
      <c r="C7426" s="15" t="s">
        <v>800</v>
      </c>
      <c r="D7426" s="15" t="s">
        <v>13840</v>
      </c>
      <c r="E7426" s="15">
        <v>11.2142</v>
      </c>
      <c r="F7426" s="42">
        <v>46198</v>
      </c>
    </row>
    <row r="7427" spans="1:6" x14ac:dyDescent="0.3">
      <c r="A7427" s="15" t="s">
        <v>41454</v>
      </c>
      <c r="B7427" s="15" t="s">
        <v>13841</v>
      </c>
      <c r="C7427" s="15" t="s">
        <v>800</v>
      </c>
      <c r="D7427" s="15" t="s">
        <v>13842</v>
      </c>
      <c r="E7427" s="15">
        <v>11.2143</v>
      </c>
      <c r="F7427" s="42">
        <v>46198</v>
      </c>
    </row>
    <row r="7428" spans="1:6" x14ac:dyDescent="0.3">
      <c r="A7428" s="15" t="s">
        <v>41453</v>
      </c>
      <c r="B7428" s="15" t="s">
        <v>13843</v>
      </c>
      <c r="C7428" s="15" t="s">
        <v>800</v>
      </c>
      <c r="D7428" s="15" t="s">
        <v>13844</v>
      </c>
      <c r="E7428" s="15">
        <v>10.7933</v>
      </c>
      <c r="F7428" s="42">
        <v>46198</v>
      </c>
    </row>
    <row r="7429" spans="1:6" x14ac:dyDescent="0.3">
      <c r="A7429" s="15" t="s">
        <v>41452</v>
      </c>
      <c r="B7429" s="15" t="s">
        <v>13845</v>
      </c>
      <c r="C7429" s="15" t="s">
        <v>800</v>
      </c>
      <c r="D7429" s="15" t="s">
        <v>13846</v>
      </c>
      <c r="E7429" s="15">
        <v>10.7933</v>
      </c>
      <c r="F7429" s="42">
        <v>46198</v>
      </c>
    </row>
    <row r="7430" spans="1:6" x14ac:dyDescent="0.3">
      <c r="A7430" s="15" t="s">
        <v>41451</v>
      </c>
      <c r="B7430" s="15" t="s">
        <v>13847</v>
      </c>
      <c r="C7430" s="15" t="s">
        <v>800</v>
      </c>
      <c r="D7430" s="15" t="s">
        <v>13848</v>
      </c>
      <c r="E7430" s="15">
        <v>10.4857</v>
      </c>
      <c r="F7430" s="42">
        <v>46198</v>
      </c>
    </row>
    <row r="7431" spans="1:6" x14ac:dyDescent="0.3">
      <c r="A7431" s="15" t="s">
        <v>41450</v>
      </c>
      <c r="B7431" s="15" t="s">
        <v>13849</v>
      </c>
      <c r="C7431" s="15" t="s">
        <v>800</v>
      </c>
      <c r="D7431" s="15" t="s">
        <v>13850</v>
      </c>
      <c r="E7431" s="15">
        <v>10.239699999999999</v>
      </c>
      <c r="F7431" s="42">
        <v>46198</v>
      </c>
    </row>
    <row r="7432" spans="1:6" x14ac:dyDescent="0.3">
      <c r="A7432" s="15" t="s">
        <v>33499</v>
      </c>
      <c r="B7432" s="15" t="s">
        <v>795</v>
      </c>
      <c r="C7432" s="15" t="s">
        <v>795</v>
      </c>
      <c r="D7432" s="15" t="s">
        <v>795</v>
      </c>
      <c r="F7432" s="42"/>
    </row>
    <row r="7433" spans="1:6" x14ac:dyDescent="0.3">
      <c r="A7433" s="15" t="s">
        <v>40172</v>
      </c>
      <c r="B7433" s="15" t="s">
        <v>795</v>
      </c>
      <c r="C7433" s="15" t="s">
        <v>795</v>
      </c>
      <c r="D7433" s="15" t="s">
        <v>795</v>
      </c>
      <c r="F7433" s="42"/>
    </row>
    <row r="7434" spans="1:6" x14ac:dyDescent="0.3">
      <c r="A7434" s="15" t="s">
        <v>33499</v>
      </c>
      <c r="B7434" s="15" t="s">
        <v>795</v>
      </c>
      <c r="C7434" s="15" t="s">
        <v>795</v>
      </c>
      <c r="D7434" s="15" t="s">
        <v>795</v>
      </c>
      <c r="F7434" s="42"/>
    </row>
    <row r="7435" spans="1:6" x14ac:dyDescent="0.3">
      <c r="A7435" s="15" t="s">
        <v>41449</v>
      </c>
      <c r="B7435" s="15" t="s">
        <v>13851</v>
      </c>
      <c r="C7435" s="15" t="s">
        <v>800</v>
      </c>
      <c r="D7435" s="15" t="s">
        <v>13852</v>
      </c>
      <c r="E7435" s="15">
        <v>13.459</v>
      </c>
      <c r="F7435" s="42">
        <v>46198</v>
      </c>
    </row>
    <row r="7436" spans="1:6" x14ac:dyDescent="0.3">
      <c r="A7436" s="15" t="s">
        <v>41448</v>
      </c>
      <c r="B7436" s="15" t="s">
        <v>13853</v>
      </c>
      <c r="C7436" s="15" t="s">
        <v>800</v>
      </c>
      <c r="D7436" s="15" t="s">
        <v>13854</v>
      </c>
      <c r="E7436" s="15">
        <v>12.919</v>
      </c>
      <c r="F7436" s="42">
        <v>46198</v>
      </c>
    </row>
    <row r="7437" spans="1:6" x14ac:dyDescent="0.3">
      <c r="A7437" s="15" t="s">
        <v>41447</v>
      </c>
      <c r="B7437" s="15" t="s">
        <v>13855</v>
      </c>
      <c r="C7437" s="15" t="s">
        <v>800</v>
      </c>
      <c r="D7437" s="15" t="s">
        <v>13856</v>
      </c>
      <c r="E7437" s="15">
        <v>9.9700000000000006</v>
      </c>
      <c r="F7437" s="42">
        <v>46198</v>
      </c>
    </row>
    <row r="7438" spans="1:6" x14ac:dyDescent="0.3">
      <c r="A7438" s="15" t="s">
        <v>41446</v>
      </c>
      <c r="B7438" s="15" t="s">
        <v>13857</v>
      </c>
      <c r="C7438" s="15" t="s">
        <v>800</v>
      </c>
      <c r="D7438" s="15" t="s">
        <v>13858</v>
      </c>
      <c r="E7438" s="15">
        <v>9.91</v>
      </c>
      <c r="F7438" s="42">
        <v>46198</v>
      </c>
    </row>
    <row r="7439" spans="1:6" x14ac:dyDescent="0.3">
      <c r="A7439" s="15" t="s">
        <v>41445</v>
      </c>
      <c r="B7439" s="15" t="s">
        <v>13859</v>
      </c>
      <c r="C7439" s="15" t="s">
        <v>800</v>
      </c>
      <c r="D7439" s="15" t="s">
        <v>13860</v>
      </c>
      <c r="E7439" s="15">
        <v>9.5679999999999996</v>
      </c>
      <c r="F7439" s="42">
        <v>46198</v>
      </c>
    </row>
    <row r="7440" spans="1:6" x14ac:dyDescent="0.3">
      <c r="A7440" s="15" t="s">
        <v>41444</v>
      </c>
      <c r="B7440" s="15" t="s">
        <v>13861</v>
      </c>
      <c r="C7440" s="15" t="s">
        <v>800</v>
      </c>
      <c r="D7440" s="15" t="s">
        <v>13862</v>
      </c>
      <c r="E7440" s="15">
        <v>9.2889999999999997</v>
      </c>
      <c r="F7440" s="42">
        <v>46198</v>
      </c>
    </row>
    <row r="7441" spans="1:6" x14ac:dyDescent="0.3">
      <c r="A7441" s="15" t="s">
        <v>41443</v>
      </c>
      <c r="B7441" s="15" t="s">
        <v>13863</v>
      </c>
      <c r="C7441" s="15" t="s">
        <v>800</v>
      </c>
      <c r="D7441" s="15" t="s">
        <v>13864</v>
      </c>
      <c r="E7441" s="15">
        <v>10.162000000000001</v>
      </c>
      <c r="F7441" s="42">
        <v>46198</v>
      </c>
    </row>
    <row r="7442" spans="1:6" x14ac:dyDescent="0.3">
      <c r="A7442" s="15" t="s">
        <v>41442</v>
      </c>
      <c r="B7442" s="15" t="s">
        <v>13865</v>
      </c>
      <c r="C7442" s="15" t="s">
        <v>800</v>
      </c>
      <c r="D7442" s="15" t="s">
        <v>13866</v>
      </c>
      <c r="E7442" s="15">
        <v>9.8740000000000006</v>
      </c>
      <c r="F7442" s="42">
        <v>46198</v>
      </c>
    </row>
    <row r="7443" spans="1:6" x14ac:dyDescent="0.3">
      <c r="A7443" s="15" t="s">
        <v>41441</v>
      </c>
      <c r="B7443" s="15" t="s">
        <v>13867</v>
      </c>
      <c r="C7443" s="15" t="s">
        <v>800</v>
      </c>
      <c r="D7443" s="15" t="s">
        <v>13868</v>
      </c>
      <c r="E7443" s="15">
        <v>16.306000000000001</v>
      </c>
      <c r="F7443" s="42">
        <v>46198</v>
      </c>
    </row>
    <row r="7444" spans="1:6" x14ac:dyDescent="0.3">
      <c r="A7444" s="15" t="s">
        <v>41440</v>
      </c>
      <c r="B7444" s="15" t="s">
        <v>13869</v>
      </c>
      <c r="C7444" s="15" t="s">
        <v>800</v>
      </c>
      <c r="D7444" s="15" t="s">
        <v>13870</v>
      </c>
      <c r="E7444" s="15">
        <v>15.644</v>
      </c>
      <c r="F7444" s="42">
        <v>46198</v>
      </c>
    </row>
    <row r="7445" spans="1:6" x14ac:dyDescent="0.3">
      <c r="A7445" s="15" t="s">
        <v>41439</v>
      </c>
      <c r="B7445" s="15" t="s">
        <v>13871</v>
      </c>
      <c r="C7445" s="15" t="s">
        <v>800</v>
      </c>
      <c r="D7445" s="15" t="s">
        <v>13872</v>
      </c>
      <c r="E7445" s="15">
        <v>10.224</v>
      </c>
      <c r="F7445" s="42">
        <v>46198</v>
      </c>
    </row>
    <row r="7446" spans="1:6" x14ac:dyDescent="0.3">
      <c r="A7446" s="15" t="s">
        <v>41438</v>
      </c>
      <c r="B7446" s="15" t="s">
        <v>13873</v>
      </c>
      <c r="C7446" s="15" t="s">
        <v>800</v>
      </c>
      <c r="D7446" s="15" t="s">
        <v>13874</v>
      </c>
      <c r="E7446" s="15">
        <v>9.9819999999999993</v>
      </c>
      <c r="F7446" s="42">
        <v>46198</v>
      </c>
    </row>
    <row r="7447" spans="1:6" x14ac:dyDescent="0.3">
      <c r="A7447" s="15" t="s">
        <v>41437</v>
      </c>
      <c r="B7447" s="15" t="s">
        <v>13875</v>
      </c>
      <c r="C7447" s="15" t="s">
        <v>800</v>
      </c>
      <c r="D7447" s="15" t="s">
        <v>13876</v>
      </c>
      <c r="E7447" s="15">
        <v>14.27</v>
      </c>
      <c r="F7447" s="42">
        <v>46198</v>
      </c>
    </row>
    <row r="7448" spans="1:6" x14ac:dyDescent="0.3">
      <c r="A7448" s="15" t="s">
        <v>41436</v>
      </c>
      <c r="B7448" s="15" t="s">
        <v>13877</v>
      </c>
      <c r="C7448" s="15" t="s">
        <v>800</v>
      </c>
      <c r="D7448" s="15" t="s">
        <v>13878</v>
      </c>
      <c r="E7448" s="15">
        <v>13.747</v>
      </c>
      <c r="F7448" s="42">
        <v>46198</v>
      </c>
    </row>
    <row r="7449" spans="1:6" x14ac:dyDescent="0.3">
      <c r="A7449" s="15" t="s">
        <v>33499</v>
      </c>
      <c r="B7449" s="15" t="s">
        <v>795</v>
      </c>
      <c r="C7449" s="15" t="s">
        <v>795</v>
      </c>
      <c r="D7449" s="15" t="s">
        <v>795</v>
      </c>
      <c r="F7449" s="42"/>
    </row>
    <row r="7450" spans="1:6" x14ac:dyDescent="0.3">
      <c r="A7450" s="15" t="s">
        <v>41435</v>
      </c>
      <c r="B7450" s="15" t="s">
        <v>795</v>
      </c>
      <c r="C7450" s="15" t="s">
        <v>795</v>
      </c>
      <c r="D7450" s="15" t="s">
        <v>795</v>
      </c>
      <c r="F7450" s="42"/>
    </row>
    <row r="7451" spans="1:6" x14ac:dyDescent="0.3">
      <c r="A7451" s="15" t="s">
        <v>33499</v>
      </c>
      <c r="B7451" s="15" t="s">
        <v>795</v>
      </c>
      <c r="C7451" s="15" t="s">
        <v>795</v>
      </c>
      <c r="D7451" s="15" t="s">
        <v>795</v>
      </c>
      <c r="F7451" s="42"/>
    </row>
    <row r="7452" spans="1:6" x14ac:dyDescent="0.3">
      <c r="A7452" s="15" t="s">
        <v>41434</v>
      </c>
      <c r="B7452" s="15" t="s">
        <v>795</v>
      </c>
      <c r="C7452" s="15" t="s">
        <v>795</v>
      </c>
      <c r="D7452" s="15" t="s">
        <v>795</v>
      </c>
      <c r="F7452" s="42"/>
    </row>
    <row r="7453" spans="1:6" x14ac:dyDescent="0.3">
      <c r="A7453" s="15" t="s">
        <v>33499</v>
      </c>
      <c r="B7453" s="15" t="s">
        <v>795</v>
      </c>
      <c r="C7453" s="15" t="s">
        <v>795</v>
      </c>
      <c r="D7453" s="15" t="s">
        <v>795</v>
      </c>
      <c r="F7453" s="42"/>
    </row>
    <row r="7454" spans="1:6" x14ac:dyDescent="0.3">
      <c r="A7454" s="15" t="s">
        <v>41433</v>
      </c>
      <c r="B7454" s="15" t="s">
        <v>13879</v>
      </c>
      <c r="C7454" s="15" t="s">
        <v>800</v>
      </c>
      <c r="D7454" s="15" t="s">
        <v>13880</v>
      </c>
      <c r="E7454" s="15">
        <v>12.031000000000001</v>
      </c>
      <c r="F7454" s="42">
        <v>46198</v>
      </c>
    </row>
    <row r="7455" spans="1:6" x14ac:dyDescent="0.3">
      <c r="A7455" s="15" t="s">
        <v>41432</v>
      </c>
      <c r="B7455" s="15" t="s">
        <v>13881</v>
      </c>
      <c r="C7455" s="15" t="s">
        <v>800</v>
      </c>
      <c r="D7455" s="15" t="s">
        <v>13882</v>
      </c>
      <c r="E7455" s="15">
        <v>11.984999999999999</v>
      </c>
      <c r="F7455" s="42">
        <v>46198</v>
      </c>
    </row>
    <row r="7456" spans="1:6" x14ac:dyDescent="0.3">
      <c r="A7456" s="15" t="s">
        <v>33499</v>
      </c>
      <c r="B7456" s="15" t="s">
        <v>795</v>
      </c>
      <c r="C7456" s="15" t="s">
        <v>795</v>
      </c>
      <c r="D7456" s="15" t="s">
        <v>795</v>
      </c>
      <c r="F7456" s="42"/>
    </row>
    <row r="7457" spans="1:6" x14ac:dyDescent="0.3">
      <c r="A7457" s="15" t="s">
        <v>37122</v>
      </c>
      <c r="B7457" s="15" t="s">
        <v>795</v>
      </c>
      <c r="C7457" s="15" t="s">
        <v>795</v>
      </c>
      <c r="D7457" s="15" t="s">
        <v>795</v>
      </c>
      <c r="F7457" s="42"/>
    </row>
    <row r="7458" spans="1:6" x14ac:dyDescent="0.3">
      <c r="A7458" s="15" t="s">
        <v>33499</v>
      </c>
      <c r="B7458" s="15" t="s">
        <v>795</v>
      </c>
      <c r="C7458" s="15" t="s">
        <v>795</v>
      </c>
      <c r="D7458" s="15" t="s">
        <v>795</v>
      </c>
      <c r="F7458" s="42"/>
    </row>
    <row r="7459" spans="1:6" x14ac:dyDescent="0.3">
      <c r="A7459" s="15" t="s">
        <v>41431</v>
      </c>
      <c r="B7459" s="15" t="s">
        <v>13883</v>
      </c>
      <c r="C7459" s="15" t="s">
        <v>800</v>
      </c>
      <c r="D7459" s="15" t="s">
        <v>13884</v>
      </c>
      <c r="E7459" s="15">
        <v>94.261799999999994</v>
      </c>
      <c r="F7459" s="42">
        <v>46198</v>
      </c>
    </row>
    <row r="7460" spans="1:6" x14ac:dyDescent="0.3">
      <c r="A7460" s="15" t="s">
        <v>41430</v>
      </c>
      <c r="B7460" s="15" t="s">
        <v>13885</v>
      </c>
      <c r="C7460" s="15" t="s">
        <v>800</v>
      </c>
      <c r="D7460" s="15" t="s">
        <v>13886</v>
      </c>
      <c r="E7460" s="15">
        <v>108.0401</v>
      </c>
      <c r="F7460" s="42">
        <v>46198</v>
      </c>
    </row>
    <row r="7461" spans="1:6" x14ac:dyDescent="0.3">
      <c r="A7461" s="15" t="s">
        <v>41429</v>
      </c>
      <c r="B7461" s="15" t="s">
        <v>13887</v>
      </c>
      <c r="C7461" s="15" t="s">
        <v>800</v>
      </c>
      <c r="D7461" s="15" t="s">
        <v>13888</v>
      </c>
      <c r="E7461" s="15">
        <v>75.835499999999996</v>
      </c>
      <c r="F7461" s="42">
        <v>46198</v>
      </c>
    </row>
    <row r="7462" spans="1:6" x14ac:dyDescent="0.3">
      <c r="A7462" s="15" t="s">
        <v>41428</v>
      </c>
      <c r="B7462" s="15" t="s">
        <v>13889</v>
      </c>
      <c r="C7462" s="15" t="s">
        <v>13890</v>
      </c>
      <c r="D7462" s="15" t="s">
        <v>13891</v>
      </c>
      <c r="E7462" s="15">
        <v>39.011200000000002</v>
      </c>
      <c r="F7462" s="42">
        <v>46198</v>
      </c>
    </row>
    <row r="7463" spans="1:6" x14ac:dyDescent="0.3">
      <c r="A7463" s="15" t="s">
        <v>33499</v>
      </c>
      <c r="B7463" s="15" t="s">
        <v>795</v>
      </c>
      <c r="C7463" s="15" t="s">
        <v>795</v>
      </c>
      <c r="D7463" s="15" t="s">
        <v>795</v>
      </c>
      <c r="F7463" s="42"/>
    </row>
    <row r="7464" spans="1:6" x14ac:dyDescent="0.3">
      <c r="A7464" s="15" t="s">
        <v>37087</v>
      </c>
      <c r="B7464" s="15" t="s">
        <v>795</v>
      </c>
      <c r="C7464" s="15" t="s">
        <v>795</v>
      </c>
      <c r="D7464" s="15" t="s">
        <v>795</v>
      </c>
      <c r="F7464" s="42"/>
    </row>
    <row r="7465" spans="1:6" x14ac:dyDescent="0.3">
      <c r="A7465" s="15" t="s">
        <v>33499</v>
      </c>
      <c r="B7465" s="15" t="s">
        <v>795</v>
      </c>
      <c r="C7465" s="15" t="s">
        <v>795</v>
      </c>
      <c r="D7465" s="15" t="s">
        <v>795</v>
      </c>
      <c r="F7465" s="42"/>
    </row>
    <row r="7466" spans="1:6" x14ac:dyDescent="0.3">
      <c r="A7466" s="15" t="s">
        <v>41427</v>
      </c>
      <c r="B7466" s="15" t="s">
        <v>13892</v>
      </c>
      <c r="C7466" s="15" t="s">
        <v>800</v>
      </c>
      <c r="D7466" s="15" t="s">
        <v>13893</v>
      </c>
      <c r="E7466" s="15">
        <v>130.06</v>
      </c>
      <c r="F7466" s="42">
        <v>46198</v>
      </c>
    </row>
    <row r="7467" spans="1:6" x14ac:dyDescent="0.3">
      <c r="A7467" s="15" t="s">
        <v>41426</v>
      </c>
      <c r="B7467" s="15" t="s">
        <v>13894</v>
      </c>
      <c r="C7467" s="15" t="s">
        <v>13895</v>
      </c>
      <c r="D7467" s="15" t="s">
        <v>13896</v>
      </c>
      <c r="E7467" s="15">
        <v>52.46</v>
      </c>
      <c r="F7467" s="42">
        <v>46198</v>
      </c>
    </row>
    <row r="7468" spans="1:6" x14ac:dyDescent="0.3">
      <c r="A7468" s="15" t="s">
        <v>41425</v>
      </c>
      <c r="B7468" s="15" t="s">
        <v>13897</v>
      </c>
      <c r="C7468" s="15" t="s">
        <v>800</v>
      </c>
      <c r="D7468" s="15" t="s">
        <v>13898</v>
      </c>
      <c r="E7468" s="15">
        <v>111.49</v>
      </c>
      <c r="F7468" s="42">
        <v>46198</v>
      </c>
    </row>
    <row r="7469" spans="1:6" x14ac:dyDescent="0.3">
      <c r="A7469" s="15" t="s">
        <v>41424</v>
      </c>
      <c r="B7469" s="15" t="s">
        <v>13899</v>
      </c>
      <c r="C7469" s="15" t="s">
        <v>13900</v>
      </c>
      <c r="D7469" s="15" t="s">
        <v>13901</v>
      </c>
      <c r="E7469" s="15">
        <v>44.4</v>
      </c>
      <c r="F7469" s="42">
        <v>46198</v>
      </c>
    </row>
    <row r="7470" spans="1:6" x14ac:dyDescent="0.3">
      <c r="A7470" s="15" t="s">
        <v>33499</v>
      </c>
      <c r="B7470" s="15" t="s">
        <v>795</v>
      </c>
      <c r="C7470" s="15" t="s">
        <v>795</v>
      </c>
      <c r="D7470" s="15" t="s">
        <v>795</v>
      </c>
      <c r="F7470" s="42"/>
    </row>
    <row r="7471" spans="1:6" x14ac:dyDescent="0.3">
      <c r="A7471" s="15" t="s">
        <v>37923</v>
      </c>
      <c r="B7471" s="15" t="s">
        <v>795</v>
      </c>
      <c r="C7471" s="15" t="s">
        <v>795</v>
      </c>
      <c r="D7471" s="15" t="s">
        <v>795</v>
      </c>
      <c r="F7471" s="42"/>
    </row>
    <row r="7472" spans="1:6" x14ac:dyDescent="0.3">
      <c r="A7472" s="15" t="s">
        <v>33499</v>
      </c>
      <c r="B7472" s="15" t="s">
        <v>795</v>
      </c>
      <c r="C7472" s="15" t="s">
        <v>795</v>
      </c>
      <c r="D7472" s="15" t="s">
        <v>795</v>
      </c>
      <c r="F7472" s="42"/>
    </row>
    <row r="7473" spans="1:6" x14ac:dyDescent="0.3">
      <c r="A7473" s="15" t="s">
        <v>41423</v>
      </c>
      <c r="B7473" s="15" t="s">
        <v>13902</v>
      </c>
      <c r="C7473" s="15" t="s">
        <v>800</v>
      </c>
      <c r="D7473" s="15" t="s">
        <v>13903</v>
      </c>
      <c r="E7473" s="15">
        <v>10.78</v>
      </c>
      <c r="F7473" s="42">
        <v>46198</v>
      </c>
    </row>
    <row r="7474" spans="1:6" x14ac:dyDescent="0.3">
      <c r="A7474" s="15" t="s">
        <v>41422</v>
      </c>
      <c r="B7474" s="15" t="s">
        <v>13904</v>
      </c>
      <c r="C7474" s="15" t="s">
        <v>13905</v>
      </c>
      <c r="D7474" s="15" t="s">
        <v>13906</v>
      </c>
      <c r="E7474" s="15">
        <v>10.78</v>
      </c>
      <c r="F7474" s="42">
        <v>46198</v>
      </c>
    </row>
    <row r="7475" spans="1:6" x14ac:dyDescent="0.3">
      <c r="A7475" s="15" t="s">
        <v>41421</v>
      </c>
      <c r="B7475" s="15" t="s">
        <v>13907</v>
      </c>
      <c r="C7475" s="15" t="s">
        <v>800</v>
      </c>
      <c r="D7475" s="15" t="s">
        <v>13908</v>
      </c>
      <c r="E7475" s="15">
        <v>10.624000000000001</v>
      </c>
      <c r="F7475" s="42">
        <v>46198</v>
      </c>
    </row>
    <row r="7476" spans="1:6" x14ac:dyDescent="0.3">
      <c r="A7476" s="15" t="s">
        <v>41420</v>
      </c>
      <c r="B7476" s="15" t="s">
        <v>13909</v>
      </c>
      <c r="C7476" s="15" t="s">
        <v>13910</v>
      </c>
      <c r="D7476" s="15" t="s">
        <v>13911</v>
      </c>
      <c r="E7476" s="15">
        <v>10.624000000000001</v>
      </c>
      <c r="F7476" s="42">
        <v>46198</v>
      </c>
    </row>
    <row r="7477" spans="1:6" x14ac:dyDescent="0.3">
      <c r="A7477" s="15" t="s">
        <v>33499</v>
      </c>
      <c r="B7477" s="15" t="s">
        <v>795</v>
      </c>
      <c r="C7477" s="15" t="s">
        <v>795</v>
      </c>
      <c r="D7477" s="15" t="s">
        <v>795</v>
      </c>
      <c r="F7477" s="42"/>
    </row>
    <row r="7478" spans="1:6" x14ac:dyDescent="0.3">
      <c r="A7478" s="15" t="s">
        <v>37073</v>
      </c>
      <c r="B7478" s="15" t="s">
        <v>795</v>
      </c>
      <c r="C7478" s="15" t="s">
        <v>795</v>
      </c>
      <c r="D7478" s="15" t="s">
        <v>795</v>
      </c>
      <c r="F7478" s="42"/>
    </row>
    <row r="7479" spans="1:6" x14ac:dyDescent="0.3">
      <c r="A7479" s="15" t="s">
        <v>33499</v>
      </c>
      <c r="B7479" s="15" t="s">
        <v>795</v>
      </c>
      <c r="C7479" s="15" t="s">
        <v>795</v>
      </c>
      <c r="D7479" s="15" t="s">
        <v>795</v>
      </c>
      <c r="F7479" s="42"/>
    </row>
    <row r="7480" spans="1:6" x14ac:dyDescent="0.3">
      <c r="A7480" s="15" t="s">
        <v>41419</v>
      </c>
      <c r="B7480" s="15" t="s">
        <v>13912</v>
      </c>
      <c r="C7480" s="15" t="s">
        <v>800</v>
      </c>
      <c r="D7480" s="15" t="s">
        <v>13913</v>
      </c>
      <c r="E7480" s="15">
        <v>54.567</v>
      </c>
      <c r="F7480" s="42">
        <v>46198</v>
      </c>
    </row>
    <row r="7481" spans="1:6" x14ac:dyDescent="0.3">
      <c r="A7481" s="15" t="s">
        <v>41418</v>
      </c>
      <c r="B7481" s="15" t="s">
        <v>13914</v>
      </c>
      <c r="C7481" s="15" t="s">
        <v>800</v>
      </c>
      <c r="D7481" s="15" t="s">
        <v>13915</v>
      </c>
      <c r="E7481" s="15">
        <v>37.976999999999997</v>
      </c>
      <c r="F7481" s="42">
        <v>46198</v>
      </c>
    </row>
    <row r="7482" spans="1:6" x14ac:dyDescent="0.3">
      <c r="A7482" s="15" t="s">
        <v>41417</v>
      </c>
      <c r="B7482" s="15" t="s">
        <v>13916</v>
      </c>
      <c r="C7482" s="15" t="s">
        <v>800</v>
      </c>
      <c r="D7482" s="15" t="s">
        <v>13917</v>
      </c>
      <c r="E7482" s="15">
        <v>49.445999999999998</v>
      </c>
      <c r="F7482" s="42">
        <v>46198</v>
      </c>
    </row>
    <row r="7483" spans="1:6" x14ac:dyDescent="0.3">
      <c r="A7483" s="15" t="s">
        <v>41416</v>
      </c>
      <c r="B7483" s="15" t="s">
        <v>13918</v>
      </c>
      <c r="C7483" s="15" t="s">
        <v>800</v>
      </c>
      <c r="D7483" s="15" t="s">
        <v>13919</v>
      </c>
      <c r="E7483" s="15">
        <v>34.42</v>
      </c>
      <c r="F7483" s="42">
        <v>46198</v>
      </c>
    </row>
    <row r="7484" spans="1:6" x14ac:dyDescent="0.3">
      <c r="A7484" s="15" t="s">
        <v>33499</v>
      </c>
      <c r="B7484" s="15" t="s">
        <v>795</v>
      </c>
      <c r="C7484" s="15" t="s">
        <v>795</v>
      </c>
      <c r="D7484" s="15" t="s">
        <v>795</v>
      </c>
      <c r="F7484" s="42"/>
    </row>
    <row r="7485" spans="1:6" x14ac:dyDescent="0.3">
      <c r="A7485" s="15" t="s">
        <v>37447</v>
      </c>
      <c r="B7485" s="15" t="s">
        <v>795</v>
      </c>
      <c r="C7485" s="15" t="s">
        <v>795</v>
      </c>
      <c r="D7485" s="15" t="s">
        <v>795</v>
      </c>
      <c r="F7485" s="42"/>
    </row>
    <row r="7486" spans="1:6" x14ac:dyDescent="0.3">
      <c r="A7486" s="15" t="s">
        <v>33499</v>
      </c>
      <c r="B7486" s="15" t="s">
        <v>795</v>
      </c>
      <c r="C7486" s="15" t="s">
        <v>795</v>
      </c>
      <c r="D7486" s="15" t="s">
        <v>795</v>
      </c>
      <c r="F7486" s="42"/>
    </row>
    <row r="7487" spans="1:6" x14ac:dyDescent="0.3">
      <c r="A7487" s="15" t="s">
        <v>41415</v>
      </c>
      <c r="B7487" s="15" t="s">
        <v>13920</v>
      </c>
      <c r="C7487" s="15" t="s">
        <v>800</v>
      </c>
      <c r="D7487" s="15" t="s">
        <v>13921</v>
      </c>
      <c r="E7487" s="15">
        <v>60.62</v>
      </c>
      <c r="F7487" s="42">
        <v>46198</v>
      </c>
    </row>
    <row r="7488" spans="1:6" x14ac:dyDescent="0.3">
      <c r="A7488" s="15" t="s">
        <v>41414</v>
      </c>
      <c r="B7488" s="15" t="s">
        <v>13922</v>
      </c>
      <c r="C7488" s="15" t="s">
        <v>13923</v>
      </c>
      <c r="D7488" s="15" t="s">
        <v>13924</v>
      </c>
      <c r="E7488" s="15">
        <v>45.4</v>
      </c>
      <c r="F7488" s="42">
        <v>46198</v>
      </c>
    </row>
    <row r="7489" spans="1:6" x14ac:dyDescent="0.3">
      <c r="A7489" s="15" t="s">
        <v>41413</v>
      </c>
      <c r="B7489" s="15" t="s">
        <v>13925</v>
      </c>
      <c r="C7489" s="15" t="s">
        <v>800</v>
      </c>
      <c r="D7489" s="15" t="s">
        <v>13926</v>
      </c>
      <c r="E7489" s="15">
        <v>53.63</v>
      </c>
      <c r="F7489" s="42">
        <v>46198</v>
      </c>
    </row>
    <row r="7490" spans="1:6" x14ac:dyDescent="0.3">
      <c r="A7490" s="15" t="s">
        <v>41412</v>
      </c>
      <c r="B7490" s="15" t="s">
        <v>13927</v>
      </c>
      <c r="C7490" s="15" t="s">
        <v>13928</v>
      </c>
      <c r="D7490" s="15" t="s">
        <v>13929</v>
      </c>
      <c r="E7490" s="15">
        <v>39.1</v>
      </c>
      <c r="F7490" s="42">
        <v>46198</v>
      </c>
    </row>
    <row r="7491" spans="1:6" x14ac:dyDescent="0.3">
      <c r="A7491" s="15" t="s">
        <v>33499</v>
      </c>
      <c r="B7491" s="15" t="s">
        <v>795</v>
      </c>
      <c r="C7491" s="15" t="s">
        <v>795</v>
      </c>
      <c r="D7491" s="15" t="s">
        <v>795</v>
      </c>
      <c r="F7491" s="42"/>
    </row>
    <row r="7492" spans="1:6" x14ac:dyDescent="0.3">
      <c r="A7492" s="15" t="s">
        <v>37566</v>
      </c>
      <c r="B7492" s="15" t="s">
        <v>795</v>
      </c>
      <c r="C7492" s="15" t="s">
        <v>795</v>
      </c>
      <c r="D7492" s="15" t="s">
        <v>795</v>
      </c>
      <c r="F7492" s="42"/>
    </row>
    <row r="7493" spans="1:6" x14ac:dyDescent="0.3">
      <c r="A7493" s="15" t="s">
        <v>33499</v>
      </c>
      <c r="B7493" s="15" t="s">
        <v>795</v>
      </c>
      <c r="C7493" s="15" t="s">
        <v>795</v>
      </c>
      <c r="D7493" s="15" t="s">
        <v>795</v>
      </c>
      <c r="F7493" s="42"/>
    </row>
    <row r="7494" spans="1:6" x14ac:dyDescent="0.3">
      <c r="A7494" s="15" t="s">
        <v>41411</v>
      </c>
      <c r="B7494" s="15" t="s">
        <v>13930</v>
      </c>
      <c r="C7494" s="15" t="s">
        <v>800</v>
      </c>
      <c r="D7494" s="15" t="s">
        <v>13931</v>
      </c>
      <c r="E7494" s="15">
        <v>14.096299999999999</v>
      </c>
      <c r="F7494" s="42">
        <v>46198</v>
      </c>
    </row>
    <row r="7495" spans="1:6" x14ac:dyDescent="0.3">
      <c r="A7495" s="15" t="s">
        <v>41410</v>
      </c>
      <c r="B7495" s="15" t="s">
        <v>13932</v>
      </c>
      <c r="C7495" s="15" t="s">
        <v>13933</v>
      </c>
      <c r="D7495" s="15" t="s">
        <v>13934</v>
      </c>
      <c r="E7495" s="15">
        <v>13.7555</v>
      </c>
      <c r="F7495" s="42">
        <v>46198</v>
      </c>
    </row>
    <row r="7496" spans="1:6" x14ac:dyDescent="0.3">
      <c r="A7496" s="15" t="s">
        <v>41409</v>
      </c>
      <c r="B7496" s="15" t="s">
        <v>13935</v>
      </c>
      <c r="C7496" s="15" t="s">
        <v>800</v>
      </c>
      <c r="D7496" s="15" t="s">
        <v>13936</v>
      </c>
      <c r="E7496" s="15">
        <v>13.582000000000001</v>
      </c>
      <c r="F7496" s="42">
        <v>46198</v>
      </c>
    </row>
    <row r="7497" spans="1:6" x14ac:dyDescent="0.3">
      <c r="A7497" s="15" t="s">
        <v>41408</v>
      </c>
      <c r="B7497" s="15" t="s">
        <v>13937</v>
      </c>
      <c r="C7497" s="15" t="s">
        <v>13938</v>
      </c>
      <c r="D7497" s="15" t="s">
        <v>13939</v>
      </c>
      <c r="E7497" s="15">
        <v>13.234999999999999</v>
      </c>
      <c r="F7497" s="42">
        <v>46198</v>
      </c>
    </row>
    <row r="7498" spans="1:6" x14ac:dyDescent="0.3">
      <c r="A7498" s="15" t="s">
        <v>33499</v>
      </c>
      <c r="B7498" s="15" t="s">
        <v>795</v>
      </c>
      <c r="C7498" s="15" t="s">
        <v>795</v>
      </c>
      <c r="D7498" s="15" t="s">
        <v>795</v>
      </c>
      <c r="F7498" s="42"/>
    </row>
    <row r="7499" spans="1:6" x14ac:dyDescent="0.3">
      <c r="A7499" s="15" t="s">
        <v>40284</v>
      </c>
      <c r="B7499" s="15" t="s">
        <v>795</v>
      </c>
      <c r="C7499" s="15" t="s">
        <v>795</v>
      </c>
      <c r="D7499" s="15" t="s">
        <v>795</v>
      </c>
      <c r="F7499" s="42"/>
    </row>
    <row r="7500" spans="1:6" x14ac:dyDescent="0.3">
      <c r="A7500" s="15" t="s">
        <v>33499</v>
      </c>
      <c r="B7500" s="15" t="s">
        <v>795</v>
      </c>
      <c r="C7500" s="15" t="s">
        <v>795</v>
      </c>
      <c r="D7500" s="15" t="s">
        <v>795</v>
      </c>
      <c r="F7500" s="42"/>
    </row>
    <row r="7501" spans="1:6" x14ac:dyDescent="0.3">
      <c r="A7501" s="15" t="s">
        <v>41407</v>
      </c>
      <c r="B7501" s="15" t="s">
        <v>13940</v>
      </c>
      <c r="C7501" s="15" t="s">
        <v>800</v>
      </c>
      <c r="D7501" s="15" t="s">
        <v>13941</v>
      </c>
      <c r="E7501" s="15">
        <v>44.28</v>
      </c>
      <c r="F7501" s="42">
        <v>46198</v>
      </c>
    </row>
    <row r="7502" spans="1:6" x14ac:dyDescent="0.3">
      <c r="A7502" s="15" t="s">
        <v>41406</v>
      </c>
      <c r="B7502" s="15" t="s">
        <v>13942</v>
      </c>
      <c r="C7502" s="15" t="s">
        <v>13943</v>
      </c>
      <c r="D7502" s="15" t="s">
        <v>13944</v>
      </c>
      <c r="E7502" s="15">
        <v>38.35</v>
      </c>
      <c r="F7502" s="42">
        <v>46198</v>
      </c>
    </row>
    <row r="7503" spans="1:6" x14ac:dyDescent="0.3">
      <c r="A7503" s="15" t="s">
        <v>41405</v>
      </c>
      <c r="B7503" s="15" t="s">
        <v>13945</v>
      </c>
      <c r="C7503" s="15" t="s">
        <v>800</v>
      </c>
      <c r="D7503" s="15" t="s">
        <v>13946</v>
      </c>
      <c r="E7503" s="15">
        <v>39.64</v>
      </c>
      <c r="F7503" s="42">
        <v>46198</v>
      </c>
    </row>
    <row r="7504" spans="1:6" x14ac:dyDescent="0.3">
      <c r="A7504" s="15" t="s">
        <v>41404</v>
      </c>
      <c r="B7504" s="15" t="s">
        <v>13947</v>
      </c>
      <c r="C7504" s="15" t="s">
        <v>13948</v>
      </c>
      <c r="D7504" s="15" t="s">
        <v>13949</v>
      </c>
      <c r="E7504" s="15">
        <v>33.93</v>
      </c>
      <c r="F7504" s="42">
        <v>46198</v>
      </c>
    </row>
    <row r="7505" spans="1:6" x14ac:dyDescent="0.3">
      <c r="A7505" s="15" t="s">
        <v>33499</v>
      </c>
      <c r="B7505" s="15" t="s">
        <v>795</v>
      </c>
      <c r="C7505" s="15" t="s">
        <v>795</v>
      </c>
      <c r="D7505" s="15" t="s">
        <v>795</v>
      </c>
      <c r="F7505" s="42"/>
    </row>
    <row r="7506" spans="1:6" x14ac:dyDescent="0.3">
      <c r="A7506" s="15" t="s">
        <v>37061</v>
      </c>
      <c r="B7506" s="15" t="s">
        <v>795</v>
      </c>
      <c r="C7506" s="15" t="s">
        <v>795</v>
      </c>
      <c r="D7506" s="15" t="s">
        <v>795</v>
      </c>
      <c r="F7506" s="42"/>
    </row>
    <row r="7507" spans="1:6" x14ac:dyDescent="0.3">
      <c r="A7507" s="15" t="s">
        <v>33499</v>
      </c>
      <c r="B7507" s="15" t="s">
        <v>795</v>
      </c>
      <c r="C7507" s="15" t="s">
        <v>795</v>
      </c>
      <c r="D7507" s="15" t="s">
        <v>795</v>
      </c>
      <c r="F7507" s="42"/>
    </row>
    <row r="7508" spans="1:6" x14ac:dyDescent="0.3">
      <c r="A7508" s="15" t="s">
        <v>41403</v>
      </c>
      <c r="B7508" s="15" t="s">
        <v>13950</v>
      </c>
      <c r="C7508" s="15" t="s">
        <v>800</v>
      </c>
      <c r="D7508" s="15" t="s">
        <v>13951</v>
      </c>
      <c r="E7508" s="15">
        <v>239.846</v>
      </c>
      <c r="F7508" s="42">
        <v>46198</v>
      </c>
    </row>
    <row r="7509" spans="1:6" x14ac:dyDescent="0.3">
      <c r="A7509" s="15" t="s">
        <v>41402</v>
      </c>
      <c r="B7509" s="15" t="s">
        <v>13952</v>
      </c>
      <c r="C7509" s="15" t="s">
        <v>13953</v>
      </c>
      <c r="D7509" s="15" t="s">
        <v>13954</v>
      </c>
      <c r="E7509" s="15">
        <v>65.831999999999994</v>
      </c>
      <c r="F7509" s="42">
        <v>46198</v>
      </c>
    </row>
    <row r="7510" spans="1:6" x14ac:dyDescent="0.3">
      <c r="A7510" s="15" t="s">
        <v>41401</v>
      </c>
      <c r="B7510" s="15" t="s">
        <v>13955</v>
      </c>
      <c r="C7510" s="15" t="s">
        <v>800</v>
      </c>
      <c r="D7510" s="15" t="s">
        <v>13956</v>
      </c>
      <c r="E7510" s="15">
        <v>216.44900000000001</v>
      </c>
      <c r="F7510" s="42">
        <v>46198</v>
      </c>
    </row>
    <row r="7511" spans="1:6" x14ac:dyDescent="0.3">
      <c r="A7511" s="15" t="s">
        <v>41400</v>
      </c>
      <c r="B7511" s="15" t="s">
        <v>13957</v>
      </c>
      <c r="C7511" s="15" t="s">
        <v>13958</v>
      </c>
      <c r="D7511" s="15" t="s">
        <v>13959</v>
      </c>
      <c r="E7511" s="15">
        <v>59.307000000000002</v>
      </c>
      <c r="F7511" s="42">
        <v>46198</v>
      </c>
    </row>
    <row r="7512" spans="1:6" x14ac:dyDescent="0.3">
      <c r="A7512" s="15" t="s">
        <v>33499</v>
      </c>
      <c r="B7512" s="15" t="s">
        <v>795</v>
      </c>
      <c r="C7512" s="15" t="s">
        <v>795</v>
      </c>
      <c r="D7512" s="15" t="s">
        <v>795</v>
      </c>
      <c r="F7512" s="42"/>
    </row>
    <row r="7513" spans="1:6" x14ac:dyDescent="0.3">
      <c r="A7513" s="15" t="s">
        <v>37895</v>
      </c>
      <c r="B7513" s="15" t="s">
        <v>795</v>
      </c>
      <c r="C7513" s="15" t="s">
        <v>795</v>
      </c>
      <c r="D7513" s="15" t="s">
        <v>795</v>
      </c>
      <c r="F7513" s="42"/>
    </row>
    <row r="7514" spans="1:6" x14ac:dyDescent="0.3">
      <c r="A7514" s="15" t="s">
        <v>33499</v>
      </c>
      <c r="B7514" s="15" t="s">
        <v>795</v>
      </c>
      <c r="C7514" s="15" t="s">
        <v>795</v>
      </c>
      <c r="D7514" s="15" t="s">
        <v>795</v>
      </c>
      <c r="F7514" s="42"/>
    </row>
    <row r="7515" spans="1:6" x14ac:dyDescent="0.3">
      <c r="A7515" s="15" t="s">
        <v>41399</v>
      </c>
      <c r="B7515" s="15" t="s">
        <v>13960</v>
      </c>
      <c r="C7515" s="15" t="s">
        <v>800</v>
      </c>
      <c r="D7515" s="15" t="s">
        <v>13961</v>
      </c>
      <c r="E7515" s="15">
        <v>51.506999999999998</v>
      </c>
      <c r="F7515" s="42">
        <v>46198</v>
      </c>
    </row>
    <row r="7516" spans="1:6" x14ac:dyDescent="0.3">
      <c r="A7516" s="15" t="s">
        <v>41398</v>
      </c>
      <c r="B7516" s="15" t="s">
        <v>13962</v>
      </c>
      <c r="C7516" s="15" t="s">
        <v>13963</v>
      </c>
      <c r="D7516" s="15" t="s">
        <v>13964</v>
      </c>
      <c r="E7516" s="15">
        <v>45.06</v>
      </c>
      <c r="F7516" s="42">
        <v>46198</v>
      </c>
    </row>
    <row r="7517" spans="1:6" x14ac:dyDescent="0.3">
      <c r="A7517" s="15" t="s">
        <v>41397</v>
      </c>
      <c r="B7517" s="15" t="s">
        <v>13965</v>
      </c>
      <c r="C7517" s="15" t="s">
        <v>800</v>
      </c>
      <c r="D7517" s="15" t="s">
        <v>13966</v>
      </c>
      <c r="E7517" s="15">
        <v>46</v>
      </c>
      <c r="F7517" s="42">
        <v>46198</v>
      </c>
    </row>
    <row r="7518" spans="1:6" x14ac:dyDescent="0.3">
      <c r="A7518" s="15" t="s">
        <v>41396</v>
      </c>
      <c r="B7518" s="15" t="s">
        <v>13967</v>
      </c>
      <c r="C7518" s="15" t="s">
        <v>13968</v>
      </c>
      <c r="D7518" s="15" t="s">
        <v>13969</v>
      </c>
      <c r="E7518" s="15">
        <v>39.972999999999999</v>
      </c>
      <c r="F7518" s="42">
        <v>46198</v>
      </c>
    </row>
    <row r="7519" spans="1:6" x14ac:dyDescent="0.3">
      <c r="A7519" s="15" t="s">
        <v>33499</v>
      </c>
      <c r="B7519" s="15" t="s">
        <v>795</v>
      </c>
      <c r="C7519" s="15" t="s">
        <v>795</v>
      </c>
      <c r="D7519" s="15" t="s">
        <v>795</v>
      </c>
      <c r="F7519" s="42"/>
    </row>
    <row r="7520" spans="1:6" x14ac:dyDescent="0.3">
      <c r="A7520" s="15" t="s">
        <v>37044</v>
      </c>
      <c r="B7520" s="15" t="s">
        <v>795</v>
      </c>
      <c r="C7520" s="15" t="s">
        <v>795</v>
      </c>
      <c r="D7520" s="15" t="s">
        <v>795</v>
      </c>
      <c r="F7520" s="42"/>
    </row>
    <row r="7521" spans="1:6" x14ac:dyDescent="0.3">
      <c r="A7521" s="15" t="s">
        <v>33499</v>
      </c>
      <c r="B7521" s="15" t="s">
        <v>795</v>
      </c>
      <c r="C7521" s="15" t="s">
        <v>795</v>
      </c>
      <c r="D7521" s="15" t="s">
        <v>795</v>
      </c>
      <c r="F7521" s="42"/>
    </row>
    <row r="7522" spans="1:6" x14ac:dyDescent="0.3">
      <c r="A7522" s="15" t="s">
        <v>41395</v>
      </c>
      <c r="B7522" s="15" t="s">
        <v>13970</v>
      </c>
      <c r="C7522" s="15" t="s">
        <v>800</v>
      </c>
      <c r="D7522" s="15" t="s">
        <v>13971</v>
      </c>
      <c r="E7522" s="15">
        <v>201.1583</v>
      </c>
      <c r="F7522" s="42">
        <v>46198</v>
      </c>
    </row>
    <row r="7523" spans="1:6" x14ac:dyDescent="0.3">
      <c r="A7523" s="15" t="s">
        <v>41394</v>
      </c>
      <c r="B7523" s="15" t="s">
        <v>13972</v>
      </c>
      <c r="C7523" s="15" t="s">
        <v>13973</v>
      </c>
      <c r="D7523" s="15" t="s">
        <v>13974</v>
      </c>
      <c r="E7523" s="15">
        <v>52.28</v>
      </c>
      <c r="F7523" s="42">
        <v>46198</v>
      </c>
    </row>
    <row r="7524" spans="1:6" x14ac:dyDescent="0.3">
      <c r="A7524" s="15" t="s">
        <v>41393</v>
      </c>
      <c r="B7524" s="15" t="s">
        <v>13975</v>
      </c>
      <c r="C7524" s="15" t="s">
        <v>13976</v>
      </c>
      <c r="D7524" s="15" t="s">
        <v>13977</v>
      </c>
      <c r="E7524" s="15">
        <v>44.09</v>
      </c>
      <c r="F7524" s="42">
        <v>46198</v>
      </c>
    </row>
    <row r="7525" spans="1:6" x14ac:dyDescent="0.3">
      <c r="A7525" s="15" t="s">
        <v>41392</v>
      </c>
      <c r="B7525" s="15" t="s">
        <v>13978</v>
      </c>
      <c r="C7525" s="15" t="s">
        <v>800</v>
      </c>
      <c r="D7525" s="15" t="s">
        <v>13979</v>
      </c>
      <c r="E7525" s="15">
        <v>176.37690000000001</v>
      </c>
      <c r="F7525" s="42">
        <v>46198</v>
      </c>
    </row>
    <row r="7526" spans="1:6" x14ac:dyDescent="0.3">
      <c r="A7526" s="15" t="s">
        <v>33499</v>
      </c>
      <c r="B7526" s="15" t="s">
        <v>795</v>
      </c>
      <c r="C7526" s="15" t="s">
        <v>795</v>
      </c>
      <c r="D7526" s="15" t="s">
        <v>795</v>
      </c>
      <c r="F7526" s="42"/>
    </row>
    <row r="7527" spans="1:6" x14ac:dyDescent="0.3">
      <c r="A7527" s="15" t="s">
        <v>37881</v>
      </c>
      <c r="B7527" s="15" t="s">
        <v>795</v>
      </c>
      <c r="C7527" s="15" t="s">
        <v>795</v>
      </c>
      <c r="D7527" s="15" t="s">
        <v>795</v>
      </c>
      <c r="F7527" s="42"/>
    </row>
    <row r="7528" spans="1:6" x14ac:dyDescent="0.3">
      <c r="A7528" s="15" t="s">
        <v>33499</v>
      </c>
      <c r="B7528" s="15" t="s">
        <v>795</v>
      </c>
      <c r="C7528" s="15" t="s">
        <v>795</v>
      </c>
      <c r="D7528" s="15" t="s">
        <v>795</v>
      </c>
      <c r="F7528" s="42"/>
    </row>
    <row r="7529" spans="1:6" x14ac:dyDescent="0.3">
      <c r="A7529" s="15" t="s">
        <v>41391</v>
      </c>
      <c r="B7529" s="15" t="s">
        <v>13980</v>
      </c>
      <c r="C7529" s="15" t="s">
        <v>13981</v>
      </c>
      <c r="D7529" s="15" t="s">
        <v>13982</v>
      </c>
      <c r="E7529" s="15">
        <v>11.63</v>
      </c>
      <c r="F7529" s="42">
        <v>46198</v>
      </c>
    </row>
    <row r="7530" spans="1:6" x14ac:dyDescent="0.3">
      <c r="A7530" s="15" t="s">
        <v>41390</v>
      </c>
      <c r="B7530" s="15" t="s">
        <v>13983</v>
      </c>
      <c r="C7530" s="15" t="s">
        <v>800</v>
      </c>
      <c r="D7530" s="15" t="s">
        <v>13984</v>
      </c>
      <c r="E7530" s="15">
        <v>11.630100000000001</v>
      </c>
      <c r="F7530" s="42">
        <v>46198</v>
      </c>
    </row>
    <row r="7531" spans="1:6" x14ac:dyDescent="0.3">
      <c r="A7531" s="15" t="s">
        <v>41389</v>
      </c>
      <c r="B7531" s="15" t="s">
        <v>13985</v>
      </c>
      <c r="C7531" s="15" t="s">
        <v>800</v>
      </c>
      <c r="D7531" s="15" t="s">
        <v>13986</v>
      </c>
      <c r="E7531" s="15">
        <v>11.5459</v>
      </c>
      <c r="F7531" s="42">
        <v>46198</v>
      </c>
    </row>
    <row r="7532" spans="1:6" x14ac:dyDescent="0.3">
      <c r="A7532" s="15" t="s">
        <v>41388</v>
      </c>
      <c r="B7532" s="15" t="s">
        <v>13987</v>
      </c>
      <c r="C7532" s="15" t="s">
        <v>13988</v>
      </c>
      <c r="D7532" s="15" t="s">
        <v>13989</v>
      </c>
      <c r="E7532" s="15">
        <v>11.5459</v>
      </c>
      <c r="F7532" s="42">
        <v>46198</v>
      </c>
    </row>
    <row r="7533" spans="1:6" x14ac:dyDescent="0.3">
      <c r="A7533" s="15" t="s">
        <v>33499</v>
      </c>
      <c r="B7533" s="15" t="s">
        <v>795</v>
      </c>
      <c r="C7533" s="15" t="s">
        <v>795</v>
      </c>
      <c r="D7533" s="15" t="s">
        <v>795</v>
      </c>
      <c r="F7533" s="42"/>
    </row>
    <row r="7534" spans="1:6" x14ac:dyDescent="0.3">
      <c r="A7534" s="15" t="s">
        <v>37043</v>
      </c>
      <c r="B7534" s="15" t="s">
        <v>795</v>
      </c>
      <c r="C7534" s="15" t="s">
        <v>795</v>
      </c>
      <c r="D7534" s="15" t="s">
        <v>795</v>
      </c>
      <c r="F7534" s="42"/>
    </row>
    <row r="7535" spans="1:6" x14ac:dyDescent="0.3">
      <c r="A7535" s="15" t="s">
        <v>33499</v>
      </c>
      <c r="B7535" s="15" t="s">
        <v>795</v>
      </c>
      <c r="C7535" s="15" t="s">
        <v>795</v>
      </c>
      <c r="D7535" s="15" t="s">
        <v>795</v>
      </c>
      <c r="F7535" s="42"/>
    </row>
    <row r="7536" spans="1:6" x14ac:dyDescent="0.3">
      <c r="A7536" s="15" t="s">
        <v>41387</v>
      </c>
      <c r="B7536" s="15" t="s">
        <v>13990</v>
      </c>
      <c r="C7536" s="15" t="s">
        <v>800</v>
      </c>
      <c r="D7536" s="15" t="s">
        <v>13991</v>
      </c>
      <c r="E7536" s="15">
        <v>137.93600000000001</v>
      </c>
      <c r="F7536" s="42">
        <v>46198</v>
      </c>
    </row>
    <row r="7537" spans="1:6" x14ac:dyDescent="0.3">
      <c r="A7537" s="15" t="s">
        <v>41386</v>
      </c>
      <c r="B7537" s="15" t="s">
        <v>13992</v>
      </c>
      <c r="C7537" s="15" t="s">
        <v>800</v>
      </c>
      <c r="D7537" s="15" t="s">
        <v>13993</v>
      </c>
      <c r="E7537" s="15">
        <v>158.06800000000001</v>
      </c>
      <c r="F7537" s="42">
        <v>46198</v>
      </c>
    </row>
    <row r="7538" spans="1:6" x14ac:dyDescent="0.3">
      <c r="A7538" s="15" t="s">
        <v>41385</v>
      </c>
      <c r="B7538" s="15" t="s">
        <v>13994</v>
      </c>
      <c r="C7538" s="15" t="s">
        <v>13995</v>
      </c>
      <c r="D7538" s="15" t="s">
        <v>13996</v>
      </c>
      <c r="E7538" s="15">
        <v>40.027999999999999</v>
      </c>
      <c r="F7538" s="42">
        <v>46198</v>
      </c>
    </row>
    <row r="7539" spans="1:6" x14ac:dyDescent="0.3">
      <c r="A7539" s="15" t="s">
        <v>41384</v>
      </c>
      <c r="B7539" s="15" t="s">
        <v>13997</v>
      </c>
      <c r="C7539" s="15" t="s">
        <v>13998</v>
      </c>
      <c r="D7539" s="15" t="s">
        <v>13999</v>
      </c>
      <c r="E7539" s="15">
        <v>63.991</v>
      </c>
      <c r="F7539" s="42">
        <v>46198</v>
      </c>
    </row>
    <row r="7540" spans="1:6" x14ac:dyDescent="0.3">
      <c r="A7540" s="15" t="s">
        <v>33499</v>
      </c>
      <c r="B7540" s="15" t="s">
        <v>795</v>
      </c>
      <c r="C7540" s="15" t="s">
        <v>795</v>
      </c>
      <c r="D7540" s="15" t="s">
        <v>795</v>
      </c>
      <c r="F7540" s="42"/>
    </row>
    <row r="7541" spans="1:6" x14ac:dyDescent="0.3">
      <c r="A7541" s="15" t="s">
        <v>40598</v>
      </c>
      <c r="B7541" s="15" t="s">
        <v>795</v>
      </c>
      <c r="C7541" s="15" t="s">
        <v>795</v>
      </c>
      <c r="D7541" s="15" t="s">
        <v>795</v>
      </c>
      <c r="F7541" s="42"/>
    </row>
    <row r="7542" spans="1:6" x14ac:dyDescent="0.3">
      <c r="A7542" s="15" t="s">
        <v>33499</v>
      </c>
      <c r="B7542" s="15" t="s">
        <v>795</v>
      </c>
      <c r="C7542" s="15" t="s">
        <v>795</v>
      </c>
      <c r="D7542" s="15" t="s">
        <v>795</v>
      </c>
      <c r="F7542" s="42"/>
    </row>
    <row r="7543" spans="1:6" x14ac:dyDescent="0.3">
      <c r="A7543" s="15" t="s">
        <v>41383</v>
      </c>
      <c r="B7543" s="15" t="s">
        <v>14000</v>
      </c>
      <c r="C7543" s="15" t="s">
        <v>800</v>
      </c>
      <c r="D7543" s="15" t="s">
        <v>14001</v>
      </c>
      <c r="E7543" s="15">
        <v>10.98</v>
      </c>
      <c r="F7543" s="42">
        <v>46198</v>
      </c>
    </row>
    <row r="7544" spans="1:6" x14ac:dyDescent="0.3">
      <c r="A7544" s="15" t="s">
        <v>41382</v>
      </c>
      <c r="B7544" s="15" t="s">
        <v>14002</v>
      </c>
      <c r="C7544" s="15" t="s">
        <v>14003</v>
      </c>
      <c r="D7544" s="15" t="s">
        <v>14004</v>
      </c>
      <c r="E7544" s="15">
        <v>10.98</v>
      </c>
      <c r="F7544" s="42">
        <v>46198</v>
      </c>
    </row>
    <row r="7545" spans="1:6" x14ac:dyDescent="0.3">
      <c r="A7545" s="15" t="s">
        <v>41381</v>
      </c>
      <c r="B7545" s="15" t="s">
        <v>14005</v>
      </c>
      <c r="C7545" s="15" t="s">
        <v>800</v>
      </c>
      <c r="D7545" s="15" t="s">
        <v>14006</v>
      </c>
      <c r="E7545" s="15">
        <v>10.88</v>
      </c>
      <c r="F7545" s="42">
        <v>46198</v>
      </c>
    </row>
    <row r="7546" spans="1:6" x14ac:dyDescent="0.3">
      <c r="A7546" s="15" t="s">
        <v>41380</v>
      </c>
      <c r="B7546" s="15" t="s">
        <v>14007</v>
      </c>
      <c r="C7546" s="15" t="s">
        <v>14008</v>
      </c>
      <c r="D7546" s="15" t="s">
        <v>14009</v>
      </c>
      <c r="E7546" s="15">
        <v>10.89</v>
      </c>
      <c r="F7546" s="42">
        <v>46198</v>
      </c>
    </row>
    <row r="7547" spans="1:6" x14ac:dyDescent="0.3">
      <c r="A7547" s="15" t="s">
        <v>33499</v>
      </c>
      <c r="B7547" s="15" t="s">
        <v>795</v>
      </c>
      <c r="C7547" s="15" t="s">
        <v>795</v>
      </c>
      <c r="D7547" s="15" t="s">
        <v>795</v>
      </c>
      <c r="F7547" s="42"/>
    </row>
    <row r="7548" spans="1:6" x14ac:dyDescent="0.3">
      <c r="A7548" s="15" t="s">
        <v>36815</v>
      </c>
      <c r="B7548" s="15" t="s">
        <v>795</v>
      </c>
      <c r="C7548" s="15" t="s">
        <v>795</v>
      </c>
      <c r="D7548" s="15" t="s">
        <v>795</v>
      </c>
      <c r="F7548" s="42"/>
    </row>
    <row r="7549" spans="1:6" x14ac:dyDescent="0.3">
      <c r="A7549" s="15" t="s">
        <v>33499</v>
      </c>
      <c r="B7549" s="15" t="s">
        <v>795</v>
      </c>
      <c r="C7549" s="15" t="s">
        <v>795</v>
      </c>
      <c r="D7549" s="15" t="s">
        <v>795</v>
      </c>
      <c r="F7549" s="42"/>
    </row>
    <row r="7550" spans="1:6" x14ac:dyDescent="0.3">
      <c r="A7550" s="15" t="s">
        <v>41379</v>
      </c>
      <c r="B7550" s="15" t="s">
        <v>14010</v>
      </c>
      <c r="C7550" s="15" t="s">
        <v>800</v>
      </c>
      <c r="D7550" s="15" t="s">
        <v>14011</v>
      </c>
      <c r="E7550" s="15">
        <v>97.014399999999995</v>
      </c>
      <c r="F7550" s="42">
        <v>46198</v>
      </c>
    </row>
    <row r="7551" spans="1:6" x14ac:dyDescent="0.3">
      <c r="A7551" s="15" t="s">
        <v>41378</v>
      </c>
      <c r="B7551" s="15" t="s">
        <v>14012</v>
      </c>
      <c r="C7551" s="15" t="s">
        <v>14013</v>
      </c>
      <c r="D7551" s="15" t="s">
        <v>14014</v>
      </c>
      <c r="E7551" s="15">
        <v>46.067799999999998</v>
      </c>
      <c r="F7551" s="42">
        <v>46198</v>
      </c>
    </row>
    <row r="7552" spans="1:6" x14ac:dyDescent="0.3">
      <c r="A7552" s="15" t="s">
        <v>41377</v>
      </c>
      <c r="B7552" s="15" t="s">
        <v>14015</v>
      </c>
      <c r="C7552" s="15" t="s">
        <v>800</v>
      </c>
      <c r="D7552" s="15" t="s">
        <v>14016</v>
      </c>
      <c r="E7552" s="15">
        <v>86.484899999999996</v>
      </c>
      <c r="F7552" s="42">
        <v>46198</v>
      </c>
    </row>
    <row r="7553" spans="1:6" x14ac:dyDescent="0.3">
      <c r="A7553" s="15" t="s">
        <v>41376</v>
      </c>
      <c r="B7553" s="15" t="s">
        <v>14017</v>
      </c>
      <c r="C7553" s="15" t="s">
        <v>14018</v>
      </c>
      <c r="D7553" s="15" t="s">
        <v>14019</v>
      </c>
      <c r="E7553" s="15">
        <v>39.136499999999998</v>
      </c>
      <c r="F7553" s="42">
        <v>46198</v>
      </c>
    </row>
    <row r="7554" spans="1:6" x14ac:dyDescent="0.3">
      <c r="A7554" s="15" t="s">
        <v>33499</v>
      </c>
      <c r="B7554" s="15" t="s">
        <v>795</v>
      </c>
      <c r="C7554" s="15" t="s">
        <v>795</v>
      </c>
      <c r="D7554" s="15" t="s">
        <v>795</v>
      </c>
      <c r="F7554" s="42"/>
    </row>
    <row r="7555" spans="1:6" x14ac:dyDescent="0.3">
      <c r="A7555" s="15" t="s">
        <v>36764</v>
      </c>
      <c r="B7555" s="15" t="s">
        <v>795</v>
      </c>
      <c r="C7555" s="15" t="s">
        <v>795</v>
      </c>
      <c r="D7555" s="15" t="s">
        <v>795</v>
      </c>
      <c r="F7555" s="42"/>
    </row>
    <row r="7556" spans="1:6" x14ac:dyDescent="0.3">
      <c r="A7556" s="15" t="s">
        <v>33499</v>
      </c>
      <c r="B7556" s="15" t="s">
        <v>795</v>
      </c>
      <c r="C7556" s="15" t="s">
        <v>795</v>
      </c>
      <c r="D7556" s="15" t="s">
        <v>795</v>
      </c>
      <c r="F7556" s="42"/>
    </row>
    <row r="7557" spans="1:6" x14ac:dyDescent="0.3">
      <c r="A7557" s="15" t="s">
        <v>41375</v>
      </c>
      <c r="B7557" s="15" t="s">
        <v>14020</v>
      </c>
      <c r="C7557" s="15" t="s">
        <v>800</v>
      </c>
      <c r="D7557" s="15" t="s">
        <v>14021</v>
      </c>
      <c r="E7557" s="15">
        <v>101.57</v>
      </c>
      <c r="F7557" s="42">
        <v>46198</v>
      </c>
    </row>
    <row r="7558" spans="1:6" x14ac:dyDescent="0.3">
      <c r="A7558" s="15" t="s">
        <v>41374</v>
      </c>
      <c r="B7558" s="15" t="s">
        <v>14022</v>
      </c>
      <c r="C7558" s="15" t="s">
        <v>14023</v>
      </c>
      <c r="D7558" s="15" t="s">
        <v>14024</v>
      </c>
      <c r="E7558" s="15">
        <v>70.290000000000006</v>
      </c>
      <c r="F7558" s="42">
        <v>46198</v>
      </c>
    </row>
    <row r="7559" spans="1:6" x14ac:dyDescent="0.3">
      <c r="A7559" s="15" t="s">
        <v>41373</v>
      </c>
      <c r="B7559" s="15" t="s">
        <v>14025</v>
      </c>
      <c r="C7559" s="15" t="s">
        <v>800</v>
      </c>
      <c r="D7559" s="15" t="s">
        <v>14026</v>
      </c>
      <c r="E7559" s="15">
        <v>89.62</v>
      </c>
      <c r="F7559" s="42">
        <v>46198</v>
      </c>
    </row>
    <row r="7560" spans="1:6" x14ac:dyDescent="0.3">
      <c r="A7560" s="15" t="s">
        <v>41372</v>
      </c>
      <c r="B7560" s="15" t="s">
        <v>14027</v>
      </c>
      <c r="C7560" s="15" t="s">
        <v>14028</v>
      </c>
      <c r="D7560" s="15" t="s">
        <v>14029</v>
      </c>
      <c r="E7560" s="15">
        <v>33.270000000000003</v>
      </c>
      <c r="F7560" s="42">
        <v>46198</v>
      </c>
    </row>
    <row r="7561" spans="1:6" x14ac:dyDescent="0.3">
      <c r="A7561" s="15" t="s">
        <v>41371</v>
      </c>
      <c r="B7561" s="15" t="s">
        <v>14030</v>
      </c>
      <c r="C7561" s="15" t="s">
        <v>800</v>
      </c>
      <c r="D7561" s="15" t="s">
        <v>14031</v>
      </c>
      <c r="E7561" s="15">
        <v>18.649999999999999</v>
      </c>
      <c r="F7561" s="42">
        <v>43945</v>
      </c>
    </row>
    <row r="7562" spans="1:6" x14ac:dyDescent="0.3">
      <c r="A7562" s="15" t="s">
        <v>33499</v>
      </c>
      <c r="B7562" s="15" t="s">
        <v>795</v>
      </c>
      <c r="C7562" s="15" t="s">
        <v>795</v>
      </c>
      <c r="D7562" s="15" t="s">
        <v>795</v>
      </c>
      <c r="F7562" s="42"/>
    </row>
    <row r="7563" spans="1:6" x14ac:dyDescent="0.3">
      <c r="A7563" s="15" t="s">
        <v>37807</v>
      </c>
      <c r="B7563" s="15" t="s">
        <v>795</v>
      </c>
      <c r="C7563" s="15" t="s">
        <v>795</v>
      </c>
      <c r="D7563" s="15" t="s">
        <v>795</v>
      </c>
      <c r="F7563" s="42"/>
    </row>
    <row r="7564" spans="1:6" x14ac:dyDescent="0.3">
      <c r="A7564" s="15" t="s">
        <v>33499</v>
      </c>
      <c r="B7564" s="15" t="s">
        <v>795</v>
      </c>
      <c r="C7564" s="15" t="s">
        <v>795</v>
      </c>
      <c r="D7564" s="15" t="s">
        <v>795</v>
      </c>
      <c r="F7564" s="42"/>
    </row>
    <row r="7565" spans="1:6" x14ac:dyDescent="0.3">
      <c r="A7565" s="15" t="s">
        <v>41370</v>
      </c>
      <c r="B7565" s="15" t="s">
        <v>14032</v>
      </c>
      <c r="C7565" s="15" t="s">
        <v>800</v>
      </c>
      <c r="D7565" s="15" t="s">
        <v>14033</v>
      </c>
      <c r="E7565" s="15">
        <v>51.74</v>
      </c>
      <c r="F7565" s="42">
        <v>46198</v>
      </c>
    </row>
    <row r="7566" spans="1:6" x14ac:dyDescent="0.3">
      <c r="A7566" s="15" t="s">
        <v>41369</v>
      </c>
      <c r="B7566" s="15" t="s">
        <v>14034</v>
      </c>
      <c r="C7566" s="15" t="s">
        <v>14035</v>
      </c>
      <c r="D7566" s="15" t="s">
        <v>14036</v>
      </c>
      <c r="E7566" s="15">
        <v>38.44</v>
      </c>
      <c r="F7566" s="42">
        <v>46198</v>
      </c>
    </row>
    <row r="7567" spans="1:6" x14ac:dyDescent="0.3">
      <c r="A7567" s="15" t="s">
        <v>41368</v>
      </c>
      <c r="B7567" s="15" t="s">
        <v>14037</v>
      </c>
      <c r="C7567" s="15" t="s">
        <v>800</v>
      </c>
      <c r="D7567" s="15" t="s">
        <v>14038</v>
      </c>
      <c r="E7567" s="15">
        <v>46.14</v>
      </c>
      <c r="F7567" s="42">
        <v>46198</v>
      </c>
    </row>
    <row r="7568" spans="1:6" x14ac:dyDescent="0.3">
      <c r="A7568" s="15" t="s">
        <v>41367</v>
      </c>
      <c r="B7568" s="15" t="s">
        <v>14039</v>
      </c>
      <c r="C7568" s="15" t="s">
        <v>14040</v>
      </c>
      <c r="D7568" s="15" t="s">
        <v>14041</v>
      </c>
      <c r="E7568" s="15">
        <v>33</v>
      </c>
      <c r="F7568" s="42">
        <v>46198</v>
      </c>
    </row>
    <row r="7569" spans="1:6" x14ac:dyDescent="0.3">
      <c r="A7569" s="15" t="s">
        <v>33499</v>
      </c>
      <c r="B7569" s="15" t="s">
        <v>795</v>
      </c>
      <c r="C7569" s="15" t="s">
        <v>795</v>
      </c>
      <c r="D7569" s="15" t="s">
        <v>795</v>
      </c>
      <c r="F7569" s="42"/>
    </row>
    <row r="7570" spans="1:6" x14ac:dyDescent="0.3">
      <c r="A7570" s="15" t="s">
        <v>40577</v>
      </c>
      <c r="B7570" s="15" t="s">
        <v>795</v>
      </c>
      <c r="C7570" s="15" t="s">
        <v>795</v>
      </c>
      <c r="D7570" s="15" t="s">
        <v>795</v>
      </c>
      <c r="F7570" s="42"/>
    </row>
    <row r="7571" spans="1:6" x14ac:dyDescent="0.3">
      <c r="A7571" s="15" t="s">
        <v>33499</v>
      </c>
      <c r="B7571" s="15" t="s">
        <v>795</v>
      </c>
      <c r="C7571" s="15" t="s">
        <v>795</v>
      </c>
      <c r="D7571" s="15" t="s">
        <v>795</v>
      </c>
      <c r="F7571" s="42"/>
    </row>
    <row r="7572" spans="1:6" x14ac:dyDescent="0.3">
      <c r="A7572" s="15" t="s">
        <v>41366</v>
      </c>
      <c r="B7572" s="15" t="s">
        <v>14042</v>
      </c>
      <c r="C7572" s="15" t="s">
        <v>800</v>
      </c>
      <c r="D7572" s="15" t="s">
        <v>14043</v>
      </c>
      <c r="E7572" s="15">
        <v>35.767800000000001</v>
      </c>
      <c r="F7572" s="42">
        <v>46198</v>
      </c>
    </row>
    <row r="7573" spans="1:6" x14ac:dyDescent="0.3">
      <c r="A7573" s="15" t="s">
        <v>41365</v>
      </c>
      <c r="B7573" s="15" t="s">
        <v>14044</v>
      </c>
      <c r="C7573" s="15" t="s">
        <v>14045</v>
      </c>
      <c r="D7573" s="15" t="s">
        <v>14046</v>
      </c>
      <c r="E7573" s="15">
        <v>33.907299999999999</v>
      </c>
      <c r="F7573" s="42">
        <v>46198</v>
      </c>
    </row>
    <row r="7574" spans="1:6" x14ac:dyDescent="0.3">
      <c r="A7574" s="15" t="s">
        <v>41364</v>
      </c>
      <c r="B7574" s="15" t="s">
        <v>14047</v>
      </c>
      <c r="C7574" s="15" t="s">
        <v>800</v>
      </c>
      <c r="D7574" s="15" t="s">
        <v>14048</v>
      </c>
      <c r="E7574" s="15">
        <v>31.777200000000001</v>
      </c>
      <c r="F7574" s="42">
        <v>46198</v>
      </c>
    </row>
    <row r="7575" spans="1:6" x14ac:dyDescent="0.3">
      <c r="A7575" s="15" t="s">
        <v>41363</v>
      </c>
      <c r="B7575" s="15" t="s">
        <v>14049</v>
      </c>
      <c r="C7575" s="15" t="s">
        <v>14050</v>
      </c>
      <c r="D7575" s="15" t="s">
        <v>14051</v>
      </c>
      <c r="E7575" s="15">
        <v>29.9604</v>
      </c>
      <c r="F7575" s="42">
        <v>46198</v>
      </c>
    </row>
    <row r="7576" spans="1:6" x14ac:dyDescent="0.3">
      <c r="A7576" s="15" t="s">
        <v>33499</v>
      </c>
      <c r="B7576" s="15" t="s">
        <v>795</v>
      </c>
      <c r="C7576" s="15" t="s">
        <v>795</v>
      </c>
      <c r="D7576" s="15" t="s">
        <v>795</v>
      </c>
      <c r="F7576" s="42"/>
    </row>
    <row r="7577" spans="1:6" x14ac:dyDescent="0.3">
      <c r="A7577" s="15" t="s">
        <v>40894</v>
      </c>
      <c r="B7577" s="15" t="s">
        <v>795</v>
      </c>
      <c r="C7577" s="15" t="s">
        <v>795</v>
      </c>
      <c r="D7577" s="15" t="s">
        <v>795</v>
      </c>
      <c r="F7577" s="42"/>
    </row>
    <row r="7578" spans="1:6" x14ac:dyDescent="0.3">
      <c r="A7578" s="15" t="s">
        <v>33499</v>
      </c>
      <c r="B7578" s="15" t="s">
        <v>795</v>
      </c>
      <c r="C7578" s="15" t="s">
        <v>795</v>
      </c>
      <c r="D7578" s="15" t="s">
        <v>795</v>
      </c>
      <c r="F7578" s="42"/>
    </row>
    <row r="7579" spans="1:6" x14ac:dyDescent="0.3">
      <c r="A7579" s="15" t="s">
        <v>41362</v>
      </c>
      <c r="B7579" s="15" t="s">
        <v>14052</v>
      </c>
      <c r="C7579" s="15" t="s">
        <v>800</v>
      </c>
      <c r="D7579" s="15" t="s">
        <v>14053</v>
      </c>
      <c r="E7579" s="15">
        <v>11.4702</v>
      </c>
      <c r="F7579" s="42">
        <v>46198</v>
      </c>
    </row>
    <row r="7580" spans="1:6" x14ac:dyDescent="0.3">
      <c r="A7580" s="15" t="s">
        <v>41361</v>
      </c>
      <c r="B7580" s="15" t="s">
        <v>14054</v>
      </c>
      <c r="C7580" s="15" t="s">
        <v>14055</v>
      </c>
      <c r="D7580" s="15" t="s">
        <v>14056</v>
      </c>
      <c r="E7580" s="15">
        <v>11.4704</v>
      </c>
      <c r="F7580" s="42">
        <v>46198</v>
      </c>
    </row>
    <row r="7581" spans="1:6" x14ac:dyDescent="0.3">
      <c r="A7581" s="15" t="s">
        <v>41360</v>
      </c>
      <c r="B7581" s="15" t="s">
        <v>14057</v>
      </c>
      <c r="C7581" s="15" t="s">
        <v>800</v>
      </c>
      <c r="D7581" s="15" t="s">
        <v>14058</v>
      </c>
      <c r="E7581" s="15">
        <v>11.0892</v>
      </c>
      <c r="F7581" s="42">
        <v>46198</v>
      </c>
    </row>
    <row r="7582" spans="1:6" x14ac:dyDescent="0.3">
      <c r="A7582" s="15" t="s">
        <v>41359</v>
      </c>
      <c r="B7582" s="15" t="s">
        <v>14059</v>
      </c>
      <c r="C7582" s="15" t="s">
        <v>14060</v>
      </c>
      <c r="D7582" s="15" t="s">
        <v>14061</v>
      </c>
      <c r="E7582" s="15">
        <v>11.0892</v>
      </c>
      <c r="F7582" s="42">
        <v>46198</v>
      </c>
    </row>
    <row r="7583" spans="1:6" x14ac:dyDescent="0.3">
      <c r="A7583" s="15" t="s">
        <v>33499</v>
      </c>
      <c r="B7583" s="15" t="s">
        <v>795</v>
      </c>
      <c r="C7583" s="15" t="s">
        <v>795</v>
      </c>
      <c r="D7583" s="15" t="s">
        <v>795</v>
      </c>
      <c r="F7583" s="42"/>
    </row>
    <row r="7584" spans="1:6" x14ac:dyDescent="0.3">
      <c r="A7584" s="15" t="s">
        <v>139</v>
      </c>
      <c r="B7584" s="15" t="s">
        <v>795</v>
      </c>
      <c r="C7584" s="15" t="s">
        <v>795</v>
      </c>
      <c r="D7584" s="15" t="s">
        <v>795</v>
      </c>
      <c r="F7584" s="42"/>
    </row>
    <row r="7585" spans="1:6" x14ac:dyDescent="0.3">
      <c r="A7585" s="15" t="s">
        <v>33499</v>
      </c>
      <c r="B7585" s="15" t="s">
        <v>795</v>
      </c>
      <c r="C7585" s="15" t="s">
        <v>795</v>
      </c>
      <c r="D7585" s="15" t="s">
        <v>795</v>
      </c>
      <c r="F7585" s="42"/>
    </row>
    <row r="7586" spans="1:6" x14ac:dyDescent="0.3">
      <c r="A7586" s="15" t="s">
        <v>41358</v>
      </c>
      <c r="B7586" s="15" t="s">
        <v>14062</v>
      </c>
      <c r="C7586" s="15" t="s">
        <v>800</v>
      </c>
      <c r="D7586" s="15" t="s">
        <v>14063</v>
      </c>
      <c r="E7586" s="15">
        <v>263.96100000000001</v>
      </c>
      <c r="F7586" s="42">
        <v>46198</v>
      </c>
    </row>
    <row r="7587" spans="1:6" x14ac:dyDescent="0.3">
      <c r="A7587" s="15" t="s">
        <v>41357</v>
      </c>
      <c r="B7587" s="15" t="s">
        <v>14064</v>
      </c>
      <c r="C7587" s="15" t="s">
        <v>800</v>
      </c>
      <c r="D7587" s="15" t="s">
        <v>14065</v>
      </c>
      <c r="E7587" s="15">
        <v>312.959</v>
      </c>
      <c r="F7587" s="42">
        <v>46198</v>
      </c>
    </row>
    <row r="7588" spans="1:6" x14ac:dyDescent="0.3">
      <c r="A7588" s="15" t="s">
        <v>41356</v>
      </c>
      <c r="B7588" s="15" t="s">
        <v>14066</v>
      </c>
      <c r="C7588" s="15" t="s">
        <v>14067</v>
      </c>
      <c r="D7588" s="15" t="s">
        <v>14068</v>
      </c>
      <c r="E7588" s="15">
        <v>115.158</v>
      </c>
      <c r="F7588" s="42">
        <v>46198</v>
      </c>
    </row>
    <row r="7589" spans="1:6" x14ac:dyDescent="0.3">
      <c r="A7589" s="15" t="s">
        <v>41355</v>
      </c>
      <c r="B7589" s="15" t="s">
        <v>14069</v>
      </c>
      <c r="C7589" s="15" t="s">
        <v>14070</v>
      </c>
      <c r="D7589" s="15" t="s">
        <v>14071</v>
      </c>
      <c r="E7589" s="15">
        <v>137.46100000000001</v>
      </c>
      <c r="F7589" s="42">
        <v>46198</v>
      </c>
    </row>
    <row r="7590" spans="1:6" x14ac:dyDescent="0.3">
      <c r="A7590" s="15" t="s">
        <v>33499</v>
      </c>
      <c r="B7590" s="15" t="s">
        <v>795</v>
      </c>
      <c r="C7590" s="15" t="s">
        <v>795</v>
      </c>
      <c r="D7590" s="15" t="s">
        <v>795</v>
      </c>
      <c r="F7590" s="42"/>
    </row>
    <row r="7591" spans="1:6" x14ac:dyDescent="0.3">
      <c r="A7591" s="15" t="s">
        <v>37618</v>
      </c>
      <c r="B7591" s="15" t="s">
        <v>795</v>
      </c>
      <c r="C7591" s="15" t="s">
        <v>795</v>
      </c>
      <c r="D7591" s="15" t="s">
        <v>795</v>
      </c>
      <c r="F7591" s="42"/>
    </row>
    <row r="7592" spans="1:6" x14ac:dyDescent="0.3">
      <c r="A7592" s="15" t="s">
        <v>33499</v>
      </c>
      <c r="B7592" s="15" t="s">
        <v>795</v>
      </c>
      <c r="C7592" s="15" t="s">
        <v>795</v>
      </c>
      <c r="D7592" s="15" t="s">
        <v>795</v>
      </c>
      <c r="F7592" s="42"/>
    </row>
    <row r="7593" spans="1:6" x14ac:dyDescent="0.3">
      <c r="A7593" s="15" t="s">
        <v>41354</v>
      </c>
      <c r="B7593" s="15" t="s">
        <v>14072</v>
      </c>
      <c r="C7593" s="15" t="s">
        <v>800</v>
      </c>
      <c r="D7593" s="15" t="s">
        <v>14073</v>
      </c>
      <c r="E7593" s="15">
        <v>37.779000000000003</v>
      </c>
      <c r="F7593" s="42">
        <v>46198</v>
      </c>
    </row>
    <row r="7594" spans="1:6" x14ac:dyDescent="0.3">
      <c r="A7594" s="15" t="s">
        <v>41353</v>
      </c>
      <c r="B7594" s="15" t="s">
        <v>14074</v>
      </c>
      <c r="C7594" s="15" t="s">
        <v>14075</v>
      </c>
      <c r="D7594" s="15" t="s">
        <v>14076</v>
      </c>
      <c r="E7594" s="15">
        <v>37.770899999999997</v>
      </c>
      <c r="F7594" s="42">
        <v>46198</v>
      </c>
    </row>
    <row r="7595" spans="1:6" x14ac:dyDescent="0.3">
      <c r="A7595" s="15" t="s">
        <v>41352</v>
      </c>
      <c r="B7595" s="15" t="s">
        <v>14077</v>
      </c>
      <c r="C7595" s="15" t="s">
        <v>800</v>
      </c>
      <c r="D7595" s="15" t="s">
        <v>14078</v>
      </c>
      <c r="E7595" s="15">
        <v>33.325400000000002</v>
      </c>
      <c r="F7595" s="42">
        <v>46198</v>
      </c>
    </row>
    <row r="7596" spans="1:6" x14ac:dyDescent="0.3">
      <c r="A7596" s="15" t="s">
        <v>41351</v>
      </c>
      <c r="B7596" s="15" t="s">
        <v>14079</v>
      </c>
      <c r="C7596" s="15" t="s">
        <v>14080</v>
      </c>
      <c r="D7596" s="15" t="s">
        <v>14081</v>
      </c>
      <c r="E7596" s="15">
        <v>33.325000000000003</v>
      </c>
      <c r="F7596" s="42">
        <v>46198</v>
      </c>
    </row>
    <row r="7597" spans="1:6" x14ac:dyDescent="0.3">
      <c r="A7597" s="15" t="s">
        <v>33499</v>
      </c>
      <c r="B7597" s="15" t="s">
        <v>795</v>
      </c>
      <c r="C7597" s="15" t="s">
        <v>795</v>
      </c>
      <c r="D7597" s="15" t="s">
        <v>795</v>
      </c>
      <c r="F7597" s="42"/>
    </row>
    <row r="7598" spans="1:6" x14ac:dyDescent="0.3">
      <c r="A7598" s="15" t="s">
        <v>39301</v>
      </c>
      <c r="B7598" s="15" t="s">
        <v>795</v>
      </c>
      <c r="C7598" s="15" t="s">
        <v>795</v>
      </c>
      <c r="D7598" s="15" t="s">
        <v>795</v>
      </c>
      <c r="F7598" s="42"/>
    </row>
    <row r="7599" spans="1:6" x14ac:dyDescent="0.3">
      <c r="A7599" s="15" t="s">
        <v>33499</v>
      </c>
      <c r="B7599" s="15" t="s">
        <v>795</v>
      </c>
      <c r="C7599" s="15" t="s">
        <v>795</v>
      </c>
      <c r="D7599" s="15" t="s">
        <v>795</v>
      </c>
      <c r="F7599" s="42"/>
    </row>
    <row r="7600" spans="1:6" x14ac:dyDescent="0.3">
      <c r="A7600" s="15" t="s">
        <v>41350</v>
      </c>
      <c r="B7600" s="15" t="s">
        <v>14082</v>
      </c>
      <c r="C7600" s="15" t="s">
        <v>800</v>
      </c>
      <c r="D7600" s="15" t="s">
        <v>14083</v>
      </c>
      <c r="E7600" s="15">
        <v>22.287500000000001</v>
      </c>
      <c r="F7600" s="42">
        <v>46198</v>
      </c>
    </row>
    <row r="7601" spans="1:6" x14ac:dyDescent="0.3">
      <c r="A7601" s="15" t="s">
        <v>41349</v>
      </c>
      <c r="B7601" s="15" t="s">
        <v>14084</v>
      </c>
      <c r="C7601" s="15" t="s">
        <v>14085</v>
      </c>
      <c r="D7601" s="15" t="s">
        <v>14086</v>
      </c>
      <c r="E7601" s="15">
        <v>21.409500000000001</v>
      </c>
      <c r="F7601" s="42">
        <v>46198</v>
      </c>
    </row>
    <row r="7602" spans="1:6" x14ac:dyDescent="0.3">
      <c r="A7602" s="15" t="s">
        <v>41348</v>
      </c>
      <c r="B7602" s="15" t="s">
        <v>14087</v>
      </c>
      <c r="C7602" s="15" t="s">
        <v>800</v>
      </c>
      <c r="D7602" s="15" t="s">
        <v>14088</v>
      </c>
      <c r="E7602" s="15">
        <v>21.085699999999999</v>
      </c>
      <c r="F7602" s="42">
        <v>46198</v>
      </c>
    </row>
    <row r="7603" spans="1:6" x14ac:dyDescent="0.3">
      <c r="A7603" s="15" t="s">
        <v>41347</v>
      </c>
      <c r="B7603" s="15" t="s">
        <v>14089</v>
      </c>
      <c r="C7603" s="15" t="s">
        <v>14090</v>
      </c>
      <c r="D7603" s="15" t="s">
        <v>14091</v>
      </c>
      <c r="E7603" s="15">
        <v>20.211099999999998</v>
      </c>
      <c r="F7603" s="42">
        <v>46198</v>
      </c>
    </row>
    <row r="7604" spans="1:6" x14ac:dyDescent="0.3">
      <c r="A7604" s="15" t="s">
        <v>33499</v>
      </c>
      <c r="B7604" s="15" t="s">
        <v>795</v>
      </c>
      <c r="C7604" s="15" t="s">
        <v>795</v>
      </c>
      <c r="D7604" s="15" t="s">
        <v>795</v>
      </c>
      <c r="F7604" s="42"/>
    </row>
    <row r="7605" spans="1:6" x14ac:dyDescent="0.3">
      <c r="A7605" s="15" t="s">
        <v>37780</v>
      </c>
      <c r="B7605" s="15" t="s">
        <v>795</v>
      </c>
      <c r="C7605" s="15" t="s">
        <v>795</v>
      </c>
      <c r="D7605" s="15" t="s">
        <v>795</v>
      </c>
      <c r="F7605" s="42"/>
    </row>
    <row r="7606" spans="1:6" x14ac:dyDescent="0.3">
      <c r="A7606" s="15" t="s">
        <v>33499</v>
      </c>
      <c r="B7606" s="15" t="s">
        <v>795</v>
      </c>
      <c r="C7606" s="15" t="s">
        <v>795</v>
      </c>
      <c r="D7606" s="15" t="s">
        <v>795</v>
      </c>
      <c r="F7606" s="42"/>
    </row>
    <row r="7607" spans="1:6" x14ac:dyDescent="0.3">
      <c r="A7607" s="15" t="s">
        <v>41346</v>
      </c>
      <c r="B7607" s="15" t="s">
        <v>14092</v>
      </c>
      <c r="C7607" s="15" t="s">
        <v>800</v>
      </c>
      <c r="D7607" s="15" t="s">
        <v>14093</v>
      </c>
      <c r="E7607" s="15">
        <v>12.321999999999999</v>
      </c>
      <c r="F7607" s="42">
        <v>46198</v>
      </c>
    </row>
    <row r="7608" spans="1:6" x14ac:dyDescent="0.3">
      <c r="A7608" s="15" t="s">
        <v>41345</v>
      </c>
      <c r="B7608" s="15" t="s">
        <v>14094</v>
      </c>
      <c r="C7608" s="15" t="s">
        <v>14095</v>
      </c>
      <c r="D7608" s="15" t="s">
        <v>14096</v>
      </c>
      <c r="E7608" s="15">
        <v>12.321999999999999</v>
      </c>
      <c r="F7608" s="42">
        <v>46198</v>
      </c>
    </row>
    <row r="7609" spans="1:6" x14ac:dyDescent="0.3">
      <c r="A7609" s="15" t="s">
        <v>41344</v>
      </c>
      <c r="B7609" s="15" t="s">
        <v>14097</v>
      </c>
      <c r="C7609" s="15" t="s">
        <v>800</v>
      </c>
      <c r="D7609" s="15" t="s">
        <v>14098</v>
      </c>
      <c r="E7609" s="15">
        <v>12.052</v>
      </c>
      <c r="F7609" s="42">
        <v>46198</v>
      </c>
    </row>
    <row r="7610" spans="1:6" x14ac:dyDescent="0.3">
      <c r="A7610" s="15" t="s">
        <v>41343</v>
      </c>
      <c r="B7610" s="15" t="s">
        <v>14099</v>
      </c>
      <c r="C7610" s="15" t="s">
        <v>14100</v>
      </c>
      <c r="D7610" s="15" t="s">
        <v>14101</v>
      </c>
      <c r="E7610" s="15">
        <v>12.054</v>
      </c>
      <c r="F7610" s="42">
        <v>46198</v>
      </c>
    </row>
    <row r="7611" spans="1:6" x14ac:dyDescent="0.3">
      <c r="A7611" s="15" t="s">
        <v>33499</v>
      </c>
      <c r="B7611" s="15" t="s">
        <v>795</v>
      </c>
      <c r="C7611" s="15" t="s">
        <v>795</v>
      </c>
      <c r="D7611" s="15" t="s">
        <v>795</v>
      </c>
      <c r="F7611" s="42"/>
    </row>
    <row r="7612" spans="1:6" x14ac:dyDescent="0.3">
      <c r="A7612" s="15" t="s">
        <v>37742</v>
      </c>
      <c r="B7612" s="15" t="s">
        <v>795</v>
      </c>
      <c r="C7612" s="15" t="s">
        <v>795</v>
      </c>
      <c r="D7612" s="15" t="s">
        <v>795</v>
      </c>
      <c r="F7612" s="42"/>
    </row>
    <row r="7613" spans="1:6" x14ac:dyDescent="0.3">
      <c r="A7613" s="15" t="s">
        <v>33499</v>
      </c>
      <c r="B7613" s="15" t="s">
        <v>795</v>
      </c>
      <c r="C7613" s="15" t="s">
        <v>795</v>
      </c>
      <c r="D7613" s="15" t="s">
        <v>795</v>
      </c>
      <c r="F7613" s="42"/>
    </row>
    <row r="7614" spans="1:6" x14ac:dyDescent="0.3">
      <c r="A7614" s="15" t="s">
        <v>41342</v>
      </c>
      <c r="B7614" s="15" t="s">
        <v>14102</v>
      </c>
      <c r="C7614" s="15" t="s">
        <v>800</v>
      </c>
      <c r="D7614" s="15" t="s">
        <v>14103</v>
      </c>
      <c r="E7614" s="15">
        <v>16.523499999999999</v>
      </c>
      <c r="F7614" s="42">
        <v>46198</v>
      </c>
    </row>
    <row r="7615" spans="1:6" x14ac:dyDescent="0.3">
      <c r="A7615" s="15" t="s">
        <v>41341</v>
      </c>
      <c r="B7615" s="15" t="s">
        <v>14104</v>
      </c>
      <c r="C7615" s="15" t="s">
        <v>14105</v>
      </c>
      <c r="D7615" s="15" t="s">
        <v>14106</v>
      </c>
      <c r="E7615" s="15">
        <v>16.523499999999999</v>
      </c>
      <c r="F7615" s="42">
        <v>46198</v>
      </c>
    </row>
    <row r="7616" spans="1:6" x14ac:dyDescent="0.3">
      <c r="A7616" s="15" t="s">
        <v>41340</v>
      </c>
      <c r="B7616" s="15" t="s">
        <v>14107</v>
      </c>
      <c r="C7616" s="15" t="s">
        <v>800</v>
      </c>
      <c r="D7616" s="15" t="s">
        <v>14108</v>
      </c>
      <c r="E7616" s="15">
        <v>15.9825</v>
      </c>
      <c r="F7616" s="42">
        <v>46198</v>
      </c>
    </row>
    <row r="7617" spans="1:6" x14ac:dyDescent="0.3">
      <c r="A7617" s="15" t="s">
        <v>41339</v>
      </c>
      <c r="B7617" s="15" t="s">
        <v>14109</v>
      </c>
      <c r="C7617" s="15" t="s">
        <v>14110</v>
      </c>
      <c r="D7617" s="15" t="s">
        <v>14111</v>
      </c>
      <c r="E7617" s="15">
        <v>15.982900000000001</v>
      </c>
      <c r="F7617" s="42">
        <v>46198</v>
      </c>
    </row>
    <row r="7618" spans="1:6" x14ac:dyDescent="0.3">
      <c r="A7618" s="15" t="s">
        <v>33499</v>
      </c>
      <c r="B7618" s="15" t="s">
        <v>795</v>
      </c>
      <c r="C7618" s="15" t="s">
        <v>795</v>
      </c>
      <c r="D7618" s="15" t="s">
        <v>795</v>
      </c>
      <c r="F7618" s="42"/>
    </row>
    <row r="7619" spans="1:6" x14ac:dyDescent="0.3">
      <c r="A7619" s="15" t="s">
        <v>208</v>
      </c>
      <c r="B7619" s="15" t="s">
        <v>795</v>
      </c>
      <c r="C7619" s="15" t="s">
        <v>795</v>
      </c>
      <c r="D7619" s="15" t="s">
        <v>795</v>
      </c>
      <c r="F7619" s="42"/>
    </row>
    <row r="7620" spans="1:6" x14ac:dyDescent="0.3">
      <c r="A7620" s="15" t="s">
        <v>33499</v>
      </c>
      <c r="B7620" s="15" t="s">
        <v>795</v>
      </c>
      <c r="C7620" s="15" t="s">
        <v>795</v>
      </c>
      <c r="D7620" s="15" t="s">
        <v>795</v>
      </c>
      <c r="F7620" s="42"/>
    </row>
    <row r="7621" spans="1:6" x14ac:dyDescent="0.3">
      <c r="A7621" s="15" t="s">
        <v>41338</v>
      </c>
      <c r="B7621" s="15" t="s">
        <v>14112</v>
      </c>
      <c r="C7621" s="15" t="s">
        <v>14113</v>
      </c>
      <c r="D7621" s="15" t="s">
        <v>14114</v>
      </c>
      <c r="E7621" s="15">
        <v>107.866</v>
      </c>
      <c r="F7621" s="42">
        <v>46198</v>
      </c>
    </row>
    <row r="7622" spans="1:6" x14ac:dyDescent="0.3">
      <c r="A7622" s="15" t="s">
        <v>41337</v>
      </c>
      <c r="B7622" s="15" t="s">
        <v>14115</v>
      </c>
      <c r="C7622" s="15" t="s">
        <v>800</v>
      </c>
      <c r="D7622" s="15" t="s">
        <v>14116</v>
      </c>
      <c r="E7622" s="15">
        <v>202.82249999999999</v>
      </c>
      <c r="F7622" s="42">
        <v>46198</v>
      </c>
    </row>
    <row r="7623" spans="1:6" x14ac:dyDescent="0.3">
      <c r="A7623" s="15" t="s">
        <v>41336</v>
      </c>
      <c r="B7623" s="15" t="s">
        <v>14117</v>
      </c>
      <c r="C7623" s="15" t="s">
        <v>800</v>
      </c>
      <c r="D7623" s="15" t="s">
        <v>14118</v>
      </c>
      <c r="E7623" s="15">
        <v>202.82249999999999</v>
      </c>
      <c r="F7623" s="42">
        <v>46198</v>
      </c>
    </row>
    <row r="7624" spans="1:6" x14ac:dyDescent="0.3">
      <c r="A7624" s="15" t="s">
        <v>41335</v>
      </c>
      <c r="B7624" s="15" t="s">
        <v>14119</v>
      </c>
      <c r="C7624" s="15" t="s">
        <v>800</v>
      </c>
      <c r="D7624" s="15" t="s">
        <v>14120</v>
      </c>
      <c r="E7624" s="15">
        <v>179.7509</v>
      </c>
      <c r="F7624" s="42">
        <v>46198</v>
      </c>
    </row>
    <row r="7625" spans="1:6" x14ac:dyDescent="0.3">
      <c r="A7625" s="15" t="s">
        <v>41334</v>
      </c>
      <c r="B7625" s="15" t="s">
        <v>14121</v>
      </c>
      <c r="C7625" s="15" t="s">
        <v>800</v>
      </c>
      <c r="D7625" s="15" t="s">
        <v>14122</v>
      </c>
      <c r="E7625" s="15">
        <v>179.7509</v>
      </c>
      <c r="F7625" s="42">
        <v>46198</v>
      </c>
    </row>
    <row r="7626" spans="1:6" x14ac:dyDescent="0.3">
      <c r="A7626" s="15" t="s">
        <v>41333</v>
      </c>
      <c r="B7626" s="15" t="s">
        <v>14123</v>
      </c>
      <c r="C7626" s="15" t="s">
        <v>14124</v>
      </c>
      <c r="D7626" s="15" t="s">
        <v>14125</v>
      </c>
      <c r="E7626" s="15">
        <v>92.398300000000006</v>
      </c>
      <c r="F7626" s="42">
        <v>46198</v>
      </c>
    </row>
    <row r="7627" spans="1:6" x14ac:dyDescent="0.3">
      <c r="A7627" s="15" t="s">
        <v>33499</v>
      </c>
      <c r="B7627" s="15" t="s">
        <v>795</v>
      </c>
      <c r="C7627" s="15" t="s">
        <v>795</v>
      </c>
      <c r="D7627" s="15" t="s">
        <v>795</v>
      </c>
      <c r="F7627" s="42"/>
    </row>
    <row r="7628" spans="1:6" x14ac:dyDescent="0.3">
      <c r="A7628" s="15" t="s">
        <v>37523</v>
      </c>
      <c r="B7628" s="15" t="s">
        <v>795</v>
      </c>
      <c r="C7628" s="15" t="s">
        <v>795</v>
      </c>
      <c r="D7628" s="15" t="s">
        <v>795</v>
      </c>
      <c r="F7628" s="42"/>
    </row>
    <row r="7629" spans="1:6" x14ac:dyDescent="0.3">
      <c r="A7629" s="15" t="s">
        <v>33499</v>
      </c>
      <c r="B7629" s="15" t="s">
        <v>795</v>
      </c>
      <c r="C7629" s="15" t="s">
        <v>795</v>
      </c>
      <c r="D7629" s="15" t="s">
        <v>795</v>
      </c>
      <c r="F7629" s="42"/>
    </row>
    <row r="7630" spans="1:6" x14ac:dyDescent="0.3">
      <c r="A7630" s="15" t="s">
        <v>41332</v>
      </c>
      <c r="B7630" s="15" t="s">
        <v>14126</v>
      </c>
      <c r="C7630" s="15" t="s">
        <v>14127</v>
      </c>
      <c r="D7630" s="15" t="s">
        <v>14128</v>
      </c>
      <c r="E7630" s="15">
        <v>14.71</v>
      </c>
      <c r="F7630" s="42">
        <v>46198</v>
      </c>
    </row>
    <row r="7631" spans="1:6" x14ac:dyDescent="0.3">
      <c r="A7631" s="15" t="s">
        <v>41331</v>
      </c>
      <c r="B7631" s="15" t="s">
        <v>14129</v>
      </c>
      <c r="C7631" s="15" t="s">
        <v>800</v>
      </c>
      <c r="D7631" s="15" t="s">
        <v>14130</v>
      </c>
      <c r="E7631" s="15">
        <v>18.690000000000001</v>
      </c>
      <c r="F7631" s="42">
        <v>46198</v>
      </c>
    </row>
    <row r="7632" spans="1:6" x14ac:dyDescent="0.3">
      <c r="A7632" s="15" t="s">
        <v>41330</v>
      </c>
      <c r="B7632" s="15" t="s">
        <v>14131</v>
      </c>
      <c r="C7632" s="15" t="s">
        <v>800</v>
      </c>
      <c r="D7632" s="15" t="s">
        <v>14132</v>
      </c>
      <c r="E7632" s="15">
        <v>17.23</v>
      </c>
      <c r="F7632" s="42">
        <v>46198</v>
      </c>
    </row>
    <row r="7633" spans="1:6" x14ac:dyDescent="0.3">
      <c r="A7633" s="15" t="s">
        <v>41329</v>
      </c>
      <c r="B7633" s="15" t="s">
        <v>14133</v>
      </c>
      <c r="C7633" s="15" t="s">
        <v>14134</v>
      </c>
      <c r="D7633" s="15" t="s">
        <v>14135</v>
      </c>
      <c r="E7633" s="15">
        <v>14.02</v>
      </c>
      <c r="F7633" s="42">
        <v>46198</v>
      </c>
    </row>
    <row r="7634" spans="1:6" x14ac:dyDescent="0.3">
      <c r="A7634" s="15" t="s">
        <v>33499</v>
      </c>
      <c r="B7634" s="15" t="s">
        <v>795</v>
      </c>
      <c r="C7634" s="15" t="s">
        <v>795</v>
      </c>
      <c r="D7634" s="15" t="s">
        <v>795</v>
      </c>
      <c r="F7634" s="42"/>
    </row>
    <row r="7635" spans="1:6" x14ac:dyDescent="0.3">
      <c r="A7635" s="15" t="s">
        <v>40216</v>
      </c>
      <c r="B7635" s="15" t="s">
        <v>795</v>
      </c>
      <c r="C7635" s="15" t="s">
        <v>795</v>
      </c>
      <c r="D7635" s="15" t="s">
        <v>795</v>
      </c>
      <c r="F7635" s="42"/>
    </row>
    <row r="7636" spans="1:6" x14ac:dyDescent="0.3">
      <c r="A7636" s="15" t="s">
        <v>33499</v>
      </c>
      <c r="B7636" s="15" t="s">
        <v>795</v>
      </c>
      <c r="C7636" s="15" t="s">
        <v>795</v>
      </c>
      <c r="D7636" s="15" t="s">
        <v>795</v>
      </c>
      <c r="F7636" s="42"/>
    </row>
    <row r="7637" spans="1:6" x14ac:dyDescent="0.3">
      <c r="A7637" s="15" t="s">
        <v>41328</v>
      </c>
      <c r="B7637" s="15" t="s">
        <v>14136</v>
      </c>
      <c r="C7637" s="15" t="s">
        <v>800</v>
      </c>
      <c r="D7637" s="15" t="s">
        <v>14137</v>
      </c>
      <c r="E7637" s="15">
        <v>280.39530000000002</v>
      </c>
      <c r="F7637" s="42">
        <v>46198</v>
      </c>
    </row>
    <row r="7638" spans="1:6" x14ac:dyDescent="0.3">
      <c r="A7638" s="15" t="s">
        <v>41327</v>
      </c>
      <c r="B7638" s="15" t="s">
        <v>14138</v>
      </c>
      <c r="C7638" s="15" t="s">
        <v>800</v>
      </c>
      <c r="D7638" s="15" t="s">
        <v>14139</v>
      </c>
      <c r="E7638" s="15">
        <v>307.09269999999998</v>
      </c>
      <c r="F7638" s="42">
        <v>46198</v>
      </c>
    </row>
    <row r="7639" spans="1:6" x14ac:dyDescent="0.3">
      <c r="A7639" s="15" t="s">
        <v>41326</v>
      </c>
      <c r="B7639" s="15" t="s">
        <v>14140</v>
      </c>
      <c r="C7639" s="15" t="s">
        <v>14141</v>
      </c>
      <c r="D7639" s="15" t="s">
        <v>14142</v>
      </c>
      <c r="E7639" s="15">
        <v>240.05160000000001</v>
      </c>
      <c r="F7639" s="42">
        <v>46198</v>
      </c>
    </row>
    <row r="7640" spans="1:6" x14ac:dyDescent="0.3">
      <c r="A7640" s="15" t="s">
        <v>41325</v>
      </c>
      <c r="B7640" s="15" t="s">
        <v>14143</v>
      </c>
      <c r="C7640" s="15" t="s">
        <v>14144</v>
      </c>
      <c r="D7640" s="15" t="s">
        <v>14145</v>
      </c>
      <c r="E7640" s="15">
        <v>222.9854</v>
      </c>
      <c r="F7640" s="42">
        <v>46198</v>
      </c>
    </row>
    <row r="7641" spans="1:6" x14ac:dyDescent="0.3">
      <c r="A7641" s="15" t="s">
        <v>33499</v>
      </c>
      <c r="B7641" s="15" t="s">
        <v>795</v>
      </c>
      <c r="C7641" s="15" t="s">
        <v>795</v>
      </c>
      <c r="D7641" s="15" t="s">
        <v>795</v>
      </c>
      <c r="F7641" s="42"/>
    </row>
    <row r="7642" spans="1:6" x14ac:dyDescent="0.3">
      <c r="A7642" s="15" t="s">
        <v>37684</v>
      </c>
      <c r="B7642" s="15" t="s">
        <v>795</v>
      </c>
      <c r="C7642" s="15" t="s">
        <v>795</v>
      </c>
      <c r="D7642" s="15" t="s">
        <v>795</v>
      </c>
      <c r="F7642" s="42"/>
    </row>
    <row r="7643" spans="1:6" x14ac:dyDescent="0.3">
      <c r="A7643" s="15" t="s">
        <v>33499</v>
      </c>
      <c r="B7643" s="15" t="s">
        <v>795</v>
      </c>
      <c r="C7643" s="15" t="s">
        <v>795</v>
      </c>
      <c r="D7643" s="15" t="s">
        <v>795</v>
      </c>
      <c r="F7643" s="42"/>
    </row>
    <row r="7644" spans="1:6" x14ac:dyDescent="0.3">
      <c r="A7644" s="15" t="s">
        <v>41324</v>
      </c>
      <c r="B7644" s="15" t="s">
        <v>14146</v>
      </c>
      <c r="C7644" s="15" t="s">
        <v>800</v>
      </c>
      <c r="D7644" s="15" t="s">
        <v>14147</v>
      </c>
      <c r="E7644" s="15">
        <v>13.8</v>
      </c>
      <c r="F7644" s="42">
        <v>46198</v>
      </c>
    </row>
    <row r="7645" spans="1:6" x14ac:dyDescent="0.3">
      <c r="A7645" s="15" t="s">
        <v>41323</v>
      </c>
      <c r="B7645" s="15" t="s">
        <v>14148</v>
      </c>
      <c r="C7645" s="15" t="s">
        <v>800</v>
      </c>
      <c r="D7645" s="15" t="s">
        <v>14149</v>
      </c>
      <c r="E7645" s="15">
        <v>13.27</v>
      </c>
      <c r="F7645" s="42">
        <v>46198</v>
      </c>
    </row>
    <row r="7646" spans="1:6" x14ac:dyDescent="0.3">
      <c r="A7646" s="15" t="s">
        <v>33499</v>
      </c>
      <c r="B7646" s="15" t="s">
        <v>795</v>
      </c>
      <c r="C7646" s="15" t="s">
        <v>795</v>
      </c>
      <c r="D7646" s="15" t="s">
        <v>795</v>
      </c>
      <c r="F7646" s="42"/>
    </row>
    <row r="7647" spans="1:6" x14ac:dyDescent="0.3">
      <c r="A7647" s="15" t="s">
        <v>40209</v>
      </c>
      <c r="B7647" s="15" t="s">
        <v>795</v>
      </c>
      <c r="C7647" s="15" t="s">
        <v>795</v>
      </c>
      <c r="D7647" s="15" t="s">
        <v>795</v>
      </c>
      <c r="F7647" s="42"/>
    </row>
    <row r="7648" spans="1:6" x14ac:dyDescent="0.3">
      <c r="A7648" s="15" t="s">
        <v>33499</v>
      </c>
      <c r="B7648" s="15" t="s">
        <v>795</v>
      </c>
      <c r="C7648" s="15" t="s">
        <v>795</v>
      </c>
      <c r="D7648" s="15" t="s">
        <v>795</v>
      </c>
      <c r="F7648" s="42"/>
    </row>
    <row r="7649" spans="1:6" x14ac:dyDescent="0.3">
      <c r="A7649" s="15" t="s">
        <v>41322</v>
      </c>
      <c r="B7649" s="15" t="s">
        <v>14150</v>
      </c>
      <c r="C7649" s="15" t="s">
        <v>800</v>
      </c>
      <c r="D7649" s="15" t="s">
        <v>14151</v>
      </c>
      <c r="E7649" s="15">
        <v>10.64</v>
      </c>
      <c r="F7649" s="42">
        <v>46198</v>
      </c>
    </row>
    <row r="7650" spans="1:6" x14ac:dyDescent="0.3">
      <c r="A7650" s="15" t="s">
        <v>41321</v>
      </c>
      <c r="B7650" s="15" t="s">
        <v>14152</v>
      </c>
      <c r="C7650" s="15" t="s">
        <v>800</v>
      </c>
      <c r="D7650" s="15" t="s">
        <v>14153</v>
      </c>
      <c r="E7650" s="15">
        <v>10.55</v>
      </c>
      <c r="F7650" s="42">
        <v>46198</v>
      </c>
    </row>
    <row r="7651" spans="1:6" x14ac:dyDescent="0.3">
      <c r="A7651" s="15" t="s">
        <v>33499</v>
      </c>
      <c r="B7651" s="15" t="s">
        <v>795</v>
      </c>
      <c r="C7651" s="15" t="s">
        <v>795</v>
      </c>
      <c r="D7651" s="15" t="s">
        <v>795</v>
      </c>
      <c r="F7651" s="42"/>
    </row>
    <row r="7652" spans="1:6" x14ac:dyDescent="0.3">
      <c r="A7652" s="15" t="s">
        <v>33636</v>
      </c>
      <c r="B7652" s="15" t="s">
        <v>795</v>
      </c>
      <c r="C7652" s="15" t="s">
        <v>795</v>
      </c>
      <c r="D7652" s="15" t="s">
        <v>795</v>
      </c>
      <c r="F7652" s="42"/>
    </row>
    <row r="7653" spans="1:6" x14ac:dyDescent="0.3">
      <c r="A7653" s="15" t="s">
        <v>33499</v>
      </c>
      <c r="B7653" s="15" t="s">
        <v>795</v>
      </c>
      <c r="C7653" s="15" t="s">
        <v>795</v>
      </c>
      <c r="D7653" s="15" t="s">
        <v>795</v>
      </c>
      <c r="F7653" s="42"/>
    </row>
    <row r="7654" spans="1:6" x14ac:dyDescent="0.3">
      <c r="A7654" s="15" t="s">
        <v>41320</v>
      </c>
      <c r="B7654" s="15" t="s">
        <v>14154</v>
      </c>
      <c r="C7654" s="15" t="s">
        <v>800</v>
      </c>
      <c r="D7654" s="15" t="s">
        <v>14155</v>
      </c>
      <c r="E7654" s="15">
        <v>203.91569999999999</v>
      </c>
      <c r="F7654" s="42">
        <v>46198</v>
      </c>
    </row>
    <row r="7655" spans="1:6" x14ac:dyDescent="0.3">
      <c r="A7655" s="15" t="s">
        <v>41319</v>
      </c>
      <c r="B7655" s="15" t="s">
        <v>14156</v>
      </c>
      <c r="C7655" s="15" t="s">
        <v>14157</v>
      </c>
      <c r="D7655" s="15" t="s">
        <v>14158</v>
      </c>
      <c r="E7655" s="15">
        <v>139.18109999999999</v>
      </c>
      <c r="F7655" s="42">
        <v>46198</v>
      </c>
    </row>
    <row r="7656" spans="1:6" x14ac:dyDescent="0.3">
      <c r="A7656" s="15" t="s">
        <v>41318</v>
      </c>
      <c r="B7656" s="15" t="s">
        <v>14159</v>
      </c>
      <c r="C7656" s="15" t="s">
        <v>800</v>
      </c>
      <c r="D7656" s="15" t="s">
        <v>14160</v>
      </c>
      <c r="E7656" s="15">
        <v>176.8409</v>
      </c>
      <c r="F7656" s="42">
        <v>46198</v>
      </c>
    </row>
    <row r="7657" spans="1:6" x14ac:dyDescent="0.3">
      <c r="A7657" s="15" t="s">
        <v>41317</v>
      </c>
      <c r="B7657" s="15" t="s">
        <v>14161</v>
      </c>
      <c r="C7657" s="15" t="s">
        <v>14162</v>
      </c>
      <c r="D7657" s="15" t="s">
        <v>14163</v>
      </c>
      <c r="E7657" s="15">
        <v>104.4748</v>
      </c>
      <c r="F7657" s="42">
        <v>46198</v>
      </c>
    </row>
    <row r="7658" spans="1:6" x14ac:dyDescent="0.3">
      <c r="A7658" s="15" t="s">
        <v>33499</v>
      </c>
      <c r="B7658" s="15" t="s">
        <v>795</v>
      </c>
      <c r="C7658" s="15" t="s">
        <v>795</v>
      </c>
      <c r="D7658" s="15" t="s">
        <v>795</v>
      </c>
      <c r="F7658" s="42"/>
    </row>
    <row r="7659" spans="1:6" x14ac:dyDescent="0.3">
      <c r="A7659" s="15" t="s">
        <v>37414</v>
      </c>
      <c r="B7659" s="15" t="s">
        <v>795</v>
      </c>
      <c r="C7659" s="15" t="s">
        <v>795</v>
      </c>
      <c r="D7659" s="15" t="s">
        <v>795</v>
      </c>
      <c r="F7659" s="42"/>
    </row>
    <row r="7660" spans="1:6" x14ac:dyDescent="0.3">
      <c r="A7660" s="15" t="s">
        <v>33499</v>
      </c>
      <c r="B7660" s="15" t="s">
        <v>795</v>
      </c>
      <c r="C7660" s="15" t="s">
        <v>795</v>
      </c>
      <c r="D7660" s="15" t="s">
        <v>795</v>
      </c>
      <c r="F7660" s="42"/>
    </row>
    <row r="7661" spans="1:6" x14ac:dyDescent="0.3">
      <c r="A7661" s="15" t="s">
        <v>41316</v>
      </c>
      <c r="B7661" s="15" t="s">
        <v>14164</v>
      </c>
      <c r="C7661" s="15" t="s">
        <v>800</v>
      </c>
      <c r="D7661" s="15" t="s">
        <v>14165</v>
      </c>
      <c r="E7661" s="15">
        <v>318.6893</v>
      </c>
      <c r="F7661" s="42">
        <v>46198</v>
      </c>
    </row>
    <row r="7662" spans="1:6" x14ac:dyDescent="0.3">
      <c r="A7662" s="15" t="s">
        <v>41315</v>
      </c>
      <c r="B7662" s="15" t="s">
        <v>14166</v>
      </c>
      <c r="C7662" s="15" t="s">
        <v>14167</v>
      </c>
      <c r="D7662" s="15" t="s">
        <v>14168</v>
      </c>
      <c r="E7662" s="15">
        <v>41.879300000000001</v>
      </c>
      <c r="F7662" s="42">
        <v>46198</v>
      </c>
    </row>
    <row r="7663" spans="1:6" x14ac:dyDescent="0.3">
      <c r="A7663" s="15" t="s">
        <v>41314</v>
      </c>
      <c r="B7663" s="15" t="s">
        <v>14169</v>
      </c>
      <c r="C7663" s="15" t="s">
        <v>800</v>
      </c>
      <c r="D7663" s="15" t="s">
        <v>14170</v>
      </c>
      <c r="E7663" s="15">
        <v>284.97129999999999</v>
      </c>
      <c r="F7663" s="42">
        <v>46198</v>
      </c>
    </row>
    <row r="7664" spans="1:6" x14ac:dyDescent="0.3">
      <c r="A7664" s="15" t="s">
        <v>41313</v>
      </c>
      <c r="B7664" s="15" t="s">
        <v>14171</v>
      </c>
      <c r="C7664" s="15" t="s">
        <v>14172</v>
      </c>
      <c r="D7664" s="15" t="s">
        <v>14173</v>
      </c>
      <c r="E7664" s="15">
        <v>36.430500000000002</v>
      </c>
      <c r="F7664" s="42">
        <v>46198</v>
      </c>
    </row>
    <row r="7665" spans="1:6" x14ac:dyDescent="0.3">
      <c r="A7665" s="15" t="s">
        <v>33499</v>
      </c>
      <c r="B7665" s="15" t="s">
        <v>795</v>
      </c>
      <c r="C7665" s="15" t="s">
        <v>795</v>
      </c>
      <c r="D7665" s="15" t="s">
        <v>795</v>
      </c>
      <c r="F7665" s="42"/>
    </row>
    <row r="7666" spans="1:6" x14ac:dyDescent="0.3">
      <c r="A7666" s="15" t="s">
        <v>33519</v>
      </c>
      <c r="B7666" s="15" t="s">
        <v>795</v>
      </c>
      <c r="C7666" s="15" t="s">
        <v>795</v>
      </c>
      <c r="D7666" s="15" t="s">
        <v>795</v>
      </c>
      <c r="F7666" s="42"/>
    </row>
    <row r="7667" spans="1:6" x14ac:dyDescent="0.3">
      <c r="A7667" s="15" t="s">
        <v>33499</v>
      </c>
      <c r="B7667" s="15" t="s">
        <v>795</v>
      </c>
      <c r="C7667" s="15" t="s">
        <v>795</v>
      </c>
      <c r="D7667" s="15" t="s">
        <v>795</v>
      </c>
      <c r="F7667" s="42"/>
    </row>
    <row r="7668" spans="1:6" x14ac:dyDescent="0.3">
      <c r="A7668" s="15" t="s">
        <v>41312</v>
      </c>
      <c r="B7668" s="15" t="s">
        <v>800</v>
      </c>
      <c r="C7668" s="15" t="s">
        <v>14174</v>
      </c>
      <c r="D7668" s="15" t="s">
        <v>14175</v>
      </c>
      <c r="E7668" s="15">
        <v>41.304099999999998</v>
      </c>
      <c r="F7668" s="42">
        <v>46198</v>
      </c>
    </row>
    <row r="7669" spans="1:6" x14ac:dyDescent="0.3">
      <c r="A7669" s="15" t="s">
        <v>41311</v>
      </c>
      <c r="B7669" s="15" t="s">
        <v>800</v>
      </c>
      <c r="C7669" s="15" t="s">
        <v>14176</v>
      </c>
      <c r="D7669" s="15" t="s">
        <v>14177</v>
      </c>
      <c r="E7669" s="15">
        <v>36.164400000000001</v>
      </c>
      <c r="F7669" s="42">
        <v>46198</v>
      </c>
    </row>
    <row r="7670" spans="1:6" x14ac:dyDescent="0.3">
      <c r="A7670" s="15" t="s">
        <v>41310</v>
      </c>
      <c r="B7670" s="15" t="s">
        <v>14178</v>
      </c>
      <c r="C7670" s="15" t="s">
        <v>800</v>
      </c>
      <c r="D7670" s="15" t="s">
        <v>14179</v>
      </c>
      <c r="E7670" s="15">
        <v>42.752099999999999</v>
      </c>
      <c r="F7670" s="42">
        <v>46198</v>
      </c>
    </row>
    <row r="7671" spans="1:6" x14ac:dyDescent="0.3">
      <c r="A7671" s="15" t="s">
        <v>41309</v>
      </c>
      <c r="B7671" s="15" t="s">
        <v>14180</v>
      </c>
      <c r="C7671" s="15" t="s">
        <v>800</v>
      </c>
      <c r="D7671" s="15" t="s">
        <v>14181</v>
      </c>
      <c r="E7671" s="15">
        <v>37.61</v>
      </c>
      <c r="F7671" s="42">
        <v>46198</v>
      </c>
    </row>
    <row r="7672" spans="1:6" x14ac:dyDescent="0.3">
      <c r="A7672" s="15" t="s">
        <v>41308</v>
      </c>
      <c r="B7672" s="15" t="s">
        <v>14182</v>
      </c>
      <c r="C7672" s="15" t="s">
        <v>800</v>
      </c>
      <c r="D7672" s="15" t="s">
        <v>14183</v>
      </c>
      <c r="E7672" s="15">
        <v>41.304099999999998</v>
      </c>
      <c r="F7672" s="42">
        <v>46198</v>
      </c>
    </row>
    <row r="7673" spans="1:6" x14ac:dyDescent="0.3">
      <c r="A7673" s="15" t="s">
        <v>41307</v>
      </c>
      <c r="B7673" s="15" t="s">
        <v>14184</v>
      </c>
      <c r="C7673" s="15" t="s">
        <v>800</v>
      </c>
      <c r="D7673" s="15" t="s">
        <v>14185</v>
      </c>
      <c r="E7673" s="15">
        <v>36.164400000000001</v>
      </c>
      <c r="F7673" s="42">
        <v>46198</v>
      </c>
    </row>
    <row r="7674" spans="1:6" x14ac:dyDescent="0.3">
      <c r="A7674" s="15" t="s">
        <v>33499</v>
      </c>
      <c r="B7674" s="15" t="s">
        <v>795</v>
      </c>
      <c r="C7674" s="15" t="s">
        <v>795</v>
      </c>
      <c r="D7674" s="15" t="s">
        <v>795</v>
      </c>
      <c r="F7674" s="42"/>
    </row>
    <row r="7675" spans="1:6" x14ac:dyDescent="0.3">
      <c r="A7675" s="15" t="s">
        <v>39242</v>
      </c>
      <c r="B7675" s="15" t="s">
        <v>795</v>
      </c>
      <c r="C7675" s="15" t="s">
        <v>795</v>
      </c>
      <c r="D7675" s="15" t="s">
        <v>795</v>
      </c>
      <c r="F7675" s="42"/>
    </row>
    <row r="7676" spans="1:6" x14ac:dyDescent="0.3">
      <c r="A7676" s="15" t="s">
        <v>33499</v>
      </c>
      <c r="B7676" s="15" t="s">
        <v>795</v>
      </c>
      <c r="C7676" s="15" t="s">
        <v>795</v>
      </c>
      <c r="D7676" s="15" t="s">
        <v>795</v>
      </c>
      <c r="F7676" s="42"/>
    </row>
    <row r="7677" spans="1:6" x14ac:dyDescent="0.3">
      <c r="A7677" s="15" t="s">
        <v>41306</v>
      </c>
      <c r="B7677" s="15" t="s">
        <v>14186</v>
      </c>
      <c r="C7677" s="15" t="s">
        <v>800</v>
      </c>
      <c r="D7677" s="15" t="s">
        <v>14187</v>
      </c>
      <c r="E7677" s="15">
        <v>11.277799999999999</v>
      </c>
      <c r="F7677" s="42">
        <v>46198</v>
      </c>
    </row>
    <row r="7678" spans="1:6" x14ac:dyDescent="0.3">
      <c r="A7678" s="15" t="s">
        <v>41305</v>
      </c>
      <c r="B7678" s="15" t="s">
        <v>14188</v>
      </c>
      <c r="C7678" s="15" t="s">
        <v>14189</v>
      </c>
      <c r="D7678" s="15" t="s">
        <v>14190</v>
      </c>
      <c r="E7678" s="15">
        <v>11.2775</v>
      </c>
      <c r="F7678" s="42">
        <v>46198</v>
      </c>
    </row>
    <row r="7679" spans="1:6" x14ac:dyDescent="0.3">
      <c r="A7679" s="15" t="s">
        <v>41304</v>
      </c>
      <c r="B7679" s="15" t="s">
        <v>14191</v>
      </c>
      <c r="C7679" s="15" t="s">
        <v>800</v>
      </c>
      <c r="D7679" s="15" t="s">
        <v>14192</v>
      </c>
      <c r="E7679" s="15">
        <v>11.2233</v>
      </c>
      <c r="F7679" s="42">
        <v>46198</v>
      </c>
    </row>
    <row r="7680" spans="1:6" x14ac:dyDescent="0.3">
      <c r="A7680" s="15" t="s">
        <v>41303</v>
      </c>
      <c r="B7680" s="15" t="s">
        <v>14193</v>
      </c>
      <c r="C7680" s="15" t="s">
        <v>14194</v>
      </c>
      <c r="D7680" s="15" t="s">
        <v>14195</v>
      </c>
      <c r="E7680" s="15">
        <v>11.2227</v>
      </c>
      <c r="F7680" s="42">
        <v>46198</v>
      </c>
    </row>
    <row r="7681" spans="1:6" x14ac:dyDescent="0.3">
      <c r="A7681" s="15" t="s">
        <v>33499</v>
      </c>
      <c r="B7681" s="15" t="s">
        <v>795</v>
      </c>
      <c r="C7681" s="15" t="s">
        <v>795</v>
      </c>
      <c r="D7681" s="15" t="s">
        <v>795</v>
      </c>
      <c r="F7681" s="42"/>
    </row>
    <row r="7682" spans="1:6" x14ac:dyDescent="0.3">
      <c r="A7682" s="15" t="s">
        <v>33508</v>
      </c>
      <c r="B7682" s="15" t="s">
        <v>795</v>
      </c>
      <c r="C7682" s="15" t="s">
        <v>795</v>
      </c>
      <c r="D7682" s="15" t="s">
        <v>795</v>
      </c>
      <c r="F7682" s="42"/>
    </row>
    <row r="7683" spans="1:6" x14ac:dyDescent="0.3">
      <c r="A7683" s="15" t="s">
        <v>33499</v>
      </c>
      <c r="B7683" s="15" t="s">
        <v>795</v>
      </c>
      <c r="C7683" s="15" t="s">
        <v>795</v>
      </c>
      <c r="D7683" s="15" t="s">
        <v>795</v>
      </c>
      <c r="F7683" s="42"/>
    </row>
    <row r="7684" spans="1:6" x14ac:dyDescent="0.3">
      <c r="A7684" s="15" t="s">
        <v>41302</v>
      </c>
      <c r="B7684" s="15" t="s">
        <v>14196</v>
      </c>
      <c r="C7684" s="15" t="s">
        <v>800</v>
      </c>
      <c r="D7684" s="15" t="s">
        <v>14197</v>
      </c>
      <c r="E7684" s="15">
        <v>12.89</v>
      </c>
      <c r="F7684" s="42">
        <v>46198</v>
      </c>
    </row>
    <row r="7685" spans="1:6" x14ac:dyDescent="0.3">
      <c r="A7685" s="15" t="s">
        <v>41301</v>
      </c>
      <c r="B7685" s="15" t="s">
        <v>14198</v>
      </c>
      <c r="C7685" s="15" t="s">
        <v>14199</v>
      </c>
      <c r="D7685" s="15" t="s">
        <v>14200</v>
      </c>
      <c r="E7685" s="15">
        <v>12.89</v>
      </c>
      <c r="F7685" s="42">
        <v>46198</v>
      </c>
    </row>
    <row r="7686" spans="1:6" x14ac:dyDescent="0.3">
      <c r="A7686" s="15" t="s">
        <v>41300</v>
      </c>
      <c r="B7686" s="15" t="s">
        <v>14201</v>
      </c>
      <c r="C7686" s="15" t="s">
        <v>14202</v>
      </c>
      <c r="D7686" s="15" t="s">
        <v>14203</v>
      </c>
      <c r="E7686" s="15">
        <v>12.54</v>
      </c>
      <c r="F7686" s="42">
        <v>46198</v>
      </c>
    </row>
    <row r="7687" spans="1:6" x14ac:dyDescent="0.3">
      <c r="A7687" s="15" t="s">
        <v>41299</v>
      </c>
      <c r="B7687" s="15" t="s">
        <v>14204</v>
      </c>
      <c r="C7687" s="15" t="s">
        <v>800</v>
      </c>
      <c r="D7687" s="15" t="s">
        <v>14205</v>
      </c>
      <c r="E7687" s="15">
        <v>12.54</v>
      </c>
      <c r="F7687" s="42">
        <v>46198</v>
      </c>
    </row>
    <row r="7688" spans="1:6" x14ac:dyDescent="0.3">
      <c r="A7688" s="15" t="s">
        <v>33499</v>
      </c>
      <c r="B7688" s="15" t="s">
        <v>795</v>
      </c>
      <c r="C7688" s="15" t="s">
        <v>795</v>
      </c>
      <c r="D7688" s="15" t="s">
        <v>795</v>
      </c>
      <c r="F7688" s="42"/>
    </row>
    <row r="7689" spans="1:6" x14ac:dyDescent="0.3">
      <c r="A7689" s="15" t="s">
        <v>33504</v>
      </c>
      <c r="B7689" s="15" t="s">
        <v>795</v>
      </c>
      <c r="C7689" s="15" t="s">
        <v>795</v>
      </c>
      <c r="D7689" s="15" t="s">
        <v>795</v>
      </c>
      <c r="F7689" s="42"/>
    </row>
    <row r="7690" spans="1:6" x14ac:dyDescent="0.3">
      <c r="A7690" s="15" t="s">
        <v>33499</v>
      </c>
      <c r="B7690" s="15" t="s">
        <v>795</v>
      </c>
      <c r="C7690" s="15" t="s">
        <v>795</v>
      </c>
      <c r="D7690" s="15" t="s">
        <v>795</v>
      </c>
      <c r="F7690" s="42"/>
    </row>
    <row r="7691" spans="1:6" x14ac:dyDescent="0.3">
      <c r="A7691" s="15" t="s">
        <v>41298</v>
      </c>
      <c r="B7691" s="15" t="s">
        <v>14206</v>
      </c>
      <c r="C7691" s="15" t="s">
        <v>800</v>
      </c>
      <c r="D7691" s="15" t="s">
        <v>14207</v>
      </c>
      <c r="E7691" s="15">
        <v>62.65</v>
      </c>
      <c r="F7691" s="42">
        <v>46198</v>
      </c>
    </row>
    <row r="7692" spans="1:6" x14ac:dyDescent="0.3">
      <c r="A7692" s="15" t="s">
        <v>41297</v>
      </c>
      <c r="B7692" s="15" t="s">
        <v>14208</v>
      </c>
      <c r="C7692" s="15" t="s">
        <v>14209</v>
      </c>
      <c r="D7692" s="15" t="s">
        <v>14210</v>
      </c>
      <c r="E7692" s="15">
        <v>41.23</v>
      </c>
      <c r="F7692" s="42">
        <v>46198</v>
      </c>
    </row>
    <row r="7693" spans="1:6" x14ac:dyDescent="0.3">
      <c r="A7693" s="15" t="s">
        <v>41296</v>
      </c>
      <c r="B7693" s="15" t="s">
        <v>14211</v>
      </c>
      <c r="C7693" s="15" t="s">
        <v>800</v>
      </c>
      <c r="D7693" s="15" t="s">
        <v>14212</v>
      </c>
      <c r="E7693" s="15">
        <v>56.15</v>
      </c>
      <c r="F7693" s="42">
        <v>46198</v>
      </c>
    </row>
    <row r="7694" spans="1:6" x14ac:dyDescent="0.3">
      <c r="A7694" s="15" t="s">
        <v>41295</v>
      </c>
      <c r="B7694" s="15" t="s">
        <v>14213</v>
      </c>
      <c r="C7694" s="15" t="s">
        <v>14214</v>
      </c>
      <c r="D7694" s="15" t="s">
        <v>14215</v>
      </c>
      <c r="E7694" s="15">
        <v>43.09</v>
      </c>
      <c r="F7694" s="42">
        <v>46198</v>
      </c>
    </row>
    <row r="7695" spans="1:6" x14ac:dyDescent="0.3">
      <c r="A7695" s="15" t="s">
        <v>33499</v>
      </c>
      <c r="B7695" s="15" t="s">
        <v>795</v>
      </c>
      <c r="C7695" s="15" t="s">
        <v>795</v>
      </c>
      <c r="D7695" s="15" t="s">
        <v>795</v>
      </c>
      <c r="F7695" s="42"/>
    </row>
    <row r="7696" spans="1:6" x14ac:dyDescent="0.3">
      <c r="A7696" s="15" t="s">
        <v>33500</v>
      </c>
      <c r="B7696" s="15" t="s">
        <v>795</v>
      </c>
      <c r="C7696" s="15" t="s">
        <v>795</v>
      </c>
      <c r="D7696" s="15" t="s">
        <v>795</v>
      </c>
      <c r="F7696" s="42"/>
    </row>
    <row r="7697" spans="1:6" x14ac:dyDescent="0.3">
      <c r="A7697" s="15" t="s">
        <v>33499</v>
      </c>
      <c r="B7697" s="15" t="s">
        <v>795</v>
      </c>
      <c r="C7697" s="15" t="s">
        <v>795</v>
      </c>
      <c r="D7697" s="15" t="s">
        <v>795</v>
      </c>
      <c r="F7697" s="42"/>
    </row>
    <row r="7698" spans="1:6" x14ac:dyDescent="0.3">
      <c r="A7698" s="15" t="s">
        <v>41294</v>
      </c>
      <c r="B7698" s="15" t="s">
        <v>14216</v>
      </c>
      <c r="C7698" s="15" t="s">
        <v>800</v>
      </c>
      <c r="D7698" s="15" t="s">
        <v>14217</v>
      </c>
      <c r="E7698" s="15">
        <v>29.344799999999999</v>
      </c>
      <c r="F7698" s="42">
        <v>46198</v>
      </c>
    </row>
    <row r="7699" spans="1:6" x14ac:dyDescent="0.3">
      <c r="A7699" s="15" t="s">
        <v>41293</v>
      </c>
      <c r="B7699" s="15" t="s">
        <v>14218</v>
      </c>
      <c r="C7699" s="15" t="s">
        <v>800</v>
      </c>
      <c r="D7699" s="15" t="s">
        <v>14219</v>
      </c>
      <c r="E7699" s="15">
        <v>29.344799999999999</v>
      </c>
      <c r="F7699" s="42">
        <v>46198</v>
      </c>
    </row>
    <row r="7700" spans="1:6" x14ac:dyDescent="0.3">
      <c r="A7700" s="15" t="s">
        <v>41292</v>
      </c>
      <c r="B7700" s="15" t="s">
        <v>14220</v>
      </c>
      <c r="C7700" s="15" t="s">
        <v>800</v>
      </c>
      <c r="D7700" s="15" t="s">
        <v>14221</v>
      </c>
      <c r="E7700" s="15">
        <v>26.986599999999999</v>
      </c>
      <c r="F7700" s="42">
        <v>46198</v>
      </c>
    </row>
    <row r="7701" spans="1:6" x14ac:dyDescent="0.3">
      <c r="A7701" s="15" t="s">
        <v>41291</v>
      </c>
      <c r="B7701" s="15" t="s">
        <v>14222</v>
      </c>
      <c r="C7701" s="15" t="s">
        <v>800</v>
      </c>
      <c r="D7701" s="15" t="s">
        <v>14223</v>
      </c>
      <c r="E7701" s="15">
        <v>26.9864</v>
      </c>
      <c r="F7701" s="42">
        <v>46198</v>
      </c>
    </row>
    <row r="7702" spans="1:6" x14ac:dyDescent="0.3">
      <c r="A7702" s="15" t="s">
        <v>33499</v>
      </c>
      <c r="B7702" s="15" t="s">
        <v>795</v>
      </c>
      <c r="C7702" s="15" t="s">
        <v>795</v>
      </c>
      <c r="D7702" s="15" t="s">
        <v>795</v>
      </c>
      <c r="F7702" s="42"/>
    </row>
    <row r="7703" spans="1:6" x14ac:dyDescent="0.3">
      <c r="A7703" s="15" t="s">
        <v>41290</v>
      </c>
      <c r="B7703" s="15" t="s">
        <v>795</v>
      </c>
      <c r="C7703" s="15" t="s">
        <v>795</v>
      </c>
      <c r="D7703" s="15" t="s">
        <v>795</v>
      </c>
      <c r="F7703" s="42"/>
    </row>
    <row r="7704" spans="1:6" x14ac:dyDescent="0.3">
      <c r="A7704" s="15" t="s">
        <v>33499</v>
      </c>
      <c r="B7704" s="15" t="s">
        <v>795</v>
      </c>
      <c r="C7704" s="15" t="s">
        <v>795</v>
      </c>
      <c r="D7704" s="15" t="s">
        <v>795</v>
      </c>
      <c r="F7704" s="42"/>
    </row>
    <row r="7705" spans="1:6" x14ac:dyDescent="0.3">
      <c r="A7705" s="15" t="s">
        <v>37122</v>
      </c>
      <c r="B7705" s="15" t="s">
        <v>795</v>
      </c>
      <c r="C7705" s="15" t="s">
        <v>795</v>
      </c>
      <c r="D7705" s="15" t="s">
        <v>795</v>
      </c>
      <c r="F7705" s="42"/>
    </row>
    <row r="7706" spans="1:6" x14ac:dyDescent="0.3">
      <c r="A7706" s="15" t="s">
        <v>33499</v>
      </c>
      <c r="B7706" s="15" t="s">
        <v>795</v>
      </c>
      <c r="C7706" s="15" t="s">
        <v>795</v>
      </c>
      <c r="D7706" s="15" t="s">
        <v>795</v>
      </c>
      <c r="F7706" s="42"/>
    </row>
    <row r="7707" spans="1:6" x14ac:dyDescent="0.3">
      <c r="A7707" s="15" t="s">
        <v>41289</v>
      </c>
      <c r="B7707" s="15" t="s">
        <v>14224</v>
      </c>
      <c r="C7707" s="15" t="s">
        <v>14225</v>
      </c>
      <c r="D7707" s="15" t="s">
        <v>14226</v>
      </c>
      <c r="E7707" s="15">
        <v>80.541899999999998</v>
      </c>
      <c r="F7707" s="42">
        <v>46198</v>
      </c>
    </row>
    <row r="7708" spans="1:6" x14ac:dyDescent="0.3">
      <c r="A7708" s="15" t="s">
        <v>41288</v>
      </c>
      <c r="B7708" s="15" t="s">
        <v>14227</v>
      </c>
      <c r="C7708" s="15" t="s">
        <v>800</v>
      </c>
      <c r="D7708" s="15" t="s">
        <v>14228</v>
      </c>
      <c r="E7708" s="15">
        <v>150.91919999999999</v>
      </c>
      <c r="F7708" s="42">
        <v>46198</v>
      </c>
    </row>
    <row r="7709" spans="1:6" x14ac:dyDescent="0.3">
      <c r="A7709" s="15" t="s">
        <v>41287</v>
      </c>
      <c r="B7709" s="15" t="s">
        <v>14229</v>
      </c>
      <c r="C7709" s="15" t="s">
        <v>800</v>
      </c>
      <c r="D7709" s="15" t="s">
        <v>14230</v>
      </c>
      <c r="E7709" s="15">
        <v>133.0035</v>
      </c>
      <c r="F7709" s="42">
        <v>46198</v>
      </c>
    </row>
    <row r="7710" spans="1:6" x14ac:dyDescent="0.3">
      <c r="A7710" s="15" t="s">
        <v>41286</v>
      </c>
      <c r="B7710" s="15" t="s">
        <v>14231</v>
      </c>
      <c r="C7710" s="15" t="s">
        <v>14232</v>
      </c>
      <c r="D7710" s="15" t="s">
        <v>14233</v>
      </c>
      <c r="E7710" s="15">
        <v>43.785600000000002</v>
      </c>
      <c r="F7710" s="42">
        <v>46198</v>
      </c>
    </row>
    <row r="7711" spans="1:6" x14ac:dyDescent="0.3">
      <c r="A7711" s="15" t="s">
        <v>33499</v>
      </c>
      <c r="B7711" s="15" t="s">
        <v>795</v>
      </c>
      <c r="C7711" s="15" t="s">
        <v>795</v>
      </c>
      <c r="D7711" s="15" t="s">
        <v>795</v>
      </c>
      <c r="F7711" s="42"/>
    </row>
    <row r="7712" spans="1:6" x14ac:dyDescent="0.3">
      <c r="A7712" s="15" t="s">
        <v>37087</v>
      </c>
      <c r="B7712" s="15" t="s">
        <v>795</v>
      </c>
      <c r="C7712" s="15" t="s">
        <v>795</v>
      </c>
      <c r="D7712" s="15" t="s">
        <v>795</v>
      </c>
      <c r="F7712" s="42"/>
    </row>
    <row r="7713" spans="1:6" x14ac:dyDescent="0.3">
      <c r="A7713" s="15" t="s">
        <v>33499</v>
      </c>
      <c r="B7713" s="15" t="s">
        <v>795</v>
      </c>
      <c r="C7713" s="15" t="s">
        <v>795</v>
      </c>
      <c r="D7713" s="15" t="s">
        <v>795</v>
      </c>
      <c r="F7713" s="42"/>
    </row>
    <row r="7714" spans="1:6" x14ac:dyDescent="0.3">
      <c r="A7714" s="15" t="s">
        <v>41285</v>
      </c>
      <c r="B7714" s="15" t="s">
        <v>14234</v>
      </c>
      <c r="C7714" s="15" t="s">
        <v>800</v>
      </c>
      <c r="D7714" s="15" t="s">
        <v>14235</v>
      </c>
      <c r="E7714" s="15">
        <v>20.58</v>
      </c>
      <c r="F7714" s="42">
        <v>46198</v>
      </c>
    </row>
    <row r="7715" spans="1:6" x14ac:dyDescent="0.3">
      <c r="A7715" s="15" t="s">
        <v>41284</v>
      </c>
      <c r="B7715" s="15" t="s">
        <v>14236</v>
      </c>
      <c r="C7715" s="15" t="s">
        <v>14237</v>
      </c>
      <c r="D7715" s="15" t="s">
        <v>14238</v>
      </c>
      <c r="E7715" s="15">
        <v>17.3</v>
      </c>
      <c r="F7715" s="42">
        <v>46198</v>
      </c>
    </row>
    <row r="7716" spans="1:6" x14ac:dyDescent="0.3">
      <c r="A7716" s="15" t="s">
        <v>41283</v>
      </c>
      <c r="B7716" s="15" t="s">
        <v>14239</v>
      </c>
      <c r="C7716" s="15" t="s">
        <v>800</v>
      </c>
      <c r="D7716" s="15" t="s">
        <v>14240</v>
      </c>
      <c r="E7716" s="15">
        <v>19.25</v>
      </c>
      <c r="F7716" s="42">
        <v>46198</v>
      </c>
    </row>
    <row r="7717" spans="1:6" x14ac:dyDescent="0.3">
      <c r="A7717" s="15" t="s">
        <v>41282</v>
      </c>
      <c r="B7717" s="15" t="s">
        <v>14241</v>
      </c>
      <c r="C7717" s="15" t="s">
        <v>14242</v>
      </c>
      <c r="D7717" s="15" t="s">
        <v>14243</v>
      </c>
      <c r="E7717" s="15">
        <v>16.190000000000001</v>
      </c>
      <c r="F7717" s="42">
        <v>46198</v>
      </c>
    </row>
    <row r="7718" spans="1:6" x14ac:dyDescent="0.3">
      <c r="A7718" s="15" t="s">
        <v>33499</v>
      </c>
      <c r="B7718" s="15" t="s">
        <v>795</v>
      </c>
      <c r="C7718" s="15" t="s">
        <v>795</v>
      </c>
      <c r="D7718" s="15" t="s">
        <v>795</v>
      </c>
      <c r="F7718" s="42"/>
    </row>
    <row r="7719" spans="1:6" x14ac:dyDescent="0.3">
      <c r="A7719" s="15" t="s">
        <v>37073</v>
      </c>
      <c r="B7719" s="15" t="s">
        <v>795</v>
      </c>
      <c r="C7719" s="15" t="s">
        <v>795</v>
      </c>
      <c r="D7719" s="15" t="s">
        <v>795</v>
      </c>
      <c r="F7719" s="42"/>
    </row>
    <row r="7720" spans="1:6" x14ac:dyDescent="0.3">
      <c r="A7720" s="15" t="s">
        <v>33499</v>
      </c>
      <c r="B7720" s="15" t="s">
        <v>795</v>
      </c>
      <c r="C7720" s="15" t="s">
        <v>795</v>
      </c>
      <c r="D7720" s="15" t="s">
        <v>795</v>
      </c>
      <c r="F7720" s="42"/>
    </row>
    <row r="7721" spans="1:6" x14ac:dyDescent="0.3">
      <c r="A7721" s="15" t="s">
        <v>41281</v>
      </c>
      <c r="B7721" s="15" t="s">
        <v>14244</v>
      </c>
      <c r="C7721" s="15" t="s">
        <v>800</v>
      </c>
      <c r="D7721" s="15" t="s">
        <v>14245</v>
      </c>
      <c r="E7721" s="15">
        <v>168.56700000000001</v>
      </c>
      <c r="F7721" s="42">
        <v>46198</v>
      </c>
    </row>
    <row r="7722" spans="1:6" x14ac:dyDescent="0.3">
      <c r="A7722" s="15" t="s">
        <v>41280</v>
      </c>
      <c r="B7722" s="15" t="s">
        <v>14246</v>
      </c>
      <c r="C7722" s="15" t="s">
        <v>14247</v>
      </c>
      <c r="D7722" s="15" t="s">
        <v>14248</v>
      </c>
      <c r="E7722" s="15">
        <v>48.686</v>
      </c>
      <c r="F7722" s="42">
        <v>46198</v>
      </c>
    </row>
    <row r="7723" spans="1:6" x14ac:dyDescent="0.3">
      <c r="A7723" s="15" t="s">
        <v>41279</v>
      </c>
      <c r="B7723" s="15" t="s">
        <v>14249</v>
      </c>
      <c r="C7723" s="15" t="s">
        <v>800</v>
      </c>
      <c r="D7723" s="15" t="s">
        <v>14250</v>
      </c>
      <c r="E7723" s="15">
        <v>147.19300000000001</v>
      </c>
      <c r="F7723" s="42">
        <v>46198</v>
      </c>
    </row>
    <row r="7724" spans="1:6" x14ac:dyDescent="0.3">
      <c r="A7724" s="15" t="s">
        <v>41278</v>
      </c>
      <c r="B7724" s="15" t="s">
        <v>14251</v>
      </c>
      <c r="C7724" s="15" t="s">
        <v>14252</v>
      </c>
      <c r="D7724" s="15" t="s">
        <v>14253</v>
      </c>
      <c r="E7724" s="15">
        <v>36.790999999999997</v>
      </c>
      <c r="F7724" s="42">
        <v>46198</v>
      </c>
    </row>
    <row r="7725" spans="1:6" x14ac:dyDescent="0.3">
      <c r="A7725" s="15" t="s">
        <v>33499</v>
      </c>
      <c r="B7725" s="15" t="s">
        <v>795</v>
      </c>
      <c r="C7725" s="15" t="s">
        <v>795</v>
      </c>
      <c r="D7725" s="15" t="s">
        <v>795</v>
      </c>
      <c r="F7725" s="42"/>
    </row>
    <row r="7726" spans="1:6" x14ac:dyDescent="0.3">
      <c r="A7726" s="15" t="s">
        <v>37566</v>
      </c>
      <c r="B7726" s="15" t="s">
        <v>795</v>
      </c>
      <c r="C7726" s="15" t="s">
        <v>795</v>
      </c>
      <c r="D7726" s="15" t="s">
        <v>795</v>
      </c>
      <c r="F7726" s="42"/>
    </row>
    <row r="7727" spans="1:6" x14ac:dyDescent="0.3">
      <c r="A7727" s="15" t="s">
        <v>33499</v>
      </c>
      <c r="B7727" s="15" t="s">
        <v>795</v>
      </c>
      <c r="C7727" s="15" t="s">
        <v>795</v>
      </c>
      <c r="D7727" s="15" t="s">
        <v>795</v>
      </c>
      <c r="F7727" s="42"/>
    </row>
    <row r="7728" spans="1:6" x14ac:dyDescent="0.3">
      <c r="A7728" s="15" t="s">
        <v>41277</v>
      </c>
      <c r="B7728" s="15" t="s">
        <v>14254</v>
      </c>
      <c r="C7728" s="15" t="s">
        <v>800</v>
      </c>
      <c r="D7728" s="15" t="s">
        <v>14255</v>
      </c>
      <c r="E7728" s="15">
        <v>14.236599999999999</v>
      </c>
      <c r="F7728" s="42">
        <v>46198</v>
      </c>
    </row>
    <row r="7729" spans="1:6" x14ac:dyDescent="0.3">
      <c r="A7729" s="15" t="s">
        <v>41276</v>
      </c>
      <c r="B7729" s="15" t="s">
        <v>14256</v>
      </c>
      <c r="C7729" s="15" t="s">
        <v>14257</v>
      </c>
      <c r="D7729" s="15" t="s">
        <v>14258</v>
      </c>
      <c r="E7729" s="15">
        <v>12.981299999999999</v>
      </c>
      <c r="F7729" s="42">
        <v>46198</v>
      </c>
    </row>
    <row r="7730" spans="1:6" x14ac:dyDescent="0.3">
      <c r="A7730" s="15" t="s">
        <v>41275</v>
      </c>
      <c r="B7730" s="15" t="s">
        <v>14259</v>
      </c>
      <c r="C7730" s="15" t="s">
        <v>800</v>
      </c>
      <c r="D7730" s="15" t="s">
        <v>14260</v>
      </c>
      <c r="E7730" s="15">
        <v>13.686400000000001</v>
      </c>
      <c r="F7730" s="42">
        <v>46198</v>
      </c>
    </row>
    <row r="7731" spans="1:6" x14ac:dyDescent="0.3">
      <c r="A7731" s="15" t="s">
        <v>41274</v>
      </c>
      <c r="B7731" s="15" t="s">
        <v>14261</v>
      </c>
      <c r="C7731" s="15" t="s">
        <v>14262</v>
      </c>
      <c r="D7731" s="15" t="s">
        <v>14263</v>
      </c>
      <c r="E7731" s="15">
        <v>12.4787</v>
      </c>
      <c r="F7731" s="42">
        <v>46198</v>
      </c>
    </row>
    <row r="7732" spans="1:6" x14ac:dyDescent="0.3">
      <c r="A7732" s="15" t="s">
        <v>33499</v>
      </c>
      <c r="B7732" s="15" t="s">
        <v>795</v>
      </c>
      <c r="C7732" s="15" t="s">
        <v>795</v>
      </c>
      <c r="D7732" s="15" t="s">
        <v>795</v>
      </c>
      <c r="F7732" s="42"/>
    </row>
    <row r="7733" spans="1:6" x14ac:dyDescent="0.3">
      <c r="A7733" s="15" t="s">
        <v>40284</v>
      </c>
      <c r="B7733" s="15" t="s">
        <v>795</v>
      </c>
      <c r="C7733" s="15" t="s">
        <v>795</v>
      </c>
      <c r="D7733" s="15" t="s">
        <v>795</v>
      </c>
      <c r="F7733" s="42"/>
    </row>
    <row r="7734" spans="1:6" x14ac:dyDescent="0.3">
      <c r="A7734" s="15" t="s">
        <v>33499</v>
      </c>
      <c r="B7734" s="15" t="s">
        <v>795</v>
      </c>
      <c r="C7734" s="15" t="s">
        <v>795</v>
      </c>
      <c r="D7734" s="15" t="s">
        <v>795</v>
      </c>
      <c r="F7734" s="42"/>
    </row>
    <row r="7735" spans="1:6" x14ac:dyDescent="0.3">
      <c r="A7735" s="15" t="s">
        <v>41273</v>
      </c>
      <c r="B7735" s="15" t="s">
        <v>14264</v>
      </c>
      <c r="C7735" s="15" t="s">
        <v>800</v>
      </c>
      <c r="D7735" s="15" t="s">
        <v>14265</v>
      </c>
      <c r="E7735" s="15">
        <v>19.25</v>
      </c>
      <c r="F7735" s="42">
        <v>46198</v>
      </c>
    </row>
    <row r="7736" spans="1:6" x14ac:dyDescent="0.3">
      <c r="A7736" s="15" t="s">
        <v>41272</v>
      </c>
      <c r="B7736" s="15" t="s">
        <v>14266</v>
      </c>
      <c r="C7736" s="15" t="s">
        <v>14267</v>
      </c>
      <c r="D7736" s="15" t="s">
        <v>14268</v>
      </c>
      <c r="E7736" s="15">
        <v>18.100000000000001</v>
      </c>
      <c r="F7736" s="42">
        <v>46198</v>
      </c>
    </row>
    <row r="7737" spans="1:6" x14ac:dyDescent="0.3">
      <c r="A7737" s="15" t="s">
        <v>41271</v>
      </c>
      <c r="B7737" s="15" t="s">
        <v>14269</v>
      </c>
      <c r="C7737" s="15" t="s">
        <v>800</v>
      </c>
      <c r="D7737" s="15" t="s">
        <v>14270</v>
      </c>
      <c r="E7737" s="15">
        <v>17.86</v>
      </c>
      <c r="F7737" s="42">
        <v>46198</v>
      </c>
    </row>
    <row r="7738" spans="1:6" x14ac:dyDescent="0.3">
      <c r="A7738" s="15" t="s">
        <v>41270</v>
      </c>
      <c r="B7738" s="15" t="s">
        <v>14271</v>
      </c>
      <c r="C7738" s="15" t="s">
        <v>14272</v>
      </c>
      <c r="D7738" s="15" t="s">
        <v>14273</v>
      </c>
      <c r="E7738" s="15">
        <v>16.79</v>
      </c>
      <c r="F7738" s="42">
        <v>46198</v>
      </c>
    </row>
    <row r="7739" spans="1:6" x14ac:dyDescent="0.3">
      <c r="A7739" s="15" t="s">
        <v>33499</v>
      </c>
      <c r="B7739" s="15" t="s">
        <v>795</v>
      </c>
      <c r="C7739" s="15" t="s">
        <v>795</v>
      </c>
      <c r="D7739" s="15" t="s">
        <v>795</v>
      </c>
      <c r="F7739" s="42"/>
    </row>
    <row r="7740" spans="1:6" x14ac:dyDescent="0.3">
      <c r="A7740" s="15" t="s">
        <v>37061</v>
      </c>
      <c r="B7740" s="15" t="s">
        <v>795</v>
      </c>
      <c r="C7740" s="15" t="s">
        <v>795</v>
      </c>
      <c r="D7740" s="15" t="s">
        <v>795</v>
      </c>
      <c r="F7740" s="42"/>
    </row>
    <row r="7741" spans="1:6" x14ac:dyDescent="0.3">
      <c r="A7741" s="15" t="s">
        <v>33499</v>
      </c>
      <c r="B7741" s="15" t="s">
        <v>795</v>
      </c>
      <c r="C7741" s="15" t="s">
        <v>795</v>
      </c>
      <c r="D7741" s="15" t="s">
        <v>795</v>
      </c>
      <c r="F7741" s="42"/>
    </row>
    <row r="7742" spans="1:6" x14ac:dyDescent="0.3">
      <c r="A7742" s="15" t="s">
        <v>41269</v>
      </c>
      <c r="B7742" s="15" t="s">
        <v>14274</v>
      </c>
      <c r="C7742" s="15" t="s">
        <v>800</v>
      </c>
      <c r="D7742" s="15" t="s">
        <v>14275</v>
      </c>
      <c r="E7742" s="15">
        <v>24.532</v>
      </c>
      <c r="F7742" s="42">
        <v>46198</v>
      </c>
    </row>
    <row r="7743" spans="1:6" x14ac:dyDescent="0.3">
      <c r="A7743" s="15" t="s">
        <v>41268</v>
      </c>
      <c r="B7743" s="15" t="s">
        <v>14276</v>
      </c>
      <c r="C7743" s="15" t="s">
        <v>14277</v>
      </c>
      <c r="D7743" s="15" t="s">
        <v>14278</v>
      </c>
      <c r="E7743" s="15">
        <v>18.581</v>
      </c>
      <c r="F7743" s="42">
        <v>46198</v>
      </c>
    </row>
    <row r="7744" spans="1:6" x14ac:dyDescent="0.3">
      <c r="A7744" s="15" t="s">
        <v>41267</v>
      </c>
      <c r="B7744" s="15" t="s">
        <v>14279</v>
      </c>
      <c r="C7744" s="15" t="s">
        <v>800</v>
      </c>
      <c r="D7744" s="15" t="s">
        <v>14280</v>
      </c>
      <c r="E7744" s="15">
        <v>23.501000000000001</v>
      </c>
      <c r="F7744" s="42">
        <v>46198</v>
      </c>
    </row>
    <row r="7745" spans="1:6" x14ac:dyDescent="0.3">
      <c r="A7745" s="15" t="s">
        <v>41266</v>
      </c>
      <c r="B7745" s="15" t="s">
        <v>14281</v>
      </c>
      <c r="C7745" s="15" t="s">
        <v>14282</v>
      </c>
      <c r="D7745" s="15" t="s">
        <v>14283</v>
      </c>
      <c r="E7745" s="15">
        <v>16.425999999999998</v>
      </c>
      <c r="F7745" s="42">
        <v>46198</v>
      </c>
    </row>
    <row r="7746" spans="1:6" x14ac:dyDescent="0.3">
      <c r="A7746" s="15" t="s">
        <v>33499</v>
      </c>
      <c r="B7746" s="15" t="s">
        <v>795</v>
      </c>
      <c r="C7746" s="15" t="s">
        <v>795</v>
      </c>
      <c r="D7746" s="15" t="s">
        <v>795</v>
      </c>
      <c r="F7746" s="42"/>
    </row>
    <row r="7747" spans="1:6" x14ac:dyDescent="0.3">
      <c r="A7747" s="15" t="s">
        <v>37044</v>
      </c>
      <c r="B7747" s="15" t="s">
        <v>795</v>
      </c>
      <c r="C7747" s="15" t="s">
        <v>795</v>
      </c>
      <c r="D7747" s="15" t="s">
        <v>795</v>
      </c>
      <c r="F7747" s="42"/>
    </row>
    <row r="7748" spans="1:6" x14ac:dyDescent="0.3">
      <c r="A7748" s="15" t="s">
        <v>33499</v>
      </c>
      <c r="B7748" s="15" t="s">
        <v>795</v>
      </c>
      <c r="C7748" s="15" t="s">
        <v>795</v>
      </c>
      <c r="D7748" s="15" t="s">
        <v>795</v>
      </c>
      <c r="F7748" s="42"/>
    </row>
    <row r="7749" spans="1:6" x14ac:dyDescent="0.3">
      <c r="A7749" s="15" t="s">
        <v>41265</v>
      </c>
      <c r="B7749" s="15" t="s">
        <v>14284</v>
      </c>
      <c r="C7749" s="15" t="s">
        <v>800</v>
      </c>
      <c r="D7749" s="15" t="s">
        <v>14285</v>
      </c>
      <c r="E7749" s="15">
        <v>792.03420000000006</v>
      </c>
      <c r="F7749" s="42">
        <v>46198</v>
      </c>
    </row>
    <row r="7750" spans="1:6" x14ac:dyDescent="0.3">
      <c r="A7750" s="15" t="s">
        <v>41264</v>
      </c>
      <c r="B7750" s="15" t="s">
        <v>14286</v>
      </c>
      <c r="C7750" s="15" t="s">
        <v>14287</v>
      </c>
      <c r="D7750" s="15" t="s">
        <v>14288</v>
      </c>
      <c r="E7750" s="15">
        <v>107.4294</v>
      </c>
      <c r="F7750" s="42">
        <v>46198</v>
      </c>
    </row>
    <row r="7751" spans="1:6" x14ac:dyDescent="0.3">
      <c r="A7751" s="15" t="s">
        <v>41263</v>
      </c>
      <c r="B7751" s="15" t="s">
        <v>14289</v>
      </c>
      <c r="C7751" s="15" t="s">
        <v>800</v>
      </c>
      <c r="D7751" s="15" t="s">
        <v>14290</v>
      </c>
      <c r="E7751" s="15">
        <v>702.54190000000006</v>
      </c>
      <c r="F7751" s="42">
        <v>46198</v>
      </c>
    </row>
    <row r="7752" spans="1:6" x14ac:dyDescent="0.3">
      <c r="A7752" s="15" t="s">
        <v>41262</v>
      </c>
      <c r="B7752" s="15" t="s">
        <v>14291</v>
      </c>
      <c r="C7752" s="15" t="s">
        <v>14292</v>
      </c>
      <c r="D7752" s="15" t="s">
        <v>14293</v>
      </c>
      <c r="E7752" s="15">
        <v>92.505300000000005</v>
      </c>
      <c r="F7752" s="42">
        <v>46198</v>
      </c>
    </row>
    <row r="7753" spans="1:6" x14ac:dyDescent="0.3">
      <c r="A7753" s="15" t="s">
        <v>33499</v>
      </c>
      <c r="B7753" s="15" t="s">
        <v>795</v>
      </c>
      <c r="C7753" s="15" t="s">
        <v>795</v>
      </c>
      <c r="D7753" s="15" t="s">
        <v>795</v>
      </c>
      <c r="F7753" s="42"/>
    </row>
    <row r="7754" spans="1:6" x14ac:dyDescent="0.3">
      <c r="A7754" s="15" t="s">
        <v>37881</v>
      </c>
      <c r="B7754" s="15" t="s">
        <v>795</v>
      </c>
      <c r="C7754" s="15" t="s">
        <v>795</v>
      </c>
      <c r="D7754" s="15" t="s">
        <v>795</v>
      </c>
      <c r="F7754" s="42"/>
    </row>
    <row r="7755" spans="1:6" x14ac:dyDescent="0.3">
      <c r="A7755" s="15" t="s">
        <v>33499</v>
      </c>
      <c r="B7755" s="15" t="s">
        <v>795</v>
      </c>
      <c r="C7755" s="15" t="s">
        <v>795</v>
      </c>
      <c r="D7755" s="15" t="s">
        <v>795</v>
      </c>
      <c r="F7755" s="42"/>
    </row>
    <row r="7756" spans="1:6" x14ac:dyDescent="0.3">
      <c r="A7756" s="15" t="s">
        <v>41261</v>
      </c>
      <c r="B7756" s="15" t="s">
        <v>14294</v>
      </c>
      <c r="C7756" s="15" t="s">
        <v>800</v>
      </c>
      <c r="D7756" s="15" t="s">
        <v>14295</v>
      </c>
      <c r="E7756" s="15">
        <v>32.832000000000001</v>
      </c>
      <c r="F7756" s="42">
        <v>46198</v>
      </c>
    </row>
    <row r="7757" spans="1:6" x14ac:dyDescent="0.3">
      <c r="A7757" s="15" t="s">
        <v>41260</v>
      </c>
      <c r="B7757" s="15" t="s">
        <v>14296</v>
      </c>
      <c r="C7757" s="15" t="s">
        <v>800</v>
      </c>
      <c r="D7757" s="15" t="s">
        <v>14297</v>
      </c>
      <c r="E7757" s="15">
        <v>27.181100000000001</v>
      </c>
      <c r="F7757" s="42">
        <v>46198</v>
      </c>
    </row>
    <row r="7758" spans="1:6" x14ac:dyDescent="0.3">
      <c r="A7758" s="15" t="s">
        <v>41259</v>
      </c>
      <c r="B7758" s="15" t="s">
        <v>14298</v>
      </c>
      <c r="C7758" s="15" t="s">
        <v>14299</v>
      </c>
      <c r="D7758" s="15" t="s">
        <v>14300</v>
      </c>
      <c r="E7758" s="15">
        <v>32.709600000000002</v>
      </c>
      <c r="F7758" s="42">
        <v>46198</v>
      </c>
    </row>
    <row r="7759" spans="1:6" x14ac:dyDescent="0.3">
      <c r="A7759" s="15" t="s">
        <v>41258</v>
      </c>
      <c r="B7759" s="15" t="s">
        <v>14301</v>
      </c>
      <c r="C7759" s="15" t="s">
        <v>14302</v>
      </c>
      <c r="D7759" s="15" t="s">
        <v>14303</v>
      </c>
      <c r="E7759" s="15">
        <v>26.287400000000002</v>
      </c>
      <c r="F7759" s="42">
        <v>46198</v>
      </c>
    </row>
    <row r="7760" spans="1:6" x14ac:dyDescent="0.3">
      <c r="A7760" s="15" t="s">
        <v>41257</v>
      </c>
      <c r="B7760" s="15" t="s">
        <v>14304</v>
      </c>
      <c r="C7760" s="15" t="s">
        <v>14305</v>
      </c>
      <c r="D7760" s="15" t="s">
        <v>14306</v>
      </c>
      <c r="E7760" s="15">
        <v>24.078199999999999</v>
      </c>
      <c r="F7760" s="42">
        <v>46198</v>
      </c>
    </row>
    <row r="7761" spans="1:6" x14ac:dyDescent="0.3">
      <c r="A7761" s="15" t="s">
        <v>41256</v>
      </c>
      <c r="B7761" s="15" t="s">
        <v>14307</v>
      </c>
      <c r="C7761" s="15" t="s">
        <v>14308</v>
      </c>
      <c r="D7761" s="15" t="s">
        <v>14309</v>
      </c>
      <c r="E7761" s="15">
        <v>26.2666</v>
      </c>
      <c r="F7761" s="42">
        <v>46198</v>
      </c>
    </row>
    <row r="7762" spans="1:6" x14ac:dyDescent="0.3">
      <c r="A7762" s="15" t="s">
        <v>41255</v>
      </c>
      <c r="B7762" s="15" t="s">
        <v>14310</v>
      </c>
      <c r="C7762" s="15" t="s">
        <v>14311</v>
      </c>
      <c r="D7762" s="15" t="s">
        <v>14312</v>
      </c>
      <c r="E7762" s="15">
        <v>27.1721</v>
      </c>
      <c r="F7762" s="42">
        <v>46198</v>
      </c>
    </row>
    <row r="7763" spans="1:6" x14ac:dyDescent="0.3">
      <c r="A7763" s="15" t="s">
        <v>41254</v>
      </c>
      <c r="B7763" s="15" t="s">
        <v>14313</v>
      </c>
      <c r="C7763" s="15" t="s">
        <v>14314</v>
      </c>
      <c r="D7763" s="15" t="s">
        <v>14315</v>
      </c>
      <c r="E7763" s="15">
        <v>22.264600000000002</v>
      </c>
      <c r="F7763" s="42">
        <v>46198</v>
      </c>
    </row>
    <row r="7764" spans="1:6" x14ac:dyDescent="0.3">
      <c r="A7764" s="15" t="s">
        <v>41253</v>
      </c>
      <c r="B7764" s="15" t="s">
        <v>14316</v>
      </c>
      <c r="C7764" s="15" t="s">
        <v>14317</v>
      </c>
      <c r="D7764" s="15" t="s">
        <v>14318</v>
      </c>
      <c r="E7764" s="15">
        <v>21.093699999999998</v>
      </c>
      <c r="F7764" s="42">
        <v>46198</v>
      </c>
    </row>
    <row r="7765" spans="1:6" x14ac:dyDescent="0.3">
      <c r="A7765" s="15" t="s">
        <v>41252</v>
      </c>
      <c r="B7765" s="15" t="s">
        <v>14319</v>
      </c>
      <c r="C7765" s="15" t="s">
        <v>14320</v>
      </c>
      <c r="D7765" s="15" t="s">
        <v>14321</v>
      </c>
      <c r="E7765" s="15">
        <v>20.556699999999999</v>
      </c>
      <c r="F7765" s="42">
        <v>46198</v>
      </c>
    </row>
    <row r="7766" spans="1:6" x14ac:dyDescent="0.3">
      <c r="A7766" s="15" t="s">
        <v>33499</v>
      </c>
      <c r="B7766" s="15" t="s">
        <v>795</v>
      </c>
      <c r="C7766" s="15" t="s">
        <v>795</v>
      </c>
      <c r="D7766" s="15" t="s">
        <v>795</v>
      </c>
      <c r="F7766" s="42"/>
    </row>
    <row r="7767" spans="1:6" x14ac:dyDescent="0.3">
      <c r="A7767" s="15" t="s">
        <v>37043</v>
      </c>
      <c r="B7767" s="15" t="s">
        <v>795</v>
      </c>
      <c r="C7767" s="15" t="s">
        <v>795</v>
      </c>
      <c r="D7767" s="15" t="s">
        <v>795</v>
      </c>
      <c r="F7767" s="42"/>
    </row>
    <row r="7768" spans="1:6" x14ac:dyDescent="0.3">
      <c r="A7768" s="15" t="s">
        <v>33499</v>
      </c>
      <c r="B7768" s="15" t="s">
        <v>795</v>
      </c>
      <c r="C7768" s="15" t="s">
        <v>795</v>
      </c>
      <c r="D7768" s="15" t="s">
        <v>795</v>
      </c>
      <c r="F7768" s="42"/>
    </row>
    <row r="7769" spans="1:6" x14ac:dyDescent="0.3">
      <c r="A7769" s="15" t="s">
        <v>41251</v>
      </c>
      <c r="B7769" s="15" t="s">
        <v>14322</v>
      </c>
      <c r="C7769" s="15" t="s">
        <v>800</v>
      </c>
      <c r="D7769" s="15" t="s">
        <v>14323</v>
      </c>
      <c r="E7769" s="15">
        <v>865.27700000000004</v>
      </c>
      <c r="F7769" s="42">
        <v>46198</v>
      </c>
    </row>
    <row r="7770" spans="1:6" x14ac:dyDescent="0.3">
      <c r="A7770" s="15" t="s">
        <v>41250</v>
      </c>
      <c r="B7770" s="15" t="s">
        <v>14324</v>
      </c>
      <c r="C7770" s="15" t="s">
        <v>800</v>
      </c>
      <c r="D7770" s="15" t="s">
        <v>14325</v>
      </c>
      <c r="E7770" s="15">
        <v>768.73500000000001</v>
      </c>
      <c r="F7770" s="42">
        <v>46198</v>
      </c>
    </row>
    <row r="7771" spans="1:6" x14ac:dyDescent="0.3">
      <c r="A7771" s="15" t="s">
        <v>41249</v>
      </c>
      <c r="B7771" s="15" t="s">
        <v>14326</v>
      </c>
      <c r="C7771" s="15" t="s">
        <v>14327</v>
      </c>
      <c r="D7771" s="15" t="s">
        <v>14328</v>
      </c>
      <c r="E7771" s="15">
        <v>44.761000000000003</v>
      </c>
      <c r="F7771" s="42">
        <v>46198</v>
      </c>
    </row>
    <row r="7772" spans="1:6" x14ac:dyDescent="0.3">
      <c r="A7772" s="15" t="s">
        <v>41248</v>
      </c>
      <c r="B7772" s="15" t="s">
        <v>14329</v>
      </c>
      <c r="C7772" s="15" t="s">
        <v>14330</v>
      </c>
      <c r="D7772" s="15" t="s">
        <v>14331</v>
      </c>
      <c r="E7772" s="15">
        <v>35.796999999999997</v>
      </c>
      <c r="F7772" s="42">
        <v>46198</v>
      </c>
    </row>
    <row r="7773" spans="1:6" x14ac:dyDescent="0.3">
      <c r="A7773" s="15" t="s">
        <v>33499</v>
      </c>
      <c r="B7773" s="15" t="s">
        <v>795</v>
      </c>
      <c r="C7773" s="15" t="s">
        <v>795</v>
      </c>
      <c r="D7773" s="15" t="s">
        <v>795</v>
      </c>
      <c r="F7773" s="42"/>
    </row>
    <row r="7774" spans="1:6" x14ac:dyDescent="0.3">
      <c r="A7774" s="15" t="s">
        <v>36815</v>
      </c>
      <c r="B7774" s="15" t="s">
        <v>795</v>
      </c>
      <c r="C7774" s="15" t="s">
        <v>795</v>
      </c>
      <c r="D7774" s="15" t="s">
        <v>795</v>
      </c>
      <c r="F7774" s="42"/>
    </row>
    <row r="7775" spans="1:6" x14ac:dyDescent="0.3">
      <c r="A7775" s="15" t="s">
        <v>33499</v>
      </c>
      <c r="B7775" s="15" t="s">
        <v>795</v>
      </c>
      <c r="C7775" s="15" t="s">
        <v>795</v>
      </c>
      <c r="D7775" s="15" t="s">
        <v>795</v>
      </c>
      <c r="F7775" s="42"/>
    </row>
    <row r="7776" spans="1:6" x14ac:dyDescent="0.3">
      <c r="A7776" s="15" t="s">
        <v>41247</v>
      </c>
      <c r="B7776" s="15" t="s">
        <v>14332</v>
      </c>
      <c r="C7776" s="15" t="s">
        <v>800</v>
      </c>
      <c r="D7776" s="15" t="s">
        <v>14333</v>
      </c>
      <c r="E7776" s="15">
        <v>127.99809999999999</v>
      </c>
      <c r="F7776" s="42">
        <v>46198</v>
      </c>
    </row>
    <row r="7777" spans="1:6" x14ac:dyDescent="0.3">
      <c r="A7777" s="15" t="s">
        <v>41246</v>
      </c>
      <c r="B7777" s="15" t="s">
        <v>14334</v>
      </c>
      <c r="C7777" s="15" t="s">
        <v>14335</v>
      </c>
      <c r="D7777" s="15" t="s">
        <v>14336</v>
      </c>
      <c r="E7777" s="15">
        <v>63.342500000000001</v>
      </c>
      <c r="F7777" s="42">
        <v>46198</v>
      </c>
    </row>
    <row r="7778" spans="1:6" x14ac:dyDescent="0.3">
      <c r="A7778" s="15" t="s">
        <v>41245</v>
      </c>
      <c r="B7778" s="15" t="s">
        <v>14337</v>
      </c>
      <c r="C7778" s="15" t="s">
        <v>800</v>
      </c>
      <c r="D7778" s="15" t="s">
        <v>14338</v>
      </c>
      <c r="E7778" s="15">
        <v>113.6382</v>
      </c>
      <c r="F7778" s="42">
        <v>46198</v>
      </c>
    </row>
    <row r="7779" spans="1:6" x14ac:dyDescent="0.3">
      <c r="A7779" s="15" t="s">
        <v>41244</v>
      </c>
      <c r="B7779" s="15" t="s">
        <v>14339</v>
      </c>
      <c r="C7779" s="15" t="s">
        <v>14340</v>
      </c>
      <c r="D7779" s="15" t="s">
        <v>14341</v>
      </c>
      <c r="E7779" s="15">
        <v>49.247599999999998</v>
      </c>
      <c r="F7779" s="42">
        <v>46198</v>
      </c>
    </row>
    <row r="7780" spans="1:6" x14ac:dyDescent="0.3">
      <c r="A7780" s="15" t="s">
        <v>33499</v>
      </c>
      <c r="B7780" s="15" t="s">
        <v>795</v>
      </c>
      <c r="C7780" s="15" t="s">
        <v>795</v>
      </c>
      <c r="D7780" s="15" t="s">
        <v>795</v>
      </c>
      <c r="F7780" s="42"/>
    </row>
    <row r="7781" spans="1:6" x14ac:dyDescent="0.3">
      <c r="A7781" s="15" t="s">
        <v>36764</v>
      </c>
      <c r="B7781" s="15" t="s">
        <v>795</v>
      </c>
      <c r="C7781" s="15" t="s">
        <v>795</v>
      </c>
      <c r="D7781" s="15" t="s">
        <v>795</v>
      </c>
      <c r="F7781" s="42"/>
    </row>
    <row r="7782" spans="1:6" x14ac:dyDescent="0.3">
      <c r="A7782" s="15" t="s">
        <v>33499</v>
      </c>
      <c r="B7782" s="15" t="s">
        <v>795</v>
      </c>
      <c r="C7782" s="15" t="s">
        <v>795</v>
      </c>
      <c r="D7782" s="15" t="s">
        <v>795</v>
      </c>
      <c r="F7782" s="42"/>
    </row>
    <row r="7783" spans="1:6" x14ac:dyDescent="0.3">
      <c r="A7783" s="15" t="s">
        <v>41243</v>
      </c>
      <c r="B7783" s="15" t="s">
        <v>14342</v>
      </c>
      <c r="C7783" s="15" t="s">
        <v>800</v>
      </c>
      <c r="D7783" s="15" t="s">
        <v>14343</v>
      </c>
      <c r="E7783" s="15">
        <v>510.51</v>
      </c>
      <c r="F7783" s="42">
        <v>46198</v>
      </c>
    </row>
    <row r="7784" spans="1:6" x14ac:dyDescent="0.3">
      <c r="A7784" s="15" t="s">
        <v>41242</v>
      </c>
      <c r="B7784" s="15" t="s">
        <v>14344</v>
      </c>
      <c r="C7784" s="15" t="s">
        <v>14345</v>
      </c>
      <c r="D7784" s="15" t="s">
        <v>14346</v>
      </c>
      <c r="E7784" s="15">
        <v>115.26</v>
      </c>
      <c r="F7784" s="42">
        <v>46198</v>
      </c>
    </row>
    <row r="7785" spans="1:6" x14ac:dyDescent="0.3">
      <c r="A7785" s="15" t="s">
        <v>41241</v>
      </c>
      <c r="B7785" s="15" t="s">
        <v>14347</v>
      </c>
      <c r="C7785" s="15" t="s">
        <v>800</v>
      </c>
      <c r="D7785" s="15" t="s">
        <v>14348</v>
      </c>
      <c r="E7785" s="15">
        <v>462.41</v>
      </c>
      <c r="F7785" s="42">
        <v>46198</v>
      </c>
    </row>
    <row r="7786" spans="1:6" x14ac:dyDescent="0.3">
      <c r="A7786" s="15" t="s">
        <v>41240</v>
      </c>
      <c r="B7786" s="15" t="s">
        <v>14349</v>
      </c>
      <c r="C7786" s="15" t="s">
        <v>14350</v>
      </c>
      <c r="D7786" s="15" t="s">
        <v>14351</v>
      </c>
      <c r="E7786" s="15">
        <v>34.979999999999997</v>
      </c>
      <c r="F7786" s="42">
        <v>46198</v>
      </c>
    </row>
    <row r="7787" spans="1:6" x14ac:dyDescent="0.3">
      <c r="A7787" s="15" t="s">
        <v>33499</v>
      </c>
      <c r="B7787" s="15" t="s">
        <v>795</v>
      </c>
      <c r="C7787" s="15" t="s">
        <v>795</v>
      </c>
      <c r="D7787" s="15" t="s">
        <v>795</v>
      </c>
      <c r="F7787" s="42"/>
    </row>
    <row r="7788" spans="1:6" x14ac:dyDescent="0.3">
      <c r="A7788" s="15" t="s">
        <v>40577</v>
      </c>
      <c r="B7788" s="15" t="s">
        <v>795</v>
      </c>
      <c r="C7788" s="15" t="s">
        <v>795</v>
      </c>
      <c r="D7788" s="15" t="s">
        <v>795</v>
      </c>
      <c r="F7788" s="42"/>
    </row>
    <row r="7789" spans="1:6" x14ac:dyDescent="0.3">
      <c r="A7789" s="15" t="s">
        <v>33499</v>
      </c>
      <c r="B7789" s="15" t="s">
        <v>795</v>
      </c>
      <c r="C7789" s="15" t="s">
        <v>795</v>
      </c>
      <c r="D7789" s="15" t="s">
        <v>795</v>
      </c>
      <c r="F7789" s="42"/>
    </row>
    <row r="7790" spans="1:6" x14ac:dyDescent="0.3">
      <c r="A7790" s="15" t="s">
        <v>41239</v>
      </c>
      <c r="B7790" s="15" t="s">
        <v>14352</v>
      </c>
      <c r="C7790" s="15" t="s">
        <v>800</v>
      </c>
      <c r="D7790" s="15" t="s">
        <v>14353</v>
      </c>
      <c r="E7790" s="15">
        <v>18.779599999999999</v>
      </c>
      <c r="F7790" s="42">
        <v>46198</v>
      </c>
    </row>
    <row r="7791" spans="1:6" x14ac:dyDescent="0.3">
      <c r="A7791" s="15" t="s">
        <v>41238</v>
      </c>
      <c r="B7791" s="15" t="s">
        <v>14354</v>
      </c>
      <c r="C7791" s="15" t="s">
        <v>14355</v>
      </c>
      <c r="D7791" s="15" t="s">
        <v>14356</v>
      </c>
      <c r="E7791" s="15">
        <v>17.778600000000001</v>
      </c>
      <c r="F7791" s="42">
        <v>46198</v>
      </c>
    </row>
    <row r="7792" spans="1:6" x14ac:dyDescent="0.3">
      <c r="A7792" s="15" t="s">
        <v>41237</v>
      </c>
      <c r="B7792" s="15" t="s">
        <v>14357</v>
      </c>
      <c r="C7792" s="15" t="s">
        <v>800</v>
      </c>
      <c r="D7792" s="15" t="s">
        <v>14358</v>
      </c>
      <c r="E7792" s="15">
        <v>17.0002</v>
      </c>
      <c r="F7792" s="42">
        <v>46198</v>
      </c>
    </row>
    <row r="7793" spans="1:6" x14ac:dyDescent="0.3">
      <c r="A7793" s="15" t="s">
        <v>41236</v>
      </c>
      <c r="B7793" s="15" t="s">
        <v>14359</v>
      </c>
      <c r="C7793" s="15" t="s">
        <v>14360</v>
      </c>
      <c r="D7793" s="15" t="s">
        <v>14361</v>
      </c>
      <c r="E7793" s="15">
        <v>16.005800000000001</v>
      </c>
      <c r="F7793" s="42">
        <v>46198</v>
      </c>
    </row>
    <row r="7794" spans="1:6" x14ac:dyDescent="0.3">
      <c r="A7794" s="15" t="s">
        <v>33499</v>
      </c>
      <c r="B7794" s="15" t="s">
        <v>795</v>
      </c>
      <c r="C7794" s="15" t="s">
        <v>795</v>
      </c>
      <c r="D7794" s="15" t="s">
        <v>795</v>
      </c>
      <c r="F7794" s="42"/>
    </row>
    <row r="7795" spans="1:6" x14ac:dyDescent="0.3">
      <c r="A7795" s="15" t="s">
        <v>40894</v>
      </c>
      <c r="B7795" s="15" t="s">
        <v>795</v>
      </c>
      <c r="C7795" s="15" t="s">
        <v>795</v>
      </c>
      <c r="D7795" s="15" t="s">
        <v>795</v>
      </c>
      <c r="F7795" s="42"/>
    </row>
    <row r="7796" spans="1:6" x14ac:dyDescent="0.3">
      <c r="A7796" s="15" t="s">
        <v>33499</v>
      </c>
      <c r="B7796" s="15" t="s">
        <v>795</v>
      </c>
      <c r="C7796" s="15" t="s">
        <v>795</v>
      </c>
      <c r="D7796" s="15" t="s">
        <v>795</v>
      </c>
      <c r="F7796" s="42"/>
    </row>
    <row r="7797" spans="1:6" x14ac:dyDescent="0.3">
      <c r="A7797" s="15" t="s">
        <v>41235</v>
      </c>
      <c r="B7797" s="15" t="s">
        <v>14362</v>
      </c>
      <c r="C7797" s="15" t="s">
        <v>800</v>
      </c>
      <c r="D7797" s="15" t="s">
        <v>14363</v>
      </c>
      <c r="E7797" s="15">
        <v>107.5831</v>
      </c>
      <c r="F7797" s="42">
        <v>46198</v>
      </c>
    </row>
    <row r="7798" spans="1:6" x14ac:dyDescent="0.3">
      <c r="A7798" s="15" t="s">
        <v>41234</v>
      </c>
      <c r="B7798" s="15" t="s">
        <v>14364</v>
      </c>
      <c r="C7798" s="15" t="s">
        <v>14365</v>
      </c>
      <c r="D7798" s="15" t="s">
        <v>14366</v>
      </c>
      <c r="E7798" s="15">
        <v>73.300600000000003</v>
      </c>
      <c r="F7798" s="42">
        <v>46198</v>
      </c>
    </row>
    <row r="7799" spans="1:6" x14ac:dyDescent="0.3">
      <c r="A7799" s="15" t="s">
        <v>41233</v>
      </c>
      <c r="B7799" s="15" t="s">
        <v>14367</v>
      </c>
      <c r="C7799" s="15" t="s">
        <v>800</v>
      </c>
      <c r="D7799" s="15" t="s">
        <v>14368</v>
      </c>
      <c r="E7799" s="15">
        <v>94.733099999999993</v>
      </c>
      <c r="F7799" s="42">
        <v>46198</v>
      </c>
    </row>
    <row r="7800" spans="1:6" x14ac:dyDescent="0.3">
      <c r="A7800" s="15" t="s">
        <v>41232</v>
      </c>
      <c r="B7800" s="15" t="s">
        <v>14369</v>
      </c>
      <c r="C7800" s="15" t="s">
        <v>14370</v>
      </c>
      <c r="D7800" s="15" t="s">
        <v>14371</v>
      </c>
      <c r="E7800" s="15">
        <v>66.150899999999993</v>
      </c>
      <c r="F7800" s="42">
        <v>46198</v>
      </c>
    </row>
    <row r="7801" spans="1:6" x14ac:dyDescent="0.3">
      <c r="A7801" s="15" t="s">
        <v>33499</v>
      </c>
      <c r="B7801" s="15" t="s">
        <v>795</v>
      </c>
      <c r="C7801" s="15" t="s">
        <v>795</v>
      </c>
      <c r="D7801" s="15" t="s">
        <v>795</v>
      </c>
      <c r="F7801" s="42"/>
    </row>
    <row r="7802" spans="1:6" x14ac:dyDescent="0.3">
      <c r="A7802" s="15" t="s">
        <v>37618</v>
      </c>
      <c r="B7802" s="15" t="s">
        <v>795</v>
      </c>
      <c r="C7802" s="15" t="s">
        <v>795</v>
      </c>
      <c r="D7802" s="15" t="s">
        <v>795</v>
      </c>
      <c r="F7802" s="42"/>
    </row>
    <row r="7803" spans="1:6" x14ac:dyDescent="0.3">
      <c r="A7803" s="15" t="s">
        <v>33499</v>
      </c>
      <c r="B7803" s="15" t="s">
        <v>795</v>
      </c>
      <c r="C7803" s="15" t="s">
        <v>795</v>
      </c>
      <c r="D7803" s="15" t="s">
        <v>795</v>
      </c>
      <c r="F7803" s="42"/>
    </row>
    <row r="7804" spans="1:6" x14ac:dyDescent="0.3">
      <c r="A7804" s="15" t="s">
        <v>41231</v>
      </c>
      <c r="B7804" s="15" t="s">
        <v>14372</v>
      </c>
      <c r="C7804" s="15" t="s">
        <v>800</v>
      </c>
      <c r="D7804" s="15" t="s">
        <v>14373</v>
      </c>
      <c r="E7804" s="15">
        <v>30.043500000000002</v>
      </c>
      <c r="F7804" s="42">
        <v>46198</v>
      </c>
    </row>
    <row r="7805" spans="1:6" x14ac:dyDescent="0.3">
      <c r="A7805" s="15" t="s">
        <v>41230</v>
      </c>
      <c r="B7805" s="15" t="s">
        <v>14374</v>
      </c>
      <c r="C7805" s="15" t="s">
        <v>800</v>
      </c>
      <c r="D7805" s="15" t="s">
        <v>14375</v>
      </c>
      <c r="E7805" s="15">
        <v>30.011900000000001</v>
      </c>
      <c r="F7805" s="42">
        <v>46198</v>
      </c>
    </row>
    <row r="7806" spans="1:6" x14ac:dyDescent="0.3">
      <c r="A7806" s="15" t="s">
        <v>41229</v>
      </c>
      <c r="B7806" s="15" t="s">
        <v>14376</v>
      </c>
      <c r="C7806" s="15" t="s">
        <v>800</v>
      </c>
      <c r="D7806" s="15" t="s">
        <v>14377</v>
      </c>
      <c r="E7806" s="15">
        <v>27.610800000000001</v>
      </c>
      <c r="F7806" s="42">
        <v>46198</v>
      </c>
    </row>
    <row r="7807" spans="1:6" x14ac:dyDescent="0.3">
      <c r="A7807" s="15" t="s">
        <v>41228</v>
      </c>
      <c r="B7807" s="15" t="s">
        <v>14378</v>
      </c>
      <c r="C7807" s="15" t="s">
        <v>800</v>
      </c>
      <c r="D7807" s="15" t="s">
        <v>14379</v>
      </c>
      <c r="E7807" s="15">
        <v>27.610900000000001</v>
      </c>
      <c r="F7807" s="42">
        <v>46198</v>
      </c>
    </row>
    <row r="7808" spans="1:6" x14ac:dyDescent="0.3">
      <c r="A7808" s="15" t="s">
        <v>33499</v>
      </c>
      <c r="B7808" s="15" t="s">
        <v>795</v>
      </c>
      <c r="C7808" s="15" t="s">
        <v>795</v>
      </c>
      <c r="D7808" s="15" t="s">
        <v>795</v>
      </c>
      <c r="F7808" s="42"/>
    </row>
    <row r="7809" spans="1:6" x14ac:dyDescent="0.3">
      <c r="A7809" s="15" t="s">
        <v>39301</v>
      </c>
      <c r="B7809" s="15" t="s">
        <v>795</v>
      </c>
      <c r="C7809" s="15" t="s">
        <v>795</v>
      </c>
      <c r="D7809" s="15" t="s">
        <v>795</v>
      </c>
      <c r="F7809" s="42"/>
    </row>
    <row r="7810" spans="1:6" x14ac:dyDescent="0.3">
      <c r="A7810" s="15" t="s">
        <v>33499</v>
      </c>
      <c r="B7810" s="15" t="s">
        <v>795</v>
      </c>
      <c r="C7810" s="15" t="s">
        <v>795</v>
      </c>
      <c r="D7810" s="15" t="s">
        <v>795</v>
      </c>
      <c r="F7810" s="42"/>
    </row>
    <row r="7811" spans="1:6" x14ac:dyDescent="0.3">
      <c r="A7811" s="15" t="s">
        <v>41227</v>
      </c>
      <c r="B7811" s="15" t="s">
        <v>14380</v>
      </c>
      <c r="C7811" s="15" t="s">
        <v>800</v>
      </c>
      <c r="D7811" s="15" t="s">
        <v>14381</v>
      </c>
      <c r="E7811" s="15">
        <v>12.747</v>
      </c>
      <c r="F7811" s="42">
        <v>46198</v>
      </c>
    </row>
    <row r="7812" spans="1:6" x14ac:dyDescent="0.3">
      <c r="A7812" s="15" t="s">
        <v>41226</v>
      </c>
      <c r="B7812" s="15" t="s">
        <v>14382</v>
      </c>
      <c r="C7812" s="15" t="s">
        <v>14383</v>
      </c>
      <c r="D7812" s="15" t="s">
        <v>14384</v>
      </c>
      <c r="E7812" s="15">
        <v>12.746700000000001</v>
      </c>
      <c r="F7812" s="42">
        <v>46198</v>
      </c>
    </row>
    <row r="7813" spans="1:6" x14ac:dyDescent="0.3">
      <c r="A7813" s="15" t="s">
        <v>41225</v>
      </c>
      <c r="B7813" s="15" t="s">
        <v>14385</v>
      </c>
      <c r="C7813" s="15" t="s">
        <v>800</v>
      </c>
      <c r="D7813" s="15" t="s">
        <v>14386</v>
      </c>
      <c r="E7813" s="15">
        <v>12.451000000000001</v>
      </c>
      <c r="F7813" s="42">
        <v>46198</v>
      </c>
    </row>
    <row r="7814" spans="1:6" x14ac:dyDescent="0.3">
      <c r="A7814" s="15" t="s">
        <v>41224</v>
      </c>
      <c r="B7814" s="15" t="s">
        <v>14387</v>
      </c>
      <c r="C7814" s="15" t="s">
        <v>14388</v>
      </c>
      <c r="D7814" s="15" t="s">
        <v>14389</v>
      </c>
      <c r="E7814" s="15">
        <v>12.451000000000001</v>
      </c>
      <c r="F7814" s="42">
        <v>46198</v>
      </c>
    </row>
    <row r="7815" spans="1:6" x14ac:dyDescent="0.3">
      <c r="A7815" s="15" t="s">
        <v>33499</v>
      </c>
      <c r="B7815" s="15" t="s">
        <v>795</v>
      </c>
      <c r="C7815" s="15" t="s">
        <v>795</v>
      </c>
      <c r="D7815" s="15" t="s">
        <v>795</v>
      </c>
      <c r="F7815" s="42"/>
    </row>
    <row r="7816" spans="1:6" x14ac:dyDescent="0.3">
      <c r="A7816" s="15" t="s">
        <v>208</v>
      </c>
      <c r="B7816" s="15" t="s">
        <v>795</v>
      </c>
      <c r="C7816" s="15" t="s">
        <v>795</v>
      </c>
      <c r="D7816" s="15" t="s">
        <v>795</v>
      </c>
      <c r="F7816" s="42"/>
    </row>
    <row r="7817" spans="1:6" x14ac:dyDescent="0.3">
      <c r="A7817" s="15" t="s">
        <v>33499</v>
      </c>
      <c r="B7817" s="15" t="s">
        <v>795</v>
      </c>
      <c r="C7817" s="15" t="s">
        <v>795</v>
      </c>
      <c r="D7817" s="15" t="s">
        <v>795</v>
      </c>
      <c r="F7817" s="42"/>
    </row>
    <row r="7818" spans="1:6" x14ac:dyDescent="0.3">
      <c r="A7818" s="15" t="s">
        <v>41223</v>
      </c>
      <c r="B7818" s="15" t="s">
        <v>14390</v>
      </c>
      <c r="C7818" s="15" t="s">
        <v>14391</v>
      </c>
      <c r="D7818" s="15" t="s">
        <v>14392</v>
      </c>
      <c r="E7818" s="15">
        <v>65.3095</v>
      </c>
      <c r="F7818" s="42">
        <v>46198</v>
      </c>
    </row>
    <row r="7819" spans="1:6" x14ac:dyDescent="0.3">
      <c r="A7819" s="15" t="s">
        <v>41222</v>
      </c>
      <c r="B7819" s="15" t="s">
        <v>14393</v>
      </c>
      <c r="C7819" s="15" t="s">
        <v>800</v>
      </c>
      <c r="D7819" s="15" t="s">
        <v>14394</v>
      </c>
      <c r="E7819" s="15">
        <v>247.2996</v>
      </c>
      <c r="F7819" s="42">
        <v>46198</v>
      </c>
    </row>
    <row r="7820" spans="1:6" x14ac:dyDescent="0.3">
      <c r="A7820" s="15" t="s">
        <v>41221</v>
      </c>
      <c r="B7820" s="15" t="s">
        <v>14395</v>
      </c>
      <c r="C7820" s="15" t="s">
        <v>14396</v>
      </c>
      <c r="D7820" s="15" t="s">
        <v>14397</v>
      </c>
      <c r="E7820" s="15">
        <v>41.648899999999998</v>
      </c>
      <c r="F7820" s="42">
        <v>46198</v>
      </c>
    </row>
    <row r="7821" spans="1:6" x14ac:dyDescent="0.3">
      <c r="A7821" s="15" t="s">
        <v>41220</v>
      </c>
      <c r="B7821" s="15" t="s">
        <v>14398</v>
      </c>
      <c r="C7821" s="15" t="s">
        <v>800</v>
      </c>
      <c r="D7821" s="15" t="s">
        <v>14399</v>
      </c>
      <c r="E7821" s="15">
        <v>224.33840000000001</v>
      </c>
      <c r="F7821" s="42">
        <v>46198</v>
      </c>
    </row>
    <row r="7822" spans="1:6" x14ac:dyDescent="0.3">
      <c r="A7822" s="15" t="s">
        <v>33499</v>
      </c>
      <c r="B7822" s="15" t="s">
        <v>795</v>
      </c>
      <c r="C7822" s="15" t="s">
        <v>795</v>
      </c>
      <c r="D7822" s="15" t="s">
        <v>795</v>
      </c>
      <c r="F7822" s="42"/>
    </row>
    <row r="7823" spans="1:6" x14ac:dyDescent="0.3">
      <c r="A7823" s="15" t="s">
        <v>40216</v>
      </c>
      <c r="B7823" s="15" t="s">
        <v>795</v>
      </c>
      <c r="C7823" s="15" t="s">
        <v>795</v>
      </c>
      <c r="D7823" s="15" t="s">
        <v>795</v>
      </c>
      <c r="F7823" s="42"/>
    </row>
    <row r="7824" spans="1:6" x14ac:dyDescent="0.3">
      <c r="A7824" s="15" t="s">
        <v>33499</v>
      </c>
      <c r="B7824" s="15" t="s">
        <v>795</v>
      </c>
      <c r="C7824" s="15" t="s">
        <v>795</v>
      </c>
      <c r="D7824" s="15" t="s">
        <v>795</v>
      </c>
      <c r="F7824" s="42"/>
    </row>
    <row r="7825" spans="1:6" x14ac:dyDescent="0.3">
      <c r="A7825" s="15" t="s">
        <v>41219</v>
      </c>
      <c r="B7825" s="15" t="s">
        <v>14400</v>
      </c>
      <c r="C7825" s="15" t="s">
        <v>800</v>
      </c>
      <c r="D7825" s="15" t="s">
        <v>14401</v>
      </c>
      <c r="E7825" s="15">
        <v>24.788</v>
      </c>
      <c r="F7825" s="42">
        <v>46198</v>
      </c>
    </row>
    <row r="7826" spans="1:6" x14ac:dyDescent="0.3">
      <c r="A7826" s="15" t="s">
        <v>41218</v>
      </c>
      <c r="B7826" s="15" t="s">
        <v>14402</v>
      </c>
      <c r="C7826" s="15" t="s">
        <v>800</v>
      </c>
      <c r="D7826" s="15" t="s">
        <v>14403</v>
      </c>
      <c r="E7826" s="15">
        <v>23.0002</v>
      </c>
      <c r="F7826" s="42">
        <v>46198</v>
      </c>
    </row>
    <row r="7827" spans="1:6" x14ac:dyDescent="0.3">
      <c r="A7827" s="15" t="s">
        <v>41217</v>
      </c>
      <c r="B7827" s="15" t="s">
        <v>14404</v>
      </c>
      <c r="C7827" s="15" t="s">
        <v>14405</v>
      </c>
      <c r="D7827" s="15" t="s">
        <v>14406</v>
      </c>
      <c r="E7827" s="15">
        <v>23.551600000000001</v>
      </c>
      <c r="F7827" s="42">
        <v>46198</v>
      </c>
    </row>
    <row r="7828" spans="1:6" x14ac:dyDescent="0.3">
      <c r="A7828" s="15" t="s">
        <v>41216</v>
      </c>
      <c r="B7828" s="15" t="s">
        <v>14407</v>
      </c>
      <c r="C7828" s="15" t="s">
        <v>14408</v>
      </c>
      <c r="D7828" s="15" t="s">
        <v>14409</v>
      </c>
      <c r="E7828" s="15">
        <v>23.126300000000001</v>
      </c>
      <c r="F7828" s="42">
        <v>46198</v>
      </c>
    </row>
    <row r="7829" spans="1:6" x14ac:dyDescent="0.3">
      <c r="A7829" s="15" t="s">
        <v>33499</v>
      </c>
      <c r="B7829" s="15" t="s">
        <v>795</v>
      </c>
      <c r="C7829" s="15" t="s">
        <v>795</v>
      </c>
      <c r="D7829" s="15" t="s">
        <v>795</v>
      </c>
      <c r="F7829" s="42"/>
    </row>
    <row r="7830" spans="1:6" x14ac:dyDescent="0.3">
      <c r="A7830" s="15" t="s">
        <v>37684</v>
      </c>
      <c r="B7830" s="15" t="s">
        <v>795</v>
      </c>
      <c r="C7830" s="15" t="s">
        <v>795</v>
      </c>
      <c r="D7830" s="15" t="s">
        <v>795</v>
      </c>
      <c r="F7830" s="42"/>
    </row>
    <row r="7831" spans="1:6" x14ac:dyDescent="0.3">
      <c r="A7831" s="15" t="s">
        <v>33499</v>
      </c>
      <c r="B7831" s="15" t="s">
        <v>795</v>
      </c>
      <c r="C7831" s="15" t="s">
        <v>795</v>
      </c>
      <c r="D7831" s="15" t="s">
        <v>795</v>
      </c>
      <c r="F7831" s="42"/>
    </row>
    <row r="7832" spans="1:6" x14ac:dyDescent="0.3">
      <c r="A7832" s="15" t="s">
        <v>41215</v>
      </c>
      <c r="B7832" s="15" t="s">
        <v>14410</v>
      </c>
      <c r="C7832" s="15" t="s">
        <v>800</v>
      </c>
      <c r="D7832" s="15" t="s">
        <v>14411</v>
      </c>
      <c r="E7832" s="15">
        <v>124.7</v>
      </c>
      <c r="F7832" s="42">
        <v>46198</v>
      </c>
    </row>
    <row r="7833" spans="1:6" x14ac:dyDescent="0.3">
      <c r="A7833" s="15" t="s">
        <v>41214</v>
      </c>
      <c r="B7833" s="15" t="s">
        <v>14412</v>
      </c>
      <c r="C7833" s="15" t="s">
        <v>14413</v>
      </c>
      <c r="D7833" s="15" t="s">
        <v>14414</v>
      </c>
      <c r="E7833" s="15">
        <v>124.95</v>
      </c>
      <c r="F7833" s="42">
        <v>46198</v>
      </c>
    </row>
    <row r="7834" spans="1:6" x14ac:dyDescent="0.3">
      <c r="A7834" s="15" t="s">
        <v>41213</v>
      </c>
      <c r="B7834" s="15" t="s">
        <v>14415</v>
      </c>
      <c r="C7834" s="15" t="s">
        <v>800</v>
      </c>
      <c r="D7834" s="15" t="s">
        <v>14416</v>
      </c>
      <c r="E7834" s="15">
        <v>118.3</v>
      </c>
      <c r="F7834" s="42">
        <v>46198</v>
      </c>
    </row>
    <row r="7835" spans="1:6" x14ac:dyDescent="0.3">
      <c r="A7835" s="15" t="s">
        <v>41212</v>
      </c>
      <c r="B7835" s="15" t="s">
        <v>14417</v>
      </c>
      <c r="C7835" s="15" t="s">
        <v>14418</v>
      </c>
      <c r="D7835" s="15" t="s">
        <v>14419</v>
      </c>
      <c r="E7835" s="15">
        <v>118.16</v>
      </c>
      <c r="F7835" s="42">
        <v>46198</v>
      </c>
    </row>
    <row r="7836" spans="1:6" x14ac:dyDescent="0.3">
      <c r="A7836" s="15" t="s">
        <v>33499</v>
      </c>
      <c r="B7836" s="15" t="s">
        <v>795</v>
      </c>
      <c r="C7836" s="15" t="s">
        <v>795</v>
      </c>
      <c r="D7836" s="15" t="s">
        <v>795</v>
      </c>
      <c r="F7836" s="42"/>
    </row>
    <row r="7837" spans="1:6" x14ac:dyDescent="0.3">
      <c r="A7837" s="15" t="s">
        <v>37414</v>
      </c>
      <c r="B7837" s="15" t="s">
        <v>795</v>
      </c>
      <c r="C7837" s="15" t="s">
        <v>795</v>
      </c>
      <c r="D7837" s="15" t="s">
        <v>795</v>
      </c>
      <c r="F7837" s="42"/>
    </row>
    <row r="7838" spans="1:6" x14ac:dyDescent="0.3">
      <c r="A7838" s="15" t="s">
        <v>33499</v>
      </c>
      <c r="B7838" s="15" t="s">
        <v>795</v>
      </c>
      <c r="C7838" s="15" t="s">
        <v>795</v>
      </c>
      <c r="D7838" s="15" t="s">
        <v>795</v>
      </c>
      <c r="F7838" s="42"/>
    </row>
    <row r="7839" spans="1:6" x14ac:dyDescent="0.3">
      <c r="A7839" s="15" t="s">
        <v>41211</v>
      </c>
      <c r="B7839" s="15" t="s">
        <v>14420</v>
      </c>
      <c r="C7839" s="15" t="s">
        <v>800</v>
      </c>
      <c r="D7839" s="15" t="s">
        <v>14421</v>
      </c>
      <c r="E7839" s="15">
        <v>226.9057</v>
      </c>
      <c r="F7839" s="42">
        <v>46198</v>
      </c>
    </row>
    <row r="7840" spans="1:6" x14ac:dyDescent="0.3">
      <c r="A7840" s="15" t="s">
        <v>41210</v>
      </c>
      <c r="B7840" s="15" t="s">
        <v>14422</v>
      </c>
      <c r="C7840" s="15" t="s">
        <v>14423</v>
      </c>
      <c r="D7840" s="15" t="s">
        <v>14424</v>
      </c>
      <c r="E7840" s="15">
        <v>18.564599999999999</v>
      </c>
      <c r="F7840" s="42">
        <v>46198</v>
      </c>
    </row>
    <row r="7841" spans="1:6" x14ac:dyDescent="0.3">
      <c r="A7841" s="15" t="s">
        <v>41209</v>
      </c>
      <c r="B7841" s="15" t="s">
        <v>14425</v>
      </c>
      <c r="C7841" s="15" t="s">
        <v>800</v>
      </c>
      <c r="D7841" s="15" t="s">
        <v>14426</v>
      </c>
      <c r="E7841" s="15">
        <v>213.12819999999999</v>
      </c>
      <c r="F7841" s="42">
        <v>46198</v>
      </c>
    </row>
    <row r="7842" spans="1:6" x14ac:dyDescent="0.3">
      <c r="A7842" s="15" t="s">
        <v>41208</v>
      </c>
      <c r="B7842" s="15" t="s">
        <v>14427</v>
      </c>
      <c r="C7842" s="15" t="s">
        <v>14428</v>
      </c>
      <c r="D7842" s="15" t="s">
        <v>14429</v>
      </c>
      <c r="E7842" s="15">
        <v>15.196199999999999</v>
      </c>
      <c r="F7842" s="42">
        <v>46198</v>
      </c>
    </row>
    <row r="7843" spans="1:6" x14ac:dyDescent="0.3">
      <c r="A7843" s="15" t="s">
        <v>33499</v>
      </c>
      <c r="B7843" s="15" t="s">
        <v>795</v>
      </c>
      <c r="C7843" s="15" t="s">
        <v>795</v>
      </c>
      <c r="D7843" s="15" t="s">
        <v>795</v>
      </c>
      <c r="F7843" s="42"/>
    </row>
    <row r="7844" spans="1:6" x14ac:dyDescent="0.3">
      <c r="A7844" s="15" t="s">
        <v>33519</v>
      </c>
      <c r="B7844" s="15" t="s">
        <v>795</v>
      </c>
      <c r="C7844" s="15" t="s">
        <v>795</v>
      </c>
      <c r="D7844" s="15" t="s">
        <v>795</v>
      </c>
      <c r="F7844" s="42"/>
    </row>
    <row r="7845" spans="1:6" x14ac:dyDescent="0.3">
      <c r="A7845" s="15" t="s">
        <v>33499</v>
      </c>
      <c r="B7845" s="15" t="s">
        <v>795</v>
      </c>
      <c r="C7845" s="15" t="s">
        <v>795</v>
      </c>
      <c r="D7845" s="15" t="s">
        <v>795</v>
      </c>
      <c r="F7845" s="42"/>
    </row>
    <row r="7846" spans="1:6" x14ac:dyDescent="0.3">
      <c r="A7846" s="15" t="s">
        <v>41207</v>
      </c>
      <c r="B7846" s="15" t="s">
        <v>14430</v>
      </c>
      <c r="C7846" s="15" t="s">
        <v>14431</v>
      </c>
      <c r="D7846" s="15" t="s">
        <v>14432</v>
      </c>
      <c r="E7846" s="15">
        <v>128.11449999999999</v>
      </c>
      <c r="F7846" s="42">
        <v>46198</v>
      </c>
    </row>
    <row r="7847" spans="1:6" x14ac:dyDescent="0.3">
      <c r="A7847" s="15" t="s">
        <v>41206</v>
      </c>
      <c r="B7847" s="15" t="s">
        <v>14433</v>
      </c>
      <c r="C7847" s="15" t="s">
        <v>800</v>
      </c>
      <c r="D7847" s="15" t="s">
        <v>14434</v>
      </c>
      <c r="E7847" s="15">
        <v>344.41210000000001</v>
      </c>
      <c r="F7847" s="42">
        <v>46198</v>
      </c>
    </row>
    <row r="7848" spans="1:6" x14ac:dyDescent="0.3">
      <c r="A7848" s="15" t="s">
        <v>41205</v>
      </c>
      <c r="B7848" s="15" t="s">
        <v>14435</v>
      </c>
      <c r="C7848" s="15" t="s">
        <v>800</v>
      </c>
      <c r="D7848" s="15" t="s">
        <v>14436</v>
      </c>
      <c r="E7848" s="15">
        <v>391.4128</v>
      </c>
      <c r="F7848" s="42">
        <v>46198</v>
      </c>
    </row>
    <row r="7849" spans="1:6" x14ac:dyDescent="0.3">
      <c r="A7849" s="15" t="s">
        <v>41204</v>
      </c>
      <c r="B7849" s="15" t="s">
        <v>14437</v>
      </c>
      <c r="C7849" s="15" t="s">
        <v>14438</v>
      </c>
      <c r="D7849" s="15" t="s">
        <v>14439</v>
      </c>
      <c r="E7849" s="15">
        <v>115.28360000000001</v>
      </c>
      <c r="F7849" s="42">
        <v>46198</v>
      </c>
    </row>
    <row r="7850" spans="1:6" x14ac:dyDescent="0.3">
      <c r="A7850" s="15" t="s">
        <v>41203</v>
      </c>
      <c r="B7850" s="15" t="s">
        <v>14440</v>
      </c>
      <c r="C7850" s="15" t="s">
        <v>14441</v>
      </c>
      <c r="D7850" s="15" t="s">
        <v>14442</v>
      </c>
      <c r="E7850" s="15">
        <v>133.01779999999999</v>
      </c>
      <c r="F7850" s="42">
        <v>46198</v>
      </c>
    </row>
    <row r="7851" spans="1:6" x14ac:dyDescent="0.3">
      <c r="A7851" s="15" t="s">
        <v>41202</v>
      </c>
      <c r="B7851" s="15" t="s">
        <v>14443</v>
      </c>
      <c r="C7851" s="15" t="s">
        <v>14444</v>
      </c>
      <c r="D7851" s="15" t="s">
        <v>14445</v>
      </c>
      <c r="E7851" s="15">
        <v>143.82300000000001</v>
      </c>
      <c r="F7851" s="42">
        <v>46198</v>
      </c>
    </row>
    <row r="7852" spans="1:6" x14ac:dyDescent="0.3">
      <c r="A7852" s="15" t="s">
        <v>33499</v>
      </c>
      <c r="B7852" s="15" t="s">
        <v>795</v>
      </c>
      <c r="C7852" s="15" t="s">
        <v>795</v>
      </c>
      <c r="D7852" s="15" t="s">
        <v>795</v>
      </c>
      <c r="F7852" s="42"/>
    </row>
    <row r="7853" spans="1:6" x14ac:dyDescent="0.3">
      <c r="A7853" s="15" t="s">
        <v>33504</v>
      </c>
      <c r="B7853" s="15" t="s">
        <v>795</v>
      </c>
      <c r="C7853" s="15" t="s">
        <v>795</v>
      </c>
      <c r="D7853" s="15" t="s">
        <v>795</v>
      </c>
      <c r="F7853" s="42"/>
    </row>
    <row r="7854" spans="1:6" x14ac:dyDescent="0.3">
      <c r="A7854" s="15" t="s">
        <v>33499</v>
      </c>
      <c r="B7854" s="15" t="s">
        <v>795</v>
      </c>
      <c r="C7854" s="15" t="s">
        <v>795</v>
      </c>
      <c r="D7854" s="15" t="s">
        <v>795</v>
      </c>
      <c r="F7854" s="42"/>
    </row>
    <row r="7855" spans="1:6" x14ac:dyDescent="0.3">
      <c r="A7855" s="15" t="s">
        <v>41201</v>
      </c>
      <c r="B7855" s="15" t="s">
        <v>14446</v>
      </c>
      <c r="C7855" s="15" t="s">
        <v>800</v>
      </c>
      <c r="D7855" s="15" t="s">
        <v>14447</v>
      </c>
      <c r="E7855" s="15">
        <v>30.94</v>
      </c>
      <c r="F7855" s="42">
        <v>46198</v>
      </c>
    </row>
    <row r="7856" spans="1:6" x14ac:dyDescent="0.3">
      <c r="A7856" s="15" t="s">
        <v>41200</v>
      </c>
      <c r="B7856" s="15" t="s">
        <v>14448</v>
      </c>
      <c r="C7856" s="15" t="s">
        <v>14449</v>
      </c>
      <c r="D7856" s="15" t="s">
        <v>14450</v>
      </c>
      <c r="E7856" s="15">
        <v>30.94</v>
      </c>
      <c r="F7856" s="42">
        <v>46198</v>
      </c>
    </row>
    <row r="7857" spans="1:6" x14ac:dyDescent="0.3">
      <c r="A7857" s="15" t="s">
        <v>41199</v>
      </c>
      <c r="B7857" s="15" t="s">
        <v>14451</v>
      </c>
      <c r="C7857" s="15" t="s">
        <v>800</v>
      </c>
      <c r="D7857" s="15" t="s">
        <v>14452</v>
      </c>
      <c r="E7857" s="15">
        <v>28.82</v>
      </c>
      <c r="F7857" s="42">
        <v>46198</v>
      </c>
    </row>
    <row r="7858" spans="1:6" x14ac:dyDescent="0.3">
      <c r="A7858" s="15" t="s">
        <v>41198</v>
      </c>
      <c r="B7858" s="15" t="s">
        <v>14453</v>
      </c>
      <c r="C7858" s="15" t="s">
        <v>14454</v>
      </c>
      <c r="D7858" s="15" t="s">
        <v>14455</v>
      </c>
      <c r="E7858" s="15">
        <v>28.82</v>
      </c>
      <c r="F7858" s="42">
        <v>46198</v>
      </c>
    </row>
    <row r="7859" spans="1:6" x14ac:dyDescent="0.3">
      <c r="A7859" s="15" t="s">
        <v>33499</v>
      </c>
      <c r="B7859" s="15" t="s">
        <v>795</v>
      </c>
      <c r="C7859" s="15" t="s">
        <v>795</v>
      </c>
      <c r="D7859" s="15" t="s">
        <v>795</v>
      </c>
      <c r="F7859" s="42"/>
    </row>
    <row r="7860" spans="1:6" x14ac:dyDescent="0.3">
      <c r="A7860" s="15" t="s">
        <v>33500</v>
      </c>
      <c r="B7860" s="15" t="s">
        <v>795</v>
      </c>
      <c r="C7860" s="15" t="s">
        <v>795</v>
      </c>
      <c r="D7860" s="15" t="s">
        <v>795</v>
      </c>
      <c r="F7860" s="42"/>
    </row>
    <row r="7861" spans="1:6" x14ac:dyDescent="0.3">
      <c r="A7861" s="15" t="s">
        <v>33499</v>
      </c>
      <c r="B7861" s="15" t="s">
        <v>795</v>
      </c>
      <c r="C7861" s="15" t="s">
        <v>795</v>
      </c>
      <c r="D7861" s="15" t="s">
        <v>795</v>
      </c>
      <c r="F7861" s="42"/>
    </row>
    <row r="7862" spans="1:6" x14ac:dyDescent="0.3">
      <c r="A7862" s="15" t="s">
        <v>41197</v>
      </c>
      <c r="B7862" s="15" t="s">
        <v>14456</v>
      </c>
      <c r="C7862" s="15" t="s">
        <v>800</v>
      </c>
      <c r="D7862" s="15" t="s">
        <v>14457</v>
      </c>
      <c r="E7862" s="15">
        <v>181.37970000000001</v>
      </c>
      <c r="F7862" s="42">
        <v>46198</v>
      </c>
    </row>
    <row r="7863" spans="1:6" x14ac:dyDescent="0.3">
      <c r="A7863" s="15" t="s">
        <v>41196</v>
      </c>
      <c r="B7863" s="15" t="s">
        <v>14458</v>
      </c>
      <c r="C7863" s="15" t="s">
        <v>14459</v>
      </c>
      <c r="D7863" s="15" t="s">
        <v>14460</v>
      </c>
      <c r="E7863" s="15">
        <v>59.154499999999999</v>
      </c>
      <c r="F7863" s="42">
        <v>46198</v>
      </c>
    </row>
    <row r="7864" spans="1:6" x14ac:dyDescent="0.3">
      <c r="A7864" s="15" t="s">
        <v>41195</v>
      </c>
      <c r="B7864" s="15" t="s">
        <v>14461</v>
      </c>
      <c r="C7864" s="15" t="s">
        <v>800</v>
      </c>
      <c r="D7864" s="15" t="s">
        <v>14462</v>
      </c>
      <c r="E7864" s="15">
        <v>164.72370000000001</v>
      </c>
      <c r="F7864" s="42">
        <v>46198</v>
      </c>
    </row>
    <row r="7865" spans="1:6" x14ac:dyDescent="0.3">
      <c r="A7865" s="15" t="s">
        <v>41194</v>
      </c>
      <c r="B7865" s="15" t="s">
        <v>14463</v>
      </c>
      <c r="C7865" s="15" t="s">
        <v>14464</v>
      </c>
      <c r="D7865" s="15" t="s">
        <v>14465</v>
      </c>
      <c r="E7865" s="15">
        <v>48.004899999999999</v>
      </c>
      <c r="F7865" s="42">
        <v>46198</v>
      </c>
    </row>
    <row r="7866" spans="1:6" x14ac:dyDescent="0.3">
      <c r="A7866" s="15" t="s">
        <v>33499</v>
      </c>
      <c r="B7866" s="15" t="s">
        <v>795</v>
      </c>
      <c r="C7866" s="15" t="s">
        <v>795</v>
      </c>
      <c r="D7866" s="15" t="s">
        <v>795</v>
      </c>
      <c r="F7866" s="42"/>
    </row>
    <row r="7867" spans="1:6" x14ac:dyDescent="0.3">
      <c r="A7867" s="15" t="s">
        <v>41193</v>
      </c>
      <c r="B7867" s="15" t="s">
        <v>795</v>
      </c>
      <c r="C7867" s="15" t="s">
        <v>795</v>
      </c>
      <c r="D7867" s="15" t="s">
        <v>795</v>
      </c>
      <c r="F7867" s="42"/>
    </row>
    <row r="7868" spans="1:6" x14ac:dyDescent="0.3">
      <c r="A7868" s="15" t="s">
        <v>33499</v>
      </c>
      <c r="B7868" s="15" t="s">
        <v>795</v>
      </c>
      <c r="C7868" s="15" t="s">
        <v>795</v>
      </c>
      <c r="D7868" s="15" t="s">
        <v>795</v>
      </c>
      <c r="F7868" s="42"/>
    </row>
    <row r="7869" spans="1:6" x14ac:dyDescent="0.3">
      <c r="A7869" s="15" t="s">
        <v>36764</v>
      </c>
      <c r="B7869" s="15" t="s">
        <v>795</v>
      </c>
      <c r="C7869" s="15" t="s">
        <v>795</v>
      </c>
      <c r="D7869" s="15" t="s">
        <v>795</v>
      </c>
      <c r="F7869" s="42"/>
    </row>
    <row r="7870" spans="1:6" x14ac:dyDescent="0.3">
      <c r="A7870" s="15" t="s">
        <v>33499</v>
      </c>
      <c r="B7870" s="15" t="s">
        <v>795</v>
      </c>
      <c r="C7870" s="15" t="s">
        <v>795</v>
      </c>
      <c r="D7870" s="15" t="s">
        <v>795</v>
      </c>
      <c r="F7870" s="42"/>
    </row>
    <row r="7871" spans="1:6" x14ac:dyDescent="0.3">
      <c r="A7871" s="15" t="s">
        <v>41192</v>
      </c>
      <c r="B7871" s="15" t="s">
        <v>14466</v>
      </c>
      <c r="C7871" s="15" t="s">
        <v>14467</v>
      </c>
      <c r="D7871" s="15" t="s">
        <v>14468</v>
      </c>
      <c r="E7871" s="15">
        <v>10.9255</v>
      </c>
      <c r="F7871" s="42">
        <v>43245</v>
      </c>
    </row>
    <row r="7872" spans="1:6" x14ac:dyDescent="0.3">
      <c r="A7872" s="15" t="s">
        <v>41191</v>
      </c>
      <c r="B7872" s="15" t="s">
        <v>14469</v>
      </c>
      <c r="C7872" s="15" t="s">
        <v>800</v>
      </c>
      <c r="D7872" s="15" t="s">
        <v>14470</v>
      </c>
      <c r="E7872" s="15">
        <v>35.531300000000002</v>
      </c>
      <c r="F7872" s="42">
        <v>43245</v>
      </c>
    </row>
    <row r="7873" spans="1:6" x14ac:dyDescent="0.3">
      <c r="A7873" s="15" t="s">
        <v>41190</v>
      </c>
      <c r="B7873" s="15" t="s">
        <v>14471</v>
      </c>
      <c r="C7873" s="15" t="s">
        <v>800</v>
      </c>
      <c r="D7873" s="15" t="s">
        <v>14472</v>
      </c>
      <c r="E7873" s="15">
        <v>34.964599999999997</v>
      </c>
      <c r="F7873" s="42">
        <v>43245</v>
      </c>
    </row>
    <row r="7874" spans="1:6" x14ac:dyDescent="0.3">
      <c r="A7874" s="15" t="s">
        <v>41189</v>
      </c>
      <c r="B7874" s="15" t="s">
        <v>14473</v>
      </c>
      <c r="C7874" s="15" t="s">
        <v>14474</v>
      </c>
      <c r="D7874" s="15" t="s">
        <v>14475</v>
      </c>
      <c r="E7874" s="15">
        <v>11.258699999999999</v>
      </c>
      <c r="F7874" s="42">
        <v>43245</v>
      </c>
    </row>
    <row r="7875" spans="1:6" x14ac:dyDescent="0.3">
      <c r="A7875" s="15" t="s">
        <v>41188</v>
      </c>
      <c r="B7875" s="15" t="s">
        <v>14476</v>
      </c>
      <c r="C7875" s="15" t="s">
        <v>800</v>
      </c>
      <c r="D7875" s="15" t="s">
        <v>14477</v>
      </c>
      <c r="E7875" s="15">
        <v>14.058400000000001</v>
      </c>
      <c r="F7875" s="42">
        <v>43245</v>
      </c>
    </row>
    <row r="7876" spans="1:6" x14ac:dyDescent="0.3">
      <c r="A7876" s="15" t="s">
        <v>41187</v>
      </c>
      <c r="B7876" s="15" t="s">
        <v>14478</v>
      </c>
      <c r="C7876" s="15" t="s">
        <v>800</v>
      </c>
      <c r="D7876" s="15" t="s">
        <v>14479</v>
      </c>
      <c r="E7876" s="15">
        <v>14.5046</v>
      </c>
      <c r="F7876" s="42">
        <v>43245</v>
      </c>
    </row>
    <row r="7877" spans="1:6" x14ac:dyDescent="0.3">
      <c r="A7877" s="15" t="s">
        <v>41186</v>
      </c>
      <c r="B7877" s="15" t="s">
        <v>14480</v>
      </c>
      <c r="C7877" s="15" t="s">
        <v>14481</v>
      </c>
      <c r="D7877" s="15" t="s">
        <v>14482</v>
      </c>
      <c r="E7877" s="15">
        <v>11.577299999999999</v>
      </c>
      <c r="F7877" s="42">
        <v>43245</v>
      </c>
    </row>
    <row r="7878" spans="1:6" x14ac:dyDescent="0.3">
      <c r="A7878" s="15" t="s">
        <v>41185</v>
      </c>
      <c r="B7878" s="15" t="s">
        <v>14483</v>
      </c>
      <c r="C7878" s="15" t="s">
        <v>14484</v>
      </c>
      <c r="D7878" s="15" t="s">
        <v>14485</v>
      </c>
      <c r="E7878" s="15">
        <v>13.334</v>
      </c>
      <c r="F7878" s="42">
        <v>43245</v>
      </c>
    </row>
    <row r="7879" spans="1:6" x14ac:dyDescent="0.3">
      <c r="A7879" s="15" t="s">
        <v>41184</v>
      </c>
      <c r="B7879" s="15" t="s">
        <v>14486</v>
      </c>
      <c r="C7879" s="15" t="s">
        <v>800</v>
      </c>
      <c r="D7879" s="15" t="s">
        <v>14487</v>
      </c>
      <c r="E7879" s="15">
        <v>25.842700000000001</v>
      </c>
      <c r="F7879" s="42">
        <v>43245</v>
      </c>
    </row>
    <row r="7880" spans="1:6" x14ac:dyDescent="0.3">
      <c r="A7880" s="15" t="s">
        <v>41183</v>
      </c>
      <c r="B7880" s="15" t="s">
        <v>14488</v>
      </c>
      <c r="C7880" s="15" t="s">
        <v>800</v>
      </c>
      <c r="D7880" s="15" t="s">
        <v>14489</v>
      </c>
      <c r="E7880" s="15">
        <v>25.2302</v>
      </c>
      <c r="F7880" s="42">
        <v>43245</v>
      </c>
    </row>
    <row r="7881" spans="1:6" x14ac:dyDescent="0.3">
      <c r="A7881" s="15" t="s">
        <v>41182</v>
      </c>
      <c r="B7881" s="15" t="s">
        <v>14490</v>
      </c>
      <c r="C7881" s="15" t="s">
        <v>14491</v>
      </c>
      <c r="D7881" s="15" t="s">
        <v>14492</v>
      </c>
      <c r="E7881" s="15">
        <v>11.07</v>
      </c>
      <c r="F7881" s="42">
        <v>43245</v>
      </c>
    </row>
    <row r="7882" spans="1:6" x14ac:dyDescent="0.3">
      <c r="A7882" s="15" t="s">
        <v>41181</v>
      </c>
      <c r="B7882" s="15" t="s">
        <v>14493</v>
      </c>
      <c r="C7882" s="15" t="s">
        <v>14494</v>
      </c>
      <c r="D7882" s="15" t="s">
        <v>14495</v>
      </c>
      <c r="E7882" s="15">
        <v>13.140700000000001</v>
      </c>
      <c r="F7882" s="42">
        <v>43245</v>
      </c>
    </row>
    <row r="7883" spans="1:6" x14ac:dyDescent="0.3">
      <c r="A7883" s="15" t="s">
        <v>41180</v>
      </c>
      <c r="B7883" s="15" t="s">
        <v>14496</v>
      </c>
      <c r="C7883" s="15" t="s">
        <v>800</v>
      </c>
      <c r="D7883" s="15" t="s">
        <v>14497</v>
      </c>
      <c r="E7883" s="15">
        <v>13.108700000000001</v>
      </c>
      <c r="F7883" s="42">
        <v>43245</v>
      </c>
    </row>
    <row r="7884" spans="1:6" x14ac:dyDescent="0.3">
      <c r="A7884" s="15" t="s">
        <v>33499</v>
      </c>
      <c r="B7884" s="15" t="s">
        <v>795</v>
      </c>
      <c r="C7884" s="15" t="s">
        <v>795</v>
      </c>
      <c r="D7884" s="15" t="s">
        <v>795</v>
      </c>
      <c r="F7884" s="42"/>
    </row>
    <row r="7885" spans="1:6" x14ac:dyDescent="0.3">
      <c r="A7885" s="15" t="s">
        <v>41179</v>
      </c>
      <c r="B7885" s="15" t="s">
        <v>795</v>
      </c>
      <c r="C7885" s="15" t="s">
        <v>795</v>
      </c>
      <c r="D7885" s="15" t="s">
        <v>795</v>
      </c>
      <c r="F7885" s="42"/>
    </row>
    <row r="7886" spans="1:6" x14ac:dyDescent="0.3">
      <c r="A7886" s="15" t="s">
        <v>41178</v>
      </c>
      <c r="B7886" s="15" t="s">
        <v>14498</v>
      </c>
      <c r="C7886" s="15" t="s">
        <v>14499</v>
      </c>
      <c r="D7886" s="15" t="s">
        <v>14500</v>
      </c>
      <c r="E7886" s="15">
        <v>13.5898</v>
      </c>
      <c r="F7886" s="42">
        <v>42482</v>
      </c>
    </row>
    <row r="7887" spans="1:6" x14ac:dyDescent="0.3">
      <c r="A7887" s="15" t="s">
        <v>41177</v>
      </c>
      <c r="B7887" s="15" t="s">
        <v>14501</v>
      </c>
      <c r="C7887" s="15" t="s">
        <v>800</v>
      </c>
      <c r="D7887" s="15" t="s">
        <v>14502</v>
      </c>
      <c r="E7887" s="15">
        <v>10.9152</v>
      </c>
      <c r="F7887" s="42">
        <v>42289</v>
      </c>
    </row>
    <row r="7888" spans="1:6" x14ac:dyDescent="0.3">
      <c r="A7888" s="15" t="s">
        <v>41176</v>
      </c>
      <c r="B7888" s="15" t="s">
        <v>14503</v>
      </c>
      <c r="C7888" s="15" t="s">
        <v>800</v>
      </c>
      <c r="D7888" s="15" t="s">
        <v>14504</v>
      </c>
      <c r="E7888" s="15">
        <v>22.758700000000001</v>
      </c>
      <c r="F7888" s="42">
        <v>42482</v>
      </c>
    </row>
    <row r="7889" spans="1:6" x14ac:dyDescent="0.3">
      <c r="A7889" s="15" t="s">
        <v>41175</v>
      </c>
      <c r="B7889" s="15" t="s">
        <v>14505</v>
      </c>
      <c r="C7889" s="15" t="s">
        <v>14506</v>
      </c>
      <c r="D7889" s="15" t="s">
        <v>14507</v>
      </c>
      <c r="E7889" s="15">
        <v>13.6408</v>
      </c>
      <c r="F7889" s="42">
        <v>42482</v>
      </c>
    </row>
    <row r="7890" spans="1:6" x14ac:dyDescent="0.3">
      <c r="A7890" s="15" t="s">
        <v>41174</v>
      </c>
      <c r="B7890" s="15" t="s">
        <v>14508</v>
      </c>
      <c r="C7890" s="15" t="s">
        <v>800</v>
      </c>
      <c r="D7890" s="15" t="s">
        <v>14509</v>
      </c>
      <c r="E7890" s="15">
        <v>23.093299999999999</v>
      </c>
      <c r="F7890" s="42">
        <v>42482</v>
      </c>
    </row>
    <row r="7891" spans="1:6" x14ac:dyDescent="0.3">
      <c r="A7891" s="15" t="s">
        <v>33499</v>
      </c>
      <c r="B7891" s="15" t="s">
        <v>795</v>
      </c>
      <c r="C7891" s="15" t="s">
        <v>795</v>
      </c>
      <c r="D7891" s="15" t="s">
        <v>795</v>
      </c>
      <c r="F7891" s="42"/>
    </row>
    <row r="7892" spans="1:6" x14ac:dyDescent="0.3">
      <c r="A7892" s="15" t="s">
        <v>41173</v>
      </c>
      <c r="B7892" s="15" t="s">
        <v>795</v>
      </c>
      <c r="C7892" s="15" t="s">
        <v>795</v>
      </c>
      <c r="D7892" s="15" t="s">
        <v>795</v>
      </c>
      <c r="F7892" s="42"/>
    </row>
    <row r="7893" spans="1:6" x14ac:dyDescent="0.3">
      <c r="A7893" s="15" t="s">
        <v>33499</v>
      </c>
      <c r="B7893" s="15" t="s">
        <v>795</v>
      </c>
      <c r="C7893" s="15" t="s">
        <v>795</v>
      </c>
      <c r="D7893" s="15" t="s">
        <v>795</v>
      </c>
      <c r="F7893" s="42"/>
    </row>
    <row r="7894" spans="1:6" x14ac:dyDescent="0.3">
      <c r="A7894" s="15" t="s">
        <v>37122</v>
      </c>
      <c r="B7894" s="15" t="s">
        <v>795</v>
      </c>
      <c r="C7894" s="15" t="s">
        <v>795</v>
      </c>
      <c r="D7894" s="15" t="s">
        <v>795</v>
      </c>
      <c r="F7894" s="42"/>
    </row>
    <row r="7895" spans="1:6" x14ac:dyDescent="0.3">
      <c r="A7895" s="15" t="s">
        <v>33499</v>
      </c>
      <c r="B7895" s="15" t="s">
        <v>795</v>
      </c>
      <c r="C7895" s="15" t="s">
        <v>795</v>
      </c>
      <c r="D7895" s="15" t="s">
        <v>795</v>
      </c>
      <c r="F7895" s="42"/>
    </row>
    <row r="7896" spans="1:6" x14ac:dyDescent="0.3">
      <c r="A7896" s="15" t="s">
        <v>41172</v>
      </c>
      <c r="B7896" s="15" t="s">
        <v>14510</v>
      </c>
      <c r="C7896" s="15" t="s">
        <v>800</v>
      </c>
      <c r="D7896" s="15" t="s">
        <v>14511</v>
      </c>
      <c r="E7896" s="15">
        <v>1713.8</v>
      </c>
      <c r="F7896" s="42">
        <v>46198</v>
      </c>
    </row>
    <row r="7897" spans="1:6" x14ac:dyDescent="0.3">
      <c r="A7897" s="15" t="s">
        <v>41171</v>
      </c>
      <c r="B7897" s="15" t="s">
        <v>14512</v>
      </c>
      <c r="C7897" s="15" t="s">
        <v>800</v>
      </c>
      <c r="D7897" s="15" t="s">
        <v>14513</v>
      </c>
      <c r="E7897" s="15">
        <v>1519.43</v>
      </c>
      <c r="F7897" s="42">
        <v>46198</v>
      </c>
    </row>
    <row r="7898" spans="1:6" x14ac:dyDescent="0.3">
      <c r="A7898" s="15" t="s">
        <v>41170</v>
      </c>
      <c r="B7898" s="15" t="s">
        <v>14514</v>
      </c>
      <c r="C7898" s="15" t="s">
        <v>14515</v>
      </c>
      <c r="D7898" s="15" t="s">
        <v>14516</v>
      </c>
      <c r="E7898" s="15">
        <v>291.64999999999998</v>
      </c>
      <c r="F7898" s="42">
        <v>46198</v>
      </c>
    </row>
    <row r="7899" spans="1:6" x14ac:dyDescent="0.3">
      <c r="A7899" s="15" t="s">
        <v>41169</v>
      </c>
      <c r="B7899" s="15" t="s">
        <v>14517</v>
      </c>
      <c r="C7899" s="15" t="s">
        <v>14518</v>
      </c>
      <c r="D7899" s="15" t="s">
        <v>14519</v>
      </c>
      <c r="E7899" s="15">
        <v>169.49</v>
      </c>
      <c r="F7899" s="42">
        <v>46198</v>
      </c>
    </row>
    <row r="7900" spans="1:6" x14ac:dyDescent="0.3">
      <c r="A7900" s="15" t="s">
        <v>33499</v>
      </c>
      <c r="B7900" s="15" t="s">
        <v>795</v>
      </c>
      <c r="C7900" s="15" t="s">
        <v>795</v>
      </c>
      <c r="D7900" s="15" t="s">
        <v>795</v>
      </c>
      <c r="F7900" s="42"/>
    </row>
    <row r="7901" spans="1:6" x14ac:dyDescent="0.3">
      <c r="A7901" s="15" t="s">
        <v>37087</v>
      </c>
      <c r="B7901" s="15" t="s">
        <v>795</v>
      </c>
      <c r="C7901" s="15" t="s">
        <v>795</v>
      </c>
      <c r="D7901" s="15" t="s">
        <v>795</v>
      </c>
      <c r="F7901" s="42"/>
    </row>
    <row r="7902" spans="1:6" x14ac:dyDescent="0.3">
      <c r="A7902" s="15" t="s">
        <v>33499</v>
      </c>
      <c r="B7902" s="15" t="s">
        <v>795</v>
      </c>
      <c r="C7902" s="15" t="s">
        <v>795</v>
      </c>
      <c r="D7902" s="15" t="s">
        <v>795</v>
      </c>
      <c r="F7902" s="42"/>
    </row>
    <row r="7903" spans="1:6" x14ac:dyDescent="0.3">
      <c r="A7903" s="15" t="s">
        <v>41168</v>
      </c>
      <c r="B7903" s="15" t="s">
        <v>14520</v>
      </c>
      <c r="C7903" s="15" t="s">
        <v>800</v>
      </c>
      <c r="D7903" s="15" t="s">
        <v>14521</v>
      </c>
      <c r="E7903" s="15">
        <v>22.7</v>
      </c>
      <c r="F7903" s="42">
        <v>46198</v>
      </c>
    </row>
    <row r="7904" spans="1:6" x14ac:dyDescent="0.3">
      <c r="A7904" s="15" t="s">
        <v>41167</v>
      </c>
      <c r="B7904" s="15" t="s">
        <v>14522</v>
      </c>
      <c r="C7904" s="15" t="s">
        <v>14523</v>
      </c>
      <c r="D7904" s="15" t="s">
        <v>14524</v>
      </c>
      <c r="E7904" s="15">
        <v>15.49</v>
      </c>
      <c r="F7904" s="42">
        <v>46198</v>
      </c>
    </row>
    <row r="7905" spans="1:6" x14ac:dyDescent="0.3">
      <c r="A7905" s="15" t="s">
        <v>41166</v>
      </c>
      <c r="B7905" s="15" t="s">
        <v>14525</v>
      </c>
      <c r="C7905" s="15" t="s">
        <v>14526</v>
      </c>
      <c r="D7905" s="15" t="s">
        <v>14527</v>
      </c>
      <c r="E7905" s="15">
        <v>14.88</v>
      </c>
      <c r="F7905" s="42">
        <v>46198</v>
      </c>
    </row>
    <row r="7906" spans="1:6" x14ac:dyDescent="0.3">
      <c r="A7906" s="15" t="s">
        <v>41165</v>
      </c>
      <c r="B7906" s="15" t="s">
        <v>14528</v>
      </c>
      <c r="C7906" s="15" t="s">
        <v>14529</v>
      </c>
      <c r="D7906" s="15" t="s">
        <v>14530</v>
      </c>
      <c r="E7906" s="15">
        <v>15.3</v>
      </c>
      <c r="F7906" s="42">
        <v>46198</v>
      </c>
    </row>
    <row r="7907" spans="1:6" x14ac:dyDescent="0.3">
      <c r="A7907" s="15" t="s">
        <v>41164</v>
      </c>
      <c r="B7907" s="15" t="s">
        <v>14531</v>
      </c>
      <c r="C7907" s="15" t="s">
        <v>800</v>
      </c>
      <c r="D7907" s="15" t="s">
        <v>14532</v>
      </c>
      <c r="E7907" s="15">
        <v>20.5</v>
      </c>
      <c r="F7907" s="42">
        <v>46198</v>
      </c>
    </row>
    <row r="7908" spans="1:6" x14ac:dyDescent="0.3">
      <c r="A7908" s="15" t="s">
        <v>41163</v>
      </c>
      <c r="B7908" s="15" t="s">
        <v>14533</v>
      </c>
      <c r="C7908" s="15" t="s">
        <v>14534</v>
      </c>
      <c r="D7908" s="15" t="s">
        <v>14535</v>
      </c>
      <c r="E7908" s="15">
        <v>12.54</v>
      </c>
      <c r="F7908" s="42">
        <v>46198</v>
      </c>
    </row>
    <row r="7909" spans="1:6" x14ac:dyDescent="0.3">
      <c r="A7909" s="15" t="s">
        <v>41162</v>
      </c>
      <c r="B7909" s="15" t="s">
        <v>14536</v>
      </c>
      <c r="C7909" s="15" t="s">
        <v>14537</v>
      </c>
      <c r="D7909" s="15" t="s">
        <v>14538</v>
      </c>
      <c r="E7909" s="15">
        <v>12.94</v>
      </c>
      <c r="F7909" s="42">
        <v>46198</v>
      </c>
    </row>
    <row r="7910" spans="1:6" x14ac:dyDescent="0.3">
      <c r="A7910" s="15" t="s">
        <v>41161</v>
      </c>
      <c r="B7910" s="15" t="s">
        <v>14539</v>
      </c>
      <c r="C7910" s="15" t="s">
        <v>14540</v>
      </c>
      <c r="D7910" s="15" t="s">
        <v>14541</v>
      </c>
      <c r="E7910" s="15">
        <v>13.77</v>
      </c>
      <c r="F7910" s="42">
        <v>46198</v>
      </c>
    </row>
    <row r="7911" spans="1:6" x14ac:dyDescent="0.3">
      <c r="A7911" s="15" t="s">
        <v>33499</v>
      </c>
      <c r="B7911" s="15" t="s">
        <v>795</v>
      </c>
      <c r="C7911" s="15" t="s">
        <v>795</v>
      </c>
      <c r="D7911" s="15" t="s">
        <v>795</v>
      </c>
      <c r="F7911" s="42"/>
    </row>
    <row r="7912" spans="1:6" x14ac:dyDescent="0.3">
      <c r="A7912" s="15" t="s">
        <v>37073</v>
      </c>
      <c r="B7912" s="15" t="s">
        <v>795</v>
      </c>
      <c r="C7912" s="15" t="s">
        <v>795</v>
      </c>
      <c r="D7912" s="15" t="s">
        <v>795</v>
      </c>
      <c r="F7912" s="42"/>
    </row>
    <row r="7913" spans="1:6" x14ac:dyDescent="0.3">
      <c r="A7913" s="15" t="s">
        <v>33499</v>
      </c>
      <c r="B7913" s="15" t="s">
        <v>795</v>
      </c>
      <c r="C7913" s="15" t="s">
        <v>795</v>
      </c>
      <c r="D7913" s="15" t="s">
        <v>795</v>
      </c>
      <c r="F7913" s="42"/>
    </row>
    <row r="7914" spans="1:6" x14ac:dyDescent="0.3">
      <c r="A7914" s="15" t="s">
        <v>41160</v>
      </c>
      <c r="B7914" s="15" t="s">
        <v>14542</v>
      </c>
      <c r="C7914" s="15" t="s">
        <v>800</v>
      </c>
      <c r="D7914" s="15" t="s">
        <v>14543</v>
      </c>
      <c r="E7914" s="15">
        <v>31.233000000000001</v>
      </c>
      <c r="F7914" s="42">
        <v>46198</v>
      </c>
    </row>
    <row r="7915" spans="1:6" x14ac:dyDescent="0.3">
      <c r="A7915" s="15" t="s">
        <v>41159</v>
      </c>
      <c r="B7915" s="15" t="s">
        <v>14544</v>
      </c>
      <c r="C7915" s="15" t="s">
        <v>14545</v>
      </c>
      <c r="D7915" s="15" t="s">
        <v>14546</v>
      </c>
      <c r="E7915" s="15">
        <v>21.814</v>
      </c>
      <c r="F7915" s="42">
        <v>46198</v>
      </c>
    </row>
    <row r="7916" spans="1:6" x14ac:dyDescent="0.3">
      <c r="A7916" s="15" t="s">
        <v>41158</v>
      </c>
      <c r="B7916" s="15" t="s">
        <v>14547</v>
      </c>
      <c r="C7916" s="15" t="s">
        <v>800</v>
      </c>
      <c r="D7916" s="15" t="s">
        <v>14548</v>
      </c>
      <c r="E7916" s="15">
        <v>27.283000000000001</v>
      </c>
      <c r="F7916" s="42">
        <v>46198</v>
      </c>
    </row>
    <row r="7917" spans="1:6" x14ac:dyDescent="0.3">
      <c r="A7917" s="15" t="s">
        <v>41157</v>
      </c>
      <c r="B7917" s="15" t="s">
        <v>14549</v>
      </c>
      <c r="C7917" s="15" t="s">
        <v>14550</v>
      </c>
      <c r="D7917" s="15" t="s">
        <v>14551</v>
      </c>
      <c r="E7917" s="15">
        <v>19.079000000000001</v>
      </c>
      <c r="F7917" s="42">
        <v>46198</v>
      </c>
    </row>
    <row r="7918" spans="1:6" x14ac:dyDescent="0.3">
      <c r="A7918" s="15" t="s">
        <v>33499</v>
      </c>
      <c r="B7918" s="15" t="s">
        <v>795</v>
      </c>
      <c r="C7918" s="15" t="s">
        <v>795</v>
      </c>
      <c r="D7918" s="15" t="s">
        <v>795</v>
      </c>
      <c r="F7918" s="42"/>
    </row>
    <row r="7919" spans="1:6" x14ac:dyDescent="0.3">
      <c r="A7919" s="15" t="s">
        <v>37447</v>
      </c>
      <c r="B7919" s="15" t="s">
        <v>795</v>
      </c>
      <c r="C7919" s="15" t="s">
        <v>795</v>
      </c>
      <c r="D7919" s="15" t="s">
        <v>795</v>
      </c>
      <c r="F7919" s="42"/>
    </row>
    <row r="7920" spans="1:6" x14ac:dyDescent="0.3">
      <c r="A7920" s="15" t="s">
        <v>33499</v>
      </c>
      <c r="B7920" s="15" t="s">
        <v>795</v>
      </c>
      <c r="C7920" s="15" t="s">
        <v>795</v>
      </c>
      <c r="D7920" s="15" t="s">
        <v>795</v>
      </c>
      <c r="F7920" s="42"/>
    </row>
    <row r="7921" spans="1:6" x14ac:dyDescent="0.3">
      <c r="A7921" s="15" t="s">
        <v>41156</v>
      </c>
      <c r="B7921" s="15" t="s">
        <v>14552</v>
      </c>
      <c r="C7921" s="15" t="s">
        <v>800</v>
      </c>
      <c r="D7921" s="15" t="s">
        <v>14553</v>
      </c>
      <c r="E7921" s="15">
        <v>45.92</v>
      </c>
      <c r="F7921" s="42">
        <v>46198</v>
      </c>
    </row>
    <row r="7922" spans="1:6" x14ac:dyDescent="0.3">
      <c r="A7922" s="15" t="s">
        <v>41155</v>
      </c>
      <c r="B7922" s="15" t="s">
        <v>14554</v>
      </c>
      <c r="C7922" s="15" t="s">
        <v>14555</v>
      </c>
      <c r="D7922" s="15" t="s">
        <v>14556</v>
      </c>
      <c r="E7922" s="15">
        <v>36.1</v>
      </c>
      <c r="F7922" s="42">
        <v>46198</v>
      </c>
    </row>
    <row r="7923" spans="1:6" x14ac:dyDescent="0.3">
      <c r="A7923" s="15" t="s">
        <v>41154</v>
      </c>
      <c r="B7923" s="15" t="s">
        <v>14557</v>
      </c>
      <c r="C7923" s="15" t="s">
        <v>800</v>
      </c>
      <c r="D7923" s="15" t="s">
        <v>14558</v>
      </c>
      <c r="E7923" s="15">
        <v>41.61</v>
      </c>
      <c r="F7923" s="42">
        <v>46198</v>
      </c>
    </row>
    <row r="7924" spans="1:6" x14ac:dyDescent="0.3">
      <c r="A7924" s="15" t="s">
        <v>41153</v>
      </c>
      <c r="B7924" s="15" t="s">
        <v>14559</v>
      </c>
      <c r="C7924" s="15" t="s">
        <v>14560</v>
      </c>
      <c r="D7924" s="15" t="s">
        <v>14561</v>
      </c>
      <c r="E7924" s="15">
        <v>33.97</v>
      </c>
      <c r="F7924" s="42">
        <v>46198</v>
      </c>
    </row>
    <row r="7925" spans="1:6" x14ac:dyDescent="0.3">
      <c r="A7925" s="15" t="s">
        <v>33499</v>
      </c>
      <c r="B7925" s="15" t="s">
        <v>795</v>
      </c>
      <c r="C7925" s="15" t="s">
        <v>795</v>
      </c>
      <c r="D7925" s="15" t="s">
        <v>795</v>
      </c>
      <c r="F7925" s="42"/>
    </row>
    <row r="7926" spans="1:6" x14ac:dyDescent="0.3">
      <c r="A7926" s="15" t="s">
        <v>37566</v>
      </c>
      <c r="B7926" s="15" t="s">
        <v>795</v>
      </c>
      <c r="C7926" s="15" t="s">
        <v>795</v>
      </c>
      <c r="D7926" s="15" t="s">
        <v>795</v>
      </c>
      <c r="F7926" s="42"/>
    </row>
    <row r="7927" spans="1:6" x14ac:dyDescent="0.3">
      <c r="A7927" s="15" t="s">
        <v>33499</v>
      </c>
      <c r="B7927" s="15" t="s">
        <v>795</v>
      </c>
      <c r="C7927" s="15" t="s">
        <v>795</v>
      </c>
      <c r="D7927" s="15" t="s">
        <v>795</v>
      </c>
      <c r="F7927" s="42"/>
    </row>
    <row r="7928" spans="1:6" x14ac:dyDescent="0.3">
      <c r="A7928" s="15" t="s">
        <v>41152</v>
      </c>
      <c r="B7928" s="15" t="s">
        <v>14562</v>
      </c>
      <c r="C7928" s="15" t="s">
        <v>14563</v>
      </c>
      <c r="D7928" s="15" t="s">
        <v>14564</v>
      </c>
      <c r="E7928" s="15">
        <v>18.068000000000001</v>
      </c>
      <c r="F7928" s="42">
        <v>46198</v>
      </c>
    </row>
    <row r="7929" spans="1:6" x14ac:dyDescent="0.3">
      <c r="A7929" s="15" t="s">
        <v>41151</v>
      </c>
      <c r="B7929" s="15" t="s">
        <v>14565</v>
      </c>
      <c r="C7929" s="15" t="s">
        <v>800</v>
      </c>
      <c r="D7929" s="15" t="s">
        <v>14566</v>
      </c>
      <c r="E7929" s="15">
        <v>32.323799999999999</v>
      </c>
      <c r="F7929" s="42">
        <v>46198</v>
      </c>
    </row>
    <row r="7930" spans="1:6" x14ac:dyDescent="0.3">
      <c r="A7930" s="15" t="s">
        <v>41150</v>
      </c>
      <c r="B7930" s="15" t="s">
        <v>14567</v>
      </c>
      <c r="C7930" s="15" t="s">
        <v>14568</v>
      </c>
      <c r="D7930" s="15" t="s">
        <v>14569</v>
      </c>
      <c r="E7930" s="15">
        <v>15.5783</v>
      </c>
      <c r="F7930" s="42">
        <v>46198</v>
      </c>
    </row>
    <row r="7931" spans="1:6" x14ac:dyDescent="0.3">
      <c r="A7931" s="15" t="s">
        <v>41149</v>
      </c>
      <c r="B7931" s="15" t="s">
        <v>14570</v>
      </c>
      <c r="C7931" s="15" t="s">
        <v>800</v>
      </c>
      <c r="D7931" s="15" t="s">
        <v>14571</v>
      </c>
      <c r="E7931" s="15">
        <v>27.857299999999999</v>
      </c>
      <c r="F7931" s="42">
        <v>46198</v>
      </c>
    </row>
    <row r="7932" spans="1:6" x14ac:dyDescent="0.3">
      <c r="A7932" s="15" t="s">
        <v>33499</v>
      </c>
      <c r="B7932" s="15" t="s">
        <v>795</v>
      </c>
      <c r="C7932" s="15" t="s">
        <v>795</v>
      </c>
      <c r="D7932" s="15" t="s">
        <v>795</v>
      </c>
      <c r="F7932" s="42"/>
    </row>
    <row r="7933" spans="1:6" x14ac:dyDescent="0.3">
      <c r="A7933" s="15" t="s">
        <v>40284</v>
      </c>
      <c r="B7933" s="15" t="s">
        <v>795</v>
      </c>
      <c r="C7933" s="15" t="s">
        <v>795</v>
      </c>
      <c r="D7933" s="15" t="s">
        <v>795</v>
      </c>
      <c r="F7933" s="42"/>
    </row>
    <row r="7934" spans="1:6" x14ac:dyDescent="0.3">
      <c r="A7934" s="15" t="s">
        <v>33499</v>
      </c>
      <c r="B7934" s="15" t="s">
        <v>795</v>
      </c>
      <c r="C7934" s="15" t="s">
        <v>795</v>
      </c>
      <c r="D7934" s="15" t="s">
        <v>795</v>
      </c>
      <c r="F7934" s="42"/>
    </row>
    <row r="7935" spans="1:6" x14ac:dyDescent="0.3">
      <c r="A7935" s="15" t="s">
        <v>41148</v>
      </c>
      <c r="B7935" s="15" t="s">
        <v>14572</v>
      </c>
      <c r="C7935" s="15" t="s">
        <v>800</v>
      </c>
      <c r="D7935" s="15" t="s">
        <v>14573</v>
      </c>
      <c r="E7935" s="15">
        <v>416.33</v>
      </c>
      <c r="F7935" s="42">
        <v>46198</v>
      </c>
    </row>
    <row r="7936" spans="1:6" x14ac:dyDescent="0.3">
      <c r="A7936" s="15" t="s">
        <v>41147</v>
      </c>
      <c r="B7936" s="15" t="s">
        <v>14574</v>
      </c>
      <c r="C7936" s="15" t="s">
        <v>14575</v>
      </c>
      <c r="D7936" s="15" t="s">
        <v>14576</v>
      </c>
      <c r="E7936" s="15">
        <v>130.44999999999999</v>
      </c>
      <c r="F7936" s="42">
        <v>46198</v>
      </c>
    </row>
    <row r="7937" spans="1:6" x14ac:dyDescent="0.3">
      <c r="A7937" s="15" t="s">
        <v>41146</v>
      </c>
      <c r="B7937" s="15" t="s">
        <v>14577</v>
      </c>
      <c r="C7937" s="15" t="s">
        <v>800</v>
      </c>
      <c r="D7937" s="15" t="s">
        <v>14578</v>
      </c>
      <c r="E7937" s="15">
        <v>364.14</v>
      </c>
      <c r="F7937" s="42">
        <v>46198</v>
      </c>
    </row>
    <row r="7938" spans="1:6" x14ac:dyDescent="0.3">
      <c r="A7938" s="15" t="s">
        <v>41145</v>
      </c>
      <c r="B7938" s="15" t="s">
        <v>14579</v>
      </c>
      <c r="C7938" s="15" t="s">
        <v>14580</v>
      </c>
      <c r="D7938" s="15" t="s">
        <v>14581</v>
      </c>
      <c r="E7938" s="15">
        <v>92.23</v>
      </c>
      <c r="F7938" s="42">
        <v>46198</v>
      </c>
    </row>
    <row r="7939" spans="1:6" x14ac:dyDescent="0.3">
      <c r="A7939" s="15" t="s">
        <v>33499</v>
      </c>
      <c r="B7939" s="15" t="s">
        <v>795</v>
      </c>
      <c r="C7939" s="15" t="s">
        <v>795</v>
      </c>
      <c r="D7939" s="15" t="s">
        <v>795</v>
      </c>
      <c r="F7939" s="42"/>
    </row>
    <row r="7940" spans="1:6" x14ac:dyDescent="0.3">
      <c r="A7940" s="15" t="s">
        <v>37061</v>
      </c>
      <c r="B7940" s="15" t="s">
        <v>795</v>
      </c>
      <c r="C7940" s="15" t="s">
        <v>795</v>
      </c>
      <c r="D7940" s="15" t="s">
        <v>795</v>
      </c>
      <c r="F7940" s="42"/>
    </row>
    <row r="7941" spans="1:6" x14ac:dyDescent="0.3">
      <c r="A7941" s="15" t="s">
        <v>33499</v>
      </c>
      <c r="B7941" s="15" t="s">
        <v>795</v>
      </c>
      <c r="C7941" s="15" t="s">
        <v>795</v>
      </c>
      <c r="D7941" s="15" t="s">
        <v>795</v>
      </c>
      <c r="F7941" s="42"/>
    </row>
    <row r="7942" spans="1:6" x14ac:dyDescent="0.3">
      <c r="A7942" s="15" t="s">
        <v>41144</v>
      </c>
      <c r="B7942" s="15" t="s">
        <v>14582</v>
      </c>
      <c r="C7942" s="15" t="s">
        <v>800</v>
      </c>
      <c r="D7942" s="15" t="s">
        <v>14583</v>
      </c>
      <c r="E7942" s="15">
        <v>398.85300000000001</v>
      </c>
      <c r="F7942" s="42">
        <v>46198</v>
      </c>
    </row>
    <row r="7943" spans="1:6" x14ac:dyDescent="0.3">
      <c r="A7943" s="15" t="s">
        <v>41143</v>
      </c>
      <c r="B7943" s="15" t="s">
        <v>14584</v>
      </c>
      <c r="C7943" s="15" t="s">
        <v>14585</v>
      </c>
      <c r="D7943" s="15" t="s">
        <v>14586</v>
      </c>
      <c r="E7943" s="15">
        <v>71.088999999999999</v>
      </c>
      <c r="F7943" s="42">
        <v>46198</v>
      </c>
    </row>
    <row r="7944" spans="1:6" x14ac:dyDescent="0.3">
      <c r="A7944" s="15" t="s">
        <v>41142</v>
      </c>
      <c r="B7944" s="15" t="s">
        <v>14587</v>
      </c>
      <c r="C7944" s="15" t="s">
        <v>800</v>
      </c>
      <c r="D7944" s="15" t="s">
        <v>14588</v>
      </c>
      <c r="E7944" s="15">
        <v>351.233</v>
      </c>
      <c r="F7944" s="42">
        <v>46198</v>
      </c>
    </row>
    <row r="7945" spans="1:6" x14ac:dyDescent="0.3">
      <c r="A7945" s="15" t="s">
        <v>41141</v>
      </c>
      <c r="B7945" s="15" t="s">
        <v>14589</v>
      </c>
      <c r="C7945" s="15" t="s">
        <v>14590</v>
      </c>
      <c r="D7945" s="15" t="s">
        <v>14591</v>
      </c>
      <c r="E7945" s="15">
        <v>27.175000000000001</v>
      </c>
      <c r="F7945" s="42">
        <v>46198</v>
      </c>
    </row>
    <row r="7946" spans="1:6" x14ac:dyDescent="0.3">
      <c r="A7946" s="15" t="s">
        <v>33499</v>
      </c>
      <c r="B7946" s="15" t="s">
        <v>795</v>
      </c>
      <c r="C7946" s="15" t="s">
        <v>795</v>
      </c>
      <c r="D7946" s="15" t="s">
        <v>795</v>
      </c>
      <c r="F7946" s="42"/>
    </row>
    <row r="7947" spans="1:6" x14ac:dyDescent="0.3">
      <c r="A7947" s="15" t="s">
        <v>37895</v>
      </c>
      <c r="B7947" s="15" t="s">
        <v>795</v>
      </c>
      <c r="C7947" s="15" t="s">
        <v>795</v>
      </c>
      <c r="D7947" s="15" t="s">
        <v>795</v>
      </c>
      <c r="F7947" s="42"/>
    </row>
    <row r="7948" spans="1:6" x14ac:dyDescent="0.3">
      <c r="A7948" s="15" t="s">
        <v>33499</v>
      </c>
      <c r="B7948" s="15" t="s">
        <v>795</v>
      </c>
      <c r="C7948" s="15" t="s">
        <v>795</v>
      </c>
      <c r="D7948" s="15" t="s">
        <v>795</v>
      </c>
      <c r="F7948" s="42"/>
    </row>
    <row r="7949" spans="1:6" x14ac:dyDescent="0.3">
      <c r="A7949" s="15" t="s">
        <v>41140</v>
      </c>
      <c r="B7949" s="15" t="s">
        <v>14592</v>
      </c>
      <c r="C7949" s="15" t="s">
        <v>14593</v>
      </c>
      <c r="D7949" s="15" t="s">
        <v>14594</v>
      </c>
      <c r="E7949" s="15">
        <v>32.5</v>
      </c>
      <c r="F7949" s="42">
        <v>46198</v>
      </c>
    </row>
    <row r="7950" spans="1:6" x14ac:dyDescent="0.3">
      <c r="A7950" s="15" t="s">
        <v>41139</v>
      </c>
      <c r="B7950" s="15" t="s">
        <v>14595</v>
      </c>
      <c r="C7950" s="15" t="s">
        <v>14596</v>
      </c>
      <c r="D7950" s="15" t="s">
        <v>14597</v>
      </c>
      <c r="E7950" s="15">
        <v>64.290000000000006</v>
      </c>
      <c r="F7950" s="42">
        <v>46198</v>
      </c>
    </row>
    <row r="7951" spans="1:6" x14ac:dyDescent="0.3">
      <c r="A7951" s="15" t="s">
        <v>41138</v>
      </c>
      <c r="B7951" s="15" t="s">
        <v>14598</v>
      </c>
      <c r="C7951" s="15" t="s">
        <v>800</v>
      </c>
      <c r="D7951" s="15" t="s">
        <v>14599</v>
      </c>
      <c r="E7951" s="15">
        <v>64.16</v>
      </c>
      <c r="F7951" s="42">
        <v>46198</v>
      </c>
    </row>
    <row r="7952" spans="1:6" x14ac:dyDescent="0.3">
      <c r="A7952" s="15" t="s">
        <v>41137</v>
      </c>
      <c r="B7952" s="15" t="s">
        <v>14600</v>
      </c>
      <c r="C7952" s="15" t="s">
        <v>14601</v>
      </c>
      <c r="D7952" s="15" t="s">
        <v>14602</v>
      </c>
      <c r="E7952" s="15">
        <v>25.67</v>
      </c>
      <c r="F7952" s="42">
        <v>46198</v>
      </c>
    </row>
    <row r="7953" spans="1:6" x14ac:dyDescent="0.3">
      <c r="A7953" s="15" t="s">
        <v>41136</v>
      </c>
      <c r="B7953" s="15" t="s">
        <v>14603</v>
      </c>
      <c r="C7953" s="15" t="s">
        <v>800</v>
      </c>
      <c r="D7953" s="15" t="s">
        <v>14604</v>
      </c>
      <c r="E7953" s="15">
        <v>63.49</v>
      </c>
      <c r="F7953" s="42">
        <v>46198</v>
      </c>
    </row>
    <row r="7954" spans="1:6" x14ac:dyDescent="0.3">
      <c r="A7954" s="15" t="s">
        <v>41135</v>
      </c>
      <c r="B7954" s="15" t="s">
        <v>14605</v>
      </c>
      <c r="C7954" s="15" t="s">
        <v>800</v>
      </c>
      <c r="D7954" s="15" t="s">
        <v>14606</v>
      </c>
      <c r="E7954" s="15">
        <v>74.930000000000007</v>
      </c>
      <c r="F7954" s="42">
        <v>46198</v>
      </c>
    </row>
    <row r="7955" spans="1:6" x14ac:dyDescent="0.3">
      <c r="A7955" s="15" t="s">
        <v>33499</v>
      </c>
      <c r="B7955" s="15" t="s">
        <v>795</v>
      </c>
      <c r="C7955" s="15" t="s">
        <v>795</v>
      </c>
      <c r="D7955" s="15" t="s">
        <v>795</v>
      </c>
      <c r="F7955" s="42"/>
    </row>
    <row r="7956" spans="1:6" x14ac:dyDescent="0.3">
      <c r="A7956" s="15" t="s">
        <v>37044</v>
      </c>
      <c r="B7956" s="15" t="s">
        <v>795</v>
      </c>
      <c r="C7956" s="15" t="s">
        <v>795</v>
      </c>
      <c r="D7956" s="15" t="s">
        <v>795</v>
      </c>
      <c r="F7956" s="42"/>
    </row>
    <row r="7957" spans="1:6" x14ac:dyDescent="0.3">
      <c r="A7957" s="15" t="s">
        <v>33499</v>
      </c>
      <c r="B7957" s="15" t="s">
        <v>795</v>
      </c>
      <c r="C7957" s="15" t="s">
        <v>795</v>
      </c>
      <c r="D7957" s="15" t="s">
        <v>795</v>
      </c>
      <c r="F7957" s="42"/>
    </row>
    <row r="7958" spans="1:6" x14ac:dyDescent="0.3">
      <c r="A7958" s="15" t="s">
        <v>41134</v>
      </c>
      <c r="B7958" s="15" t="s">
        <v>14607</v>
      </c>
      <c r="C7958" s="15" t="s">
        <v>800</v>
      </c>
      <c r="D7958" s="15" t="s">
        <v>14608</v>
      </c>
      <c r="E7958" s="15">
        <v>308.68700000000001</v>
      </c>
      <c r="F7958" s="42">
        <v>46198</v>
      </c>
    </row>
    <row r="7959" spans="1:6" x14ac:dyDescent="0.3">
      <c r="A7959" s="15" t="s">
        <v>41133</v>
      </c>
      <c r="B7959" s="15" t="s">
        <v>14609</v>
      </c>
      <c r="C7959" s="15" t="s">
        <v>14610</v>
      </c>
      <c r="D7959" s="15" t="s">
        <v>14611</v>
      </c>
      <c r="E7959" s="15">
        <v>33.954999999999998</v>
      </c>
      <c r="F7959" s="42">
        <v>46198</v>
      </c>
    </row>
    <row r="7960" spans="1:6" x14ac:dyDescent="0.3">
      <c r="A7960" s="15" t="s">
        <v>41132</v>
      </c>
      <c r="B7960" s="15" t="s">
        <v>14612</v>
      </c>
      <c r="C7960" s="15" t="s">
        <v>800</v>
      </c>
      <c r="D7960" s="15" t="s">
        <v>14613</v>
      </c>
      <c r="E7960" s="15">
        <v>267.2595</v>
      </c>
      <c r="F7960" s="42">
        <v>46198</v>
      </c>
    </row>
    <row r="7961" spans="1:6" x14ac:dyDescent="0.3">
      <c r="A7961" s="15" t="s">
        <v>41131</v>
      </c>
      <c r="B7961" s="15" t="s">
        <v>14614</v>
      </c>
      <c r="C7961" s="15" t="s">
        <v>14615</v>
      </c>
      <c r="D7961" s="15" t="s">
        <v>14616</v>
      </c>
      <c r="E7961" s="15">
        <v>28.3521</v>
      </c>
      <c r="F7961" s="42">
        <v>46198</v>
      </c>
    </row>
    <row r="7962" spans="1:6" x14ac:dyDescent="0.3">
      <c r="A7962" s="15" t="s">
        <v>33499</v>
      </c>
      <c r="B7962" s="15" t="s">
        <v>795</v>
      </c>
      <c r="C7962" s="15" t="s">
        <v>795</v>
      </c>
      <c r="D7962" s="15" t="s">
        <v>795</v>
      </c>
      <c r="F7962" s="42"/>
    </row>
    <row r="7963" spans="1:6" x14ac:dyDescent="0.3">
      <c r="A7963" s="15" t="s">
        <v>37881</v>
      </c>
      <c r="B7963" s="15" t="s">
        <v>795</v>
      </c>
      <c r="C7963" s="15" t="s">
        <v>795</v>
      </c>
      <c r="D7963" s="15" t="s">
        <v>795</v>
      </c>
      <c r="F7963" s="42"/>
    </row>
    <row r="7964" spans="1:6" x14ac:dyDescent="0.3">
      <c r="A7964" s="15" t="s">
        <v>33499</v>
      </c>
      <c r="B7964" s="15" t="s">
        <v>795</v>
      </c>
      <c r="C7964" s="15" t="s">
        <v>795</v>
      </c>
      <c r="D7964" s="15" t="s">
        <v>795</v>
      </c>
      <c r="F7964" s="42"/>
    </row>
    <row r="7965" spans="1:6" x14ac:dyDescent="0.3">
      <c r="A7965" s="15" t="s">
        <v>41130</v>
      </c>
      <c r="B7965" s="15" t="s">
        <v>14617</v>
      </c>
      <c r="C7965" s="15" t="s">
        <v>800</v>
      </c>
      <c r="D7965" s="15" t="s">
        <v>14618</v>
      </c>
      <c r="E7965" s="15">
        <v>23.024100000000001</v>
      </c>
      <c r="F7965" s="42">
        <v>46198</v>
      </c>
    </row>
    <row r="7966" spans="1:6" x14ac:dyDescent="0.3">
      <c r="A7966" s="15" t="s">
        <v>41129</v>
      </c>
      <c r="B7966" s="15" t="s">
        <v>14619</v>
      </c>
      <c r="C7966" s="15" t="s">
        <v>800</v>
      </c>
      <c r="D7966" s="15" t="s">
        <v>14620</v>
      </c>
      <c r="E7966" s="15">
        <v>20.396899999999999</v>
      </c>
      <c r="F7966" s="42">
        <v>46198</v>
      </c>
    </row>
    <row r="7967" spans="1:6" x14ac:dyDescent="0.3">
      <c r="A7967" s="15" t="s">
        <v>41128</v>
      </c>
      <c r="B7967" s="15" t="s">
        <v>14621</v>
      </c>
      <c r="C7967" s="15" t="s">
        <v>14622</v>
      </c>
      <c r="D7967" s="15" t="s">
        <v>14623</v>
      </c>
      <c r="E7967" s="15">
        <v>22.821200000000001</v>
      </c>
      <c r="F7967" s="42">
        <v>46198</v>
      </c>
    </row>
    <row r="7968" spans="1:6" x14ac:dyDescent="0.3">
      <c r="A7968" s="15" t="s">
        <v>41127</v>
      </c>
      <c r="B7968" s="15" t="s">
        <v>14624</v>
      </c>
      <c r="C7968" s="15" t="s">
        <v>14625</v>
      </c>
      <c r="D7968" s="15" t="s">
        <v>14626</v>
      </c>
      <c r="E7968" s="15">
        <v>22.132100000000001</v>
      </c>
      <c r="F7968" s="42">
        <v>46198</v>
      </c>
    </row>
    <row r="7969" spans="1:6" x14ac:dyDescent="0.3">
      <c r="A7969" s="15" t="s">
        <v>41126</v>
      </c>
      <c r="B7969" s="15" t="s">
        <v>14627</v>
      </c>
      <c r="C7969" s="15" t="s">
        <v>14628</v>
      </c>
      <c r="D7969" s="15" t="s">
        <v>14629</v>
      </c>
      <c r="E7969" s="15">
        <v>22.785</v>
      </c>
      <c r="F7969" s="42">
        <v>46198</v>
      </c>
    </row>
    <row r="7970" spans="1:6" x14ac:dyDescent="0.3">
      <c r="A7970" s="15" t="s">
        <v>41125</v>
      </c>
      <c r="B7970" s="15" t="s">
        <v>14630</v>
      </c>
      <c r="C7970" s="15" t="s">
        <v>14631</v>
      </c>
      <c r="D7970" s="15" t="s">
        <v>14632</v>
      </c>
      <c r="E7970" s="15">
        <v>22.5505</v>
      </c>
      <c r="F7970" s="42">
        <v>46198</v>
      </c>
    </row>
    <row r="7971" spans="1:6" x14ac:dyDescent="0.3">
      <c r="A7971" s="15" t="s">
        <v>41124</v>
      </c>
      <c r="B7971" s="15" t="s">
        <v>14633</v>
      </c>
      <c r="C7971" s="15" t="s">
        <v>14634</v>
      </c>
      <c r="D7971" s="15" t="s">
        <v>14635</v>
      </c>
      <c r="E7971" s="15">
        <v>20.393999999999998</v>
      </c>
      <c r="F7971" s="42">
        <v>46198</v>
      </c>
    </row>
    <row r="7972" spans="1:6" x14ac:dyDescent="0.3">
      <c r="A7972" s="15" t="s">
        <v>41123</v>
      </c>
      <c r="B7972" s="15" t="s">
        <v>14636</v>
      </c>
      <c r="C7972" s="15" t="s">
        <v>14637</v>
      </c>
      <c r="D7972" s="15" t="s">
        <v>14638</v>
      </c>
      <c r="E7972" s="15">
        <v>20.349</v>
      </c>
      <c r="F7972" s="42">
        <v>46198</v>
      </c>
    </row>
    <row r="7973" spans="1:6" x14ac:dyDescent="0.3">
      <c r="A7973" s="15" t="s">
        <v>41122</v>
      </c>
      <c r="B7973" s="15" t="s">
        <v>14639</v>
      </c>
      <c r="C7973" s="15" t="s">
        <v>14640</v>
      </c>
      <c r="D7973" s="15" t="s">
        <v>14641</v>
      </c>
      <c r="E7973" s="15">
        <v>20.395199999999999</v>
      </c>
      <c r="F7973" s="42">
        <v>46198</v>
      </c>
    </row>
    <row r="7974" spans="1:6" x14ac:dyDescent="0.3">
      <c r="A7974" s="15" t="s">
        <v>41121</v>
      </c>
      <c r="B7974" s="15" t="s">
        <v>14642</v>
      </c>
      <c r="C7974" s="15" t="s">
        <v>14643</v>
      </c>
      <c r="D7974" s="15" t="s">
        <v>14644</v>
      </c>
      <c r="E7974" s="15">
        <v>21.619499999999999</v>
      </c>
      <c r="F7974" s="42">
        <v>46198</v>
      </c>
    </row>
    <row r="7975" spans="1:6" x14ac:dyDescent="0.3">
      <c r="A7975" s="15" t="s">
        <v>33499</v>
      </c>
      <c r="B7975" s="15" t="s">
        <v>795</v>
      </c>
      <c r="C7975" s="15" t="s">
        <v>795</v>
      </c>
      <c r="D7975" s="15" t="s">
        <v>795</v>
      </c>
      <c r="F7975" s="42"/>
    </row>
    <row r="7976" spans="1:6" x14ac:dyDescent="0.3">
      <c r="A7976" s="15" t="s">
        <v>37043</v>
      </c>
      <c r="B7976" s="15" t="s">
        <v>795</v>
      </c>
      <c r="C7976" s="15" t="s">
        <v>795</v>
      </c>
      <c r="D7976" s="15" t="s">
        <v>795</v>
      </c>
      <c r="F7976" s="42"/>
    </row>
    <row r="7977" spans="1:6" x14ac:dyDescent="0.3">
      <c r="A7977" s="15" t="s">
        <v>33499</v>
      </c>
      <c r="B7977" s="15" t="s">
        <v>795</v>
      </c>
      <c r="C7977" s="15" t="s">
        <v>795</v>
      </c>
      <c r="D7977" s="15" t="s">
        <v>795</v>
      </c>
      <c r="F7977" s="42"/>
    </row>
    <row r="7978" spans="1:6" x14ac:dyDescent="0.3">
      <c r="A7978" s="15" t="s">
        <v>41120</v>
      </c>
      <c r="B7978" s="15" t="s">
        <v>14645</v>
      </c>
      <c r="C7978" s="15" t="s">
        <v>800</v>
      </c>
      <c r="D7978" s="15" t="s">
        <v>14646</v>
      </c>
      <c r="E7978" s="15">
        <v>124.093</v>
      </c>
      <c r="F7978" s="42">
        <v>46198</v>
      </c>
    </row>
    <row r="7979" spans="1:6" x14ac:dyDescent="0.3">
      <c r="A7979" s="15" t="s">
        <v>41119</v>
      </c>
      <c r="B7979" s="15" t="s">
        <v>14647</v>
      </c>
      <c r="C7979" s="15" t="s">
        <v>800</v>
      </c>
      <c r="D7979" s="15" t="s">
        <v>14648</v>
      </c>
      <c r="E7979" s="15">
        <v>113.77500000000001</v>
      </c>
      <c r="F7979" s="42">
        <v>46198</v>
      </c>
    </row>
    <row r="7980" spans="1:6" x14ac:dyDescent="0.3">
      <c r="A7980" s="15" t="s">
        <v>41118</v>
      </c>
      <c r="B7980" s="15" t="s">
        <v>14649</v>
      </c>
      <c r="C7980" s="15" t="s">
        <v>14650</v>
      </c>
      <c r="D7980" s="15" t="s">
        <v>14651</v>
      </c>
      <c r="E7980" s="15">
        <v>17.885999999999999</v>
      </c>
      <c r="F7980" s="42">
        <v>46198</v>
      </c>
    </row>
    <row r="7981" spans="1:6" x14ac:dyDescent="0.3">
      <c r="A7981" s="15" t="s">
        <v>41117</v>
      </c>
      <c r="B7981" s="15" t="s">
        <v>14652</v>
      </c>
      <c r="C7981" s="15" t="s">
        <v>14653</v>
      </c>
      <c r="D7981" s="15" t="s">
        <v>14654</v>
      </c>
      <c r="E7981" s="15">
        <v>15.398999999999999</v>
      </c>
      <c r="F7981" s="42">
        <v>46198</v>
      </c>
    </row>
    <row r="7982" spans="1:6" x14ac:dyDescent="0.3">
      <c r="A7982" s="15" t="s">
        <v>33499</v>
      </c>
      <c r="B7982" s="15" t="s">
        <v>795</v>
      </c>
      <c r="C7982" s="15" t="s">
        <v>795</v>
      </c>
      <c r="D7982" s="15" t="s">
        <v>795</v>
      </c>
      <c r="F7982" s="42"/>
    </row>
    <row r="7983" spans="1:6" x14ac:dyDescent="0.3">
      <c r="A7983" s="15" t="s">
        <v>36815</v>
      </c>
      <c r="B7983" s="15" t="s">
        <v>795</v>
      </c>
      <c r="C7983" s="15" t="s">
        <v>795</v>
      </c>
      <c r="D7983" s="15" t="s">
        <v>795</v>
      </c>
      <c r="F7983" s="42"/>
    </row>
    <row r="7984" spans="1:6" x14ac:dyDescent="0.3">
      <c r="A7984" s="15" t="s">
        <v>33499</v>
      </c>
      <c r="B7984" s="15" t="s">
        <v>795</v>
      </c>
      <c r="C7984" s="15" t="s">
        <v>795</v>
      </c>
      <c r="D7984" s="15" t="s">
        <v>795</v>
      </c>
      <c r="F7984" s="42"/>
    </row>
    <row r="7985" spans="1:6" x14ac:dyDescent="0.3">
      <c r="A7985" s="15" t="s">
        <v>41116</v>
      </c>
      <c r="B7985" s="15" t="s">
        <v>14655</v>
      </c>
      <c r="C7985" s="15" t="s">
        <v>14656</v>
      </c>
      <c r="D7985" s="15" t="s">
        <v>14657</v>
      </c>
      <c r="E7985" s="15">
        <v>19.248699999999999</v>
      </c>
      <c r="F7985" s="42">
        <v>46198</v>
      </c>
    </row>
    <row r="7986" spans="1:6" x14ac:dyDescent="0.3">
      <c r="A7986" s="15" t="s">
        <v>41115</v>
      </c>
      <c r="B7986" s="15" t="s">
        <v>14658</v>
      </c>
      <c r="C7986" s="15" t="s">
        <v>800</v>
      </c>
      <c r="D7986" s="15" t="s">
        <v>14659</v>
      </c>
      <c r="E7986" s="15">
        <v>66.730199999999996</v>
      </c>
      <c r="F7986" s="42">
        <v>46198</v>
      </c>
    </row>
    <row r="7987" spans="1:6" x14ac:dyDescent="0.3">
      <c r="A7987" s="15" t="s">
        <v>41114</v>
      </c>
      <c r="B7987" s="15" t="s">
        <v>14660</v>
      </c>
      <c r="C7987" s="15" t="s">
        <v>14661</v>
      </c>
      <c r="D7987" s="15" t="s">
        <v>14662</v>
      </c>
      <c r="E7987" s="15">
        <v>33.503399999999999</v>
      </c>
      <c r="F7987" s="42">
        <v>46198</v>
      </c>
    </row>
    <row r="7988" spans="1:6" x14ac:dyDescent="0.3">
      <c r="A7988" s="15" t="s">
        <v>41113</v>
      </c>
      <c r="B7988" s="15" t="s">
        <v>14663</v>
      </c>
      <c r="C7988" s="15" t="s">
        <v>14664</v>
      </c>
      <c r="D7988" s="15" t="s">
        <v>14665</v>
      </c>
      <c r="E7988" s="15">
        <v>16.986000000000001</v>
      </c>
      <c r="F7988" s="42">
        <v>46198</v>
      </c>
    </row>
    <row r="7989" spans="1:6" x14ac:dyDescent="0.3">
      <c r="A7989" s="15" t="s">
        <v>41112</v>
      </c>
      <c r="B7989" s="15" t="s">
        <v>14666</v>
      </c>
      <c r="C7989" s="15" t="s">
        <v>800</v>
      </c>
      <c r="D7989" s="15" t="s">
        <v>14667</v>
      </c>
      <c r="E7989" s="15">
        <v>58.162500000000001</v>
      </c>
      <c r="F7989" s="42">
        <v>46198</v>
      </c>
    </row>
    <row r="7990" spans="1:6" x14ac:dyDescent="0.3">
      <c r="A7990" s="15" t="s">
        <v>41111</v>
      </c>
      <c r="B7990" s="15" t="s">
        <v>14668</v>
      </c>
      <c r="C7990" s="15" t="s">
        <v>14669</v>
      </c>
      <c r="D7990" s="15" t="s">
        <v>14670</v>
      </c>
      <c r="E7990" s="15">
        <v>27.819299999999998</v>
      </c>
      <c r="F7990" s="42">
        <v>46198</v>
      </c>
    </row>
    <row r="7991" spans="1:6" x14ac:dyDescent="0.3">
      <c r="A7991" s="15" t="s">
        <v>33499</v>
      </c>
      <c r="B7991" s="15" t="s">
        <v>795</v>
      </c>
      <c r="C7991" s="15" t="s">
        <v>795</v>
      </c>
      <c r="D7991" s="15" t="s">
        <v>795</v>
      </c>
      <c r="F7991" s="42"/>
    </row>
    <row r="7992" spans="1:6" x14ac:dyDescent="0.3">
      <c r="A7992" s="15" t="s">
        <v>36764</v>
      </c>
      <c r="B7992" s="15" t="s">
        <v>795</v>
      </c>
      <c r="C7992" s="15" t="s">
        <v>795</v>
      </c>
      <c r="D7992" s="15" t="s">
        <v>795</v>
      </c>
      <c r="F7992" s="42"/>
    </row>
    <row r="7993" spans="1:6" x14ac:dyDescent="0.3">
      <c r="A7993" s="15" t="s">
        <v>33499</v>
      </c>
      <c r="B7993" s="15" t="s">
        <v>795</v>
      </c>
      <c r="C7993" s="15" t="s">
        <v>795</v>
      </c>
      <c r="D7993" s="15" t="s">
        <v>795</v>
      </c>
      <c r="F7993" s="42"/>
    </row>
    <row r="7994" spans="1:6" x14ac:dyDescent="0.3">
      <c r="A7994" s="15" t="s">
        <v>41110</v>
      </c>
      <c r="B7994" s="15" t="s">
        <v>14671</v>
      </c>
      <c r="C7994" s="15" t="s">
        <v>14672</v>
      </c>
      <c r="D7994" s="15" t="s">
        <v>14673</v>
      </c>
      <c r="E7994" s="15">
        <v>25.78</v>
      </c>
      <c r="F7994" s="42">
        <v>46198</v>
      </c>
    </row>
    <row r="7995" spans="1:6" x14ac:dyDescent="0.3">
      <c r="A7995" s="15" t="s">
        <v>41109</v>
      </c>
      <c r="B7995" s="15" t="s">
        <v>14674</v>
      </c>
      <c r="C7995" s="15" t="s">
        <v>14675</v>
      </c>
      <c r="D7995" s="15" t="s">
        <v>14676</v>
      </c>
      <c r="E7995" s="15">
        <v>28.89</v>
      </c>
      <c r="F7995" s="42">
        <v>46198</v>
      </c>
    </row>
    <row r="7996" spans="1:6" x14ac:dyDescent="0.3">
      <c r="A7996" s="15" t="s">
        <v>41108</v>
      </c>
      <c r="B7996" s="15" t="s">
        <v>14677</v>
      </c>
      <c r="C7996" s="15" t="s">
        <v>800</v>
      </c>
      <c r="D7996" s="15" t="s">
        <v>14678</v>
      </c>
      <c r="E7996" s="15">
        <v>451.96</v>
      </c>
      <c r="F7996" s="42">
        <v>46198</v>
      </c>
    </row>
    <row r="7997" spans="1:6" x14ac:dyDescent="0.3">
      <c r="A7997" s="15" t="s">
        <v>41107</v>
      </c>
      <c r="B7997" s="15" t="s">
        <v>14679</v>
      </c>
      <c r="C7997" s="15" t="s">
        <v>14680</v>
      </c>
      <c r="D7997" s="15" t="s">
        <v>14681</v>
      </c>
      <c r="E7997" s="15">
        <v>29.29</v>
      </c>
      <c r="F7997" s="42">
        <v>46198</v>
      </c>
    </row>
    <row r="7998" spans="1:6" x14ac:dyDescent="0.3">
      <c r="A7998" s="15" t="s">
        <v>41106</v>
      </c>
      <c r="B7998" s="15" t="s">
        <v>14682</v>
      </c>
      <c r="C7998" s="15" t="s">
        <v>14683</v>
      </c>
      <c r="D7998" s="15" t="s">
        <v>14684</v>
      </c>
      <c r="E7998" s="15">
        <v>70.8</v>
      </c>
      <c r="F7998" s="42">
        <v>46198</v>
      </c>
    </row>
    <row r="7999" spans="1:6" x14ac:dyDescent="0.3">
      <c r="A7999" s="15" t="s">
        <v>41105</v>
      </c>
      <c r="B7999" s="15" t="s">
        <v>14685</v>
      </c>
      <c r="C7999" s="15" t="s">
        <v>800</v>
      </c>
      <c r="D7999" s="15" t="s">
        <v>14686</v>
      </c>
      <c r="E7999" s="15">
        <v>405.14</v>
      </c>
      <c r="F7999" s="42">
        <v>46198</v>
      </c>
    </row>
    <row r="8000" spans="1:6" x14ac:dyDescent="0.3">
      <c r="A8000" s="15" t="s">
        <v>41104</v>
      </c>
      <c r="B8000" s="15" t="s">
        <v>14687</v>
      </c>
      <c r="C8000" s="15" t="s">
        <v>14688</v>
      </c>
      <c r="D8000" s="15" t="s">
        <v>14689</v>
      </c>
      <c r="E8000" s="15">
        <v>25.65</v>
      </c>
      <c r="F8000" s="42">
        <v>46198</v>
      </c>
    </row>
    <row r="8001" spans="1:6" x14ac:dyDescent="0.3">
      <c r="A8001" s="15" t="s">
        <v>41103</v>
      </c>
      <c r="B8001" s="15" t="s">
        <v>14690</v>
      </c>
      <c r="C8001" s="15" t="s">
        <v>14691</v>
      </c>
      <c r="D8001" s="15" t="s">
        <v>14692</v>
      </c>
      <c r="E8001" s="15">
        <v>43.39</v>
      </c>
      <c r="F8001" s="42">
        <v>46198</v>
      </c>
    </row>
    <row r="8002" spans="1:6" x14ac:dyDescent="0.3">
      <c r="A8002" s="15" t="s">
        <v>33499</v>
      </c>
      <c r="B8002" s="15" t="s">
        <v>795</v>
      </c>
      <c r="C8002" s="15" t="s">
        <v>795</v>
      </c>
      <c r="D8002" s="15" t="s">
        <v>795</v>
      </c>
      <c r="F8002" s="42"/>
    </row>
    <row r="8003" spans="1:6" x14ac:dyDescent="0.3">
      <c r="A8003" s="15" t="s">
        <v>37807</v>
      </c>
      <c r="B8003" s="15" t="s">
        <v>795</v>
      </c>
      <c r="C8003" s="15" t="s">
        <v>795</v>
      </c>
      <c r="D8003" s="15" t="s">
        <v>795</v>
      </c>
      <c r="F8003" s="42"/>
    </row>
    <row r="8004" spans="1:6" x14ac:dyDescent="0.3">
      <c r="A8004" s="15" t="s">
        <v>33499</v>
      </c>
      <c r="B8004" s="15" t="s">
        <v>795</v>
      </c>
      <c r="C8004" s="15" t="s">
        <v>795</v>
      </c>
      <c r="D8004" s="15" t="s">
        <v>795</v>
      </c>
      <c r="F8004" s="42"/>
    </row>
    <row r="8005" spans="1:6" x14ac:dyDescent="0.3">
      <c r="A8005" s="15" t="s">
        <v>41102</v>
      </c>
      <c r="B8005" s="15" t="s">
        <v>14693</v>
      </c>
      <c r="C8005" s="15" t="s">
        <v>800</v>
      </c>
      <c r="D8005" s="15" t="s">
        <v>14694</v>
      </c>
      <c r="E8005" s="15">
        <v>24.174900000000001</v>
      </c>
      <c r="F8005" s="42">
        <v>46198</v>
      </c>
    </row>
    <row r="8006" spans="1:6" x14ac:dyDescent="0.3">
      <c r="A8006" s="15" t="s">
        <v>41101</v>
      </c>
      <c r="B8006" s="15" t="s">
        <v>14695</v>
      </c>
      <c r="C8006" s="15" t="s">
        <v>14696</v>
      </c>
      <c r="D8006" s="15" t="s">
        <v>14697</v>
      </c>
      <c r="E8006" s="15">
        <v>24.0701</v>
      </c>
      <c r="F8006" s="42">
        <v>46198</v>
      </c>
    </row>
    <row r="8007" spans="1:6" x14ac:dyDescent="0.3">
      <c r="A8007" s="15" t="s">
        <v>41100</v>
      </c>
      <c r="B8007" s="15" t="s">
        <v>14698</v>
      </c>
      <c r="C8007" s="15" t="s">
        <v>800</v>
      </c>
      <c r="D8007" s="15" t="s">
        <v>14699</v>
      </c>
      <c r="E8007" s="15">
        <v>21.318999999999999</v>
      </c>
      <c r="F8007" s="42">
        <v>46198</v>
      </c>
    </row>
    <row r="8008" spans="1:6" x14ac:dyDescent="0.3">
      <c r="A8008" s="15" t="s">
        <v>41099</v>
      </c>
      <c r="B8008" s="15" t="s">
        <v>14700</v>
      </c>
      <c r="C8008" s="15" t="s">
        <v>14701</v>
      </c>
      <c r="D8008" s="15" t="s">
        <v>14702</v>
      </c>
      <c r="E8008" s="15">
        <v>21.3202</v>
      </c>
      <c r="F8008" s="42">
        <v>46198</v>
      </c>
    </row>
    <row r="8009" spans="1:6" x14ac:dyDescent="0.3">
      <c r="A8009" s="15" t="s">
        <v>33499</v>
      </c>
      <c r="B8009" s="15" t="s">
        <v>795</v>
      </c>
      <c r="C8009" s="15" t="s">
        <v>795</v>
      </c>
      <c r="D8009" s="15" t="s">
        <v>795</v>
      </c>
      <c r="F8009" s="42"/>
    </row>
    <row r="8010" spans="1:6" x14ac:dyDescent="0.3">
      <c r="A8010" s="15" t="s">
        <v>40894</v>
      </c>
      <c r="B8010" s="15" t="s">
        <v>795</v>
      </c>
      <c r="C8010" s="15" t="s">
        <v>795</v>
      </c>
      <c r="D8010" s="15" t="s">
        <v>795</v>
      </c>
      <c r="F8010" s="42"/>
    </row>
    <row r="8011" spans="1:6" x14ac:dyDescent="0.3">
      <c r="A8011" s="15" t="s">
        <v>33499</v>
      </c>
      <c r="B8011" s="15" t="s">
        <v>795</v>
      </c>
      <c r="C8011" s="15" t="s">
        <v>795</v>
      </c>
      <c r="D8011" s="15" t="s">
        <v>795</v>
      </c>
      <c r="F8011" s="42"/>
    </row>
    <row r="8012" spans="1:6" x14ac:dyDescent="0.3">
      <c r="A8012" s="15" t="s">
        <v>41098</v>
      </c>
      <c r="B8012" s="15" t="s">
        <v>14703</v>
      </c>
      <c r="C8012" s="15" t="s">
        <v>800</v>
      </c>
      <c r="D8012" s="15" t="s">
        <v>14704</v>
      </c>
      <c r="E8012" s="15">
        <v>134.61490000000001</v>
      </c>
      <c r="F8012" s="42">
        <v>46198</v>
      </c>
    </row>
    <row r="8013" spans="1:6" x14ac:dyDescent="0.3">
      <c r="A8013" s="15" t="s">
        <v>41097</v>
      </c>
      <c r="B8013" s="15" t="s">
        <v>14705</v>
      </c>
      <c r="C8013" s="15" t="s">
        <v>14706</v>
      </c>
      <c r="D8013" s="15" t="s">
        <v>14707</v>
      </c>
      <c r="E8013" s="15">
        <v>45.346800000000002</v>
      </c>
      <c r="F8013" s="42">
        <v>46198</v>
      </c>
    </row>
    <row r="8014" spans="1:6" x14ac:dyDescent="0.3">
      <c r="A8014" s="15" t="s">
        <v>41096</v>
      </c>
      <c r="B8014" s="15" t="s">
        <v>14708</v>
      </c>
      <c r="C8014" s="15" t="s">
        <v>800</v>
      </c>
      <c r="D8014" s="15" t="s">
        <v>14709</v>
      </c>
      <c r="E8014" s="15">
        <v>131.1849</v>
      </c>
      <c r="F8014" s="42">
        <v>45684</v>
      </c>
    </row>
    <row r="8015" spans="1:6" x14ac:dyDescent="0.3">
      <c r="A8015" s="15" t="s">
        <v>41095</v>
      </c>
      <c r="B8015" s="15" t="s">
        <v>14710</v>
      </c>
      <c r="C8015" s="15" t="s">
        <v>800</v>
      </c>
      <c r="D8015" s="15" t="s">
        <v>14711</v>
      </c>
      <c r="E8015" s="15">
        <v>134.3948</v>
      </c>
      <c r="F8015" s="42">
        <v>46198</v>
      </c>
    </row>
    <row r="8016" spans="1:6" x14ac:dyDescent="0.3">
      <c r="A8016" s="15" t="s">
        <v>41094</v>
      </c>
      <c r="B8016" s="15" t="s">
        <v>14712</v>
      </c>
      <c r="C8016" s="15" t="s">
        <v>800</v>
      </c>
      <c r="D8016" s="15" t="s">
        <v>14713</v>
      </c>
      <c r="E8016" s="15">
        <v>131.1823</v>
      </c>
      <c r="F8016" s="42">
        <v>45684</v>
      </c>
    </row>
    <row r="8017" spans="1:6" x14ac:dyDescent="0.3">
      <c r="A8017" s="15" t="s">
        <v>41093</v>
      </c>
      <c r="B8017" s="15" t="s">
        <v>14714</v>
      </c>
      <c r="C8017" s="15" t="s">
        <v>14715</v>
      </c>
      <c r="D8017" s="15" t="s">
        <v>14716</v>
      </c>
      <c r="E8017" s="15">
        <v>96.706000000000003</v>
      </c>
      <c r="F8017" s="42">
        <v>46198</v>
      </c>
    </row>
    <row r="8018" spans="1:6" x14ac:dyDescent="0.3">
      <c r="A8018" s="15" t="s">
        <v>41092</v>
      </c>
      <c r="B8018" s="15" t="s">
        <v>14717</v>
      </c>
      <c r="C8018" s="15" t="s">
        <v>14718</v>
      </c>
      <c r="D8018" s="15" t="s">
        <v>14719</v>
      </c>
      <c r="E8018" s="15">
        <v>74.094800000000006</v>
      </c>
      <c r="F8018" s="42">
        <v>46198</v>
      </c>
    </row>
    <row r="8019" spans="1:6" x14ac:dyDescent="0.3">
      <c r="A8019" s="15" t="s">
        <v>41091</v>
      </c>
      <c r="B8019" s="15" t="s">
        <v>14720</v>
      </c>
      <c r="C8019" s="15" t="s">
        <v>14721</v>
      </c>
      <c r="D8019" s="15" t="s">
        <v>14722</v>
      </c>
      <c r="E8019" s="15">
        <v>96.677599999999998</v>
      </c>
      <c r="F8019" s="42">
        <v>46198</v>
      </c>
    </row>
    <row r="8020" spans="1:6" x14ac:dyDescent="0.3">
      <c r="A8020" s="15" t="s">
        <v>41090</v>
      </c>
      <c r="B8020" s="15" t="s">
        <v>14723</v>
      </c>
      <c r="C8020" s="15" t="s">
        <v>800</v>
      </c>
      <c r="D8020" s="15" t="s">
        <v>14724</v>
      </c>
      <c r="E8020" s="15">
        <v>131.1823</v>
      </c>
      <c r="F8020" s="42">
        <v>45684</v>
      </c>
    </row>
    <row r="8021" spans="1:6" x14ac:dyDescent="0.3">
      <c r="A8021" s="15" t="s">
        <v>41089</v>
      </c>
      <c r="B8021" s="15" t="s">
        <v>14725</v>
      </c>
      <c r="C8021" s="15" t="s">
        <v>14726</v>
      </c>
      <c r="D8021" s="15" t="s">
        <v>14727</v>
      </c>
      <c r="E8021" s="15">
        <v>34.003799999999998</v>
      </c>
      <c r="F8021" s="42">
        <v>46198</v>
      </c>
    </row>
    <row r="8022" spans="1:6" x14ac:dyDescent="0.3">
      <c r="A8022" s="15" t="s">
        <v>41088</v>
      </c>
      <c r="B8022" s="15" t="s">
        <v>14728</v>
      </c>
      <c r="C8022" s="15" t="s">
        <v>800</v>
      </c>
      <c r="D8022" s="15" t="s">
        <v>14729</v>
      </c>
      <c r="E8022" s="15">
        <v>116.1562</v>
      </c>
      <c r="F8022" s="42">
        <v>45684</v>
      </c>
    </row>
    <row r="8023" spans="1:6" x14ac:dyDescent="0.3">
      <c r="A8023" s="15" t="s">
        <v>41087</v>
      </c>
      <c r="B8023" s="15" t="s">
        <v>14730</v>
      </c>
      <c r="C8023" s="15" t="s">
        <v>14731</v>
      </c>
      <c r="D8023" s="15" t="s">
        <v>14732</v>
      </c>
      <c r="E8023" s="15">
        <v>32.195300000000003</v>
      </c>
      <c r="F8023" s="42">
        <v>46198</v>
      </c>
    </row>
    <row r="8024" spans="1:6" x14ac:dyDescent="0.3">
      <c r="A8024" s="15" t="s">
        <v>41086</v>
      </c>
      <c r="B8024" s="15" t="s">
        <v>14733</v>
      </c>
      <c r="C8024" s="15" t="s">
        <v>800</v>
      </c>
      <c r="D8024" s="15" t="s">
        <v>14734</v>
      </c>
      <c r="E8024" s="15">
        <v>116.158</v>
      </c>
      <c r="F8024" s="42">
        <v>45684</v>
      </c>
    </row>
    <row r="8025" spans="1:6" x14ac:dyDescent="0.3">
      <c r="A8025" s="15" t="s">
        <v>41085</v>
      </c>
      <c r="B8025" s="15" t="s">
        <v>14735</v>
      </c>
      <c r="C8025" s="15" t="s">
        <v>800</v>
      </c>
      <c r="D8025" s="15" t="s">
        <v>14736</v>
      </c>
      <c r="E8025" s="15">
        <v>116.1562</v>
      </c>
      <c r="F8025" s="42">
        <v>45684</v>
      </c>
    </row>
    <row r="8026" spans="1:6" x14ac:dyDescent="0.3">
      <c r="A8026" s="15" t="s">
        <v>41084</v>
      </c>
      <c r="B8026" s="15" t="s">
        <v>14737</v>
      </c>
      <c r="C8026" s="15" t="s">
        <v>14738</v>
      </c>
      <c r="D8026" s="15" t="s">
        <v>14739</v>
      </c>
      <c r="E8026" s="15">
        <v>84.618099999999998</v>
      </c>
      <c r="F8026" s="42">
        <v>46198</v>
      </c>
    </row>
    <row r="8027" spans="1:6" x14ac:dyDescent="0.3">
      <c r="A8027" s="15" t="s">
        <v>41083</v>
      </c>
      <c r="B8027" s="15" t="s">
        <v>14740</v>
      </c>
      <c r="C8027" s="15" t="s">
        <v>14741</v>
      </c>
      <c r="D8027" s="15" t="s">
        <v>14742</v>
      </c>
      <c r="E8027" s="15">
        <v>32.425600000000003</v>
      </c>
      <c r="F8027" s="42">
        <v>46198</v>
      </c>
    </row>
    <row r="8028" spans="1:6" x14ac:dyDescent="0.3">
      <c r="A8028" s="15" t="s">
        <v>41082</v>
      </c>
      <c r="B8028" s="15" t="s">
        <v>14743</v>
      </c>
      <c r="C8028" s="15" t="s">
        <v>14744</v>
      </c>
      <c r="D8028" s="15" t="s">
        <v>14745</v>
      </c>
      <c r="E8028" s="15">
        <v>83.945300000000003</v>
      </c>
      <c r="F8028" s="42">
        <v>46198</v>
      </c>
    </row>
    <row r="8029" spans="1:6" x14ac:dyDescent="0.3">
      <c r="A8029" s="15" t="s">
        <v>41081</v>
      </c>
      <c r="B8029" s="15" t="s">
        <v>14746</v>
      </c>
      <c r="C8029" s="15" t="s">
        <v>800</v>
      </c>
      <c r="D8029" s="15" t="s">
        <v>14747</v>
      </c>
      <c r="E8029" s="15">
        <v>116.1562</v>
      </c>
      <c r="F8029" s="42">
        <v>45684</v>
      </c>
    </row>
    <row r="8030" spans="1:6" x14ac:dyDescent="0.3">
      <c r="A8030" s="15" t="s">
        <v>41080</v>
      </c>
      <c r="B8030" s="15" t="s">
        <v>14748</v>
      </c>
      <c r="C8030" s="15" t="s">
        <v>14749</v>
      </c>
      <c r="D8030" s="15" t="s">
        <v>14750</v>
      </c>
      <c r="E8030" s="15">
        <v>29.9619</v>
      </c>
      <c r="F8030" s="42">
        <v>46198</v>
      </c>
    </row>
    <row r="8031" spans="1:6" x14ac:dyDescent="0.3">
      <c r="A8031" s="15" t="s">
        <v>41079</v>
      </c>
      <c r="B8031" s="15" t="s">
        <v>14751</v>
      </c>
      <c r="C8031" s="15" t="s">
        <v>800</v>
      </c>
      <c r="D8031" s="15" t="s">
        <v>14752</v>
      </c>
      <c r="E8031" s="15">
        <v>115.93389999999999</v>
      </c>
      <c r="F8031" s="42">
        <v>46198</v>
      </c>
    </row>
    <row r="8032" spans="1:6" x14ac:dyDescent="0.3">
      <c r="A8032" s="15" t="s">
        <v>33499</v>
      </c>
      <c r="B8032" s="15" t="s">
        <v>795</v>
      </c>
      <c r="C8032" s="15" t="s">
        <v>795</v>
      </c>
      <c r="D8032" s="15" t="s">
        <v>795</v>
      </c>
      <c r="F8032" s="42"/>
    </row>
    <row r="8033" spans="1:6" x14ac:dyDescent="0.3">
      <c r="A8033" s="15" t="s">
        <v>139</v>
      </c>
      <c r="B8033" s="15" t="s">
        <v>795</v>
      </c>
      <c r="C8033" s="15" t="s">
        <v>795</v>
      </c>
      <c r="D8033" s="15" t="s">
        <v>795</v>
      </c>
      <c r="F8033" s="42"/>
    </row>
    <row r="8034" spans="1:6" x14ac:dyDescent="0.3">
      <c r="A8034" s="15" t="s">
        <v>33499</v>
      </c>
      <c r="B8034" s="15" t="s">
        <v>795</v>
      </c>
      <c r="C8034" s="15" t="s">
        <v>795</v>
      </c>
      <c r="D8034" s="15" t="s">
        <v>795</v>
      </c>
      <c r="F8034" s="42"/>
    </row>
    <row r="8035" spans="1:6" x14ac:dyDescent="0.3">
      <c r="A8035" s="15" t="s">
        <v>41078</v>
      </c>
      <c r="B8035" s="15" t="s">
        <v>14753</v>
      </c>
      <c r="C8035" s="15" t="s">
        <v>14754</v>
      </c>
      <c r="D8035" s="15" t="s">
        <v>14755</v>
      </c>
      <c r="E8035" s="15">
        <v>46.954999999999998</v>
      </c>
      <c r="F8035" s="42">
        <v>46198</v>
      </c>
    </row>
    <row r="8036" spans="1:6" x14ac:dyDescent="0.3">
      <c r="A8036" s="15" t="s">
        <v>41077</v>
      </c>
      <c r="B8036" s="15" t="s">
        <v>14756</v>
      </c>
      <c r="C8036" s="15" t="s">
        <v>800</v>
      </c>
      <c r="D8036" s="15" t="s">
        <v>14757</v>
      </c>
      <c r="E8036" s="15">
        <v>76.596000000000004</v>
      </c>
      <c r="F8036" s="42">
        <v>46198</v>
      </c>
    </row>
    <row r="8037" spans="1:6" x14ac:dyDescent="0.3">
      <c r="A8037" s="15" t="s">
        <v>41076</v>
      </c>
      <c r="B8037" s="15" t="s">
        <v>14758</v>
      </c>
      <c r="C8037" s="15" t="s">
        <v>14759</v>
      </c>
      <c r="D8037" s="15" t="s">
        <v>14760</v>
      </c>
      <c r="E8037" s="15">
        <v>37.875</v>
      </c>
      <c r="F8037" s="42">
        <v>46198</v>
      </c>
    </row>
    <row r="8038" spans="1:6" x14ac:dyDescent="0.3">
      <c r="A8038" s="15" t="s">
        <v>41075</v>
      </c>
      <c r="B8038" s="15" t="s">
        <v>14761</v>
      </c>
      <c r="C8038" s="15" t="s">
        <v>800</v>
      </c>
      <c r="D8038" s="15" t="s">
        <v>14762</v>
      </c>
      <c r="E8038" s="15">
        <v>64.447999999999993</v>
      </c>
      <c r="F8038" s="42">
        <v>46198</v>
      </c>
    </row>
    <row r="8039" spans="1:6" x14ac:dyDescent="0.3">
      <c r="A8039" s="15" t="s">
        <v>33499</v>
      </c>
      <c r="B8039" s="15" t="s">
        <v>795</v>
      </c>
      <c r="C8039" s="15" t="s">
        <v>795</v>
      </c>
      <c r="D8039" s="15" t="s">
        <v>795</v>
      </c>
      <c r="F8039" s="42"/>
    </row>
    <row r="8040" spans="1:6" x14ac:dyDescent="0.3">
      <c r="A8040" s="15" t="s">
        <v>37618</v>
      </c>
      <c r="B8040" s="15" t="s">
        <v>795</v>
      </c>
      <c r="C8040" s="15" t="s">
        <v>795</v>
      </c>
      <c r="D8040" s="15" t="s">
        <v>795</v>
      </c>
      <c r="F8040" s="42"/>
    </row>
    <row r="8041" spans="1:6" x14ac:dyDescent="0.3">
      <c r="A8041" s="15" t="s">
        <v>33499</v>
      </c>
      <c r="B8041" s="15" t="s">
        <v>795</v>
      </c>
      <c r="C8041" s="15" t="s">
        <v>795</v>
      </c>
      <c r="D8041" s="15" t="s">
        <v>795</v>
      </c>
      <c r="F8041" s="42"/>
    </row>
    <row r="8042" spans="1:6" x14ac:dyDescent="0.3">
      <c r="A8042" s="15" t="s">
        <v>41074</v>
      </c>
      <c r="B8042" s="15" t="s">
        <v>14763</v>
      </c>
      <c r="C8042" s="15" t="s">
        <v>800</v>
      </c>
      <c r="D8042" s="15" t="s">
        <v>14764</v>
      </c>
      <c r="E8042" s="15">
        <v>225.84209999999999</v>
      </c>
      <c r="F8042" s="42">
        <v>46198</v>
      </c>
    </row>
    <row r="8043" spans="1:6" x14ac:dyDescent="0.3">
      <c r="A8043" s="15" t="s">
        <v>41073</v>
      </c>
      <c r="B8043" s="15" t="s">
        <v>14765</v>
      </c>
      <c r="C8043" s="15" t="s">
        <v>14766</v>
      </c>
      <c r="D8043" s="15" t="s">
        <v>14767</v>
      </c>
      <c r="E8043" s="15">
        <v>21.992000000000001</v>
      </c>
      <c r="F8043" s="42">
        <v>46198</v>
      </c>
    </row>
    <row r="8044" spans="1:6" x14ac:dyDescent="0.3">
      <c r="A8044" s="15" t="s">
        <v>41072</v>
      </c>
      <c r="B8044" s="15" t="s">
        <v>14768</v>
      </c>
      <c r="C8044" s="15" t="s">
        <v>800</v>
      </c>
      <c r="D8044" s="15" t="s">
        <v>14769</v>
      </c>
      <c r="E8044" s="15">
        <v>196.92080000000001</v>
      </c>
      <c r="F8044" s="42">
        <v>46198</v>
      </c>
    </row>
    <row r="8045" spans="1:6" x14ac:dyDescent="0.3">
      <c r="A8045" s="15" t="s">
        <v>41071</v>
      </c>
      <c r="B8045" s="15" t="s">
        <v>14770</v>
      </c>
      <c r="C8045" s="15" t="s">
        <v>14771</v>
      </c>
      <c r="D8045" s="15" t="s">
        <v>14772</v>
      </c>
      <c r="E8045" s="15">
        <v>15.023300000000001</v>
      </c>
      <c r="F8045" s="42">
        <v>46198</v>
      </c>
    </row>
    <row r="8046" spans="1:6" x14ac:dyDescent="0.3">
      <c r="A8046" s="15" t="s">
        <v>33499</v>
      </c>
      <c r="B8046" s="15" t="s">
        <v>795</v>
      </c>
      <c r="C8046" s="15" t="s">
        <v>795</v>
      </c>
      <c r="D8046" s="15" t="s">
        <v>795</v>
      </c>
      <c r="F8046" s="42"/>
    </row>
    <row r="8047" spans="1:6" x14ac:dyDescent="0.3">
      <c r="A8047" s="15" t="s">
        <v>39301</v>
      </c>
      <c r="B8047" s="15" t="s">
        <v>795</v>
      </c>
      <c r="C8047" s="15" t="s">
        <v>795</v>
      </c>
      <c r="D8047" s="15" t="s">
        <v>795</v>
      </c>
      <c r="F8047" s="42"/>
    </row>
    <row r="8048" spans="1:6" x14ac:dyDescent="0.3">
      <c r="A8048" s="15" t="s">
        <v>33499</v>
      </c>
      <c r="B8048" s="15" t="s">
        <v>795</v>
      </c>
      <c r="C8048" s="15" t="s">
        <v>795</v>
      </c>
      <c r="D8048" s="15" t="s">
        <v>795</v>
      </c>
      <c r="F8048" s="42"/>
    </row>
    <row r="8049" spans="1:6" x14ac:dyDescent="0.3">
      <c r="A8049" s="15" t="s">
        <v>41070</v>
      </c>
      <c r="B8049" s="15" t="s">
        <v>14773</v>
      </c>
      <c r="C8049" s="15" t="s">
        <v>14774</v>
      </c>
      <c r="D8049" s="15" t="s">
        <v>14775</v>
      </c>
      <c r="E8049" s="15">
        <v>21.069700000000001</v>
      </c>
      <c r="F8049" s="42">
        <v>46198</v>
      </c>
    </row>
    <row r="8050" spans="1:6" x14ac:dyDescent="0.3">
      <c r="A8050" s="15" t="s">
        <v>41069</v>
      </c>
      <c r="B8050" s="15" t="s">
        <v>14776</v>
      </c>
      <c r="C8050" s="15" t="s">
        <v>800</v>
      </c>
      <c r="D8050" s="15" t="s">
        <v>14777</v>
      </c>
      <c r="E8050" s="15">
        <v>30.203299999999999</v>
      </c>
      <c r="F8050" s="42">
        <v>46198</v>
      </c>
    </row>
    <row r="8051" spans="1:6" x14ac:dyDescent="0.3">
      <c r="A8051" s="15" t="s">
        <v>41068</v>
      </c>
      <c r="B8051" s="15" t="s">
        <v>14778</v>
      </c>
      <c r="C8051" s="15" t="s">
        <v>800</v>
      </c>
      <c r="D8051" s="15" t="s">
        <v>14779</v>
      </c>
      <c r="E8051" s="15">
        <v>26.7227</v>
      </c>
      <c r="F8051" s="42">
        <v>46198</v>
      </c>
    </row>
    <row r="8052" spans="1:6" x14ac:dyDescent="0.3">
      <c r="A8052" s="15" t="s">
        <v>41067</v>
      </c>
      <c r="B8052" s="15" t="s">
        <v>14780</v>
      </c>
      <c r="C8052" s="15" t="s">
        <v>14781</v>
      </c>
      <c r="D8052" s="15" t="s">
        <v>14782</v>
      </c>
      <c r="E8052" s="15">
        <v>18.029599999999999</v>
      </c>
      <c r="F8052" s="42">
        <v>46198</v>
      </c>
    </row>
    <row r="8053" spans="1:6" x14ac:dyDescent="0.3">
      <c r="A8053" s="15" t="s">
        <v>33499</v>
      </c>
      <c r="B8053" s="15" t="s">
        <v>795</v>
      </c>
      <c r="C8053" s="15" t="s">
        <v>795</v>
      </c>
      <c r="D8053" s="15" t="s">
        <v>795</v>
      </c>
      <c r="F8053" s="42"/>
    </row>
    <row r="8054" spans="1:6" x14ac:dyDescent="0.3">
      <c r="A8054" s="15" t="s">
        <v>37780</v>
      </c>
      <c r="B8054" s="15" t="s">
        <v>795</v>
      </c>
      <c r="C8054" s="15" t="s">
        <v>795</v>
      </c>
      <c r="D8054" s="15" t="s">
        <v>795</v>
      </c>
      <c r="F8054" s="42"/>
    </row>
    <row r="8055" spans="1:6" x14ac:dyDescent="0.3">
      <c r="A8055" s="15" t="s">
        <v>33499</v>
      </c>
      <c r="B8055" s="15" t="s">
        <v>795</v>
      </c>
      <c r="C8055" s="15" t="s">
        <v>795</v>
      </c>
      <c r="D8055" s="15" t="s">
        <v>795</v>
      </c>
      <c r="F8055" s="42"/>
    </row>
    <row r="8056" spans="1:6" x14ac:dyDescent="0.3">
      <c r="A8056" s="15" t="s">
        <v>41066</v>
      </c>
      <c r="B8056" s="15" t="s">
        <v>14783</v>
      </c>
      <c r="C8056" s="15" t="s">
        <v>800</v>
      </c>
      <c r="D8056" s="15" t="s">
        <v>14784</v>
      </c>
      <c r="E8056" s="15">
        <v>39.037999999999997</v>
      </c>
      <c r="F8056" s="42">
        <v>46198</v>
      </c>
    </row>
    <row r="8057" spans="1:6" x14ac:dyDescent="0.3">
      <c r="A8057" s="15" t="s">
        <v>41065</v>
      </c>
      <c r="B8057" s="15" t="s">
        <v>14785</v>
      </c>
      <c r="C8057" s="15" t="s">
        <v>14786</v>
      </c>
      <c r="D8057" s="15" t="s">
        <v>14787</v>
      </c>
      <c r="E8057" s="15">
        <v>21.085000000000001</v>
      </c>
      <c r="F8057" s="42">
        <v>46198</v>
      </c>
    </row>
    <row r="8058" spans="1:6" x14ac:dyDescent="0.3">
      <c r="A8058" s="15" t="s">
        <v>41064</v>
      </c>
      <c r="B8058" s="15" t="s">
        <v>14788</v>
      </c>
      <c r="C8058" s="15" t="s">
        <v>800</v>
      </c>
      <c r="D8058" s="15" t="s">
        <v>14789</v>
      </c>
      <c r="E8058" s="15">
        <v>33.049999999999997</v>
      </c>
      <c r="F8058" s="42">
        <v>46198</v>
      </c>
    </row>
    <row r="8059" spans="1:6" x14ac:dyDescent="0.3">
      <c r="A8059" s="15" t="s">
        <v>41063</v>
      </c>
      <c r="B8059" s="15" t="s">
        <v>14790</v>
      </c>
      <c r="C8059" s="15" t="s">
        <v>14791</v>
      </c>
      <c r="D8059" s="15" t="s">
        <v>14792</v>
      </c>
      <c r="E8059" s="15">
        <v>16.940000000000001</v>
      </c>
      <c r="F8059" s="42">
        <v>46198</v>
      </c>
    </row>
    <row r="8060" spans="1:6" x14ac:dyDescent="0.3">
      <c r="A8060" s="15" t="s">
        <v>33499</v>
      </c>
      <c r="B8060" s="15" t="s">
        <v>795</v>
      </c>
      <c r="C8060" s="15" t="s">
        <v>795</v>
      </c>
      <c r="D8060" s="15" t="s">
        <v>795</v>
      </c>
      <c r="F8060" s="42"/>
    </row>
    <row r="8061" spans="1:6" x14ac:dyDescent="0.3">
      <c r="A8061" s="15" t="s">
        <v>38348</v>
      </c>
      <c r="B8061" s="15" t="s">
        <v>795</v>
      </c>
      <c r="C8061" s="15" t="s">
        <v>795</v>
      </c>
      <c r="D8061" s="15" t="s">
        <v>795</v>
      </c>
      <c r="F8061" s="42"/>
    </row>
    <row r="8062" spans="1:6" x14ac:dyDescent="0.3">
      <c r="A8062" s="15" t="s">
        <v>33499</v>
      </c>
      <c r="B8062" s="15" t="s">
        <v>795</v>
      </c>
      <c r="C8062" s="15" t="s">
        <v>795</v>
      </c>
      <c r="D8062" s="15" t="s">
        <v>795</v>
      </c>
      <c r="F8062" s="42"/>
    </row>
    <row r="8063" spans="1:6" x14ac:dyDescent="0.3">
      <c r="A8063" s="15" t="s">
        <v>41062</v>
      </c>
      <c r="B8063" s="15" t="s">
        <v>14793</v>
      </c>
      <c r="C8063" s="15" t="s">
        <v>800</v>
      </c>
      <c r="D8063" s="15" t="s">
        <v>14794</v>
      </c>
      <c r="E8063" s="15">
        <v>25.083400000000001</v>
      </c>
      <c r="F8063" s="42">
        <v>46198</v>
      </c>
    </row>
    <row r="8064" spans="1:6" x14ac:dyDescent="0.3">
      <c r="A8064" s="15" t="s">
        <v>41061</v>
      </c>
      <c r="B8064" s="15" t="s">
        <v>14795</v>
      </c>
      <c r="C8064" s="15" t="s">
        <v>14796</v>
      </c>
      <c r="D8064" s="15" t="s">
        <v>14797</v>
      </c>
      <c r="E8064" s="15">
        <v>24.9727</v>
      </c>
      <c r="F8064" s="42">
        <v>46198</v>
      </c>
    </row>
    <row r="8065" spans="1:6" x14ac:dyDescent="0.3">
      <c r="A8065" s="15" t="s">
        <v>41060</v>
      </c>
      <c r="B8065" s="15" t="s">
        <v>14798</v>
      </c>
      <c r="C8065" s="15" t="s">
        <v>14799</v>
      </c>
      <c r="D8065" s="15" t="s">
        <v>14800</v>
      </c>
      <c r="E8065" s="15">
        <v>24.945</v>
      </c>
      <c r="F8065" s="42">
        <v>46198</v>
      </c>
    </row>
    <row r="8066" spans="1:6" x14ac:dyDescent="0.3">
      <c r="A8066" s="15" t="s">
        <v>41059</v>
      </c>
      <c r="B8066" s="15" t="s">
        <v>14801</v>
      </c>
      <c r="C8066" s="15" t="s">
        <v>14802</v>
      </c>
      <c r="D8066" s="15" t="s">
        <v>14803</v>
      </c>
      <c r="E8066" s="15">
        <v>24.9681</v>
      </c>
      <c r="F8066" s="42">
        <v>46198</v>
      </c>
    </row>
    <row r="8067" spans="1:6" x14ac:dyDescent="0.3">
      <c r="A8067" s="15" t="s">
        <v>41058</v>
      </c>
      <c r="B8067" s="15" t="s">
        <v>14804</v>
      </c>
      <c r="C8067" s="15" t="s">
        <v>14805</v>
      </c>
      <c r="D8067" s="15" t="s">
        <v>14806</v>
      </c>
      <c r="E8067" s="15">
        <v>24.9693</v>
      </c>
      <c r="F8067" s="42">
        <v>46198</v>
      </c>
    </row>
    <row r="8068" spans="1:6" x14ac:dyDescent="0.3">
      <c r="A8068" s="15" t="s">
        <v>41057</v>
      </c>
      <c r="B8068" s="15" t="s">
        <v>14807</v>
      </c>
      <c r="C8068" s="15" t="s">
        <v>14808</v>
      </c>
      <c r="D8068" s="15" t="s">
        <v>14809</v>
      </c>
      <c r="E8068" s="15">
        <v>24.951799999999999</v>
      </c>
      <c r="F8068" s="42">
        <v>46198</v>
      </c>
    </row>
    <row r="8069" spans="1:6" x14ac:dyDescent="0.3">
      <c r="A8069" s="15" t="s">
        <v>41056</v>
      </c>
      <c r="B8069" s="15" t="s">
        <v>14810</v>
      </c>
      <c r="C8069" s="15" t="s">
        <v>800</v>
      </c>
      <c r="D8069" s="15" t="s">
        <v>14811</v>
      </c>
      <c r="E8069" s="15">
        <v>21.661100000000001</v>
      </c>
      <c r="F8069" s="42">
        <v>46198</v>
      </c>
    </row>
    <row r="8070" spans="1:6" x14ac:dyDescent="0.3">
      <c r="A8070" s="15" t="s">
        <v>41055</v>
      </c>
      <c r="B8070" s="15" t="s">
        <v>14812</v>
      </c>
      <c r="C8070" s="15" t="s">
        <v>14813</v>
      </c>
      <c r="D8070" s="15" t="s">
        <v>14814</v>
      </c>
      <c r="E8070" s="15">
        <v>21.6585</v>
      </c>
      <c r="F8070" s="42">
        <v>46198</v>
      </c>
    </row>
    <row r="8071" spans="1:6" x14ac:dyDescent="0.3">
      <c r="A8071" s="15" t="s">
        <v>41054</v>
      </c>
      <c r="B8071" s="15" t="s">
        <v>14815</v>
      </c>
      <c r="C8071" s="15" t="s">
        <v>14816</v>
      </c>
      <c r="D8071" s="15" t="s">
        <v>14817</v>
      </c>
      <c r="E8071" s="15">
        <v>21.674600000000002</v>
      </c>
      <c r="F8071" s="42">
        <v>46198</v>
      </c>
    </row>
    <row r="8072" spans="1:6" x14ac:dyDescent="0.3">
      <c r="A8072" s="15" t="s">
        <v>41053</v>
      </c>
      <c r="B8072" s="15" t="s">
        <v>14818</v>
      </c>
      <c r="C8072" s="15" t="s">
        <v>14819</v>
      </c>
      <c r="D8072" s="15" t="s">
        <v>14820</v>
      </c>
      <c r="E8072" s="15">
        <v>21.660599999999999</v>
      </c>
      <c r="F8072" s="42">
        <v>46198</v>
      </c>
    </row>
    <row r="8073" spans="1:6" x14ac:dyDescent="0.3">
      <c r="A8073" s="15" t="s">
        <v>41052</v>
      </c>
      <c r="B8073" s="15" t="s">
        <v>14821</v>
      </c>
      <c r="C8073" s="15" t="s">
        <v>14822</v>
      </c>
      <c r="D8073" s="15" t="s">
        <v>14823</v>
      </c>
      <c r="E8073" s="15">
        <v>21.662400000000002</v>
      </c>
      <c r="F8073" s="42">
        <v>46198</v>
      </c>
    </row>
    <row r="8074" spans="1:6" x14ac:dyDescent="0.3">
      <c r="A8074" s="15" t="s">
        <v>41051</v>
      </c>
      <c r="B8074" s="15" t="s">
        <v>14824</v>
      </c>
      <c r="C8074" s="15" t="s">
        <v>14825</v>
      </c>
      <c r="D8074" s="15" t="s">
        <v>14826</v>
      </c>
      <c r="E8074" s="15">
        <v>21.661300000000001</v>
      </c>
      <c r="F8074" s="42">
        <v>46198</v>
      </c>
    </row>
    <row r="8075" spans="1:6" x14ac:dyDescent="0.3">
      <c r="A8075" s="15" t="s">
        <v>33499</v>
      </c>
      <c r="B8075" s="15" t="s">
        <v>795</v>
      </c>
      <c r="C8075" s="15" t="s">
        <v>795</v>
      </c>
      <c r="D8075" s="15" t="s">
        <v>795</v>
      </c>
      <c r="F8075" s="42"/>
    </row>
    <row r="8076" spans="1:6" x14ac:dyDescent="0.3">
      <c r="A8076" s="15" t="s">
        <v>208</v>
      </c>
      <c r="B8076" s="15" t="s">
        <v>795</v>
      </c>
      <c r="C8076" s="15" t="s">
        <v>795</v>
      </c>
      <c r="D8076" s="15" t="s">
        <v>795</v>
      </c>
      <c r="F8076" s="42"/>
    </row>
    <row r="8077" spans="1:6" x14ac:dyDescent="0.3">
      <c r="A8077" s="15" t="s">
        <v>33499</v>
      </c>
      <c r="B8077" s="15" t="s">
        <v>795</v>
      </c>
      <c r="C8077" s="15" t="s">
        <v>795</v>
      </c>
      <c r="D8077" s="15" t="s">
        <v>795</v>
      </c>
      <c r="F8077" s="42"/>
    </row>
    <row r="8078" spans="1:6" x14ac:dyDescent="0.3">
      <c r="A8078" s="15" t="s">
        <v>41050</v>
      </c>
      <c r="B8078" s="15" t="s">
        <v>14827</v>
      </c>
      <c r="C8078" s="15" t="s">
        <v>800</v>
      </c>
      <c r="D8078" s="15" t="s">
        <v>14828</v>
      </c>
      <c r="E8078" s="15">
        <v>0</v>
      </c>
      <c r="F8078" s="42">
        <v>46198</v>
      </c>
    </row>
    <row r="8079" spans="1:6" x14ac:dyDescent="0.3">
      <c r="A8079" s="15" t="s">
        <v>41049</v>
      </c>
      <c r="B8079" s="15" t="s">
        <v>14829</v>
      </c>
      <c r="C8079" s="15" t="s">
        <v>800</v>
      </c>
      <c r="D8079" s="15" t="s">
        <v>14830</v>
      </c>
      <c r="E8079" s="15">
        <v>120.7029</v>
      </c>
      <c r="F8079" s="42">
        <v>46198</v>
      </c>
    </row>
    <row r="8080" spans="1:6" x14ac:dyDescent="0.3">
      <c r="A8080" s="15" t="s">
        <v>41048</v>
      </c>
      <c r="B8080" s="15" t="s">
        <v>14831</v>
      </c>
      <c r="C8080" s="15" t="s">
        <v>14832</v>
      </c>
      <c r="D8080" s="15" t="s">
        <v>14833</v>
      </c>
      <c r="E8080" s="15">
        <v>4.6600000000000003E-2</v>
      </c>
      <c r="F8080" s="42">
        <v>45737</v>
      </c>
    </row>
    <row r="8081" spans="1:6" x14ac:dyDescent="0.3">
      <c r="A8081" s="15" t="s">
        <v>41047</v>
      </c>
      <c r="B8081" s="15" t="s">
        <v>14834</v>
      </c>
      <c r="C8081" s="15" t="s">
        <v>14835</v>
      </c>
      <c r="D8081" s="15" t="s">
        <v>14836</v>
      </c>
      <c r="E8081" s="15">
        <v>2.3400000000000001E-2</v>
      </c>
      <c r="F8081" s="42">
        <v>45737</v>
      </c>
    </row>
    <row r="8082" spans="1:6" x14ac:dyDescent="0.3">
      <c r="A8082" s="15" t="s">
        <v>41046</v>
      </c>
      <c r="B8082" s="15" t="s">
        <v>14837</v>
      </c>
      <c r="C8082" s="15" t="s">
        <v>14838</v>
      </c>
      <c r="D8082" s="15" t="s">
        <v>14839</v>
      </c>
      <c r="E8082" s="15">
        <v>3.2199999999999999E-2</v>
      </c>
      <c r="F8082" s="42">
        <v>45737</v>
      </c>
    </row>
    <row r="8083" spans="1:6" x14ac:dyDescent="0.3">
      <c r="A8083" s="15" t="s">
        <v>41045</v>
      </c>
      <c r="B8083" s="15" t="s">
        <v>14840</v>
      </c>
      <c r="C8083" s="15" t="s">
        <v>14841</v>
      </c>
      <c r="D8083" s="15" t="s">
        <v>14842</v>
      </c>
      <c r="E8083" s="15">
        <v>3.5999999999999997E-2</v>
      </c>
      <c r="F8083" s="42">
        <v>45737</v>
      </c>
    </row>
    <row r="8084" spans="1:6" x14ac:dyDescent="0.3">
      <c r="A8084" s="15" t="s">
        <v>41044</v>
      </c>
      <c r="B8084" s="15" t="s">
        <v>14843</v>
      </c>
      <c r="C8084" s="15" t="s">
        <v>14844</v>
      </c>
      <c r="D8084" s="15" t="s">
        <v>14845</v>
      </c>
      <c r="E8084" s="15">
        <v>2.24E-2</v>
      </c>
      <c r="F8084" s="42">
        <v>45737</v>
      </c>
    </row>
    <row r="8085" spans="1:6" x14ac:dyDescent="0.3">
      <c r="A8085" s="15" t="s">
        <v>41043</v>
      </c>
      <c r="B8085" s="15" t="s">
        <v>14846</v>
      </c>
      <c r="C8085" s="15" t="s">
        <v>14847</v>
      </c>
      <c r="D8085" s="15" t="s">
        <v>14848</v>
      </c>
      <c r="E8085" s="15">
        <v>3.09E-2</v>
      </c>
      <c r="F8085" s="42">
        <v>45737</v>
      </c>
    </row>
    <row r="8086" spans="1:6" x14ac:dyDescent="0.3">
      <c r="A8086" s="15" t="s">
        <v>41042</v>
      </c>
      <c r="B8086" s="15" t="s">
        <v>14849</v>
      </c>
      <c r="C8086" s="15" t="s">
        <v>14850</v>
      </c>
      <c r="D8086" s="15" t="s">
        <v>14851</v>
      </c>
      <c r="E8086" s="15">
        <v>0</v>
      </c>
      <c r="F8086" s="42">
        <v>46198</v>
      </c>
    </row>
    <row r="8087" spans="1:6" x14ac:dyDescent="0.3">
      <c r="A8087" s="15" t="s">
        <v>41041</v>
      </c>
      <c r="B8087" s="15" t="s">
        <v>14852</v>
      </c>
      <c r="C8087" s="15" t="s">
        <v>14853</v>
      </c>
      <c r="D8087" s="15" t="s">
        <v>14854</v>
      </c>
      <c r="E8087" s="15">
        <v>0</v>
      </c>
      <c r="F8087" s="42">
        <v>46198</v>
      </c>
    </row>
    <row r="8088" spans="1:6" x14ac:dyDescent="0.3">
      <c r="A8088" s="15" t="s">
        <v>41040</v>
      </c>
      <c r="B8088" s="15" t="s">
        <v>14855</v>
      </c>
      <c r="C8088" s="15" t="s">
        <v>14856</v>
      </c>
      <c r="D8088" s="15" t="s">
        <v>14857</v>
      </c>
      <c r="E8088" s="15">
        <v>0</v>
      </c>
      <c r="F8088" s="42">
        <v>46198</v>
      </c>
    </row>
    <row r="8089" spans="1:6" x14ac:dyDescent="0.3">
      <c r="A8089" s="15" t="s">
        <v>41039</v>
      </c>
      <c r="B8089" s="15" t="s">
        <v>14858</v>
      </c>
      <c r="C8089" s="15" t="s">
        <v>14859</v>
      </c>
      <c r="D8089" s="15" t="s">
        <v>14860</v>
      </c>
      <c r="E8089" s="15">
        <v>0</v>
      </c>
      <c r="F8089" s="42">
        <v>46198</v>
      </c>
    </row>
    <row r="8090" spans="1:6" x14ac:dyDescent="0.3">
      <c r="A8090" s="15" t="s">
        <v>41038</v>
      </c>
      <c r="B8090" s="15" t="s">
        <v>14861</v>
      </c>
      <c r="C8090" s="15" t="s">
        <v>14862</v>
      </c>
      <c r="D8090" s="15" t="s">
        <v>14863</v>
      </c>
      <c r="E8090" s="15">
        <v>0</v>
      </c>
      <c r="F8090" s="42">
        <v>46198</v>
      </c>
    </row>
    <row r="8091" spans="1:6" x14ac:dyDescent="0.3">
      <c r="A8091" s="15" t="s">
        <v>41037</v>
      </c>
      <c r="B8091" s="15" t="s">
        <v>14864</v>
      </c>
      <c r="C8091" s="15" t="s">
        <v>14865</v>
      </c>
      <c r="D8091" s="15" t="s">
        <v>14866</v>
      </c>
      <c r="E8091" s="15">
        <v>0</v>
      </c>
      <c r="F8091" s="42">
        <v>46198</v>
      </c>
    </row>
    <row r="8092" spans="1:6" x14ac:dyDescent="0.3">
      <c r="A8092" s="15" t="s">
        <v>41036</v>
      </c>
      <c r="B8092" s="15" t="s">
        <v>14867</v>
      </c>
      <c r="C8092" s="15" t="s">
        <v>14868</v>
      </c>
      <c r="D8092" s="15" t="s">
        <v>14869</v>
      </c>
      <c r="E8092" s="15">
        <v>37.712400000000002</v>
      </c>
      <c r="F8092" s="42">
        <v>46198</v>
      </c>
    </row>
    <row r="8093" spans="1:6" x14ac:dyDescent="0.3">
      <c r="A8093" s="15" t="s">
        <v>41035</v>
      </c>
      <c r="B8093" s="15" t="s">
        <v>14870</v>
      </c>
      <c r="C8093" s="15" t="s">
        <v>14871</v>
      </c>
      <c r="D8093" s="15" t="s">
        <v>14872</v>
      </c>
      <c r="E8093" s="15">
        <v>18.626999999999999</v>
      </c>
      <c r="F8093" s="42">
        <v>46198</v>
      </c>
    </row>
    <row r="8094" spans="1:6" x14ac:dyDescent="0.3">
      <c r="A8094" s="15" t="s">
        <v>41034</v>
      </c>
      <c r="B8094" s="15" t="s">
        <v>14873</v>
      </c>
      <c r="C8094" s="15" t="s">
        <v>14874</v>
      </c>
      <c r="D8094" s="15" t="s">
        <v>14875</v>
      </c>
      <c r="E8094" s="15">
        <v>24.989799999999999</v>
      </c>
      <c r="F8094" s="42">
        <v>46198</v>
      </c>
    </row>
    <row r="8095" spans="1:6" x14ac:dyDescent="0.3">
      <c r="A8095" s="15" t="s">
        <v>41033</v>
      </c>
      <c r="B8095" s="15" t="s">
        <v>14876</v>
      </c>
      <c r="C8095" s="15" t="s">
        <v>800</v>
      </c>
      <c r="D8095" s="15" t="s">
        <v>14877</v>
      </c>
      <c r="E8095" s="15">
        <v>106.2349</v>
      </c>
      <c r="F8095" s="42">
        <v>46198</v>
      </c>
    </row>
    <row r="8096" spans="1:6" x14ac:dyDescent="0.3">
      <c r="A8096" s="15" t="s">
        <v>41032</v>
      </c>
      <c r="B8096" s="15" t="s">
        <v>14878</v>
      </c>
      <c r="C8096" s="15" t="s">
        <v>14879</v>
      </c>
      <c r="D8096" s="15" t="s">
        <v>14880</v>
      </c>
      <c r="E8096" s="15">
        <v>26.544899999999998</v>
      </c>
      <c r="F8096" s="42">
        <v>46198</v>
      </c>
    </row>
    <row r="8097" spans="1:6" x14ac:dyDescent="0.3">
      <c r="A8097" s="15" t="s">
        <v>41031</v>
      </c>
      <c r="B8097" s="15" t="s">
        <v>14881</v>
      </c>
      <c r="C8097" s="15" t="s">
        <v>14882</v>
      </c>
      <c r="D8097" s="15" t="s">
        <v>14883</v>
      </c>
      <c r="E8097" s="15">
        <v>16.578099999999999</v>
      </c>
      <c r="F8097" s="42">
        <v>46198</v>
      </c>
    </row>
    <row r="8098" spans="1:6" x14ac:dyDescent="0.3">
      <c r="A8098" s="15" t="s">
        <v>41030</v>
      </c>
      <c r="B8098" s="15" t="s">
        <v>14884</v>
      </c>
      <c r="C8098" s="15" t="s">
        <v>14885</v>
      </c>
      <c r="D8098" s="15" t="s">
        <v>14886</v>
      </c>
      <c r="E8098" s="15">
        <v>22.495000000000001</v>
      </c>
      <c r="F8098" s="42">
        <v>46198</v>
      </c>
    </row>
    <row r="8099" spans="1:6" x14ac:dyDescent="0.3">
      <c r="A8099" s="15" t="s">
        <v>41029</v>
      </c>
      <c r="B8099" s="15" t="s">
        <v>14887</v>
      </c>
      <c r="C8099" s="15" t="s">
        <v>800</v>
      </c>
      <c r="D8099" s="15" t="s">
        <v>14888</v>
      </c>
      <c r="E8099" s="15">
        <v>0.12609999999999999</v>
      </c>
      <c r="F8099" s="42">
        <v>45737</v>
      </c>
    </row>
    <row r="8100" spans="1:6" x14ac:dyDescent="0.3">
      <c r="A8100" s="15" t="s">
        <v>41028</v>
      </c>
      <c r="B8100" s="15" t="s">
        <v>14889</v>
      </c>
      <c r="C8100" s="15" t="s">
        <v>800</v>
      </c>
      <c r="D8100" s="15" t="s">
        <v>14890</v>
      </c>
      <c r="E8100" s="15">
        <v>0.1172</v>
      </c>
      <c r="F8100" s="42">
        <v>45737</v>
      </c>
    </row>
    <row r="8101" spans="1:6" x14ac:dyDescent="0.3">
      <c r="A8101" s="15" t="s">
        <v>41027</v>
      </c>
      <c r="B8101" s="15" t="s">
        <v>14891</v>
      </c>
      <c r="C8101" s="15" t="s">
        <v>800</v>
      </c>
      <c r="D8101" s="15" t="s">
        <v>14892</v>
      </c>
      <c r="E8101" s="15">
        <v>0</v>
      </c>
      <c r="F8101" s="42">
        <v>46198</v>
      </c>
    </row>
    <row r="8102" spans="1:6" x14ac:dyDescent="0.3">
      <c r="A8102" s="15" t="s">
        <v>33499</v>
      </c>
      <c r="B8102" s="15" t="s">
        <v>795</v>
      </c>
      <c r="C8102" s="15" t="s">
        <v>795</v>
      </c>
      <c r="D8102" s="15" t="s">
        <v>795</v>
      </c>
      <c r="F8102" s="42"/>
    </row>
    <row r="8103" spans="1:6" x14ac:dyDescent="0.3">
      <c r="A8103" s="15" t="s">
        <v>37523</v>
      </c>
      <c r="B8103" s="15" t="s">
        <v>795</v>
      </c>
      <c r="C8103" s="15" t="s">
        <v>795</v>
      </c>
      <c r="D8103" s="15" t="s">
        <v>795</v>
      </c>
      <c r="F8103" s="42"/>
    </row>
    <row r="8104" spans="1:6" x14ac:dyDescent="0.3">
      <c r="A8104" s="15" t="s">
        <v>33499</v>
      </c>
      <c r="B8104" s="15" t="s">
        <v>795</v>
      </c>
      <c r="C8104" s="15" t="s">
        <v>795</v>
      </c>
      <c r="D8104" s="15" t="s">
        <v>795</v>
      </c>
      <c r="F8104" s="42"/>
    </row>
    <row r="8105" spans="1:6" x14ac:dyDescent="0.3">
      <c r="A8105" s="15" t="s">
        <v>41026</v>
      </c>
      <c r="B8105" s="15" t="s">
        <v>14893</v>
      </c>
      <c r="C8105" s="15" t="s">
        <v>800</v>
      </c>
      <c r="D8105" s="15" t="s">
        <v>14894</v>
      </c>
      <c r="E8105" s="15">
        <v>16.600000000000001</v>
      </c>
      <c r="F8105" s="42">
        <v>42576</v>
      </c>
    </row>
    <row r="8106" spans="1:6" x14ac:dyDescent="0.3">
      <c r="A8106" s="15" t="s">
        <v>41025</v>
      </c>
      <c r="B8106" s="15" t="s">
        <v>14895</v>
      </c>
      <c r="C8106" s="15" t="s">
        <v>14896</v>
      </c>
      <c r="D8106" s="15" t="s">
        <v>14897</v>
      </c>
      <c r="E8106" s="15">
        <v>13.27</v>
      </c>
      <c r="F8106" s="42">
        <v>44260</v>
      </c>
    </row>
    <row r="8107" spans="1:6" x14ac:dyDescent="0.3">
      <c r="A8107" s="15" t="s">
        <v>41024</v>
      </c>
      <c r="B8107" s="15" t="s">
        <v>14898</v>
      </c>
      <c r="C8107" s="15" t="s">
        <v>14899</v>
      </c>
      <c r="D8107" s="15" t="s">
        <v>14900</v>
      </c>
      <c r="E8107" s="15">
        <v>24.78</v>
      </c>
      <c r="F8107" s="42">
        <v>46198</v>
      </c>
    </row>
    <row r="8108" spans="1:6" x14ac:dyDescent="0.3">
      <c r="A8108" s="15" t="s">
        <v>41023</v>
      </c>
      <c r="B8108" s="15" t="s">
        <v>14901</v>
      </c>
      <c r="C8108" s="15" t="s">
        <v>800</v>
      </c>
      <c r="D8108" s="15" t="s">
        <v>14902</v>
      </c>
      <c r="E8108" s="15">
        <v>156.1</v>
      </c>
      <c r="F8108" s="42">
        <v>46198</v>
      </c>
    </row>
    <row r="8109" spans="1:6" x14ac:dyDescent="0.3">
      <c r="A8109" s="15" t="s">
        <v>41022</v>
      </c>
      <c r="B8109" s="15" t="s">
        <v>14903</v>
      </c>
      <c r="C8109" s="15" t="s">
        <v>14904</v>
      </c>
      <c r="D8109" s="15" t="s">
        <v>14905</v>
      </c>
      <c r="E8109" s="15">
        <v>13.82</v>
      </c>
      <c r="F8109" s="42">
        <v>46198</v>
      </c>
    </row>
    <row r="8110" spans="1:6" x14ac:dyDescent="0.3">
      <c r="A8110" s="15" t="s">
        <v>41021</v>
      </c>
      <c r="B8110" s="15" t="s">
        <v>14906</v>
      </c>
      <c r="C8110" s="15" t="s">
        <v>800</v>
      </c>
      <c r="D8110" s="15" t="s">
        <v>14907</v>
      </c>
      <c r="E8110" s="15">
        <v>128.83000000000001</v>
      </c>
      <c r="F8110" s="42">
        <v>46198</v>
      </c>
    </row>
    <row r="8111" spans="1:6" x14ac:dyDescent="0.3">
      <c r="A8111" s="15" t="s">
        <v>41020</v>
      </c>
      <c r="B8111" s="15" t="s">
        <v>14908</v>
      </c>
      <c r="C8111" s="15" t="s">
        <v>14909</v>
      </c>
      <c r="D8111" s="15" t="s">
        <v>14910</v>
      </c>
      <c r="E8111" s="15">
        <v>12.98</v>
      </c>
      <c r="F8111" s="42">
        <v>44260</v>
      </c>
    </row>
    <row r="8112" spans="1:6" x14ac:dyDescent="0.3">
      <c r="A8112" s="15" t="s">
        <v>41019</v>
      </c>
      <c r="B8112" s="15" t="s">
        <v>14911</v>
      </c>
      <c r="C8112" s="15" t="s">
        <v>800</v>
      </c>
      <c r="D8112" s="15" t="s">
        <v>14912</v>
      </c>
      <c r="E8112" s="15">
        <v>16.48</v>
      </c>
      <c r="F8112" s="42">
        <v>43674</v>
      </c>
    </row>
    <row r="8113" spans="1:6" x14ac:dyDescent="0.3">
      <c r="A8113" s="15" t="s">
        <v>41018</v>
      </c>
      <c r="B8113" s="15" t="s">
        <v>14913</v>
      </c>
      <c r="C8113" s="15" t="s">
        <v>800</v>
      </c>
      <c r="D8113" s="15" t="s">
        <v>14914</v>
      </c>
      <c r="E8113" s="15">
        <v>30.02</v>
      </c>
      <c r="F8113" s="42">
        <v>43674</v>
      </c>
    </row>
    <row r="8114" spans="1:6" x14ac:dyDescent="0.3">
      <c r="A8114" s="15" t="s">
        <v>41017</v>
      </c>
      <c r="B8114" s="15" t="s">
        <v>14915</v>
      </c>
      <c r="C8114" s="15" t="s">
        <v>14916</v>
      </c>
      <c r="D8114" s="15" t="s">
        <v>14917</v>
      </c>
      <c r="E8114" s="15">
        <v>25.08</v>
      </c>
      <c r="F8114" s="42">
        <v>46198</v>
      </c>
    </row>
    <row r="8115" spans="1:6" x14ac:dyDescent="0.3">
      <c r="A8115" s="15" t="s">
        <v>41016</v>
      </c>
      <c r="B8115" s="15" t="s">
        <v>14918</v>
      </c>
      <c r="C8115" s="15" t="s">
        <v>14919</v>
      </c>
      <c r="D8115" s="15" t="s">
        <v>14920</v>
      </c>
      <c r="E8115" s="15">
        <v>21.55</v>
      </c>
      <c r="F8115" s="42">
        <v>44260</v>
      </c>
    </row>
    <row r="8116" spans="1:6" x14ac:dyDescent="0.3">
      <c r="A8116" s="15" t="s">
        <v>41015</v>
      </c>
      <c r="B8116" s="15" t="s">
        <v>14921</v>
      </c>
      <c r="C8116" s="15" t="s">
        <v>14922</v>
      </c>
      <c r="D8116" s="15" t="s">
        <v>14923</v>
      </c>
      <c r="E8116" s="15">
        <v>22.19</v>
      </c>
      <c r="F8116" s="42">
        <v>46198</v>
      </c>
    </row>
    <row r="8117" spans="1:6" x14ac:dyDescent="0.3">
      <c r="A8117" s="15" t="s">
        <v>41014</v>
      </c>
      <c r="B8117" s="15" t="s">
        <v>14924</v>
      </c>
      <c r="C8117" s="15" t="s">
        <v>14925</v>
      </c>
      <c r="D8117" s="15" t="s">
        <v>14926</v>
      </c>
      <c r="E8117" s="15">
        <v>20.99</v>
      </c>
      <c r="F8117" s="42">
        <v>44260</v>
      </c>
    </row>
    <row r="8118" spans="1:6" x14ac:dyDescent="0.3">
      <c r="A8118" s="15" t="s">
        <v>33499</v>
      </c>
      <c r="B8118" s="15" t="s">
        <v>795</v>
      </c>
      <c r="C8118" s="15" t="s">
        <v>795</v>
      </c>
      <c r="D8118" s="15" t="s">
        <v>795</v>
      </c>
      <c r="F8118" s="42"/>
    </row>
    <row r="8119" spans="1:6" x14ac:dyDescent="0.3">
      <c r="A8119" s="15" t="s">
        <v>40216</v>
      </c>
      <c r="B8119" s="15" t="s">
        <v>795</v>
      </c>
      <c r="C8119" s="15" t="s">
        <v>795</v>
      </c>
      <c r="D8119" s="15" t="s">
        <v>795</v>
      </c>
      <c r="F8119" s="42"/>
    </row>
    <row r="8120" spans="1:6" x14ac:dyDescent="0.3">
      <c r="A8120" s="15" t="s">
        <v>33499</v>
      </c>
      <c r="B8120" s="15" t="s">
        <v>795</v>
      </c>
      <c r="C8120" s="15" t="s">
        <v>795</v>
      </c>
      <c r="D8120" s="15" t="s">
        <v>795</v>
      </c>
      <c r="F8120" s="42"/>
    </row>
    <row r="8121" spans="1:6" x14ac:dyDescent="0.3">
      <c r="A8121" s="15" t="s">
        <v>41013</v>
      </c>
      <c r="B8121" s="15" t="s">
        <v>14927</v>
      </c>
      <c r="C8121" s="15" t="s">
        <v>800</v>
      </c>
      <c r="D8121" s="15" t="s">
        <v>14928</v>
      </c>
      <c r="E8121" s="15">
        <v>470.2749</v>
      </c>
      <c r="F8121" s="42">
        <v>46198</v>
      </c>
    </row>
    <row r="8122" spans="1:6" x14ac:dyDescent="0.3">
      <c r="A8122" s="15" t="s">
        <v>41012</v>
      </c>
      <c r="B8122" s="15" t="s">
        <v>14929</v>
      </c>
      <c r="C8122" s="15" t="s">
        <v>800</v>
      </c>
      <c r="D8122" s="15" t="s">
        <v>14930</v>
      </c>
      <c r="E8122" s="15">
        <v>518.4556</v>
      </c>
      <c r="F8122" s="42">
        <v>46198</v>
      </c>
    </row>
    <row r="8123" spans="1:6" x14ac:dyDescent="0.3">
      <c r="A8123" s="15" t="s">
        <v>41011</v>
      </c>
      <c r="B8123" s="15" t="s">
        <v>14931</v>
      </c>
      <c r="C8123" s="15" t="s">
        <v>14932</v>
      </c>
      <c r="D8123" s="15" t="s">
        <v>14933</v>
      </c>
      <c r="E8123" s="15">
        <v>64.863799999999998</v>
      </c>
      <c r="F8123" s="42">
        <v>46198</v>
      </c>
    </row>
    <row r="8124" spans="1:6" x14ac:dyDescent="0.3">
      <c r="A8124" s="15" t="s">
        <v>41010</v>
      </c>
      <c r="B8124" s="15" t="s">
        <v>14934</v>
      </c>
      <c r="C8124" s="15" t="s">
        <v>14935</v>
      </c>
      <c r="D8124" s="15" t="s">
        <v>14936</v>
      </c>
      <c r="E8124" s="15">
        <v>71.808000000000007</v>
      </c>
      <c r="F8124" s="42">
        <v>46198</v>
      </c>
    </row>
    <row r="8125" spans="1:6" x14ac:dyDescent="0.3">
      <c r="A8125" s="15" t="s">
        <v>33499</v>
      </c>
      <c r="B8125" s="15" t="s">
        <v>795</v>
      </c>
      <c r="C8125" s="15" t="s">
        <v>795</v>
      </c>
      <c r="D8125" s="15" t="s">
        <v>795</v>
      </c>
      <c r="F8125" s="42"/>
    </row>
    <row r="8126" spans="1:6" x14ac:dyDescent="0.3">
      <c r="A8126" s="15" t="s">
        <v>33636</v>
      </c>
      <c r="B8126" s="15" t="s">
        <v>795</v>
      </c>
      <c r="C8126" s="15" t="s">
        <v>795</v>
      </c>
      <c r="D8126" s="15" t="s">
        <v>795</v>
      </c>
      <c r="F8126" s="42"/>
    </row>
    <row r="8127" spans="1:6" x14ac:dyDescent="0.3">
      <c r="A8127" s="15" t="s">
        <v>33499</v>
      </c>
      <c r="B8127" s="15" t="s">
        <v>795</v>
      </c>
      <c r="C8127" s="15" t="s">
        <v>795</v>
      </c>
      <c r="D8127" s="15" t="s">
        <v>795</v>
      </c>
      <c r="F8127" s="42"/>
    </row>
    <row r="8128" spans="1:6" x14ac:dyDescent="0.3">
      <c r="A8128" s="15" t="s">
        <v>41009</v>
      </c>
      <c r="B8128" s="15" t="s">
        <v>14937</v>
      </c>
      <c r="C8128" s="15" t="s">
        <v>800</v>
      </c>
      <c r="D8128" s="15" t="s">
        <v>14938</v>
      </c>
      <c r="E8128" s="15">
        <v>347.7312</v>
      </c>
      <c r="F8128" s="42">
        <v>46198</v>
      </c>
    </row>
    <row r="8129" spans="1:6" x14ac:dyDescent="0.3">
      <c r="A8129" s="15" t="s">
        <v>41008</v>
      </c>
      <c r="B8129" s="15" t="s">
        <v>14939</v>
      </c>
      <c r="C8129" s="15" t="s">
        <v>14940</v>
      </c>
      <c r="D8129" s="15" t="s">
        <v>14941</v>
      </c>
      <c r="E8129" s="15">
        <v>101.75279999999999</v>
      </c>
      <c r="F8129" s="42">
        <v>46198</v>
      </c>
    </row>
    <row r="8130" spans="1:6" x14ac:dyDescent="0.3">
      <c r="A8130" s="15" t="s">
        <v>41007</v>
      </c>
      <c r="B8130" s="15" t="s">
        <v>14942</v>
      </c>
      <c r="C8130" s="15" t="s">
        <v>14943</v>
      </c>
      <c r="D8130" s="15" t="s">
        <v>14944</v>
      </c>
      <c r="E8130" s="15">
        <v>66.302599999999998</v>
      </c>
      <c r="F8130" s="42">
        <v>46198</v>
      </c>
    </row>
    <row r="8131" spans="1:6" x14ac:dyDescent="0.3">
      <c r="A8131" s="15" t="s">
        <v>41006</v>
      </c>
      <c r="B8131" s="15" t="s">
        <v>14945</v>
      </c>
      <c r="C8131" s="15" t="s">
        <v>800</v>
      </c>
      <c r="D8131" s="15" t="s">
        <v>14946</v>
      </c>
      <c r="E8131" s="15">
        <v>312.88749999999999</v>
      </c>
      <c r="F8131" s="42">
        <v>46198</v>
      </c>
    </row>
    <row r="8132" spans="1:6" x14ac:dyDescent="0.3">
      <c r="A8132" s="15" t="s">
        <v>33499</v>
      </c>
      <c r="B8132" s="15" t="s">
        <v>795</v>
      </c>
      <c r="C8132" s="15" t="s">
        <v>795</v>
      </c>
      <c r="D8132" s="15" t="s">
        <v>795</v>
      </c>
      <c r="F8132" s="42"/>
    </row>
    <row r="8133" spans="1:6" x14ac:dyDescent="0.3">
      <c r="A8133" s="15" t="s">
        <v>37664</v>
      </c>
      <c r="B8133" s="15" t="s">
        <v>795</v>
      </c>
      <c r="C8133" s="15" t="s">
        <v>795</v>
      </c>
      <c r="D8133" s="15" t="s">
        <v>795</v>
      </c>
      <c r="F8133" s="42"/>
    </row>
    <row r="8134" spans="1:6" x14ac:dyDescent="0.3">
      <c r="A8134" s="15" t="s">
        <v>33499</v>
      </c>
      <c r="B8134" s="15" t="s">
        <v>795</v>
      </c>
      <c r="C8134" s="15" t="s">
        <v>795</v>
      </c>
      <c r="D8134" s="15" t="s">
        <v>795</v>
      </c>
      <c r="F8134" s="42"/>
    </row>
    <row r="8135" spans="1:6" x14ac:dyDescent="0.3">
      <c r="A8135" s="15" t="s">
        <v>41005</v>
      </c>
      <c r="B8135" s="15" t="s">
        <v>14947</v>
      </c>
      <c r="C8135" s="15" t="s">
        <v>800</v>
      </c>
      <c r="D8135" s="15" t="s">
        <v>14948</v>
      </c>
      <c r="E8135" s="15">
        <v>36.869700000000002</v>
      </c>
      <c r="F8135" s="42">
        <v>46198</v>
      </c>
    </row>
    <row r="8136" spans="1:6" x14ac:dyDescent="0.3">
      <c r="A8136" s="15" t="s">
        <v>41004</v>
      </c>
      <c r="B8136" s="15" t="s">
        <v>14949</v>
      </c>
      <c r="C8136" s="15" t="s">
        <v>14950</v>
      </c>
      <c r="D8136" s="15" t="s">
        <v>14951</v>
      </c>
      <c r="E8136" s="15">
        <v>29.046399999999998</v>
      </c>
      <c r="F8136" s="42">
        <v>46198</v>
      </c>
    </row>
    <row r="8137" spans="1:6" x14ac:dyDescent="0.3">
      <c r="A8137" s="15" t="s">
        <v>41003</v>
      </c>
      <c r="B8137" s="15" t="s">
        <v>14952</v>
      </c>
      <c r="C8137" s="15" t="s">
        <v>800</v>
      </c>
      <c r="D8137" s="15" t="s">
        <v>14953</v>
      </c>
      <c r="E8137" s="15">
        <v>31.711300000000001</v>
      </c>
      <c r="F8137" s="42">
        <v>46198</v>
      </c>
    </row>
    <row r="8138" spans="1:6" x14ac:dyDescent="0.3">
      <c r="A8138" s="15" t="s">
        <v>41002</v>
      </c>
      <c r="B8138" s="15" t="s">
        <v>14954</v>
      </c>
      <c r="C8138" s="15" t="s">
        <v>14955</v>
      </c>
      <c r="D8138" s="15" t="s">
        <v>14956</v>
      </c>
      <c r="E8138" s="15">
        <v>25.355399999999999</v>
      </c>
      <c r="F8138" s="42">
        <v>46198</v>
      </c>
    </row>
    <row r="8139" spans="1:6" x14ac:dyDescent="0.3">
      <c r="A8139" s="15" t="s">
        <v>33499</v>
      </c>
      <c r="B8139" s="15" t="s">
        <v>795</v>
      </c>
      <c r="C8139" s="15" t="s">
        <v>795</v>
      </c>
      <c r="D8139" s="15" t="s">
        <v>795</v>
      </c>
      <c r="F8139" s="42"/>
    </row>
    <row r="8140" spans="1:6" x14ac:dyDescent="0.3">
      <c r="A8140" s="15" t="s">
        <v>37414</v>
      </c>
      <c r="B8140" s="15" t="s">
        <v>795</v>
      </c>
      <c r="C8140" s="15" t="s">
        <v>795</v>
      </c>
      <c r="D8140" s="15" t="s">
        <v>795</v>
      </c>
      <c r="F8140" s="42"/>
    </row>
    <row r="8141" spans="1:6" x14ac:dyDescent="0.3">
      <c r="A8141" s="15" t="s">
        <v>33499</v>
      </c>
      <c r="B8141" s="15" t="s">
        <v>795</v>
      </c>
      <c r="C8141" s="15" t="s">
        <v>795</v>
      </c>
      <c r="D8141" s="15" t="s">
        <v>795</v>
      </c>
      <c r="F8141" s="42"/>
    </row>
    <row r="8142" spans="1:6" x14ac:dyDescent="0.3">
      <c r="A8142" s="15" t="s">
        <v>41001</v>
      </c>
      <c r="B8142" s="15" t="s">
        <v>14957</v>
      </c>
      <c r="C8142" s="15" t="s">
        <v>800</v>
      </c>
      <c r="D8142" s="15" t="s">
        <v>14958</v>
      </c>
      <c r="E8142" s="15">
        <v>183.68709999999999</v>
      </c>
      <c r="F8142" s="42">
        <v>46198</v>
      </c>
    </row>
    <row r="8143" spans="1:6" x14ac:dyDescent="0.3">
      <c r="A8143" s="15" t="s">
        <v>41000</v>
      </c>
      <c r="B8143" s="15" t="s">
        <v>14959</v>
      </c>
      <c r="C8143" s="15" t="s">
        <v>14960</v>
      </c>
      <c r="D8143" s="15" t="s">
        <v>14961</v>
      </c>
      <c r="E8143" s="15">
        <v>24.763000000000002</v>
      </c>
      <c r="F8143" s="42">
        <v>46198</v>
      </c>
    </row>
    <row r="8144" spans="1:6" x14ac:dyDescent="0.3">
      <c r="A8144" s="15" t="s">
        <v>40999</v>
      </c>
      <c r="B8144" s="15" t="s">
        <v>14962</v>
      </c>
      <c r="C8144" s="15" t="s">
        <v>800</v>
      </c>
      <c r="D8144" s="15" t="s">
        <v>14963</v>
      </c>
      <c r="E8144" s="15">
        <v>158.66550000000001</v>
      </c>
      <c r="F8144" s="42">
        <v>46198</v>
      </c>
    </row>
    <row r="8145" spans="1:6" x14ac:dyDescent="0.3">
      <c r="A8145" s="15" t="s">
        <v>40998</v>
      </c>
      <c r="B8145" s="15" t="s">
        <v>14964</v>
      </c>
      <c r="C8145" s="15" t="s">
        <v>14965</v>
      </c>
      <c r="D8145" s="15" t="s">
        <v>14966</v>
      </c>
      <c r="E8145" s="15">
        <v>38.844700000000003</v>
      </c>
      <c r="F8145" s="42">
        <v>46198</v>
      </c>
    </row>
    <row r="8146" spans="1:6" x14ac:dyDescent="0.3">
      <c r="A8146" s="15" t="s">
        <v>33499</v>
      </c>
      <c r="B8146" s="15" t="s">
        <v>795</v>
      </c>
      <c r="C8146" s="15" t="s">
        <v>795</v>
      </c>
      <c r="D8146" s="15" t="s">
        <v>795</v>
      </c>
      <c r="F8146" s="42"/>
    </row>
    <row r="8147" spans="1:6" x14ac:dyDescent="0.3">
      <c r="A8147" s="15" t="s">
        <v>33519</v>
      </c>
      <c r="B8147" s="15" t="s">
        <v>795</v>
      </c>
      <c r="C8147" s="15" t="s">
        <v>795</v>
      </c>
      <c r="D8147" s="15" t="s">
        <v>795</v>
      </c>
      <c r="F8147" s="42"/>
    </row>
    <row r="8148" spans="1:6" x14ac:dyDescent="0.3">
      <c r="A8148" s="15" t="s">
        <v>33499</v>
      </c>
      <c r="B8148" s="15" t="s">
        <v>795</v>
      </c>
      <c r="C8148" s="15" t="s">
        <v>795</v>
      </c>
      <c r="D8148" s="15" t="s">
        <v>795</v>
      </c>
      <c r="F8148" s="42"/>
    </row>
    <row r="8149" spans="1:6" x14ac:dyDescent="0.3">
      <c r="A8149" s="15" t="s">
        <v>40997</v>
      </c>
      <c r="B8149" s="15" t="s">
        <v>14967</v>
      </c>
      <c r="C8149" s="15" t="s">
        <v>800</v>
      </c>
      <c r="D8149" s="15" t="s">
        <v>14968</v>
      </c>
      <c r="E8149" s="15">
        <v>496.16739999999999</v>
      </c>
      <c r="F8149" s="42">
        <v>46198</v>
      </c>
    </row>
    <row r="8150" spans="1:6" x14ac:dyDescent="0.3">
      <c r="A8150" s="15" t="s">
        <v>40996</v>
      </c>
      <c r="B8150" s="15" t="s">
        <v>14969</v>
      </c>
      <c r="C8150" s="15" t="s">
        <v>14970</v>
      </c>
      <c r="D8150" s="15" t="s">
        <v>14971</v>
      </c>
      <c r="E8150" s="15">
        <v>99.4953</v>
      </c>
      <c r="F8150" s="42">
        <v>46198</v>
      </c>
    </row>
    <row r="8151" spans="1:6" x14ac:dyDescent="0.3">
      <c r="A8151" s="15" t="s">
        <v>40995</v>
      </c>
      <c r="B8151" s="15" t="s">
        <v>14972</v>
      </c>
      <c r="C8151" s="15" t="s">
        <v>14973</v>
      </c>
      <c r="D8151" s="15" t="s">
        <v>14974</v>
      </c>
      <c r="E8151" s="15">
        <v>97.412800000000004</v>
      </c>
      <c r="F8151" s="42">
        <v>46198</v>
      </c>
    </row>
    <row r="8152" spans="1:6" x14ac:dyDescent="0.3">
      <c r="A8152" s="15" t="s">
        <v>40994</v>
      </c>
      <c r="B8152" s="15" t="s">
        <v>14975</v>
      </c>
      <c r="C8152" s="15" t="s">
        <v>800</v>
      </c>
      <c r="D8152" s="15" t="s">
        <v>14976</v>
      </c>
      <c r="E8152" s="15">
        <v>438.0727</v>
      </c>
      <c r="F8152" s="42">
        <v>46198</v>
      </c>
    </row>
    <row r="8153" spans="1:6" x14ac:dyDescent="0.3">
      <c r="A8153" s="15" t="s">
        <v>40993</v>
      </c>
      <c r="B8153" s="15" t="s">
        <v>14977</v>
      </c>
      <c r="C8153" s="15" t="s">
        <v>14978</v>
      </c>
      <c r="D8153" s="15" t="s">
        <v>14979</v>
      </c>
      <c r="E8153" s="15">
        <v>82.506100000000004</v>
      </c>
      <c r="F8153" s="42">
        <v>46198</v>
      </c>
    </row>
    <row r="8154" spans="1:6" x14ac:dyDescent="0.3">
      <c r="A8154" s="15" t="s">
        <v>40992</v>
      </c>
      <c r="B8154" s="15" t="s">
        <v>14980</v>
      </c>
      <c r="C8154" s="15" t="s">
        <v>14981</v>
      </c>
      <c r="D8154" s="15" t="s">
        <v>14982</v>
      </c>
      <c r="E8154" s="15">
        <v>78.003799999999998</v>
      </c>
      <c r="F8154" s="42">
        <v>46198</v>
      </c>
    </row>
    <row r="8155" spans="1:6" x14ac:dyDescent="0.3">
      <c r="A8155" s="15" t="s">
        <v>33499</v>
      </c>
      <c r="B8155" s="15" t="s">
        <v>795</v>
      </c>
      <c r="C8155" s="15" t="s">
        <v>795</v>
      </c>
      <c r="D8155" s="15" t="s">
        <v>795</v>
      </c>
      <c r="F8155" s="42"/>
    </row>
    <row r="8156" spans="1:6" x14ac:dyDescent="0.3">
      <c r="A8156" s="15" t="s">
        <v>33504</v>
      </c>
      <c r="B8156" s="15" t="s">
        <v>795</v>
      </c>
      <c r="C8156" s="15" t="s">
        <v>795</v>
      </c>
      <c r="D8156" s="15" t="s">
        <v>795</v>
      </c>
      <c r="F8156" s="42"/>
    </row>
    <row r="8157" spans="1:6" x14ac:dyDescent="0.3">
      <c r="A8157" s="15" t="s">
        <v>33499</v>
      </c>
      <c r="B8157" s="15" t="s">
        <v>795</v>
      </c>
      <c r="C8157" s="15" t="s">
        <v>795</v>
      </c>
      <c r="D8157" s="15" t="s">
        <v>795</v>
      </c>
      <c r="F8157" s="42"/>
    </row>
    <row r="8158" spans="1:6" x14ac:dyDescent="0.3">
      <c r="A8158" s="15" t="s">
        <v>40991</v>
      </c>
      <c r="B8158" s="15" t="s">
        <v>14983</v>
      </c>
      <c r="C8158" s="15" t="s">
        <v>800</v>
      </c>
      <c r="D8158" s="15" t="s">
        <v>14984</v>
      </c>
      <c r="E8158" s="15">
        <v>19.43</v>
      </c>
      <c r="F8158" s="42">
        <v>46198</v>
      </c>
    </row>
    <row r="8159" spans="1:6" x14ac:dyDescent="0.3">
      <c r="A8159" s="15" t="s">
        <v>40990</v>
      </c>
      <c r="B8159" s="15" t="s">
        <v>14985</v>
      </c>
      <c r="C8159" s="15" t="s">
        <v>14986</v>
      </c>
      <c r="D8159" s="15" t="s">
        <v>14987</v>
      </c>
      <c r="E8159" s="15">
        <v>18.07</v>
      </c>
      <c r="F8159" s="42">
        <v>46198</v>
      </c>
    </row>
    <row r="8160" spans="1:6" x14ac:dyDescent="0.3">
      <c r="A8160" s="15" t="s">
        <v>40989</v>
      </c>
      <c r="B8160" s="15" t="s">
        <v>14988</v>
      </c>
      <c r="C8160" s="15" t="s">
        <v>800</v>
      </c>
      <c r="D8160" s="15" t="s">
        <v>14989</v>
      </c>
      <c r="E8160" s="15">
        <v>18.239999999999998</v>
      </c>
      <c r="F8160" s="42">
        <v>46198</v>
      </c>
    </row>
    <row r="8161" spans="1:6" x14ac:dyDescent="0.3">
      <c r="A8161" s="15" t="s">
        <v>40988</v>
      </c>
      <c r="B8161" s="15" t="s">
        <v>14990</v>
      </c>
      <c r="C8161" s="15" t="s">
        <v>14991</v>
      </c>
      <c r="D8161" s="15" t="s">
        <v>14992</v>
      </c>
      <c r="E8161" s="15">
        <v>16.89</v>
      </c>
      <c r="F8161" s="42">
        <v>46198</v>
      </c>
    </row>
    <row r="8162" spans="1:6" x14ac:dyDescent="0.3">
      <c r="A8162" s="15" t="s">
        <v>33499</v>
      </c>
      <c r="B8162" s="15" t="s">
        <v>795</v>
      </c>
      <c r="C8162" s="15" t="s">
        <v>795</v>
      </c>
      <c r="D8162" s="15" t="s">
        <v>795</v>
      </c>
      <c r="F8162" s="42"/>
    </row>
    <row r="8163" spans="1:6" x14ac:dyDescent="0.3">
      <c r="A8163" s="15" t="s">
        <v>33500</v>
      </c>
      <c r="B8163" s="15" t="s">
        <v>795</v>
      </c>
      <c r="C8163" s="15" t="s">
        <v>795</v>
      </c>
      <c r="D8163" s="15" t="s">
        <v>795</v>
      </c>
      <c r="F8163" s="42"/>
    </row>
    <row r="8164" spans="1:6" x14ac:dyDescent="0.3">
      <c r="A8164" s="15" t="s">
        <v>33499</v>
      </c>
      <c r="B8164" s="15" t="s">
        <v>795</v>
      </c>
      <c r="C8164" s="15" t="s">
        <v>795</v>
      </c>
      <c r="D8164" s="15" t="s">
        <v>795</v>
      </c>
      <c r="F8164" s="42"/>
    </row>
    <row r="8165" spans="1:6" x14ac:dyDescent="0.3">
      <c r="A8165" s="15" t="s">
        <v>40987</v>
      </c>
      <c r="B8165" s="15" t="s">
        <v>14993</v>
      </c>
      <c r="C8165" s="15" t="s">
        <v>14994</v>
      </c>
      <c r="D8165" s="15" t="s">
        <v>14995</v>
      </c>
      <c r="E8165" s="15">
        <v>45.024900000000002</v>
      </c>
      <c r="F8165" s="42">
        <v>46198</v>
      </c>
    </row>
    <row r="8166" spans="1:6" x14ac:dyDescent="0.3">
      <c r="A8166" s="15" t="s">
        <v>40986</v>
      </c>
      <c r="B8166" s="15" t="s">
        <v>14996</v>
      </c>
      <c r="C8166" s="15" t="s">
        <v>800</v>
      </c>
      <c r="D8166" s="15" t="s">
        <v>14997</v>
      </c>
      <c r="E8166" s="15">
        <v>404.53149999999999</v>
      </c>
      <c r="F8166" s="42">
        <v>46198</v>
      </c>
    </row>
    <row r="8167" spans="1:6" x14ac:dyDescent="0.3">
      <c r="A8167" s="15" t="s">
        <v>40985</v>
      </c>
      <c r="B8167" s="15" t="s">
        <v>14998</v>
      </c>
      <c r="C8167" s="15" t="s">
        <v>14999</v>
      </c>
      <c r="D8167" s="15" t="s">
        <v>15000</v>
      </c>
      <c r="E8167" s="15">
        <v>39.661099999999998</v>
      </c>
      <c r="F8167" s="42">
        <v>46198</v>
      </c>
    </row>
    <row r="8168" spans="1:6" x14ac:dyDescent="0.3">
      <c r="A8168" s="15" t="s">
        <v>40984</v>
      </c>
      <c r="B8168" s="15" t="s">
        <v>15001</v>
      </c>
      <c r="C8168" s="15" t="s">
        <v>800</v>
      </c>
      <c r="D8168" s="15" t="s">
        <v>15002</v>
      </c>
      <c r="E8168" s="15">
        <v>437.70440000000002</v>
      </c>
      <c r="F8168" s="42">
        <v>46198</v>
      </c>
    </row>
    <row r="8169" spans="1:6" x14ac:dyDescent="0.3">
      <c r="A8169" s="15" t="s">
        <v>33499</v>
      </c>
      <c r="B8169" s="15" t="s">
        <v>795</v>
      </c>
      <c r="C8169" s="15" t="s">
        <v>795</v>
      </c>
      <c r="D8169" s="15" t="s">
        <v>795</v>
      </c>
      <c r="F8169" s="42"/>
    </row>
    <row r="8170" spans="1:6" x14ac:dyDescent="0.3">
      <c r="A8170" s="15" t="s">
        <v>40983</v>
      </c>
      <c r="B8170" s="15" t="s">
        <v>795</v>
      </c>
      <c r="C8170" s="15" t="s">
        <v>795</v>
      </c>
      <c r="D8170" s="15" t="s">
        <v>795</v>
      </c>
      <c r="F8170" s="42"/>
    </row>
    <row r="8171" spans="1:6" x14ac:dyDescent="0.3">
      <c r="A8171" s="15" t="s">
        <v>33499</v>
      </c>
      <c r="B8171" s="15" t="s">
        <v>795</v>
      </c>
      <c r="C8171" s="15" t="s">
        <v>795</v>
      </c>
      <c r="D8171" s="15" t="s">
        <v>795</v>
      </c>
      <c r="F8171" s="42"/>
    </row>
    <row r="8172" spans="1:6" x14ac:dyDescent="0.3">
      <c r="A8172" s="15" t="s">
        <v>37122</v>
      </c>
      <c r="B8172" s="15" t="s">
        <v>795</v>
      </c>
      <c r="C8172" s="15" t="s">
        <v>795</v>
      </c>
      <c r="D8172" s="15" t="s">
        <v>795</v>
      </c>
      <c r="F8172" s="42"/>
    </row>
    <row r="8173" spans="1:6" x14ac:dyDescent="0.3">
      <c r="A8173" s="15" t="s">
        <v>33499</v>
      </c>
      <c r="B8173" s="15" t="s">
        <v>795</v>
      </c>
      <c r="C8173" s="15" t="s">
        <v>795</v>
      </c>
      <c r="D8173" s="15" t="s">
        <v>795</v>
      </c>
      <c r="F8173" s="42"/>
    </row>
    <row r="8174" spans="1:6" x14ac:dyDescent="0.3">
      <c r="A8174" s="15" t="s">
        <v>40982</v>
      </c>
      <c r="B8174" s="15" t="s">
        <v>15003</v>
      </c>
      <c r="C8174" s="15" t="s">
        <v>800</v>
      </c>
      <c r="D8174" s="15" t="s">
        <v>15004</v>
      </c>
      <c r="E8174" s="15">
        <v>30.506499999999999</v>
      </c>
      <c r="F8174" s="42">
        <v>46198</v>
      </c>
    </row>
    <row r="8175" spans="1:6" x14ac:dyDescent="0.3">
      <c r="A8175" s="15" t="s">
        <v>40981</v>
      </c>
      <c r="B8175" s="15" t="s">
        <v>15005</v>
      </c>
      <c r="C8175" s="15" t="s">
        <v>800</v>
      </c>
      <c r="D8175" s="15" t="s">
        <v>15006</v>
      </c>
      <c r="E8175" s="15">
        <v>28.103300000000001</v>
      </c>
      <c r="F8175" s="42">
        <v>46198</v>
      </c>
    </row>
    <row r="8176" spans="1:6" x14ac:dyDescent="0.3">
      <c r="A8176" s="15" t="s">
        <v>40980</v>
      </c>
      <c r="B8176" s="15" t="s">
        <v>15007</v>
      </c>
      <c r="C8176" s="15" t="s">
        <v>15008</v>
      </c>
      <c r="D8176" s="15" t="s">
        <v>15009</v>
      </c>
      <c r="E8176" s="15">
        <v>11.5388</v>
      </c>
      <c r="F8176" s="42">
        <v>46198</v>
      </c>
    </row>
    <row r="8177" spans="1:6" x14ac:dyDescent="0.3">
      <c r="A8177" s="15" t="s">
        <v>40979</v>
      </c>
      <c r="B8177" s="15" t="s">
        <v>15010</v>
      </c>
      <c r="C8177" s="15" t="s">
        <v>15011</v>
      </c>
      <c r="D8177" s="15" t="s">
        <v>15012</v>
      </c>
      <c r="E8177" s="15">
        <v>11.1027</v>
      </c>
      <c r="F8177" s="42">
        <v>46198</v>
      </c>
    </row>
    <row r="8178" spans="1:6" x14ac:dyDescent="0.3">
      <c r="A8178" s="15" t="s">
        <v>33499</v>
      </c>
      <c r="B8178" s="15" t="s">
        <v>795</v>
      </c>
      <c r="C8178" s="15" t="s">
        <v>795</v>
      </c>
      <c r="D8178" s="15" t="s">
        <v>795</v>
      </c>
      <c r="F8178" s="42"/>
    </row>
    <row r="8179" spans="1:6" x14ac:dyDescent="0.3">
      <c r="A8179" s="15" t="s">
        <v>37087</v>
      </c>
      <c r="B8179" s="15" t="s">
        <v>795</v>
      </c>
      <c r="C8179" s="15" t="s">
        <v>795</v>
      </c>
      <c r="D8179" s="15" t="s">
        <v>795</v>
      </c>
      <c r="F8179" s="42"/>
    </row>
    <row r="8180" spans="1:6" x14ac:dyDescent="0.3">
      <c r="A8180" s="15" t="s">
        <v>33499</v>
      </c>
      <c r="B8180" s="15" t="s">
        <v>795</v>
      </c>
      <c r="C8180" s="15" t="s">
        <v>795</v>
      </c>
      <c r="D8180" s="15" t="s">
        <v>795</v>
      </c>
      <c r="F8180" s="42"/>
    </row>
    <row r="8181" spans="1:6" x14ac:dyDescent="0.3">
      <c r="A8181" s="15" t="s">
        <v>40978</v>
      </c>
      <c r="B8181" s="15" t="s">
        <v>15013</v>
      </c>
      <c r="C8181" s="15" t="s">
        <v>800</v>
      </c>
      <c r="D8181" s="15" t="s">
        <v>15014</v>
      </c>
      <c r="E8181" s="15">
        <v>21.627500000000001</v>
      </c>
      <c r="F8181" s="42">
        <v>46198</v>
      </c>
    </row>
    <row r="8182" spans="1:6" x14ac:dyDescent="0.3">
      <c r="A8182" s="15" t="s">
        <v>40977</v>
      </c>
      <c r="B8182" s="15" t="s">
        <v>15015</v>
      </c>
      <c r="C8182" s="15" t="s">
        <v>15016</v>
      </c>
      <c r="D8182" s="15" t="s">
        <v>15017</v>
      </c>
      <c r="E8182" s="15">
        <v>12.3888</v>
      </c>
      <c r="F8182" s="42">
        <v>46198</v>
      </c>
    </row>
    <row r="8183" spans="1:6" x14ac:dyDescent="0.3">
      <c r="A8183" s="15" t="s">
        <v>40976</v>
      </c>
      <c r="B8183" s="15" t="s">
        <v>15018</v>
      </c>
      <c r="C8183" s="15" t="s">
        <v>800</v>
      </c>
      <c r="D8183" s="15" t="s">
        <v>15019</v>
      </c>
      <c r="E8183" s="15">
        <v>19.777000000000001</v>
      </c>
      <c r="F8183" s="42">
        <v>46198</v>
      </c>
    </row>
    <row r="8184" spans="1:6" x14ac:dyDescent="0.3">
      <c r="A8184" s="15" t="s">
        <v>40975</v>
      </c>
      <c r="B8184" s="15" t="s">
        <v>15020</v>
      </c>
      <c r="C8184" s="15" t="s">
        <v>15021</v>
      </c>
      <c r="D8184" s="15" t="s">
        <v>15022</v>
      </c>
      <c r="E8184" s="15">
        <v>11.2042</v>
      </c>
      <c r="F8184" s="42">
        <v>46198</v>
      </c>
    </row>
    <row r="8185" spans="1:6" x14ac:dyDescent="0.3">
      <c r="A8185" s="15" t="s">
        <v>33499</v>
      </c>
      <c r="B8185" s="15" t="s">
        <v>795</v>
      </c>
      <c r="C8185" s="15" t="s">
        <v>795</v>
      </c>
      <c r="D8185" s="15" t="s">
        <v>795</v>
      </c>
      <c r="F8185" s="42"/>
    </row>
    <row r="8186" spans="1:6" x14ac:dyDescent="0.3">
      <c r="A8186" s="15" t="s">
        <v>37923</v>
      </c>
      <c r="B8186" s="15" t="s">
        <v>795</v>
      </c>
      <c r="C8186" s="15" t="s">
        <v>795</v>
      </c>
      <c r="D8186" s="15" t="s">
        <v>795</v>
      </c>
      <c r="F8186" s="42"/>
    </row>
    <row r="8187" spans="1:6" x14ac:dyDescent="0.3">
      <c r="A8187" s="15" t="s">
        <v>33499</v>
      </c>
      <c r="B8187" s="15" t="s">
        <v>795</v>
      </c>
      <c r="C8187" s="15" t="s">
        <v>795</v>
      </c>
      <c r="D8187" s="15" t="s">
        <v>795</v>
      </c>
      <c r="F8187" s="42"/>
    </row>
    <row r="8188" spans="1:6" x14ac:dyDescent="0.3">
      <c r="A8188" s="15" t="s">
        <v>40974</v>
      </c>
      <c r="B8188" s="15" t="s">
        <v>15023</v>
      </c>
      <c r="C8188" s="15" t="s">
        <v>15024</v>
      </c>
      <c r="D8188" s="15" t="s">
        <v>15025</v>
      </c>
      <c r="E8188" s="15">
        <v>12.099</v>
      </c>
      <c r="F8188" s="42">
        <v>46198</v>
      </c>
    </row>
    <row r="8189" spans="1:6" x14ac:dyDescent="0.3">
      <c r="A8189" s="15" t="s">
        <v>40973</v>
      </c>
      <c r="B8189" s="15" t="s">
        <v>15026</v>
      </c>
      <c r="C8189" s="15" t="s">
        <v>800</v>
      </c>
      <c r="D8189" s="15" t="s">
        <v>15027</v>
      </c>
      <c r="E8189" s="15">
        <v>11.865</v>
      </c>
      <c r="F8189" s="42">
        <v>46198</v>
      </c>
    </row>
    <row r="8190" spans="1:6" x14ac:dyDescent="0.3">
      <c r="A8190" s="15" t="s">
        <v>40972</v>
      </c>
      <c r="B8190" s="15" t="s">
        <v>15028</v>
      </c>
      <c r="C8190" s="15" t="s">
        <v>800</v>
      </c>
      <c r="D8190" s="15" t="s">
        <v>15029</v>
      </c>
      <c r="E8190" s="15">
        <v>12.099</v>
      </c>
      <c r="F8190" s="42">
        <v>46198</v>
      </c>
    </row>
    <row r="8191" spans="1:6" x14ac:dyDescent="0.3">
      <c r="A8191" s="15" t="s">
        <v>40971</v>
      </c>
      <c r="B8191" s="15" t="s">
        <v>15030</v>
      </c>
      <c r="C8191" s="15" t="s">
        <v>15031</v>
      </c>
      <c r="D8191" s="15" t="s">
        <v>15032</v>
      </c>
      <c r="E8191" s="15">
        <v>11.865</v>
      </c>
      <c r="F8191" s="42">
        <v>46198</v>
      </c>
    </row>
    <row r="8192" spans="1:6" x14ac:dyDescent="0.3">
      <c r="A8192" s="15" t="s">
        <v>33499</v>
      </c>
      <c r="B8192" s="15" t="s">
        <v>795</v>
      </c>
      <c r="C8192" s="15" t="s">
        <v>795</v>
      </c>
      <c r="D8192" s="15" t="s">
        <v>795</v>
      </c>
      <c r="F8192" s="42"/>
    </row>
    <row r="8193" spans="1:6" x14ac:dyDescent="0.3">
      <c r="A8193" s="15" t="s">
        <v>37073</v>
      </c>
      <c r="B8193" s="15" t="s">
        <v>795</v>
      </c>
      <c r="C8193" s="15" t="s">
        <v>795</v>
      </c>
      <c r="D8193" s="15" t="s">
        <v>795</v>
      </c>
      <c r="F8193" s="42"/>
    </row>
    <row r="8194" spans="1:6" x14ac:dyDescent="0.3">
      <c r="A8194" s="15" t="s">
        <v>33499</v>
      </c>
      <c r="B8194" s="15" t="s">
        <v>795</v>
      </c>
      <c r="C8194" s="15" t="s">
        <v>795</v>
      </c>
      <c r="D8194" s="15" t="s">
        <v>795</v>
      </c>
      <c r="F8194" s="42"/>
    </row>
    <row r="8195" spans="1:6" x14ac:dyDescent="0.3">
      <c r="A8195" s="15" t="s">
        <v>40970</v>
      </c>
      <c r="B8195" s="15" t="s">
        <v>15033</v>
      </c>
      <c r="C8195" s="15" t="s">
        <v>15034</v>
      </c>
      <c r="D8195" s="15" t="s">
        <v>15035</v>
      </c>
      <c r="E8195" s="15">
        <v>14.86269632</v>
      </c>
      <c r="F8195" s="42">
        <v>42783</v>
      </c>
    </row>
    <row r="8196" spans="1:6" x14ac:dyDescent="0.3">
      <c r="A8196" s="15" t="s">
        <v>40969</v>
      </c>
      <c r="B8196" s="15" t="s">
        <v>15036</v>
      </c>
      <c r="C8196" s="15" t="s">
        <v>800</v>
      </c>
      <c r="D8196" s="15" t="s">
        <v>15037</v>
      </c>
      <c r="E8196" s="15">
        <v>21.251676440000001</v>
      </c>
      <c r="F8196" s="42">
        <v>42783</v>
      </c>
    </row>
    <row r="8197" spans="1:6" x14ac:dyDescent="0.3">
      <c r="A8197" s="15" t="s">
        <v>40968</v>
      </c>
      <c r="B8197" s="15" t="s">
        <v>15038</v>
      </c>
      <c r="C8197" s="15" t="s">
        <v>15039</v>
      </c>
      <c r="D8197" s="15" t="s">
        <v>15040</v>
      </c>
      <c r="E8197" s="15">
        <v>10.8187</v>
      </c>
      <c r="F8197" s="42">
        <v>46198</v>
      </c>
    </row>
    <row r="8198" spans="1:6" x14ac:dyDescent="0.3">
      <c r="A8198" s="15" t="s">
        <v>40967</v>
      </c>
      <c r="B8198" s="15" t="s">
        <v>15041</v>
      </c>
      <c r="C8198" s="15" t="s">
        <v>800</v>
      </c>
      <c r="D8198" s="15" t="s">
        <v>15042</v>
      </c>
      <c r="E8198" s="15">
        <v>34.248199999999997</v>
      </c>
      <c r="F8198" s="42">
        <v>46198</v>
      </c>
    </row>
    <row r="8199" spans="1:6" x14ac:dyDescent="0.3">
      <c r="A8199" s="15" t="s">
        <v>40966</v>
      </c>
      <c r="B8199" s="15" t="s">
        <v>15043</v>
      </c>
      <c r="C8199" s="15" t="s">
        <v>15044</v>
      </c>
      <c r="D8199" s="15" t="s">
        <v>15045</v>
      </c>
      <c r="E8199" s="15">
        <v>10.6912</v>
      </c>
      <c r="F8199" s="42">
        <v>46198</v>
      </c>
    </row>
    <row r="8200" spans="1:6" x14ac:dyDescent="0.3">
      <c r="A8200" s="15" t="s">
        <v>40965</v>
      </c>
      <c r="B8200" s="15" t="s">
        <v>15046</v>
      </c>
      <c r="C8200" s="15" t="s">
        <v>800</v>
      </c>
      <c r="D8200" s="15" t="s">
        <v>15047</v>
      </c>
      <c r="E8200" s="15">
        <v>37.3309</v>
      </c>
      <c r="F8200" s="42">
        <v>46198</v>
      </c>
    </row>
    <row r="8201" spans="1:6" x14ac:dyDescent="0.3">
      <c r="A8201" s="15" t="s">
        <v>40964</v>
      </c>
      <c r="B8201" s="15" t="s">
        <v>15048</v>
      </c>
      <c r="C8201" s="15" t="s">
        <v>15049</v>
      </c>
      <c r="D8201" s="15" t="s">
        <v>15050</v>
      </c>
      <c r="E8201" s="15">
        <v>12.5435</v>
      </c>
      <c r="F8201" s="42">
        <v>46198</v>
      </c>
    </row>
    <row r="8202" spans="1:6" x14ac:dyDescent="0.3">
      <c r="A8202" s="15" t="s">
        <v>40963</v>
      </c>
      <c r="B8202" s="15" t="s">
        <v>15051</v>
      </c>
      <c r="C8202" s="15" t="s">
        <v>15052</v>
      </c>
      <c r="D8202" s="15" t="s">
        <v>15053</v>
      </c>
      <c r="E8202" s="15">
        <v>10.7379</v>
      </c>
      <c r="F8202" s="42">
        <v>46198</v>
      </c>
    </row>
    <row r="8203" spans="1:6" x14ac:dyDescent="0.3">
      <c r="A8203" s="15" t="s">
        <v>33499</v>
      </c>
      <c r="B8203" s="15" t="s">
        <v>795</v>
      </c>
      <c r="C8203" s="15" t="s">
        <v>795</v>
      </c>
      <c r="D8203" s="15" t="s">
        <v>795</v>
      </c>
      <c r="F8203" s="42"/>
    </row>
    <row r="8204" spans="1:6" x14ac:dyDescent="0.3">
      <c r="A8204" s="15" t="s">
        <v>37447</v>
      </c>
      <c r="B8204" s="15" t="s">
        <v>795</v>
      </c>
      <c r="C8204" s="15" t="s">
        <v>795</v>
      </c>
      <c r="D8204" s="15" t="s">
        <v>795</v>
      </c>
      <c r="F8204" s="42"/>
    </row>
    <row r="8205" spans="1:6" x14ac:dyDescent="0.3">
      <c r="A8205" s="15" t="s">
        <v>33499</v>
      </c>
      <c r="B8205" s="15" t="s">
        <v>795</v>
      </c>
      <c r="C8205" s="15" t="s">
        <v>795</v>
      </c>
      <c r="D8205" s="15" t="s">
        <v>795</v>
      </c>
      <c r="F8205" s="42"/>
    </row>
    <row r="8206" spans="1:6" x14ac:dyDescent="0.3">
      <c r="A8206" s="15" t="s">
        <v>40962</v>
      </c>
      <c r="B8206" s="15" t="s">
        <v>15054</v>
      </c>
      <c r="C8206" s="15" t="s">
        <v>15055</v>
      </c>
      <c r="D8206" s="15" t="s">
        <v>15056</v>
      </c>
      <c r="E8206" s="15">
        <v>13.787000000000001</v>
      </c>
      <c r="F8206" s="42">
        <v>46198</v>
      </c>
    </row>
    <row r="8207" spans="1:6" x14ac:dyDescent="0.3">
      <c r="A8207" s="15" t="s">
        <v>40961</v>
      </c>
      <c r="B8207" s="15" t="s">
        <v>15057</v>
      </c>
      <c r="C8207" s="15" t="s">
        <v>800</v>
      </c>
      <c r="D8207" s="15" t="s">
        <v>15058</v>
      </c>
      <c r="E8207" s="15">
        <v>15.254099999999999</v>
      </c>
      <c r="F8207" s="42">
        <v>46198</v>
      </c>
    </row>
    <row r="8208" spans="1:6" x14ac:dyDescent="0.3">
      <c r="A8208" s="15" t="s">
        <v>40960</v>
      </c>
      <c r="B8208" s="15" t="s">
        <v>15059</v>
      </c>
      <c r="C8208" s="15" t="s">
        <v>15060</v>
      </c>
      <c r="D8208" s="15" t="s">
        <v>15061</v>
      </c>
      <c r="E8208" s="15">
        <v>13.7445</v>
      </c>
      <c r="F8208" s="42">
        <v>46198</v>
      </c>
    </row>
    <row r="8209" spans="1:6" x14ac:dyDescent="0.3">
      <c r="A8209" s="15" t="s">
        <v>40959</v>
      </c>
      <c r="B8209" s="15" t="s">
        <v>15062</v>
      </c>
      <c r="C8209" s="15" t="s">
        <v>15063</v>
      </c>
      <c r="D8209" s="15" t="s">
        <v>15064</v>
      </c>
      <c r="E8209" s="15">
        <v>14.491</v>
      </c>
      <c r="F8209" s="42">
        <v>46198</v>
      </c>
    </row>
    <row r="8210" spans="1:6" x14ac:dyDescent="0.3">
      <c r="A8210" s="15" t="s">
        <v>40958</v>
      </c>
      <c r="B8210" s="15" t="s">
        <v>15065</v>
      </c>
      <c r="C8210" s="15" t="s">
        <v>800</v>
      </c>
      <c r="D8210" s="15" t="s">
        <v>15066</v>
      </c>
      <c r="E8210" s="15">
        <v>14.541499999999999</v>
      </c>
      <c r="F8210" s="42">
        <v>46198</v>
      </c>
    </row>
    <row r="8211" spans="1:6" x14ac:dyDescent="0.3">
      <c r="A8211" s="15" t="s">
        <v>40957</v>
      </c>
      <c r="B8211" s="15" t="s">
        <v>15067</v>
      </c>
      <c r="C8211" s="15" t="s">
        <v>15068</v>
      </c>
      <c r="D8211" s="15" t="s">
        <v>15069</v>
      </c>
      <c r="E8211" s="15">
        <v>13.437099999999999</v>
      </c>
      <c r="F8211" s="42">
        <v>46198</v>
      </c>
    </row>
    <row r="8212" spans="1:6" x14ac:dyDescent="0.3">
      <c r="A8212" s="15" t="s">
        <v>40956</v>
      </c>
      <c r="B8212" s="15" t="s">
        <v>15070</v>
      </c>
      <c r="C8212" s="15" t="s">
        <v>15071</v>
      </c>
      <c r="D8212" s="15" t="s">
        <v>15072</v>
      </c>
      <c r="E8212" s="15">
        <v>13.178599999999999</v>
      </c>
      <c r="F8212" s="42">
        <v>46198</v>
      </c>
    </row>
    <row r="8213" spans="1:6" x14ac:dyDescent="0.3">
      <c r="A8213" s="15" t="s">
        <v>40955</v>
      </c>
      <c r="B8213" s="15" t="s">
        <v>15073</v>
      </c>
      <c r="C8213" s="15" t="s">
        <v>15074</v>
      </c>
      <c r="D8213" s="15" t="s">
        <v>15075</v>
      </c>
      <c r="E8213" s="15">
        <v>13.9123</v>
      </c>
      <c r="F8213" s="42">
        <v>46198</v>
      </c>
    </row>
    <row r="8214" spans="1:6" x14ac:dyDescent="0.3">
      <c r="A8214" s="15" t="s">
        <v>33499</v>
      </c>
      <c r="B8214" s="15" t="s">
        <v>795</v>
      </c>
      <c r="C8214" s="15" t="s">
        <v>795</v>
      </c>
      <c r="D8214" s="15" t="s">
        <v>795</v>
      </c>
      <c r="F8214" s="42"/>
    </row>
    <row r="8215" spans="1:6" x14ac:dyDescent="0.3">
      <c r="A8215" s="15" t="s">
        <v>37566</v>
      </c>
      <c r="B8215" s="15" t="s">
        <v>795</v>
      </c>
      <c r="C8215" s="15" t="s">
        <v>795</v>
      </c>
      <c r="D8215" s="15" t="s">
        <v>795</v>
      </c>
      <c r="F8215" s="42"/>
    </row>
    <row r="8216" spans="1:6" x14ac:dyDescent="0.3">
      <c r="A8216" s="15" t="s">
        <v>33499</v>
      </c>
      <c r="B8216" s="15" t="s">
        <v>795</v>
      </c>
      <c r="C8216" s="15" t="s">
        <v>795</v>
      </c>
      <c r="D8216" s="15" t="s">
        <v>795</v>
      </c>
      <c r="F8216" s="42"/>
    </row>
    <row r="8217" spans="1:6" x14ac:dyDescent="0.3">
      <c r="A8217" s="15" t="s">
        <v>40954</v>
      </c>
      <c r="B8217" s="15" t="s">
        <v>15076</v>
      </c>
      <c r="C8217" s="15" t="s">
        <v>15077</v>
      </c>
      <c r="D8217" s="15" t="s">
        <v>15078</v>
      </c>
      <c r="E8217" s="15">
        <v>11.5304</v>
      </c>
      <c r="F8217" s="42">
        <v>46198</v>
      </c>
    </row>
    <row r="8218" spans="1:6" x14ac:dyDescent="0.3">
      <c r="A8218" s="15" t="s">
        <v>40953</v>
      </c>
      <c r="B8218" s="15" t="s">
        <v>15079</v>
      </c>
      <c r="C8218" s="15" t="s">
        <v>15080</v>
      </c>
      <c r="D8218" s="15" t="s">
        <v>15081</v>
      </c>
      <c r="E8218" s="15">
        <v>10.830399999999999</v>
      </c>
      <c r="F8218" s="42">
        <v>46198</v>
      </c>
    </row>
    <row r="8219" spans="1:6" x14ac:dyDescent="0.3">
      <c r="A8219" s="15" t="s">
        <v>40952</v>
      </c>
      <c r="B8219" s="15" t="s">
        <v>15082</v>
      </c>
      <c r="C8219" s="15" t="s">
        <v>15083</v>
      </c>
      <c r="D8219" s="15" t="s">
        <v>15084</v>
      </c>
      <c r="E8219" s="15">
        <v>11.005599999999999</v>
      </c>
      <c r="F8219" s="42">
        <v>46198</v>
      </c>
    </row>
    <row r="8220" spans="1:6" x14ac:dyDescent="0.3">
      <c r="A8220" s="15" t="s">
        <v>40951</v>
      </c>
      <c r="B8220" s="15" t="s">
        <v>15085</v>
      </c>
      <c r="C8220" s="15" t="s">
        <v>15086</v>
      </c>
      <c r="D8220" s="15" t="s">
        <v>15087</v>
      </c>
      <c r="E8220" s="15">
        <v>10.567299999999999</v>
      </c>
      <c r="F8220" s="42">
        <v>46198</v>
      </c>
    </row>
    <row r="8221" spans="1:6" x14ac:dyDescent="0.3">
      <c r="A8221" s="15" t="s">
        <v>40950</v>
      </c>
      <c r="B8221" s="15" t="s">
        <v>15088</v>
      </c>
      <c r="C8221" s="15" t="s">
        <v>15089</v>
      </c>
      <c r="D8221" s="15" t="s">
        <v>15090</v>
      </c>
      <c r="E8221" s="15">
        <v>10.7425</v>
      </c>
      <c r="F8221" s="42">
        <v>46198</v>
      </c>
    </row>
    <row r="8222" spans="1:6" x14ac:dyDescent="0.3">
      <c r="A8222" s="15" t="s">
        <v>40949</v>
      </c>
      <c r="B8222" s="15" t="s">
        <v>15091</v>
      </c>
      <c r="C8222" s="15" t="s">
        <v>800</v>
      </c>
      <c r="D8222" s="15" t="s">
        <v>15092</v>
      </c>
      <c r="E8222" s="15">
        <v>16.9499</v>
      </c>
      <c r="F8222" s="42">
        <v>46198</v>
      </c>
    </row>
    <row r="8223" spans="1:6" x14ac:dyDescent="0.3">
      <c r="A8223" s="15" t="s">
        <v>40948</v>
      </c>
      <c r="B8223" s="15" t="s">
        <v>15093</v>
      </c>
      <c r="C8223" s="15" t="s">
        <v>800</v>
      </c>
      <c r="D8223" s="15" t="s">
        <v>15094</v>
      </c>
      <c r="E8223" s="15">
        <v>18.044599999999999</v>
      </c>
      <c r="F8223" s="42">
        <v>46198</v>
      </c>
    </row>
    <row r="8224" spans="1:6" x14ac:dyDescent="0.3">
      <c r="A8224" s="15" t="s">
        <v>40947</v>
      </c>
      <c r="B8224" s="15" t="s">
        <v>15095</v>
      </c>
      <c r="C8224" s="15" t="s">
        <v>15096</v>
      </c>
      <c r="D8224" s="15" t="s">
        <v>15097</v>
      </c>
      <c r="E8224" s="15">
        <v>11.061999999999999</v>
      </c>
      <c r="F8224" s="42">
        <v>46198</v>
      </c>
    </row>
    <row r="8225" spans="1:6" x14ac:dyDescent="0.3">
      <c r="A8225" s="15" t="s">
        <v>33499</v>
      </c>
      <c r="B8225" s="15" t="s">
        <v>795</v>
      </c>
      <c r="C8225" s="15" t="s">
        <v>795</v>
      </c>
      <c r="D8225" s="15" t="s">
        <v>795</v>
      </c>
      <c r="F8225" s="42"/>
    </row>
    <row r="8226" spans="1:6" x14ac:dyDescent="0.3">
      <c r="A8226" s="15" t="s">
        <v>40279</v>
      </c>
      <c r="B8226" s="15" t="s">
        <v>795</v>
      </c>
      <c r="C8226" s="15" t="s">
        <v>795</v>
      </c>
      <c r="D8226" s="15" t="s">
        <v>795</v>
      </c>
      <c r="F8226" s="42"/>
    </row>
    <row r="8227" spans="1:6" x14ac:dyDescent="0.3">
      <c r="A8227" s="15" t="s">
        <v>33499</v>
      </c>
      <c r="B8227" s="15" t="s">
        <v>795</v>
      </c>
      <c r="C8227" s="15" t="s">
        <v>795</v>
      </c>
      <c r="D8227" s="15" t="s">
        <v>795</v>
      </c>
      <c r="F8227" s="42"/>
    </row>
    <row r="8228" spans="1:6" x14ac:dyDescent="0.3">
      <c r="A8228" s="15" t="s">
        <v>40946</v>
      </c>
      <c r="B8228" s="15" t="s">
        <v>15098</v>
      </c>
      <c r="C8228" s="15" t="s">
        <v>800</v>
      </c>
      <c r="D8228" s="15" t="s">
        <v>15099</v>
      </c>
      <c r="E8228" s="15">
        <v>10.1843</v>
      </c>
      <c r="F8228" s="42">
        <v>46198</v>
      </c>
    </row>
    <row r="8229" spans="1:6" x14ac:dyDescent="0.3">
      <c r="A8229" s="15" t="s">
        <v>40945</v>
      </c>
      <c r="B8229" s="15" t="s">
        <v>15100</v>
      </c>
      <c r="C8229" s="15" t="s">
        <v>15101</v>
      </c>
      <c r="D8229" s="15" t="s">
        <v>15102</v>
      </c>
      <c r="E8229" s="15">
        <v>10.184200000000001</v>
      </c>
      <c r="F8229" s="42">
        <v>46198</v>
      </c>
    </row>
    <row r="8230" spans="1:6" x14ac:dyDescent="0.3">
      <c r="A8230" s="15" t="s">
        <v>40944</v>
      </c>
      <c r="B8230" s="15" t="s">
        <v>15103</v>
      </c>
      <c r="C8230" s="15" t="s">
        <v>800</v>
      </c>
      <c r="D8230" s="15" t="s">
        <v>15104</v>
      </c>
      <c r="E8230" s="15">
        <v>10.1622</v>
      </c>
      <c r="F8230" s="42">
        <v>46198</v>
      </c>
    </row>
    <row r="8231" spans="1:6" x14ac:dyDescent="0.3">
      <c r="A8231" s="15" t="s">
        <v>40943</v>
      </c>
      <c r="B8231" s="15" t="s">
        <v>15105</v>
      </c>
      <c r="C8231" s="15" t="s">
        <v>15106</v>
      </c>
      <c r="D8231" s="15" t="s">
        <v>15107</v>
      </c>
      <c r="E8231" s="15">
        <v>10.1622</v>
      </c>
      <c r="F8231" s="42">
        <v>46198</v>
      </c>
    </row>
    <row r="8232" spans="1:6" x14ac:dyDescent="0.3">
      <c r="A8232" s="15" t="s">
        <v>33499</v>
      </c>
      <c r="B8232" s="15" t="s">
        <v>795</v>
      </c>
      <c r="C8232" s="15" t="s">
        <v>795</v>
      </c>
      <c r="D8232" s="15" t="s">
        <v>795</v>
      </c>
      <c r="F8232" s="42"/>
    </row>
    <row r="8233" spans="1:6" x14ac:dyDescent="0.3">
      <c r="A8233" s="15" t="s">
        <v>37061</v>
      </c>
      <c r="B8233" s="15" t="s">
        <v>795</v>
      </c>
      <c r="C8233" s="15" t="s">
        <v>795</v>
      </c>
      <c r="D8233" s="15" t="s">
        <v>795</v>
      </c>
      <c r="F8233" s="42"/>
    </row>
    <row r="8234" spans="1:6" x14ac:dyDescent="0.3">
      <c r="A8234" s="15" t="s">
        <v>33499</v>
      </c>
      <c r="B8234" s="15" t="s">
        <v>795</v>
      </c>
      <c r="C8234" s="15" t="s">
        <v>795</v>
      </c>
      <c r="D8234" s="15" t="s">
        <v>795</v>
      </c>
      <c r="F8234" s="42"/>
    </row>
    <row r="8235" spans="1:6" x14ac:dyDescent="0.3">
      <c r="A8235" s="15" t="s">
        <v>40942</v>
      </c>
      <c r="B8235" s="15" t="s">
        <v>15108</v>
      </c>
      <c r="C8235" s="15" t="s">
        <v>800</v>
      </c>
      <c r="D8235" s="15" t="s">
        <v>15109</v>
      </c>
      <c r="E8235" s="15">
        <v>16.638000000000002</v>
      </c>
      <c r="F8235" s="42">
        <v>46198</v>
      </c>
    </row>
    <row r="8236" spans="1:6" x14ac:dyDescent="0.3">
      <c r="A8236" s="15" t="s">
        <v>40941</v>
      </c>
      <c r="B8236" s="15" t="s">
        <v>15110</v>
      </c>
      <c r="C8236" s="15" t="s">
        <v>15111</v>
      </c>
      <c r="D8236" s="15" t="s">
        <v>15112</v>
      </c>
      <c r="E8236" s="15">
        <v>12.558999999999999</v>
      </c>
      <c r="F8236" s="42">
        <v>46198</v>
      </c>
    </row>
    <row r="8237" spans="1:6" x14ac:dyDescent="0.3">
      <c r="A8237" s="15" t="s">
        <v>40940</v>
      </c>
      <c r="B8237" s="15" t="s">
        <v>15113</v>
      </c>
      <c r="C8237" s="15" t="s">
        <v>15114</v>
      </c>
      <c r="D8237" s="15" t="s">
        <v>15115</v>
      </c>
      <c r="E8237" s="15">
        <v>13.257</v>
      </c>
      <c r="F8237" s="42">
        <v>46198</v>
      </c>
    </row>
    <row r="8238" spans="1:6" x14ac:dyDescent="0.3">
      <c r="A8238" s="15" t="s">
        <v>40939</v>
      </c>
      <c r="B8238" s="15" t="s">
        <v>15116</v>
      </c>
      <c r="C8238" s="15" t="s">
        <v>800</v>
      </c>
      <c r="D8238" s="15" t="s">
        <v>15117</v>
      </c>
      <c r="E8238" s="15">
        <v>15.792</v>
      </c>
      <c r="F8238" s="42">
        <v>46198</v>
      </c>
    </row>
    <row r="8239" spans="1:6" x14ac:dyDescent="0.3">
      <c r="A8239" s="15" t="s">
        <v>40938</v>
      </c>
      <c r="B8239" s="15" t="s">
        <v>15118</v>
      </c>
      <c r="C8239" s="15" t="s">
        <v>15119</v>
      </c>
      <c r="D8239" s="15" t="s">
        <v>15120</v>
      </c>
      <c r="E8239" s="15">
        <v>11.94</v>
      </c>
      <c r="F8239" s="42">
        <v>46198</v>
      </c>
    </row>
    <row r="8240" spans="1:6" x14ac:dyDescent="0.3">
      <c r="A8240" s="15" t="s">
        <v>40937</v>
      </c>
      <c r="B8240" s="15" t="s">
        <v>15121</v>
      </c>
      <c r="C8240" s="15" t="s">
        <v>15122</v>
      </c>
      <c r="D8240" s="15" t="s">
        <v>15123</v>
      </c>
      <c r="E8240" s="15">
        <v>11.881</v>
      </c>
      <c r="F8240" s="42">
        <v>46198</v>
      </c>
    </row>
    <row r="8241" spans="1:6" x14ac:dyDescent="0.3">
      <c r="A8241" s="15" t="s">
        <v>33499</v>
      </c>
      <c r="B8241" s="15" t="s">
        <v>795</v>
      </c>
      <c r="C8241" s="15" t="s">
        <v>795</v>
      </c>
      <c r="D8241" s="15" t="s">
        <v>795</v>
      </c>
      <c r="F8241" s="42"/>
    </row>
    <row r="8242" spans="1:6" x14ac:dyDescent="0.3">
      <c r="A8242" s="15" t="s">
        <v>37895</v>
      </c>
      <c r="B8242" s="15" t="s">
        <v>795</v>
      </c>
      <c r="C8242" s="15" t="s">
        <v>795</v>
      </c>
      <c r="D8242" s="15" t="s">
        <v>795</v>
      </c>
      <c r="F8242" s="42"/>
    </row>
    <row r="8243" spans="1:6" x14ac:dyDescent="0.3">
      <c r="A8243" s="15" t="s">
        <v>33499</v>
      </c>
      <c r="B8243" s="15" t="s">
        <v>795</v>
      </c>
      <c r="C8243" s="15" t="s">
        <v>795</v>
      </c>
      <c r="D8243" s="15" t="s">
        <v>795</v>
      </c>
      <c r="F8243" s="42"/>
    </row>
    <row r="8244" spans="1:6" x14ac:dyDescent="0.3">
      <c r="A8244" s="15" t="s">
        <v>40936</v>
      </c>
      <c r="B8244" s="15" t="s">
        <v>15124</v>
      </c>
      <c r="C8244" s="15" t="s">
        <v>15125</v>
      </c>
      <c r="D8244" s="15" t="s">
        <v>15126</v>
      </c>
      <c r="E8244" s="15">
        <v>15.835599999999999</v>
      </c>
      <c r="F8244" s="42">
        <v>46198</v>
      </c>
    </row>
    <row r="8245" spans="1:6" x14ac:dyDescent="0.3">
      <c r="A8245" s="15" t="s">
        <v>40935</v>
      </c>
      <c r="B8245" s="15" t="s">
        <v>15127</v>
      </c>
      <c r="C8245" s="15" t="s">
        <v>15128</v>
      </c>
      <c r="D8245" s="15" t="s">
        <v>15129</v>
      </c>
      <c r="E8245" s="15">
        <v>18.197099999999999</v>
      </c>
      <c r="F8245" s="42">
        <v>46198</v>
      </c>
    </row>
    <row r="8246" spans="1:6" x14ac:dyDescent="0.3">
      <c r="A8246" s="15" t="s">
        <v>40934</v>
      </c>
      <c r="B8246" s="15" t="s">
        <v>15130</v>
      </c>
      <c r="C8246" s="15" t="s">
        <v>15131</v>
      </c>
      <c r="D8246" s="15" t="s">
        <v>15132</v>
      </c>
      <c r="E8246" s="15">
        <v>16.752400000000002</v>
      </c>
      <c r="F8246" s="42">
        <v>46198</v>
      </c>
    </row>
    <row r="8247" spans="1:6" x14ac:dyDescent="0.3">
      <c r="A8247" s="15" t="s">
        <v>40933</v>
      </c>
      <c r="B8247" s="15" t="s">
        <v>15133</v>
      </c>
      <c r="C8247" s="15" t="s">
        <v>15134</v>
      </c>
      <c r="D8247" s="15" t="s">
        <v>15135</v>
      </c>
      <c r="E8247" s="15">
        <v>15.0471</v>
      </c>
      <c r="F8247" s="42">
        <v>46198</v>
      </c>
    </row>
    <row r="8248" spans="1:6" x14ac:dyDescent="0.3">
      <c r="A8248" s="15" t="s">
        <v>40932</v>
      </c>
      <c r="B8248" s="15" t="s">
        <v>15136</v>
      </c>
      <c r="C8248" s="15" t="s">
        <v>800</v>
      </c>
      <c r="D8248" s="15" t="s">
        <v>15137</v>
      </c>
      <c r="E8248" s="15">
        <v>22.150600000000001</v>
      </c>
      <c r="F8248" s="42">
        <v>46198</v>
      </c>
    </row>
    <row r="8249" spans="1:6" x14ac:dyDescent="0.3">
      <c r="A8249" s="15" t="s">
        <v>40931</v>
      </c>
      <c r="B8249" s="15" t="s">
        <v>15138</v>
      </c>
      <c r="C8249" s="15" t="s">
        <v>800</v>
      </c>
      <c r="D8249" s="15" t="s">
        <v>15139</v>
      </c>
      <c r="E8249" s="15">
        <v>20.621300000000002</v>
      </c>
      <c r="F8249" s="42">
        <v>46198</v>
      </c>
    </row>
    <row r="8250" spans="1:6" x14ac:dyDescent="0.3">
      <c r="A8250" s="15" t="s">
        <v>40930</v>
      </c>
      <c r="B8250" s="15" t="s">
        <v>15140</v>
      </c>
      <c r="C8250" s="15" t="s">
        <v>800</v>
      </c>
      <c r="D8250" s="15" t="s">
        <v>15141</v>
      </c>
      <c r="E8250" s="15">
        <v>20.5045</v>
      </c>
      <c r="F8250" s="42">
        <v>46198</v>
      </c>
    </row>
    <row r="8251" spans="1:6" x14ac:dyDescent="0.3">
      <c r="A8251" s="15" t="s">
        <v>33499</v>
      </c>
      <c r="B8251" s="15" t="s">
        <v>795</v>
      </c>
      <c r="C8251" s="15" t="s">
        <v>795</v>
      </c>
      <c r="D8251" s="15" t="s">
        <v>795</v>
      </c>
      <c r="F8251" s="42"/>
    </row>
    <row r="8252" spans="1:6" x14ac:dyDescent="0.3">
      <c r="A8252" s="15" t="s">
        <v>37044</v>
      </c>
      <c r="B8252" s="15" t="s">
        <v>795</v>
      </c>
      <c r="C8252" s="15" t="s">
        <v>795</v>
      </c>
      <c r="D8252" s="15" t="s">
        <v>795</v>
      </c>
      <c r="F8252" s="42"/>
    </row>
    <row r="8253" spans="1:6" x14ac:dyDescent="0.3">
      <c r="A8253" s="15" t="s">
        <v>33499</v>
      </c>
      <c r="B8253" s="15" t="s">
        <v>795</v>
      </c>
      <c r="C8253" s="15" t="s">
        <v>795</v>
      </c>
      <c r="D8253" s="15" t="s">
        <v>795</v>
      </c>
      <c r="F8253" s="42"/>
    </row>
    <row r="8254" spans="1:6" x14ac:dyDescent="0.3">
      <c r="A8254" s="15" t="s">
        <v>40929</v>
      </c>
      <c r="B8254" s="15" t="s">
        <v>15142</v>
      </c>
      <c r="C8254" s="15" t="s">
        <v>800</v>
      </c>
      <c r="D8254" s="15" t="s">
        <v>15143</v>
      </c>
      <c r="E8254" s="15">
        <v>11.1563</v>
      </c>
      <c r="F8254" s="42">
        <v>46198</v>
      </c>
    </row>
    <row r="8255" spans="1:6" x14ac:dyDescent="0.3">
      <c r="A8255" s="15" t="s">
        <v>40928</v>
      </c>
      <c r="B8255" s="15" t="s">
        <v>15144</v>
      </c>
      <c r="C8255" s="15" t="s">
        <v>15145</v>
      </c>
      <c r="D8255" s="15" t="s">
        <v>15146</v>
      </c>
      <c r="E8255" s="15">
        <v>11.1563</v>
      </c>
      <c r="F8255" s="42">
        <v>46198</v>
      </c>
    </row>
    <row r="8256" spans="1:6" x14ac:dyDescent="0.3">
      <c r="A8256" s="15" t="s">
        <v>40927</v>
      </c>
      <c r="B8256" s="15" t="s">
        <v>15147</v>
      </c>
      <c r="C8256" s="15" t="s">
        <v>800</v>
      </c>
      <c r="D8256" s="15" t="s">
        <v>15148</v>
      </c>
      <c r="E8256" s="15">
        <v>11.029</v>
      </c>
      <c r="F8256" s="42">
        <v>46198</v>
      </c>
    </row>
    <row r="8257" spans="1:6" x14ac:dyDescent="0.3">
      <c r="A8257" s="15" t="s">
        <v>40926</v>
      </c>
      <c r="B8257" s="15" t="s">
        <v>15149</v>
      </c>
      <c r="C8257" s="15" t="s">
        <v>15150</v>
      </c>
      <c r="D8257" s="15" t="s">
        <v>15151</v>
      </c>
      <c r="E8257" s="15">
        <v>11.029</v>
      </c>
      <c r="F8257" s="42">
        <v>46198</v>
      </c>
    </row>
    <row r="8258" spans="1:6" x14ac:dyDescent="0.3">
      <c r="A8258" s="15" t="s">
        <v>33499</v>
      </c>
      <c r="B8258" s="15" t="s">
        <v>795</v>
      </c>
      <c r="C8258" s="15" t="s">
        <v>795</v>
      </c>
      <c r="D8258" s="15" t="s">
        <v>795</v>
      </c>
      <c r="F8258" s="42"/>
    </row>
    <row r="8259" spans="1:6" x14ac:dyDescent="0.3">
      <c r="A8259" s="15" t="s">
        <v>37881</v>
      </c>
      <c r="B8259" s="15" t="s">
        <v>795</v>
      </c>
      <c r="C8259" s="15" t="s">
        <v>795</v>
      </c>
      <c r="D8259" s="15" t="s">
        <v>795</v>
      </c>
      <c r="F8259" s="42"/>
    </row>
    <row r="8260" spans="1:6" x14ac:dyDescent="0.3">
      <c r="A8260" s="15" t="s">
        <v>33499</v>
      </c>
      <c r="B8260" s="15" t="s">
        <v>795</v>
      </c>
      <c r="C8260" s="15" t="s">
        <v>795</v>
      </c>
      <c r="D8260" s="15" t="s">
        <v>795</v>
      </c>
      <c r="F8260" s="42"/>
    </row>
    <row r="8261" spans="1:6" x14ac:dyDescent="0.3">
      <c r="A8261" s="15" t="s">
        <v>46982</v>
      </c>
      <c r="B8261" s="15" t="s">
        <v>46983</v>
      </c>
      <c r="C8261" s="15" t="s">
        <v>800</v>
      </c>
      <c r="D8261" s="15" t="s">
        <v>46984</v>
      </c>
      <c r="E8261" s="15">
        <v>10.099</v>
      </c>
      <c r="F8261" s="42">
        <v>46198</v>
      </c>
    </row>
    <row r="8262" spans="1:6" x14ac:dyDescent="0.3">
      <c r="A8262" s="15" t="s">
        <v>46985</v>
      </c>
      <c r="B8262" s="15" t="s">
        <v>46986</v>
      </c>
      <c r="C8262" s="15" t="s">
        <v>46987</v>
      </c>
      <c r="D8262" s="15" t="s">
        <v>46988</v>
      </c>
      <c r="E8262" s="15">
        <v>10.099</v>
      </c>
      <c r="F8262" s="42">
        <v>46198</v>
      </c>
    </row>
    <row r="8263" spans="1:6" x14ac:dyDescent="0.3">
      <c r="A8263" s="15" t="s">
        <v>46989</v>
      </c>
      <c r="B8263" s="15" t="s">
        <v>46990</v>
      </c>
      <c r="C8263" s="15" t="s">
        <v>800</v>
      </c>
      <c r="D8263" s="15" t="s">
        <v>46991</v>
      </c>
      <c r="E8263" s="15">
        <v>10.087</v>
      </c>
      <c r="F8263" s="42">
        <v>46198</v>
      </c>
    </row>
    <row r="8264" spans="1:6" x14ac:dyDescent="0.3">
      <c r="A8264" s="15" t="s">
        <v>46992</v>
      </c>
      <c r="B8264" s="15" t="s">
        <v>46993</v>
      </c>
      <c r="C8264" s="15" t="s">
        <v>46994</v>
      </c>
      <c r="D8264" s="15" t="s">
        <v>46995</v>
      </c>
      <c r="E8264" s="15">
        <v>10.087</v>
      </c>
      <c r="F8264" s="42">
        <v>46198</v>
      </c>
    </row>
    <row r="8265" spans="1:6" x14ac:dyDescent="0.3">
      <c r="A8265" s="15" t="s">
        <v>33499</v>
      </c>
      <c r="B8265" s="15" t="s">
        <v>795</v>
      </c>
      <c r="C8265" s="15" t="s">
        <v>795</v>
      </c>
      <c r="D8265" s="15" t="s">
        <v>795</v>
      </c>
      <c r="F8265" s="42"/>
    </row>
    <row r="8266" spans="1:6" x14ac:dyDescent="0.3">
      <c r="A8266" s="15" t="s">
        <v>37043</v>
      </c>
      <c r="B8266" s="15" t="s">
        <v>795</v>
      </c>
      <c r="C8266" s="15" t="s">
        <v>795</v>
      </c>
      <c r="D8266" s="15" t="s">
        <v>795</v>
      </c>
      <c r="F8266" s="42"/>
    </row>
    <row r="8267" spans="1:6" x14ac:dyDescent="0.3">
      <c r="A8267" s="15" t="s">
        <v>33499</v>
      </c>
      <c r="B8267" s="15" t="s">
        <v>795</v>
      </c>
      <c r="C8267" s="15" t="s">
        <v>795</v>
      </c>
      <c r="D8267" s="15" t="s">
        <v>795</v>
      </c>
      <c r="F8267" s="42"/>
    </row>
    <row r="8268" spans="1:6" x14ac:dyDescent="0.3">
      <c r="A8268" s="15" t="s">
        <v>40923</v>
      </c>
      <c r="B8268" s="15" t="s">
        <v>15154</v>
      </c>
      <c r="C8268" s="15" t="s">
        <v>15155</v>
      </c>
      <c r="D8268" s="15" t="s">
        <v>47025</v>
      </c>
      <c r="E8268" s="15">
        <v>11.298999999999999</v>
      </c>
      <c r="F8268" s="42">
        <v>46198</v>
      </c>
    </row>
    <row r="8269" spans="1:6" x14ac:dyDescent="0.3">
      <c r="A8269" s="15" t="s">
        <v>40922</v>
      </c>
      <c r="B8269" s="15" t="s">
        <v>15156</v>
      </c>
      <c r="C8269" s="15" t="s">
        <v>15157</v>
      </c>
      <c r="D8269" s="15" t="s">
        <v>47026</v>
      </c>
      <c r="E8269" s="15">
        <v>11.407</v>
      </c>
      <c r="F8269" s="42">
        <v>46198</v>
      </c>
    </row>
    <row r="8270" spans="1:6" x14ac:dyDescent="0.3">
      <c r="A8270" s="15" t="s">
        <v>40925</v>
      </c>
      <c r="B8270" s="15" t="s">
        <v>15152</v>
      </c>
      <c r="C8270" s="15" t="s">
        <v>800</v>
      </c>
      <c r="D8270" s="15" t="s">
        <v>47027</v>
      </c>
      <c r="E8270" s="15">
        <v>32.439</v>
      </c>
      <c r="F8270" s="42">
        <v>46198</v>
      </c>
    </row>
    <row r="8271" spans="1:6" x14ac:dyDescent="0.3">
      <c r="A8271" s="15" t="s">
        <v>40924</v>
      </c>
      <c r="B8271" s="15" t="s">
        <v>15153</v>
      </c>
      <c r="C8271" s="15" t="s">
        <v>800</v>
      </c>
      <c r="D8271" s="15" t="s">
        <v>47028</v>
      </c>
      <c r="E8271" s="15">
        <v>21.466000000000001</v>
      </c>
      <c r="F8271" s="42">
        <v>46198</v>
      </c>
    </row>
    <row r="8272" spans="1:6" x14ac:dyDescent="0.3">
      <c r="A8272" s="15" t="s">
        <v>33499</v>
      </c>
      <c r="B8272" s="15" t="s">
        <v>795</v>
      </c>
      <c r="C8272" s="15" t="s">
        <v>795</v>
      </c>
      <c r="D8272" s="15" t="s">
        <v>795</v>
      </c>
      <c r="F8272" s="42"/>
    </row>
    <row r="8273" spans="1:6" x14ac:dyDescent="0.3">
      <c r="A8273" s="15" t="s">
        <v>40598</v>
      </c>
      <c r="B8273" s="15" t="s">
        <v>795</v>
      </c>
      <c r="C8273" s="15" t="s">
        <v>795</v>
      </c>
      <c r="D8273" s="15" t="s">
        <v>795</v>
      </c>
      <c r="F8273" s="42"/>
    </row>
    <row r="8274" spans="1:6" x14ac:dyDescent="0.3">
      <c r="A8274" s="15" t="s">
        <v>33499</v>
      </c>
      <c r="B8274" s="15" t="s">
        <v>795</v>
      </c>
      <c r="C8274" s="15" t="s">
        <v>795</v>
      </c>
      <c r="D8274" s="15" t="s">
        <v>795</v>
      </c>
      <c r="F8274" s="42"/>
    </row>
    <row r="8275" spans="1:6" x14ac:dyDescent="0.3">
      <c r="A8275" s="15" t="s">
        <v>40921</v>
      </c>
      <c r="B8275" s="15" t="s">
        <v>15158</v>
      </c>
      <c r="C8275" s="15" t="s">
        <v>800</v>
      </c>
      <c r="D8275" s="15" t="s">
        <v>15159</v>
      </c>
      <c r="E8275" s="15">
        <v>10.16</v>
      </c>
      <c r="F8275" s="42">
        <v>46198</v>
      </c>
    </row>
    <row r="8276" spans="1:6" x14ac:dyDescent="0.3">
      <c r="A8276" s="15" t="s">
        <v>40920</v>
      </c>
      <c r="B8276" s="15" t="s">
        <v>15160</v>
      </c>
      <c r="C8276" s="15" t="s">
        <v>15161</v>
      </c>
      <c r="D8276" s="15" t="s">
        <v>15162</v>
      </c>
      <c r="E8276" s="15">
        <v>10.16</v>
      </c>
      <c r="F8276" s="42">
        <v>46198</v>
      </c>
    </row>
    <row r="8277" spans="1:6" x14ac:dyDescent="0.3">
      <c r="A8277" s="15" t="s">
        <v>40919</v>
      </c>
      <c r="B8277" s="15" t="s">
        <v>15163</v>
      </c>
      <c r="C8277" s="15" t="s">
        <v>800</v>
      </c>
      <c r="D8277" s="15" t="s">
        <v>15164</v>
      </c>
      <c r="E8277" s="15">
        <v>10.15</v>
      </c>
      <c r="F8277" s="42">
        <v>46198</v>
      </c>
    </row>
    <row r="8278" spans="1:6" x14ac:dyDescent="0.3">
      <c r="A8278" s="15" t="s">
        <v>40918</v>
      </c>
      <c r="B8278" s="15" t="s">
        <v>15165</v>
      </c>
      <c r="C8278" s="15" t="s">
        <v>15166</v>
      </c>
      <c r="D8278" s="15" t="s">
        <v>15167</v>
      </c>
      <c r="E8278" s="15">
        <v>10.15</v>
      </c>
      <c r="F8278" s="42">
        <v>46198</v>
      </c>
    </row>
    <row r="8279" spans="1:6" x14ac:dyDescent="0.3">
      <c r="A8279" s="15" t="s">
        <v>33499</v>
      </c>
      <c r="B8279" s="15" t="s">
        <v>795</v>
      </c>
      <c r="C8279" s="15" t="s">
        <v>795</v>
      </c>
      <c r="D8279" s="15" t="s">
        <v>795</v>
      </c>
      <c r="F8279" s="42"/>
    </row>
    <row r="8280" spans="1:6" x14ac:dyDescent="0.3">
      <c r="A8280" s="15" t="s">
        <v>36815</v>
      </c>
      <c r="B8280" s="15" t="s">
        <v>795</v>
      </c>
      <c r="C8280" s="15" t="s">
        <v>795</v>
      </c>
      <c r="D8280" s="15" t="s">
        <v>795</v>
      </c>
      <c r="F8280" s="42"/>
    </row>
    <row r="8281" spans="1:6" x14ac:dyDescent="0.3">
      <c r="A8281" s="15" t="s">
        <v>33499</v>
      </c>
      <c r="B8281" s="15" t="s">
        <v>795</v>
      </c>
      <c r="C8281" s="15" t="s">
        <v>795</v>
      </c>
      <c r="D8281" s="15" t="s">
        <v>795</v>
      </c>
      <c r="F8281" s="42"/>
    </row>
    <row r="8282" spans="1:6" x14ac:dyDescent="0.3">
      <c r="A8282" s="15" t="s">
        <v>40917</v>
      </c>
      <c r="B8282" s="15" t="s">
        <v>15168</v>
      </c>
      <c r="C8282" s="15" t="s">
        <v>800</v>
      </c>
      <c r="D8282" s="15" t="s">
        <v>15169</v>
      </c>
      <c r="E8282" s="15">
        <v>21.623699999999999</v>
      </c>
      <c r="F8282" s="42">
        <v>46198</v>
      </c>
    </row>
    <row r="8283" spans="1:6" x14ac:dyDescent="0.3">
      <c r="A8283" s="15" t="s">
        <v>40916</v>
      </c>
      <c r="B8283" s="15" t="s">
        <v>15170</v>
      </c>
      <c r="C8283" s="15" t="s">
        <v>15171</v>
      </c>
      <c r="D8283" s="15" t="s">
        <v>15172</v>
      </c>
      <c r="E8283" s="15">
        <v>10.220599999999999</v>
      </c>
      <c r="F8283" s="42">
        <v>46198</v>
      </c>
    </row>
    <row r="8284" spans="1:6" x14ac:dyDescent="0.3">
      <c r="A8284" s="15" t="s">
        <v>40915</v>
      </c>
      <c r="B8284" s="15" t="s">
        <v>15173</v>
      </c>
      <c r="C8284" s="15" t="s">
        <v>15174</v>
      </c>
      <c r="D8284" s="15" t="s">
        <v>15175</v>
      </c>
      <c r="E8284" s="15">
        <v>10.9971</v>
      </c>
      <c r="F8284" s="42">
        <v>46198</v>
      </c>
    </row>
    <row r="8285" spans="1:6" x14ac:dyDescent="0.3">
      <c r="A8285" s="15" t="s">
        <v>40914</v>
      </c>
      <c r="B8285" s="15" t="s">
        <v>15176</v>
      </c>
      <c r="C8285" s="15" t="s">
        <v>800</v>
      </c>
      <c r="D8285" s="15" t="s">
        <v>15177</v>
      </c>
      <c r="E8285" s="15">
        <v>20.0898</v>
      </c>
      <c r="F8285" s="42">
        <v>46198</v>
      </c>
    </row>
    <row r="8286" spans="1:6" x14ac:dyDescent="0.3">
      <c r="A8286" s="15" t="s">
        <v>40913</v>
      </c>
      <c r="B8286" s="15" t="s">
        <v>15178</v>
      </c>
      <c r="C8286" s="15" t="s">
        <v>15179</v>
      </c>
      <c r="D8286" s="15" t="s">
        <v>15180</v>
      </c>
      <c r="E8286" s="15">
        <v>10.280200000000001</v>
      </c>
      <c r="F8286" s="42">
        <v>46198</v>
      </c>
    </row>
    <row r="8287" spans="1:6" x14ac:dyDescent="0.3">
      <c r="A8287" s="15" t="s">
        <v>40912</v>
      </c>
      <c r="B8287" s="15" t="s">
        <v>15181</v>
      </c>
      <c r="C8287" s="15" t="s">
        <v>15182</v>
      </c>
      <c r="D8287" s="15" t="s">
        <v>15183</v>
      </c>
      <c r="E8287" s="15">
        <v>10.8428</v>
      </c>
      <c r="F8287" s="42">
        <v>46198</v>
      </c>
    </row>
    <row r="8288" spans="1:6" x14ac:dyDescent="0.3">
      <c r="A8288" s="15" t="s">
        <v>33499</v>
      </c>
      <c r="B8288" s="15" t="s">
        <v>795</v>
      </c>
      <c r="C8288" s="15" t="s">
        <v>795</v>
      </c>
      <c r="D8288" s="15" t="s">
        <v>795</v>
      </c>
      <c r="F8288" s="42"/>
    </row>
    <row r="8289" spans="1:6" x14ac:dyDescent="0.3">
      <c r="A8289" s="15" t="s">
        <v>36764</v>
      </c>
      <c r="B8289" s="15" t="s">
        <v>795</v>
      </c>
      <c r="C8289" s="15" t="s">
        <v>795</v>
      </c>
      <c r="D8289" s="15" t="s">
        <v>795</v>
      </c>
      <c r="F8289" s="42"/>
    </row>
    <row r="8290" spans="1:6" x14ac:dyDescent="0.3">
      <c r="A8290" s="15" t="s">
        <v>33499</v>
      </c>
      <c r="B8290" s="15" t="s">
        <v>795</v>
      </c>
      <c r="C8290" s="15" t="s">
        <v>795</v>
      </c>
      <c r="D8290" s="15" t="s">
        <v>795</v>
      </c>
      <c r="F8290" s="42"/>
    </row>
    <row r="8291" spans="1:6" x14ac:dyDescent="0.3">
      <c r="A8291" s="15" t="s">
        <v>40909</v>
      </c>
      <c r="B8291" s="15" t="s">
        <v>15188</v>
      </c>
      <c r="C8291" s="15" t="s">
        <v>800</v>
      </c>
      <c r="D8291" s="15" t="s">
        <v>47064</v>
      </c>
      <c r="E8291" s="15">
        <v>39.1462</v>
      </c>
      <c r="F8291" s="42">
        <v>46198</v>
      </c>
    </row>
    <row r="8292" spans="1:6" x14ac:dyDescent="0.3">
      <c r="A8292" s="15" t="s">
        <v>40908</v>
      </c>
      <c r="B8292" s="15" t="s">
        <v>15189</v>
      </c>
      <c r="C8292" s="15" t="s">
        <v>15190</v>
      </c>
      <c r="D8292" s="15" t="s">
        <v>47065</v>
      </c>
      <c r="E8292" s="15">
        <v>17.791699999999999</v>
      </c>
      <c r="F8292" s="42">
        <v>46198</v>
      </c>
    </row>
    <row r="8293" spans="1:6" x14ac:dyDescent="0.3">
      <c r="A8293" s="15" t="s">
        <v>40906</v>
      </c>
      <c r="B8293" s="15" t="s">
        <v>15193</v>
      </c>
      <c r="C8293" s="15" t="s">
        <v>800</v>
      </c>
      <c r="D8293" s="15" t="s">
        <v>47066</v>
      </c>
      <c r="E8293" s="15">
        <v>36.32</v>
      </c>
      <c r="F8293" s="42">
        <v>46198</v>
      </c>
    </row>
    <row r="8294" spans="1:6" x14ac:dyDescent="0.3">
      <c r="A8294" s="15" t="s">
        <v>40905</v>
      </c>
      <c r="B8294" s="15" t="s">
        <v>15194</v>
      </c>
      <c r="C8294" s="15" t="s">
        <v>15195</v>
      </c>
      <c r="D8294" s="15" t="s">
        <v>47067</v>
      </c>
      <c r="E8294" s="15">
        <v>15.396599999999999</v>
      </c>
      <c r="F8294" s="42">
        <v>46198</v>
      </c>
    </row>
    <row r="8295" spans="1:6" x14ac:dyDescent="0.3">
      <c r="A8295" s="15" t="s">
        <v>40911</v>
      </c>
      <c r="B8295" s="15" t="s">
        <v>15184</v>
      </c>
      <c r="C8295" s="15" t="s">
        <v>800</v>
      </c>
      <c r="D8295" s="15" t="s">
        <v>15185</v>
      </c>
      <c r="E8295" s="15">
        <v>26.334299999999999</v>
      </c>
      <c r="F8295" s="42">
        <v>43945</v>
      </c>
    </row>
    <row r="8296" spans="1:6" x14ac:dyDescent="0.3">
      <c r="A8296" s="15" t="s">
        <v>40910</v>
      </c>
      <c r="B8296" s="15" t="s">
        <v>15186</v>
      </c>
      <c r="C8296" s="15" t="s">
        <v>800</v>
      </c>
      <c r="D8296" s="15" t="s">
        <v>15187</v>
      </c>
      <c r="E8296" s="15">
        <v>11.808</v>
      </c>
      <c r="F8296" s="42">
        <v>42752</v>
      </c>
    </row>
    <row r="8297" spans="1:6" x14ac:dyDescent="0.3">
      <c r="A8297" s="15" t="s">
        <v>40907</v>
      </c>
      <c r="B8297" s="15" t="s">
        <v>15191</v>
      </c>
      <c r="C8297" s="15" t="s">
        <v>800</v>
      </c>
      <c r="D8297" s="15" t="s">
        <v>15192</v>
      </c>
      <c r="E8297" s="15">
        <v>14.7363</v>
      </c>
      <c r="F8297" s="42">
        <v>43945</v>
      </c>
    </row>
    <row r="8298" spans="1:6" x14ac:dyDescent="0.3">
      <c r="A8298" s="15" t="s">
        <v>33499</v>
      </c>
      <c r="B8298" s="15" t="s">
        <v>795</v>
      </c>
      <c r="C8298" s="15" t="s">
        <v>795</v>
      </c>
      <c r="D8298" s="15" t="s">
        <v>795</v>
      </c>
      <c r="F8298" s="42"/>
    </row>
    <row r="8299" spans="1:6" x14ac:dyDescent="0.3">
      <c r="A8299" s="15" t="s">
        <v>37807</v>
      </c>
      <c r="B8299" s="15" t="s">
        <v>795</v>
      </c>
      <c r="C8299" s="15" t="s">
        <v>795</v>
      </c>
      <c r="D8299" s="15" t="s">
        <v>795</v>
      </c>
      <c r="F8299" s="42"/>
    </row>
    <row r="8300" spans="1:6" x14ac:dyDescent="0.3">
      <c r="A8300" s="15" t="s">
        <v>33499</v>
      </c>
      <c r="B8300" s="15" t="s">
        <v>795</v>
      </c>
      <c r="C8300" s="15" t="s">
        <v>795</v>
      </c>
      <c r="D8300" s="15" t="s">
        <v>795</v>
      </c>
      <c r="F8300" s="42"/>
    </row>
    <row r="8301" spans="1:6" x14ac:dyDescent="0.3">
      <c r="A8301" s="15" t="s">
        <v>40904</v>
      </c>
      <c r="B8301" s="15" t="s">
        <v>15196</v>
      </c>
      <c r="C8301" s="15" t="s">
        <v>800</v>
      </c>
      <c r="D8301" s="15" t="s">
        <v>15197</v>
      </c>
      <c r="E8301" s="15">
        <v>36.770699999999998</v>
      </c>
      <c r="F8301" s="42">
        <v>46198</v>
      </c>
    </row>
    <row r="8302" spans="1:6" x14ac:dyDescent="0.3">
      <c r="A8302" s="15" t="s">
        <v>40903</v>
      </c>
      <c r="B8302" s="15" t="s">
        <v>779</v>
      </c>
      <c r="C8302" s="15" t="s">
        <v>800</v>
      </c>
      <c r="D8302" s="15" t="s">
        <v>15198</v>
      </c>
      <c r="E8302" s="15">
        <v>36.785699999999999</v>
      </c>
      <c r="F8302" s="42">
        <v>46198</v>
      </c>
    </row>
    <row r="8303" spans="1:6" x14ac:dyDescent="0.3">
      <c r="A8303" s="15" t="s">
        <v>40902</v>
      </c>
      <c r="B8303" s="15" t="s">
        <v>15199</v>
      </c>
      <c r="C8303" s="15" t="s">
        <v>15200</v>
      </c>
      <c r="D8303" s="15" t="s">
        <v>15201</v>
      </c>
      <c r="E8303" s="15">
        <v>19.975200000000001</v>
      </c>
      <c r="F8303" s="42">
        <v>46198</v>
      </c>
    </row>
    <row r="8304" spans="1:6" x14ac:dyDescent="0.3">
      <c r="A8304" s="15" t="s">
        <v>40901</v>
      </c>
      <c r="B8304" s="15" t="s">
        <v>15202</v>
      </c>
      <c r="C8304" s="15" t="s">
        <v>800</v>
      </c>
      <c r="D8304" s="15" t="s">
        <v>15203</v>
      </c>
      <c r="E8304" s="15">
        <v>33.795200000000001</v>
      </c>
      <c r="F8304" s="42">
        <v>46198</v>
      </c>
    </row>
    <row r="8305" spans="1:6" x14ac:dyDescent="0.3">
      <c r="A8305" s="15" t="s">
        <v>40900</v>
      </c>
      <c r="B8305" s="15" t="s">
        <v>15204</v>
      </c>
      <c r="C8305" s="15" t="s">
        <v>15205</v>
      </c>
      <c r="D8305" s="15" t="s">
        <v>15206</v>
      </c>
      <c r="E8305" s="15">
        <v>18.035900000000002</v>
      </c>
      <c r="F8305" s="42">
        <v>46198</v>
      </c>
    </row>
    <row r="8306" spans="1:6" x14ac:dyDescent="0.3">
      <c r="A8306" s="15" t="s">
        <v>33499</v>
      </c>
      <c r="B8306" s="15" t="s">
        <v>795</v>
      </c>
      <c r="C8306" s="15" t="s">
        <v>795</v>
      </c>
      <c r="D8306" s="15" t="s">
        <v>795</v>
      </c>
      <c r="F8306" s="42"/>
    </row>
    <row r="8307" spans="1:6" x14ac:dyDescent="0.3">
      <c r="A8307" s="15" t="s">
        <v>40577</v>
      </c>
      <c r="B8307" s="15" t="s">
        <v>795</v>
      </c>
      <c r="C8307" s="15" t="s">
        <v>795</v>
      </c>
      <c r="D8307" s="15" t="s">
        <v>795</v>
      </c>
      <c r="F8307" s="42"/>
    </row>
    <row r="8308" spans="1:6" x14ac:dyDescent="0.3">
      <c r="A8308" s="15" t="s">
        <v>33499</v>
      </c>
      <c r="B8308" s="15" t="s">
        <v>795</v>
      </c>
      <c r="C8308" s="15" t="s">
        <v>795</v>
      </c>
      <c r="D8308" s="15" t="s">
        <v>795</v>
      </c>
      <c r="F8308" s="42"/>
    </row>
    <row r="8309" spans="1:6" x14ac:dyDescent="0.3">
      <c r="A8309" s="15" t="s">
        <v>40899</v>
      </c>
      <c r="B8309" s="15" t="s">
        <v>15207</v>
      </c>
      <c r="C8309" s="15" t="s">
        <v>800</v>
      </c>
      <c r="D8309" s="15" t="s">
        <v>15208</v>
      </c>
      <c r="E8309" s="15">
        <v>14.404400000000001</v>
      </c>
      <c r="F8309" s="42">
        <v>46198</v>
      </c>
    </row>
    <row r="8310" spans="1:6" x14ac:dyDescent="0.3">
      <c r="A8310" s="15" t="s">
        <v>40898</v>
      </c>
      <c r="B8310" s="15" t="s">
        <v>15209</v>
      </c>
      <c r="C8310" s="15" t="s">
        <v>15210</v>
      </c>
      <c r="D8310" s="15" t="s">
        <v>15211</v>
      </c>
      <c r="E8310" s="15">
        <v>14.404400000000001</v>
      </c>
      <c r="F8310" s="42">
        <v>46198</v>
      </c>
    </row>
    <row r="8311" spans="1:6" x14ac:dyDescent="0.3">
      <c r="A8311" s="15" t="s">
        <v>40897</v>
      </c>
      <c r="B8311" s="15" t="s">
        <v>15212</v>
      </c>
      <c r="C8311" s="15" t="s">
        <v>800</v>
      </c>
      <c r="D8311" s="15" t="s">
        <v>15213</v>
      </c>
      <c r="E8311" s="15">
        <v>13.696400000000001</v>
      </c>
      <c r="F8311" s="42">
        <v>46198</v>
      </c>
    </row>
    <row r="8312" spans="1:6" x14ac:dyDescent="0.3">
      <c r="A8312" s="15" t="s">
        <v>40896</v>
      </c>
      <c r="B8312" s="15" t="s">
        <v>15214</v>
      </c>
      <c r="C8312" s="15" t="s">
        <v>15215</v>
      </c>
      <c r="D8312" s="15" t="s">
        <v>15216</v>
      </c>
      <c r="E8312" s="15">
        <v>13.696400000000001</v>
      </c>
      <c r="F8312" s="42">
        <v>46198</v>
      </c>
    </row>
    <row r="8313" spans="1:6" x14ac:dyDescent="0.3">
      <c r="A8313" s="15" t="s">
        <v>33499</v>
      </c>
      <c r="B8313" s="15" t="s">
        <v>795</v>
      </c>
      <c r="C8313" s="15" t="s">
        <v>795</v>
      </c>
      <c r="D8313" s="15" t="s">
        <v>795</v>
      </c>
      <c r="F8313" s="42"/>
    </row>
    <row r="8314" spans="1:6" x14ac:dyDescent="0.3">
      <c r="A8314" s="15" t="s">
        <v>38568</v>
      </c>
      <c r="B8314" s="15" t="s">
        <v>795</v>
      </c>
      <c r="C8314" s="15" t="s">
        <v>795</v>
      </c>
      <c r="D8314" s="15" t="s">
        <v>795</v>
      </c>
      <c r="F8314" s="42"/>
    </row>
    <row r="8315" spans="1:6" x14ac:dyDescent="0.3">
      <c r="A8315" s="15" t="s">
        <v>33499</v>
      </c>
      <c r="B8315" s="15" t="s">
        <v>795</v>
      </c>
      <c r="C8315" s="15" t="s">
        <v>795</v>
      </c>
      <c r="D8315" s="15" t="s">
        <v>795</v>
      </c>
      <c r="F8315" s="42"/>
    </row>
    <row r="8316" spans="1:6" x14ac:dyDescent="0.3">
      <c r="A8316" s="15" t="s">
        <v>40895</v>
      </c>
      <c r="B8316" s="15" t="s">
        <v>15217</v>
      </c>
      <c r="C8316" s="15" t="s">
        <v>800</v>
      </c>
      <c r="D8316" s="15" t="s">
        <v>15218</v>
      </c>
      <c r="E8316" s="15">
        <v>10.3706</v>
      </c>
      <c r="F8316" s="42">
        <v>46198</v>
      </c>
    </row>
    <row r="8317" spans="1:6" x14ac:dyDescent="0.3">
      <c r="A8317" s="15" t="s">
        <v>33499</v>
      </c>
      <c r="B8317" s="15" t="s">
        <v>795</v>
      </c>
      <c r="C8317" s="15" t="s">
        <v>795</v>
      </c>
      <c r="D8317" s="15" t="s">
        <v>795</v>
      </c>
      <c r="F8317" s="42"/>
    </row>
    <row r="8318" spans="1:6" x14ac:dyDescent="0.3">
      <c r="A8318" s="15" t="s">
        <v>40894</v>
      </c>
      <c r="B8318" s="15" t="s">
        <v>795</v>
      </c>
      <c r="C8318" s="15" t="s">
        <v>795</v>
      </c>
      <c r="D8318" s="15" t="s">
        <v>795</v>
      </c>
      <c r="F8318" s="42"/>
    </row>
    <row r="8319" spans="1:6" x14ac:dyDescent="0.3">
      <c r="A8319" s="15" t="s">
        <v>33499</v>
      </c>
      <c r="B8319" s="15" t="s">
        <v>795</v>
      </c>
      <c r="C8319" s="15" t="s">
        <v>795</v>
      </c>
      <c r="D8319" s="15" t="s">
        <v>795</v>
      </c>
      <c r="F8319" s="42"/>
    </row>
    <row r="8320" spans="1:6" x14ac:dyDescent="0.3">
      <c r="A8320" s="15" t="s">
        <v>40893</v>
      </c>
      <c r="B8320" s="15" t="s">
        <v>15219</v>
      </c>
      <c r="C8320" s="15" t="s">
        <v>800</v>
      </c>
      <c r="D8320" s="15" t="s">
        <v>15220</v>
      </c>
      <c r="E8320" s="15">
        <v>18.964300000000001</v>
      </c>
      <c r="F8320" s="42">
        <v>46198</v>
      </c>
    </row>
    <row r="8321" spans="1:6" x14ac:dyDescent="0.3">
      <c r="A8321" s="15" t="s">
        <v>40892</v>
      </c>
      <c r="B8321" s="15" t="s">
        <v>15221</v>
      </c>
      <c r="C8321" s="15" t="s">
        <v>15222</v>
      </c>
      <c r="D8321" s="15" t="s">
        <v>15223</v>
      </c>
      <c r="E8321" s="15">
        <v>16.801600000000001</v>
      </c>
      <c r="F8321" s="42">
        <v>46198</v>
      </c>
    </row>
    <row r="8322" spans="1:6" x14ac:dyDescent="0.3">
      <c r="A8322" s="15" t="s">
        <v>40891</v>
      </c>
      <c r="B8322" s="15" t="s">
        <v>15224</v>
      </c>
      <c r="C8322" s="15" t="s">
        <v>800</v>
      </c>
      <c r="D8322" s="15" t="s">
        <v>15225</v>
      </c>
      <c r="E8322" s="15">
        <v>19.758500000000002</v>
      </c>
      <c r="F8322" s="42">
        <v>46198</v>
      </c>
    </row>
    <row r="8323" spans="1:6" x14ac:dyDescent="0.3">
      <c r="A8323" s="15" t="s">
        <v>40890</v>
      </c>
      <c r="B8323" s="15" t="s">
        <v>15226</v>
      </c>
      <c r="C8323" s="15" t="s">
        <v>800</v>
      </c>
      <c r="D8323" s="15" t="s">
        <v>15227</v>
      </c>
      <c r="E8323" s="15">
        <v>36.921599999999998</v>
      </c>
      <c r="F8323" s="42">
        <v>46198</v>
      </c>
    </row>
    <row r="8324" spans="1:6" x14ac:dyDescent="0.3">
      <c r="A8324" s="15" t="s">
        <v>40889</v>
      </c>
      <c r="B8324" s="15" t="s">
        <v>15228</v>
      </c>
      <c r="C8324" s="15" t="s">
        <v>800</v>
      </c>
      <c r="D8324" s="15" t="s">
        <v>15229</v>
      </c>
      <c r="E8324" s="15">
        <v>33.871699999999997</v>
      </c>
      <c r="F8324" s="42">
        <v>45684</v>
      </c>
    </row>
    <row r="8325" spans="1:6" x14ac:dyDescent="0.3">
      <c r="A8325" s="15" t="s">
        <v>40888</v>
      </c>
      <c r="B8325" s="15" t="s">
        <v>15230</v>
      </c>
      <c r="C8325" s="15" t="s">
        <v>15231</v>
      </c>
      <c r="D8325" s="15" t="s">
        <v>15232</v>
      </c>
      <c r="E8325" s="15">
        <v>17.0776</v>
      </c>
      <c r="F8325" s="42">
        <v>46198</v>
      </c>
    </row>
    <row r="8326" spans="1:6" x14ac:dyDescent="0.3">
      <c r="A8326" s="15" t="s">
        <v>40887</v>
      </c>
      <c r="B8326" s="15" t="s">
        <v>15233</v>
      </c>
      <c r="C8326" s="15" t="s">
        <v>15234</v>
      </c>
      <c r="D8326" s="15" t="s">
        <v>15235</v>
      </c>
      <c r="E8326" s="15">
        <v>14.9093</v>
      </c>
      <c r="F8326" s="42">
        <v>46198</v>
      </c>
    </row>
    <row r="8327" spans="1:6" x14ac:dyDescent="0.3">
      <c r="A8327" s="15" t="s">
        <v>40886</v>
      </c>
      <c r="B8327" s="15" t="s">
        <v>15236</v>
      </c>
      <c r="C8327" s="15" t="s">
        <v>800</v>
      </c>
      <c r="D8327" s="15" t="s">
        <v>15237</v>
      </c>
      <c r="E8327" s="15">
        <v>33.881599999999999</v>
      </c>
      <c r="F8327" s="42">
        <v>45684</v>
      </c>
    </row>
    <row r="8328" spans="1:6" x14ac:dyDescent="0.3">
      <c r="A8328" s="15" t="s">
        <v>40885</v>
      </c>
      <c r="B8328" s="15" t="s">
        <v>15238</v>
      </c>
      <c r="C8328" s="15" t="s">
        <v>15239</v>
      </c>
      <c r="D8328" s="15" t="s">
        <v>15240</v>
      </c>
      <c r="E8328" s="15">
        <v>17.544599999999999</v>
      </c>
      <c r="F8328" s="42">
        <v>46198</v>
      </c>
    </row>
    <row r="8329" spans="1:6" x14ac:dyDescent="0.3">
      <c r="A8329" s="15" t="s">
        <v>40884</v>
      </c>
      <c r="B8329" s="15" t="s">
        <v>15241</v>
      </c>
      <c r="C8329" s="15" t="s">
        <v>15242</v>
      </c>
      <c r="D8329" s="15" t="s">
        <v>15243</v>
      </c>
      <c r="E8329" s="15">
        <v>17.398800000000001</v>
      </c>
      <c r="F8329" s="42">
        <v>46198</v>
      </c>
    </row>
    <row r="8330" spans="1:6" x14ac:dyDescent="0.3">
      <c r="A8330" s="15" t="s">
        <v>40883</v>
      </c>
      <c r="B8330" s="15" t="s">
        <v>15244</v>
      </c>
      <c r="C8330" s="15" t="s">
        <v>800</v>
      </c>
      <c r="D8330" s="15" t="s">
        <v>15245</v>
      </c>
      <c r="E8330" s="15">
        <v>32.106000000000002</v>
      </c>
      <c r="F8330" s="42">
        <v>45684</v>
      </c>
    </row>
    <row r="8331" spans="1:6" x14ac:dyDescent="0.3">
      <c r="A8331" s="15" t="s">
        <v>40882</v>
      </c>
      <c r="B8331" s="15" t="s">
        <v>15246</v>
      </c>
      <c r="C8331" s="15" t="s">
        <v>15247</v>
      </c>
      <c r="D8331" s="15" t="s">
        <v>15248</v>
      </c>
      <c r="E8331" s="15">
        <v>15.194599999999999</v>
      </c>
      <c r="F8331" s="42">
        <v>46198</v>
      </c>
    </row>
    <row r="8332" spans="1:6" x14ac:dyDescent="0.3">
      <c r="A8332" s="15" t="s">
        <v>40881</v>
      </c>
      <c r="B8332" s="15" t="s">
        <v>15249</v>
      </c>
      <c r="C8332" s="15" t="s">
        <v>800</v>
      </c>
      <c r="D8332" s="15" t="s">
        <v>15250</v>
      </c>
      <c r="E8332" s="15">
        <v>18.697399999999998</v>
      </c>
      <c r="F8332" s="42">
        <v>46198</v>
      </c>
    </row>
    <row r="8333" spans="1:6" x14ac:dyDescent="0.3">
      <c r="A8333" s="15" t="s">
        <v>40880</v>
      </c>
      <c r="B8333" s="15" t="s">
        <v>15251</v>
      </c>
      <c r="C8333" s="15" t="s">
        <v>800</v>
      </c>
      <c r="D8333" s="15" t="s">
        <v>15252</v>
      </c>
      <c r="E8333" s="15">
        <v>34.392400000000002</v>
      </c>
      <c r="F8333" s="42">
        <v>46198</v>
      </c>
    </row>
    <row r="8334" spans="1:6" x14ac:dyDescent="0.3">
      <c r="A8334" s="15" t="s">
        <v>40879</v>
      </c>
      <c r="B8334" s="15" t="s">
        <v>15253</v>
      </c>
      <c r="C8334" s="15" t="s">
        <v>800</v>
      </c>
      <c r="D8334" s="15" t="s">
        <v>15254</v>
      </c>
      <c r="E8334" s="15">
        <v>32.160899999999998</v>
      </c>
      <c r="F8334" s="42">
        <v>45684</v>
      </c>
    </row>
    <row r="8335" spans="1:6" x14ac:dyDescent="0.3">
      <c r="A8335" s="15" t="s">
        <v>40878</v>
      </c>
      <c r="B8335" s="15" t="s">
        <v>15255</v>
      </c>
      <c r="C8335" s="15" t="s">
        <v>15256</v>
      </c>
      <c r="D8335" s="15" t="s">
        <v>15257</v>
      </c>
      <c r="E8335" s="15">
        <v>15.3049</v>
      </c>
      <c r="F8335" s="42">
        <v>46198</v>
      </c>
    </row>
    <row r="8336" spans="1:6" x14ac:dyDescent="0.3">
      <c r="A8336" s="15" t="s">
        <v>40877</v>
      </c>
      <c r="B8336" s="15" t="s">
        <v>15258</v>
      </c>
      <c r="C8336" s="15" t="s">
        <v>15259</v>
      </c>
      <c r="D8336" s="15" t="s">
        <v>15260</v>
      </c>
      <c r="E8336" s="15">
        <v>15.9628</v>
      </c>
      <c r="F8336" s="42">
        <v>46198</v>
      </c>
    </row>
    <row r="8337" spans="1:6" x14ac:dyDescent="0.3">
      <c r="A8337" s="15" t="s">
        <v>40876</v>
      </c>
      <c r="B8337" s="15" t="s">
        <v>15261</v>
      </c>
      <c r="C8337" s="15" t="s">
        <v>15262</v>
      </c>
      <c r="D8337" s="15" t="s">
        <v>15263</v>
      </c>
      <c r="E8337" s="15">
        <v>13.521800000000001</v>
      </c>
      <c r="F8337" s="42">
        <v>46198</v>
      </c>
    </row>
    <row r="8338" spans="1:6" x14ac:dyDescent="0.3">
      <c r="A8338" s="15" t="s">
        <v>40875</v>
      </c>
      <c r="B8338" s="15" t="s">
        <v>15264</v>
      </c>
      <c r="C8338" s="15" t="s">
        <v>800</v>
      </c>
      <c r="D8338" s="15" t="s">
        <v>15265</v>
      </c>
      <c r="E8338" s="15">
        <v>32.160899999999998</v>
      </c>
      <c r="F8338" s="42">
        <v>45684</v>
      </c>
    </row>
    <row r="8339" spans="1:6" x14ac:dyDescent="0.3">
      <c r="A8339" s="15" t="s">
        <v>40874</v>
      </c>
      <c r="B8339" s="15" t="s">
        <v>15266</v>
      </c>
      <c r="C8339" s="15" t="s">
        <v>15267</v>
      </c>
      <c r="D8339" s="15" t="s">
        <v>15268</v>
      </c>
      <c r="E8339" s="15">
        <v>15.531599999999999</v>
      </c>
      <c r="F8339" s="42">
        <v>46198</v>
      </c>
    </row>
    <row r="8340" spans="1:6" x14ac:dyDescent="0.3">
      <c r="A8340" s="15" t="s">
        <v>33499</v>
      </c>
      <c r="B8340" s="15" t="s">
        <v>795</v>
      </c>
      <c r="C8340" s="15" t="s">
        <v>795</v>
      </c>
      <c r="D8340" s="15" t="s">
        <v>795</v>
      </c>
      <c r="F8340" s="42"/>
    </row>
    <row r="8341" spans="1:6" x14ac:dyDescent="0.3">
      <c r="A8341" s="15" t="s">
        <v>139</v>
      </c>
      <c r="B8341" s="15" t="s">
        <v>795</v>
      </c>
      <c r="C8341" s="15" t="s">
        <v>795</v>
      </c>
      <c r="D8341" s="15" t="s">
        <v>795</v>
      </c>
      <c r="F8341" s="42"/>
    </row>
    <row r="8342" spans="1:6" x14ac:dyDescent="0.3">
      <c r="A8342" s="15" t="s">
        <v>33499</v>
      </c>
      <c r="B8342" s="15" t="s">
        <v>795</v>
      </c>
      <c r="C8342" s="15" t="s">
        <v>795</v>
      </c>
      <c r="D8342" s="15" t="s">
        <v>795</v>
      </c>
      <c r="F8342" s="42"/>
    </row>
    <row r="8343" spans="1:6" x14ac:dyDescent="0.3">
      <c r="A8343" s="15" t="s">
        <v>40873</v>
      </c>
      <c r="B8343" s="15" t="s">
        <v>15269</v>
      </c>
      <c r="C8343" s="15" t="s">
        <v>15270</v>
      </c>
      <c r="D8343" s="15" t="s">
        <v>15271</v>
      </c>
      <c r="E8343" s="15">
        <v>11.2601</v>
      </c>
      <c r="F8343" s="42">
        <v>46198</v>
      </c>
    </row>
    <row r="8344" spans="1:6" x14ac:dyDescent="0.3">
      <c r="A8344" s="15" t="s">
        <v>40872</v>
      </c>
      <c r="B8344" s="15" t="s">
        <v>15272</v>
      </c>
      <c r="C8344" s="15" t="s">
        <v>800</v>
      </c>
      <c r="D8344" s="15" t="s">
        <v>15273</v>
      </c>
      <c r="E8344" s="15">
        <v>42.657200000000003</v>
      </c>
      <c r="F8344" s="42">
        <v>46198</v>
      </c>
    </row>
    <row r="8345" spans="1:6" x14ac:dyDescent="0.3">
      <c r="A8345" s="15" t="s">
        <v>40871</v>
      </c>
      <c r="B8345" s="15" t="s">
        <v>15274</v>
      </c>
      <c r="C8345" s="15" t="s">
        <v>800</v>
      </c>
      <c r="D8345" s="15" t="s">
        <v>15275</v>
      </c>
      <c r="E8345" s="15">
        <v>39.68</v>
      </c>
      <c r="F8345" s="42">
        <v>46198</v>
      </c>
    </row>
    <row r="8346" spans="1:6" x14ac:dyDescent="0.3">
      <c r="A8346" s="15" t="s">
        <v>40870</v>
      </c>
      <c r="B8346" s="15" t="s">
        <v>15276</v>
      </c>
      <c r="C8346" s="15" t="s">
        <v>15277</v>
      </c>
      <c r="D8346" s="15" t="s">
        <v>15278</v>
      </c>
      <c r="E8346" s="15">
        <v>10.7704</v>
      </c>
      <c r="F8346" s="42">
        <v>46198</v>
      </c>
    </row>
    <row r="8347" spans="1:6" x14ac:dyDescent="0.3">
      <c r="A8347" s="15" t="s">
        <v>33499</v>
      </c>
      <c r="B8347" s="15" t="s">
        <v>795</v>
      </c>
      <c r="C8347" s="15" t="s">
        <v>795</v>
      </c>
      <c r="D8347" s="15" t="s">
        <v>795</v>
      </c>
      <c r="F8347" s="42"/>
    </row>
    <row r="8348" spans="1:6" x14ac:dyDescent="0.3">
      <c r="A8348" s="15" t="s">
        <v>37618</v>
      </c>
      <c r="B8348" s="15" t="s">
        <v>795</v>
      </c>
      <c r="C8348" s="15" t="s">
        <v>795</v>
      </c>
      <c r="D8348" s="15" t="s">
        <v>795</v>
      </c>
      <c r="F8348" s="42"/>
    </row>
    <row r="8349" spans="1:6" x14ac:dyDescent="0.3">
      <c r="A8349" s="15" t="s">
        <v>33499</v>
      </c>
      <c r="B8349" s="15" t="s">
        <v>795</v>
      </c>
      <c r="C8349" s="15" t="s">
        <v>795</v>
      </c>
      <c r="D8349" s="15" t="s">
        <v>795</v>
      </c>
      <c r="F8349" s="42"/>
    </row>
    <row r="8350" spans="1:6" x14ac:dyDescent="0.3">
      <c r="A8350" s="15" t="s">
        <v>40869</v>
      </c>
      <c r="B8350" s="15" t="s">
        <v>15279</v>
      </c>
      <c r="C8350" s="15" t="s">
        <v>800</v>
      </c>
      <c r="D8350" s="15" t="s">
        <v>15280</v>
      </c>
      <c r="E8350" s="15">
        <v>15.369</v>
      </c>
      <c r="F8350" s="42">
        <v>46198</v>
      </c>
    </row>
    <row r="8351" spans="1:6" x14ac:dyDescent="0.3">
      <c r="A8351" s="15" t="s">
        <v>40868</v>
      </c>
      <c r="B8351" s="15" t="s">
        <v>15281</v>
      </c>
      <c r="C8351" s="15" t="s">
        <v>15282</v>
      </c>
      <c r="D8351" s="15" t="s">
        <v>15283</v>
      </c>
      <c r="E8351" s="15">
        <v>13.9727</v>
      </c>
      <c r="F8351" s="42">
        <v>46198</v>
      </c>
    </row>
    <row r="8352" spans="1:6" x14ac:dyDescent="0.3">
      <c r="A8352" s="15" t="s">
        <v>40867</v>
      </c>
      <c r="B8352" s="15" t="s">
        <v>800</v>
      </c>
      <c r="C8352" s="15" t="s">
        <v>15284</v>
      </c>
      <c r="D8352" s="15" t="s">
        <v>15285</v>
      </c>
      <c r="E8352" s="15">
        <v>14.4422</v>
      </c>
      <c r="F8352" s="42">
        <v>46198</v>
      </c>
    </row>
    <row r="8353" spans="1:6" x14ac:dyDescent="0.3">
      <c r="A8353" s="15" t="s">
        <v>40866</v>
      </c>
      <c r="B8353" s="15" t="s">
        <v>15286</v>
      </c>
      <c r="C8353" s="15" t="s">
        <v>800</v>
      </c>
      <c r="D8353" s="15" t="s">
        <v>15287</v>
      </c>
      <c r="E8353" s="15">
        <v>14.6061</v>
      </c>
      <c r="F8353" s="42">
        <v>46198</v>
      </c>
    </row>
    <row r="8354" spans="1:6" x14ac:dyDescent="0.3">
      <c r="A8354" s="15" t="s">
        <v>40865</v>
      </c>
      <c r="B8354" s="15" t="s">
        <v>15288</v>
      </c>
      <c r="C8354" s="15" t="s">
        <v>15289</v>
      </c>
      <c r="D8354" s="15" t="s">
        <v>15290</v>
      </c>
      <c r="E8354" s="15">
        <v>14.270099999999999</v>
      </c>
      <c r="F8354" s="42">
        <v>46198</v>
      </c>
    </row>
    <row r="8355" spans="1:6" x14ac:dyDescent="0.3">
      <c r="A8355" s="15" t="s">
        <v>40864</v>
      </c>
      <c r="B8355" s="15" t="s">
        <v>800</v>
      </c>
      <c r="C8355" s="15" t="s">
        <v>15291</v>
      </c>
      <c r="D8355" s="15" t="s">
        <v>15292</v>
      </c>
      <c r="E8355" s="15">
        <v>14.1793</v>
      </c>
      <c r="F8355" s="42">
        <v>46198</v>
      </c>
    </row>
    <row r="8356" spans="1:6" x14ac:dyDescent="0.3">
      <c r="A8356" s="15" t="s">
        <v>33499</v>
      </c>
      <c r="B8356" s="15" t="s">
        <v>795</v>
      </c>
      <c r="C8356" s="15" t="s">
        <v>795</v>
      </c>
      <c r="D8356" s="15" t="s">
        <v>795</v>
      </c>
      <c r="F8356" s="42"/>
    </row>
    <row r="8357" spans="1:6" x14ac:dyDescent="0.3">
      <c r="A8357" s="15" t="s">
        <v>39301</v>
      </c>
      <c r="B8357" s="15" t="s">
        <v>795</v>
      </c>
      <c r="C8357" s="15" t="s">
        <v>795</v>
      </c>
      <c r="D8357" s="15" t="s">
        <v>795</v>
      </c>
      <c r="F8357" s="42"/>
    </row>
    <row r="8358" spans="1:6" x14ac:dyDescent="0.3">
      <c r="A8358" s="15" t="s">
        <v>33499</v>
      </c>
      <c r="B8358" s="15" t="s">
        <v>795</v>
      </c>
      <c r="C8358" s="15" t="s">
        <v>795</v>
      </c>
      <c r="D8358" s="15" t="s">
        <v>795</v>
      </c>
      <c r="F8358" s="42"/>
    </row>
    <row r="8359" spans="1:6" x14ac:dyDescent="0.3">
      <c r="A8359" s="15" t="s">
        <v>40863</v>
      </c>
      <c r="B8359" s="15" t="s">
        <v>15293</v>
      </c>
      <c r="C8359" s="15" t="s">
        <v>15294</v>
      </c>
      <c r="D8359" s="15" t="s">
        <v>15295</v>
      </c>
      <c r="E8359" s="15">
        <v>13.6195</v>
      </c>
      <c r="F8359" s="42">
        <v>46198</v>
      </c>
    </row>
    <row r="8360" spans="1:6" x14ac:dyDescent="0.3">
      <c r="A8360" s="15" t="s">
        <v>40862</v>
      </c>
      <c r="B8360" s="15" t="s">
        <v>15296</v>
      </c>
      <c r="C8360" s="15" t="s">
        <v>800</v>
      </c>
      <c r="D8360" s="15" t="s">
        <v>15297</v>
      </c>
      <c r="E8360" s="15">
        <v>13.6195</v>
      </c>
      <c r="F8360" s="42">
        <v>46198</v>
      </c>
    </row>
    <row r="8361" spans="1:6" x14ac:dyDescent="0.3">
      <c r="A8361" s="15" t="s">
        <v>40861</v>
      </c>
      <c r="B8361" s="15" t="s">
        <v>15298</v>
      </c>
      <c r="C8361" s="15" t="s">
        <v>800</v>
      </c>
      <c r="D8361" s="15" t="s">
        <v>15299</v>
      </c>
      <c r="E8361" s="15">
        <v>12.9863</v>
      </c>
      <c r="F8361" s="42">
        <v>46198</v>
      </c>
    </row>
    <row r="8362" spans="1:6" x14ac:dyDescent="0.3">
      <c r="A8362" s="15" t="s">
        <v>40860</v>
      </c>
      <c r="B8362" s="15" t="s">
        <v>15300</v>
      </c>
      <c r="C8362" s="15" t="s">
        <v>15301</v>
      </c>
      <c r="D8362" s="15" t="s">
        <v>15302</v>
      </c>
      <c r="E8362" s="15">
        <v>12.9863</v>
      </c>
      <c r="F8362" s="42">
        <v>46198</v>
      </c>
    </row>
    <row r="8363" spans="1:6" x14ac:dyDescent="0.3">
      <c r="A8363" s="15" t="s">
        <v>33499</v>
      </c>
      <c r="B8363" s="15" t="s">
        <v>795</v>
      </c>
      <c r="C8363" s="15" t="s">
        <v>795</v>
      </c>
      <c r="D8363" s="15" t="s">
        <v>795</v>
      </c>
      <c r="F8363" s="42"/>
    </row>
    <row r="8364" spans="1:6" x14ac:dyDescent="0.3">
      <c r="A8364" s="15" t="s">
        <v>37780</v>
      </c>
      <c r="B8364" s="15" t="s">
        <v>795</v>
      </c>
      <c r="C8364" s="15" t="s">
        <v>795</v>
      </c>
      <c r="D8364" s="15" t="s">
        <v>795</v>
      </c>
      <c r="F8364" s="42"/>
    </row>
    <row r="8365" spans="1:6" x14ac:dyDescent="0.3">
      <c r="A8365" s="15" t="s">
        <v>33499</v>
      </c>
      <c r="B8365" s="15" t="s">
        <v>795</v>
      </c>
      <c r="C8365" s="15" t="s">
        <v>795</v>
      </c>
      <c r="D8365" s="15" t="s">
        <v>795</v>
      </c>
      <c r="F8365" s="42"/>
    </row>
    <row r="8366" spans="1:6" x14ac:dyDescent="0.3">
      <c r="A8366" s="15" t="s">
        <v>40859</v>
      </c>
      <c r="B8366" s="15" t="s">
        <v>15303</v>
      </c>
      <c r="C8366" s="15" t="s">
        <v>800</v>
      </c>
      <c r="D8366" s="15" t="s">
        <v>15304</v>
      </c>
      <c r="E8366" s="15">
        <v>14.382999999999999</v>
      </c>
      <c r="F8366" s="42">
        <v>46198</v>
      </c>
    </row>
    <row r="8367" spans="1:6" x14ac:dyDescent="0.3">
      <c r="A8367" s="15" t="s">
        <v>40858</v>
      </c>
      <c r="B8367" s="15" t="s">
        <v>15305</v>
      </c>
      <c r="C8367" s="15" t="s">
        <v>15306</v>
      </c>
      <c r="D8367" s="15" t="s">
        <v>15307</v>
      </c>
      <c r="E8367" s="15">
        <v>14.364000000000001</v>
      </c>
      <c r="F8367" s="42">
        <v>46198</v>
      </c>
    </row>
    <row r="8368" spans="1:6" x14ac:dyDescent="0.3">
      <c r="A8368" s="15" t="s">
        <v>40857</v>
      </c>
      <c r="B8368" s="15" t="s">
        <v>15308</v>
      </c>
      <c r="C8368" s="15" t="s">
        <v>800</v>
      </c>
      <c r="D8368" s="15" t="s">
        <v>15309</v>
      </c>
      <c r="E8368" s="15">
        <v>13.757</v>
      </c>
      <c r="F8368" s="42">
        <v>46198</v>
      </c>
    </row>
    <row r="8369" spans="1:6" x14ac:dyDescent="0.3">
      <c r="A8369" s="15" t="s">
        <v>40856</v>
      </c>
      <c r="B8369" s="15" t="s">
        <v>15310</v>
      </c>
      <c r="C8369" s="15" t="s">
        <v>15311</v>
      </c>
      <c r="D8369" s="15" t="s">
        <v>15312</v>
      </c>
      <c r="E8369" s="15">
        <v>13.757</v>
      </c>
      <c r="F8369" s="42">
        <v>46198</v>
      </c>
    </row>
    <row r="8370" spans="1:6" x14ac:dyDescent="0.3">
      <c r="A8370" s="15" t="s">
        <v>33499</v>
      </c>
      <c r="B8370" s="15" t="s">
        <v>795</v>
      </c>
      <c r="C8370" s="15" t="s">
        <v>795</v>
      </c>
      <c r="D8370" s="15" t="s">
        <v>795</v>
      </c>
      <c r="F8370" s="42"/>
    </row>
    <row r="8371" spans="1:6" x14ac:dyDescent="0.3">
      <c r="A8371" s="15" t="s">
        <v>37742</v>
      </c>
      <c r="B8371" s="15" t="s">
        <v>795</v>
      </c>
      <c r="C8371" s="15" t="s">
        <v>795</v>
      </c>
      <c r="D8371" s="15" t="s">
        <v>795</v>
      </c>
      <c r="F8371" s="42"/>
    </row>
    <row r="8372" spans="1:6" x14ac:dyDescent="0.3">
      <c r="A8372" s="15" t="s">
        <v>33499</v>
      </c>
      <c r="B8372" s="15" t="s">
        <v>795</v>
      </c>
      <c r="C8372" s="15" t="s">
        <v>795</v>
      </c>
      <c r="D8372" s="15" t="s">
        <v>795</v>
      </c>
      <c r="F8372" s="42"/>
    </row>
    <row r="8373" spans="1:6" x14ac:dyDescent="0.3">
      <c r="A8373" s="15" t="s">
        <v>40855</v>
      </c>
      <c r="B8373" s="15" t="s">
        <v>15313</v>
      </c>
      <c r="C8373" s="15" t="s">
        <v>800</v>
      </c>
      <c r="D8373" s="15" t="s">
        <v>15314</v>
      </c>
      <c r="E8373" s="15">
        <v>11.122199999999999</v>
      </c>
      <c r="F8373" s="42">
        <v>46198</v>
      </c>
    </row>
    <row r="8374" spans="1:6" x14ac:dyDescent="0.3">
      <c r="A8374" s="15" t="s">
        <v>40854</v>
      </c>
      <c r="B8374" s="15" t="s">
        <v>15315</v>
      </c>
      <c r="C8374" s="15" t="s">
        <v>15316</v>
      </c>
      <c r="D8374" s="15" t="s">
        <v>15317</v>
      </c>
      <c r="E8374" s="15">
        <v>10.9596</v>
      </c>
      <c r="F8374" s="42">
        <v>46198</v>
      </c>
    </row>
    <row r="8375" spans="1:6" x14ac:dyDescent="0.3">
      <c r="A8375" s="15" t="s">
        <v>40853</v>
      </c>
      <c r="B8375" s="15" t="s">
        <v>15318</v>
      </c>
      <c r="C8375" s="15" t="s">
        <v>800</v>
      </c>
      <c r="D8375" s="15" t="s">
        <v>15319</v>
      </c>
      <c r="E8375" s="15">
        <v>10.9688</v>
      </c>
      <c r="F8375" s="42">
        <v>46198</v>
      </c>
    </row>
    <row r="8376" spans="1:6" x14ac:dyDescent="0.3">
      <c r="A8376" s="15" t="s">
        <v>40852</v>
      </c>
      <c r="B8376" s="15" t="s">
        <v>15320</v>
      </c>
      <c r="C8376" s="15" t="s">
        <v>15321</v>
      </c>
      <c r="D8376" s="15" t="s">
        <v>15322</v>
      </c>
      <c r="E8376" s="15">
        <v>10.8066</v>
      </c>
      <c r="F8376" s="42">
        <v>46198</v>
      </c>
    </row>
    <row r="8377" spans="1:6" x14ac:dyDescent="0.3">
      <c r="A8377" s="15" t="s">
        <v>33499</v>
      </c>
      <c r="B8377" s="15" t="s">
        <v>795</v>
      </c>
      <c r="C8377" s="15" t="s">
        <v>795</v>
      </c>
      <c r="D8377" s="15" t="s">
        <v>795</v>
      </c>
      <c r="F8377" s="42"/>
    </row>
    <row r="8378" spans="1:6" x14ac:dyDescent="0.3">
      <c r="A8378" s="15" t="s">
        <v>208</v>
      </c>
      <c r="B8378" s="15" t="s">
        <v>795</v>
      </c>
      <c r="C8378" s="15" t="s">
        <v>795</v>
      </c>
      <c r="D8378" s="15" t="s">
        <v>795</v>
      </c>
      <c r="F8378" s="42"/>
    </row>
    <row r="8379" spans="1:6" x14ac:dyDescent="0.3">
      <c r="A8379" s="15" t="s">
        <v>33499</v>
      </c>
      <c r="B8379" s="15" t="s">
        <v>795</v>
      </c>
      <c r="C8379" s="15" t="s">
        <v>795</v>
      </c>
      <c r="D8379" s="15" t="s">
        <v>795</v>
      </c>
      <c r="F8379" s="42"/>
    </row>
    <row r="8380" spans="1:6" x14ac:dyDescent="0.3">
      <c r="A8380" s="15" t="s">
        <v>40851</v>
      </c>
      <c r="B8380" s="15" t="s">
        <v>15323</v>
      </c>
      <c r="C8380" s="15" t="s">
        <v>15324</v>
      </c>
      <c r="D8380" s="15" t="s">
        <v>15325</v>
      </c>
      <c r="E8380" s="15">
        <v>18.809899999999999</v>
      </c>
      <c r="F8380" s="42">
        <v>46198</v>
      </c>
    </row>
    <row r="8381" spans="1:6" x14ac:dyDescent="0.3">
      <c r="A8381" s="15" t="s">
        <v>40850</v>
      </c>
      <c r="B8381" s="15" t="s">
        <v>15326</v>
      </c>
      <c r="C8381" s="15" t="s">
        <v>15327</v>
      </c>
      <c r="D8381" s="15" t="s">
        <v>15328</v>
      </c>
      <c r="E8381" s="15">
        <v>15.989599999999999</v>
      </c>
      <c r="F8381" s="42">
        <v>46198</v>
      </c>
    </row>
    <row r="8382" spans="1:6" x14ac:dyDescent="0.3">
      <c r="A8382" s="15" t="s">
        <v>40849</v>
      </c>
      <c r="B8382" s="15" t="s">
        <v>15329</v>
      </c>
      <c r="C8382" s="15" t="s">
        <v>800</v>
      </c>
      <c r="D8382" s="15" t="s">
        <v>15330</v>
      </c>
      <c r="E8382" s="15">
        <v>30.549399999999999</v>
      </c>
      <c r="F8382" s="42">
        <v>46198</v>
      </c>
    </row>
    <row r="8383" spans="1:6" x14ac:dyDescent="0.3">
      <c r="A8383" s="15" t="s">
        <v>40848</v>
      </c>
      <c r="B8383" s="15" t="s">
        <v>15331</v>
      </c>
      <c r="C8383" s="15" t="s">
        <v>800</v>
      </c>
      <c r="D8383" s="15" t="s">
        <v>15332</v>
      </c>
      <c r="E8383" s="15">
        <v>28.0808</v>
      </c>
      <c r="F8383" s="42">
        <v>46198</v>
      </c>
    </row>
    <row r="8384" spans="1:6" x14ac:dyDescent="0.3">
      <c r="A8384" s="15" t="s">
        <v>40847</v>
      </c>
      <c r="B8384" s="15" t="s">
        <v>15333</v>
      </c>
      <c r="C8384" s="15" t="s">
        <v>15334</v>
      </c>
      <c r="D8384" s="15" t="s">
        <v>15335</v>
      </c>
      <c r="E8384" s="15">
        <v>16.828800000000001</v>
      </c>
      <c r="F8384" s="42">
        <v>46198</v>
      </c>
    </row>
    <row r="8385" spans="1:6" x14ac:dyDescent="0.3">
      <c r="A8385" s="15" t="s">
        <v>40846</v>
      </c>
      <c r="B8385" s="15" t="s">
        <v>15336</v>
      </c>
      <c r="C8385" s="15" t="s">
        <v>15337</v>
      </c>
      <c r="D8385" s="15" t="s">
        <v>15338</v>
      </c>
      <c r="E8385" s="15">
        <v>14.637</v>
      </c>
      <c r="F8385" s="42">
        <v>46198</v>
      </c>
    </row>
    <row r="8386" spans="1:6" x14ac:dyDescent="0.3">
      <c r="A8386" s="15" t="s">
        <v>33499</v>
      </c>
      <c r="B8386" s="15" t="s">
        <v>795</v>
      </c>
      <c r="C8386" s="15" t="s">
        <v>795</v>
      </c>
      <c r="D8386" s="15" t="s">
        <v>795</v>
      </c>
      <c r="F8386" s="42"/>
    </row>
    <row r="8387" spans="1:6" x14ac:dyDescent="0.3">
      <c r="A8387" s="15" t="s">
        <v>40544</v>
      </c>
      <c r="B8387" s="15" t="s">
        <v>795</v>
      </c>
      <c r="C8387" s="15" t="s">
        <v>795</v>
      </c>
      <c r="D8387" s="15" t="s">
        <v>795</v>
      </c>
      <c r="F8387" s="42"/>
    </row>
    <row r="8388" spans="1:6" x14ac:dyDescent="0.3">
      <c r="A8388" s="15" t="s">
        <v>33499</v>
      </c>
      <c r="B8388" s="15" t="s">
        <v>795</v>
      </c>
      <c r="C8388" s="15" t="s">
        <v>795</v>
      </c>
      <c r="D8388" s="15" t="s">
        <v>795</v>
      </c>
      <c r="F8388" s="42"/>
    </row>
    <row r="8389" spans="1:6" x14ac:dyDescent="0.3">
      <c r="A8389" s="15" t="s">
        <v>40845</v>
      </c>
      <c r="B8389" s="15" t="s">
        <v>15339</v>
      </c>
      <c r="C8389" s="15" t="s">
        <v>800</v>
      </c>
      <c r="D8389" s="15" t="s">
        <v>15340</v>
      </c>
      <c r="E8389" s="15">
        <v>12.976900000000001</v>
      </c>
      <c r="F8389" s="42">
        <v>46198</v>
      </c>
    </row>
    <row r="8390" spans="1:6" x14ac:dyDescent="0.3">
      <c r="A8390" s="15" t="s">
        <v>40844</v>
      </c>
      <c r="B8390" s="15" t="s">
        <v>15341</v>
      </c>
      <c r="C8390" s="15" t="s">
        <v>800</v>
      </c>
      <c r="D8390" s="15" t="s">
        <v>15342</v>
      </c>
      <c r="E8390" s="15">
        <v>12.626200000000001</v>
      </c>
      <c r="F8390" s="42">
        <v>46198</v>
      </c>
    </row>
    <row r="8391" spans="1:6" x14ac:dyDescent="0.3">
      <c r="A8391" s="15" t="s">
        <v>33499</v>
      </c>
      <c r="B8391" s="15" t="s">
        <v>795</v>
      </c>
      <c r="C8391" s="15" t="s">
        <v>795</v>
      </c>
      <c r="D8391" s="15" t="s">
        <v>795</v>
      </c>
      <c r="F8391" s="42"/>
    </row>
    <row r="8392" spans="1:6" x14ac:dyDescent="0.3">
      <c r="A8392" s="15" t="s">
        <v>40843</v>
      </c>
      <c r="B8392" s="15" t="s">
        <v>795</v>
      </c>
      <c r="C8392" s="15" t="s">
        <v>795</v>
      </c>
      <c r="D8392" s="15" t="s">
        <v>795</v>
      </c>
      <c r="F8392" s="42"/>
    </row>
    <row r="8393" spans="1:6" x14ac:dyDescent="0.3">
      <c r="A8393" s="15" t="s">
        <v>33499</v>
      </c>
      <c r="B8393" s="15" t="s">
        <v>795</v>
      </c>
      <c r="C8393" s="15" t="s">
        <v>795</v>
      </c>
      <c r="D8393" s="15" t="s">
        <v>795</v>
      </c>
      <c r="F8393" s="42"/>
    </row>
    <row r="8394" spans="1:6" x14ac:dyDescent="0.3">
      <c r="A8394" s="15" t="s">
        <v>40842</v>
      </c>
      <c r="B8394" s="15" t="s">
        <v>15343</v>
      </c>
      <c r="C8394" s="15" t="s">
        <v>15344</v>
      </c>
      <c r="D8394" s="15" t="s">
        <v>15345</v>
      </c>
      <c r="E8394" s="15">
        <v>10.3947</v>
      </c>
      <c r="F8394" s="42">
        <v>46198</v>
      </c>
    </row>
    <row r="8395" spans="1:6" x14ac:dyDescent="0.3">
      <c r="A8395" s="15" t="s">
        <v>40841</v>
      </c>
      <c r="B8395" s="15" t="s">
        <v>15346</v>
      </c>
      <c r="C8395" s="15" t="s">
        <v>800</v>
      </c>
      <c r="D8395" s="15" t="s">
        <v>15347</v>
      </c>
      <c r="E8395" s="15">
        <v>10.3947</v>
      </c>
      <c r="F8395" s="42">
        <v>46198</v>
      </c>
    </row>
    <row r="8396" spans="1:6" x14ac:dyDescent="0.3">
      <c r="A8396" s="15" t="s">
        <v>40840</v>
      </c>
      <c r="B8396" s="15" t="s">
        <v>15348</v>
      </c>
      <c r="C8396" s="15" t="s">
        <v>800</v>
      </c>
      <c r="D8396" s="15" t="s">
        <v>15349</v>
      </c>
      <c r="E8396" s="15">
        <v>10.3401</v>
      </c>
      <c r="F8396" s="42">
        <v>46198</v>
      </c>
    </row>
    <row r="8397" spans="1:6" x14ac:dyDescent="0.3">
      <c r="A8397" s="15" t="s">
        <v>40839</v>
      </c>
      <c r="B8397" s="15" t="s">
        <v>15350</v>
      </c>
      <c r="C8397" s="15" t="s">
        <v>15351</v>
      </c>
      <c r="D8397" s="15" t="s">
        <v>15352</v>
      </c>
      <c r="E8397" s="15">
        <v>10.3401</v>
      </c>
      <c r="F8397" s="42">
        <v>46198</v>
      </c>
    </row>
    <row r="8398" spans="1:6" x14ac:dyDescent="0.3">
      <c r="A8398" s="15" t="s">
        <v>33499</v>
      </c>
      <c r="B8398" s="15" t="s">
        <v>795</v>
      </c>
      <c r="C8398" s="15" t="s">
        <v>795</v>
      </c>
      <c r="D8398" s="15" t="s">
        <v>795</v>
      </c>
      <c r="F8398" s="42"/>
    </row>
    <row r="8399" spans="1:6" x14ac:dyDescent="0.3">
      <c r="A8399" s="15" t="s">
        <v>37523</v>
      </c>
      <c r="B8399" s="15" t="s">
        <v>795</v>
      </c>
      <c r="C8399" s="15" t="s">
        <v>795</v>
      </c>
      <c r="D8399" s="15" t="s">
        <v>795</v>
      </c>
      <c r="F8399" s="42"/>
    </row>
    <row r="8400" spans="1:6" x14ac:dyDescent="0.3">
      <c r="A8400" s="15" t="s">
        <v>33499</v>
      </c>
      <c r="B8400" s="15" t="s">
        <v>795</v>
      </c>
      <c r="C8400" s="15" t="s">
        <v>795</v>
      </c>
      <c r="D8400" s="15" t="s">
        <v>795</v>
      </c>
      <c r="F8400" s="42"/>
    </row>
    <row r="8401" spans="1:6" x14ac:dyDescent="0.3">
      <c r="A8401" s="15" t="s">
        <v>40838</v>
      </c>
      <c r="B8401" s="15" t="s">
        <v>15353</v>
      </c>
      <c r="C8401" s="15" t="s">
        <v>800</v>
      </c>
      <c r="D8401" s="15" t="s">
        <v>15354</v>
      </c>
      <c r="E8401" s="15">
        <v>11.7225</v>
      </c>
      <c r="F8401" s="42">
        <v>44260</v>
      </c>
    </row>
    <row r="8402" spans="1:6" x14ac:dyDescent="0.3">
      <c r="A8402" s="15" t="s">
        <v>40837</v>
      </c>
      <c r="B8402" s="15" t="s">
        <v>15355</v>
      </c>
      <c r="C8402" s="15" t="s">
        <v>800</v>
      </c>
      <c r="D8402" s="15" t="s">
        <v>15356</v>
      </c>
      <c r="E8402" s="15">
        <v>20.841899999999999</v>
      </c>
      <c r="F8402" s="42">
        <v>46198</v>
      </c>
    </row>
    <row r="8403" spans="1:6" x14ac:dyDescent="0.3">
      <c r="A8403" s="15" t="s">
        <v>40836</v>
      </c>
      <c r="B8403" s="15" t="s">
        <v>15357</v>
      </c>
      <c r="C8403" s="15" t="s">
        <v>15358</v>
      </c>
      <c r="D8403" s="15" t="s">
        <v>15359</v>
      </c>
      <c r="E8403" s="15">
        <v>11.001099999999999</v>
      </c>
      <c r="F8403" s="42">
        <v>43683</v>
      </c>
    </row>
    <row r="8404" spans="1:6" x14ac:dyDescent="0.3">
      <c r="A8404" s="15" t="s">
        <v>40835</v>
      </c>
      <c r="B8404" s="15" t="s">
        <v>15360</v>
      </c>
      <c r="C8404" s="15" t="s">
        <v>15361</v>
      </c>
      <c r="D8404" s="15" t="s">
        <v>15362</v>
      </c>
      <c r="E8404" s="15">
        <v>11.4834</v>
      </c>
      <c r="F8404" s="42">
        <v>46198</v>
      </c>
    </row>
    <row r="8405" spans="1:6" x14ac:dyDescent="0.3">
      <c r="A8405" s="15" t="s">
        <v>40834</v>
      </c>
      <c r="B8405" s="15" t="s">
        <v>15363</v>
      </c>
      <c r="C8405" s="15" t="s">
        <v>15364</v>
      </c>
      <c r="D8405" s="15" t="s">
        <v>15365</v>
      </c>
      <c r="E8405" s="15">
        <v>10.9435</v>
      </c>
      <c r="F8405" s="42">
        <v>44260</v>
      </c>
    </row>
    <row r="8406" spans="1:6" x14ac:dyDescent="0.3">
      <c r="A8406" s="15" t="s">
        <v>40833</v>
      </c>
      <c r="B8406" s="15" t="s">
        <v>15366</v>
      </c>
      <c r="C8406" s="15" t="s">
        <v>15367</v>
      </c>
      <c r="D8406" s="15" t="s">
        <v>15368</v>
      </c>
      <c r="E8406" s="15">
        <v>12.3996</v>
      </c>
      <c r="F8406" s="42">
        <v>46198</v>
      </c>
    </row>
    <row r="8407" spans="1:6" x14ac:dyDescent="0.3">
      <c r="A8407" s="15" t="s">
        <v>40832</v>
      </c>
      <c r="B8407" s="15" t="s">
        <v>15369</v>
      </c>
      <c r="C8407" s="15" t="s">
        <v>15370</v>
      </c>
      <c r="D8407" s="15" t="s">
        <v>15371</v>
      </c>
      <c r="E8407" s="15">
        <v>11.4278</v>
      </c>
      <c r="F8407" s="42">
        <v>44260</v>
      </c>
    </row>
    <row r="8408" spans="1:6" x14ac:dyDescent="0.3">
      <c r="A8408" s="15" t="s">
        <v>40831</v>
      </c>
      <c r="B8408" s="15" t="s">
        <v>15372</v>
      </c>
      <c r="C8408" s="15" t="s">
        <v>800</v>
      </c>
      <c r="D8408" s="15" t="s">
        <v>15373</v>
      </c>
      <c r="E8408" s="15">
        <v>19.371200000000002</v>
      </c>
      <c r="F8408" s="42">
        <v>46198</v>
      </c>
    </row>
    <row r="8409" spans="1:6" x14ac:dyDescent="0.3">
      <c r="A8409" s="15" t="s">
        <v>40830</v>
      </c>
      <c r="B8409" s="15" t="s">
        <v>15374</v>
      </c>
      <c r="C8409" s="15" t="s">
        <v>15375</v>
      </c>
      <c r="D8409" s="15" t="s">
        <v>15376</v>
      </c>
      <c r="E8409" s="15">
        <v>11.261799999999999</v>
      </c>
      <c r="F8409" s="42">
        <v>46198</v>
      </c>
    </row>
    <row r="8410" spans="1:6" x14ac:dyDescent="0.3">
      <c r="A8410" s="15" t="s">
        <v>40829</v>
      </c>
      <c r="B8410" s="15" t="s">
        <v>15377</v>
      </c>
      <c r="C8410" s="15" t="s">
        <v>15378</v>
      </c>
      <c r="D8410" s="15" t="s">
        <v>15379</v>
      </c>
      <c r="E8410" s="15">
        <v>10.754099999999999</v>
      </c>
      <c r="F8410" s="42">
        <v>44260</v>
      </c>
    </row>
    <row r="8411" spans="1:6" x14ac:dyDescent="0.3">
      <c r="A8411" s="15" t="s">
        <v>40828</v>
      </c>
      <c r="B8411" s="15" t="s">
        <v>15380</v>
      </c>
      <c r="C8411" s="15" t="s">
        <v>15381</v>
      </c>
      <c r="D8411" s="15" t="s">
        <v>15382</v>
      </c>
      <c r="E8411" s="15">
        <v>11.646699999999999</v>
      </c>
      <c r="F8411" s="42">
        <v>46198</v>
      </c>
    </row>
    <row r="8412" spans="1:6" x14ac:dyDescent="0.3">
      <c r="A8412" s="15" t="s">
        <v>33499</v>
      </c>
      <c r="B8412" s="15" t="s">
        <v>795</v>
      </c>
      <c r="C8412" s="15" t="s">
        <v>795</v>
      </c>
      <c r="D8412" s="15" t="s">
        <v>795</v>
      </c>
      <c r="F8412" s="42"/>
    </row>
    <row r="8413" spans="1:6" x14ac:dyDescent="0.3">
      <c r="A8413" s="15" t="s">
        <v>40535</v>
      </c>
      <c r="B8413" s="15" t="s">
        <v>795</v>
      </c>
      <c r="C8413" s="15" t="s">
        <v>795</v>
      </c>
      <c r="D8413" s="15" t="s">
        <v>795</v>
      </c>
      <c r="F8413" s="42"/>
    </row>
    <row r="8414" spans="1:6" x14ac:dyDescent="0.3">
      <c r="A8414" s="15" t="s">
        <v>33499</v>
      </c>
      <c r="B8414" s="15" t="s">
        <v>795</v>
      </c>
      <c r="C8414" s="15" t="s">
        <v>795</v>
      </c>
      <c r="D8414" s="15" t="s">
        <v>795</v>
      </c>
      <c r="F8414" s="42"/>
    </row>
    <row r="8415" spans="1:6" x14ac:dyDescent="0.3">
      <c r="A8415" s="15" t="s">
        <v>40827</v>
      </c>
      <c r="B8415" s="15" t="s">
        <v>15383</v>
      </c>
      <c r="C8415" s="15" t="s">
        <v>800</v>
      </c>
      <c r="D8415" s="15" t="s">
        <v>15384</v>
      </c>
      <c r="E8415" s="15">
        <v>11.9839</v>
      </c>
      <c r="F8415" s="42">
        <v>46198</v>
      </c>
    </row>
    <row r="8416" spans="1:6" x14ac:dyDescent="0.3">
      <c r="A8416" s="15" t="s">
        <v>40826</v>
      </c>
      <c r="B8416" s="15" t="s">
        <v>15385</v>
      </c>
      <c r="C8416" s="15" t="s">
        <v>800</v>
      </c>
      <c r="D8416" s="15" t="s">
        <v>15386</v>
      </c>
      <c r="E8416" s="15">
        <v>11.8726</v>
      </c>
      <c r="F8416" s="42">
        <v>46198</v>
      </c>
    </row>
    <row r="8417" spans="1:6" x14ac:dyDescent="0.3">
      <c r="A8417" s="15" t="s">
        <v>33499</v>
      </c>
      <c r="B8417" s="15" t="s">
        <v>795</v>
      </c>
      <c r="C8417" s="15" t="s">
        <v>795</v>
      </c>
      <c r="D8417" s="15" t="s">
        <v>795</v>
      </c>
      <c r="F8417" s="42"/>
    </row>
    <row r="8418" spans="1:6" x14ac:dyDescent="0.3">
      <c r="A8418" s="15" t="s">
        <v>40216</v>
      </c>
      <c r="B8418" s="15" t="s">
        <v>795</v>
      </c>
      <c r="C8418" s="15" t="s">
        <v>795</v>
      </c>
      <c r="D8418" s="15" t="s">
        <v>795</v>
      </c>
      <c r="F8418" s="42"/>
    </row>
    <row r="8419" spans="1:6" x14ac:dyDescent="0.3">
      <c r="A8419" s="15" t="s">
        <v>33499</v>
      </c>
      <c r="B8419" s="15" t="s">
        <v>795</v>
      </c>
      <c r="C8419" s="15" t="s">
        <v>795</v>
      </c>
      <c r="D8419" s="15" t="s">
        <v>795</v>
      </c>
      <c r="F8419" s="42"/>
    </row>
    <row r="8420" spans="1:6" x14ac:dyDescent="0.3">
      <c r="A8420" s="15" t="s">
        <v>40825</v>
      </c>
      <c r="B8420" s="15" t="s">
        <v>15387</v>
      </c>
      <c r="C8420" s="15" t="s">
        <v>800</v>
      </c>
      <c r="D8420" s="15" t="s">
        <v>15388</v>
      </c>
      <c r="E8420" s="15">
        <v>10.9244</v>
      </c>
      <c r="F8420" s="42">
        <v>46198</v>
      </c>
    </row>
    <row r="8421" spans="1:6" x14ac:dyDescent="0.3">
      <c r="A8421" s="15" t="s">
        <v>40824</v>
      </c>
      <c r="B8421" s="15" t="s">
        <v>15389</v>
      </c>
      <c r="C8421" s="15" t="s">
        <v>800</v>
      </c>
      <c r="D8421" s="15" t="s">
        <v>15390</v>
      </c>
      <c r="E8421" s="15">
        <v>10.8454</v>
      </c>
      <c r="F8421" s="42">
        <v>46198</v>
      </c>
    </row>
    <row r="8422" spans="1:6" x14ac:dyDescent="0.3">
      <c r="A8422" s="15" t="s">
        <v>40823</v>
      </c>
      <c r="B8422" s="15" t="s">
        <v>15391</v>
      </c>
      <c r="C8422" s="15" t="s">
        <v>15392</v>
      </c>
      <c r="D8422" s="15" t="s">
        <v>15393</v>
      </c>
      <c r="E8422" s="15">
        <v>10.9146</v>
      </c>
      <c r="F8422" s="42">
        <v>46198</v>
      </c>
    </row>
    <row r="8423" spans="1:6" x14ac:dyDescent="0.3">
      <c r="A8423" s="15" t="s">
        <v>40822</v>
      </c>
      <c r="B8423" s="15" t="s">
        <v>15394</v>
      </c>
      <c r="C8423" s="15" t="s">
        <v>15395</v>
      </c>
      <c r="D8423" s="15" t="s">
        <v>15396</v>
      </c>
      <c r="E8423" s="15">
        <v>10.845599999999999</v>
      </c>
      <c r="F8423" s="42">
        <v>46198</v>
      </c>
    </row>
    <row r="8424" spans="1:6" x14ac:dyDescent="0.3">
      <c r="A8424" s="15" t="s">
        <v>33499</v>
      </c>
      <c r="B8424" s="15" t="s">
        <v>795</v>
      </c>
      <c r="C8424" s="15" t="s">
        <v>795</v>
      </c>
      <c r="D8424" s="15" t="s">
        <v>795</v>
      </c>
      <c r="F8424" s="42"/>
    </row>
    <row r="8425" spans="1:6" x14ac:dyDescent="0.3">
      <c r="A8425" s="15" t="s">
        <v>40209</v>
      </c>
      <c r="B8425" s="15" t="s">
        <v>795</v>
      </c>
      <c r="C8425" s="15" t="s">
        <v>795</v>
      </c>
      <c r="D8425" s="15" t="s">
        <v>795</v>
      </c>
      <c r="F8425" s="42"/>
    </row>
    <row r="8426" spans="1:6" x14ac:dyDescent="0.3">
      <c r="A8426" s="15" t="s">
        <v>33499</v>
      </c>
      <c r="B8426" s="15" t="s">
        <v>795</v>
      </c>
      <c r="C8426" s="15" t="s">
        <v>795</v>
      </c>
      <c r="D8426" s="15" t="s">
        <v>795</v>
      </c>
      <c r="F8426" s="42"/>
    </row>
    <row r="8427" spans="1:6" x14ac:dyDescent="0.3">
      <c r="A8427" s="15" t="s">
        <v>40821</v>
      </c>
      <c r="B8427" s="15" t="s">
        <v>15397</v>
      </c>
      <c r="C8427" s="15" t="s">
        <v>800</v>
      </c>
      <c r="D8427" s="15" t="s">
        <v>15398</v>
      </c>
      <c r="E8427" s="15">
        <v>10.85</v>
      </c>
      <c r="F8427" s="42">
        <v>46198</v>
      </c>
    </row>
    <row r="8428" spans="1:6" x14ac:dyDescent="0.3">
      <c r="A8428" s="15" t="s">
        <v>40820</v>
      </c>
      <c r="B8428" s="15" t="s">
        <v>15399</v>
      </c>
      <c r="C8428" s="15" t="s">
        <v>800</v>
      </c>
      <c r="D8428" s="15" t="s">
        <v>15400</v>
      </c>
      <c r="E8428" s="15">
        <v>10.67</v>
      </c>
      <c r="F8428" s="42">
        <v>46198</v>
      </c>
    </row>
    <row r="8429" spans="1:6" x14ac:dyDescent="0.3">
      <c r="A8429" s="15" t="s">
        <v>33499</v>
      </c>
      <c r="B8429" s="15" t="s">
        <v>795</v>
      </c>
      <c r="C8429" s="15" t="s">
        <v>795</v>
      </c>
      <c r="D8429" s="15" t="s">
        <v>795</v>
      </c>
      <c r="F8429" s="42"/>
    </row>
    <row r="8430" spans="1:6" x14ac:dyDescent="0.3">
      <c r="A8430" s="15" t="s">
        <v>33636</v>
      </c>
      <c r="B8430" s="15" t="s">
        <v>795</v>
      </c>
      <c r="C8430" s="15" t="s">
        <v>795</v>
      </c>
      <c r="D8430" s="15" t="s">
        <v>795</v>
      </c>
      <c r="F8430" s="42"/>
    </row>
    <row r="8431" spans="1:6" x14ac:dyDescent="0.3">
      <c r="A8431" s="15" t="s">
        <v>33499</v>
      </c>
      <c r="B8431" s="15" t="s">
        <v>795</v>
      </c>
      <c r="C8431" s="15" t="s">
        <v>795</v>
      </c>
      <c r="D8431" s="15" t="s">
        <v>795</v>
      </c>
      <c r="F8431" s="42"/>
    </row>
    <row r="8432" spans="1:6" x14ac:dyDescent="0.3">
      <c r="A8432" s="15" t="s">
        <v>40819</v>
      </c>
      <c r="B8432" s="15" t="s">
        <v>15401</v>
      </c>
      <c r="C8432" s="15" t="s">
        <v>800</v>
      </c>
      <c r="D8432" s="15" t="s">
        <v>15402</v>
      </c>
      <c r="E8432" s="15">
        <v>38.258000000000003</v>
      </c>
      <c r="F8432" s="42">
        <v>46198</v>
      </c>
    </row>
    <row r="8433" spans="1:6" x14ac:dyDescent="0.3">
      <c r="A8433" s="15" t="s">
        <v>40818</v>
      </c>
      <c r="B8433" s="15" t="s">
        <v>15403</v>
      </c>
      <c r="C8433" s="15" t="s">
        <v>15404</v>
      </c>
      <c r="D8433" s="15" t="s">
        <v>15405</v>
      </c>
      <c r="E8433" s="15">
        <v>20.671299999999999</v>
      </c>
      <c r="F8433" s="42">
        <v>46198</v>
      </c>
    </row>
    <row r="8434" spans="1:6" x14ac:dyDescent="0.3">
      <c r="A8434" s="15" t="s">
        <v>40817</v>
      </c>
      <c r="B8434" s="15" t="s">
        <v>15406</v>
      </c>
      <c r="C8434" s="15" t="s">
        <v>800</v>
      </c>
      <c r="D8434" s="15" t="s">
        <v>15407</v>
      </c>
      <c r="E8434" s="15">
        <v>35.807699999999997</v>
      </c>
      <c r="F8434" s="42">
        <v>46198</v>
      </c>
    </row>
    <row r="8435" spans="1:6" x14ac:dyDescent="0.3">
      <c r="A8435" s="15" t="s">
        <v>40816</v>
      </c>
      <c r="B8435" s="15" t="s">
        <v>15408</v>
      </c>
      <c r="C8435" s="15" t="s">
        <v>15409</v>
      </c>
      <c r="D8435" s="15" t="s">
        <v>15410</v>
      </c>
      <c r="E8435" s="15">
        <v>18.8309</v>
      </c>
      <c r="F8435" s="42">
        <v>46198</v>
      </c>
    </row>
    <row r="8436" spans="1:6" x14ac:dyDescent="0.3">
      <c r="A8436" s="15" t="s">
        <v>33499</v>
      </c>
      <c r="B8436" s="15" t="s">
        <v>795</v>
      </c>
      <c r="C8436" s="15" t="s">
        <v>795</v>
      </c>
      <c r="D8436" s="15" t="s">
        <v>795</v>
      </c>
      <c r="F8436" s="42"/>
    </row>
    <row r="8437" spans="1:6" x14ac:dyDescent="0.3">
      <c r="A8437" s="15" t="s">
        <v>37414</v>
      </c>
      <c r="B8437" s="15" t="s">
        <v>795</v>
      </c>
      <c r="C8437" s="15" t="s">
        <v>795</v>
      </c>
      <c r="D8437" s="15" t="s">
        <v>795</v>
      </c>
      <c r="F8437" s="42"/>
    </row>
    <row r="8438" spans="1:6" x14ac:dyDescent="0.3">
      <c r="A8438" s="15" t="s">
        <v>33499</v>
      </c>
      <c r="B8438" s="15" t="s">
        <v>795</v>
      </c>
      <c r="C8438" s="15" t="s">
        <v>795</v>
      </c>
      <c r="D8438" s="15" t="s">
        <v>795</v>
      </c>
      <c r="F8438" s="42"/>
    </row>
    <row r="8439" spans="1:6" x14ac:dyDescent="0.3">
      <c r="A8439" s="15" t="s">
        <v>40815</v>
      </c>
      <c r="B8439" s="15" t="s">
        <v>15411</v>
      </c>
      <c r="C8439" s="15" t="s">
        <v>800</v>
      </c>
      <c r="D8439" s="15" t="s">
        <v>15412</v>
      </c>
      <c r="E8439" s="15">
        <v>15.2821</v>
      </c>
      <c r="F8439" s="42">
        <v>46198</v>
      </c>
    </row>
    <row r="8440" spans="1:6" x14ac:dyDescent="0.3">
      <c r="A8440" s="15" t="s">
        <v>40814</v>
      </c>
      <c r="B8440" s="15" t="s">
        <v>15413</v>
      </c>
      <c r="C8440" s="15" t="s">
        <v>15414</v>
      </c>
      <c r="D8440" s="15" t="s">
        <v>15415</v>
      </c>
      <c r="E8440" s="15">
        <v>12.6332</v>
      </c>
      <c r="F8440" s="42">
        <v>46198</v>
      </c>
    </row>
    <row r="8441" spans="1:6" x14ac:dyDescent="0.3">
      <c r="A8441" s="15" t="s">
        <v>40813</v>
      </c>
      <c r="B8441" s="15" t="s">
        <v>15416</v>
      </c>
      <c r="C8441" s="15" t="s">
        <v>800</v>
      </c>
      <c r="D8441" s="15" t="s">
        <v>15417</v>
      </c>
      <c r="E8441" s="15">
        <v>16.2455</v>
      </c>
      <c r="F8441" s="42">
        <v>46198</v>
      </c>
    </row>
    <row r="8442" spans="1:6" x14ac:dyDescent="0.3">
      <c r="A8442" s="15" t="s">
        <v>40812</v>
      </c>
      <c r="B8442" s="15" t="s">
        <v>15418</v>
      </c>
      <c r="C8442" s="15" t="s">
        <v>15419</v>
      </c>
      <c r="D8442" s="15" t="s">
        <v>15420</v>
      </c>
      <c r="E8442" s="15">
        <v>13.207599999999999</v>
      </c>
      <c r="F8442" s="42">
        <v>46198</v>
      </c>
    </row>
    <row r="8443" spans="1:6" x14ac:dyDescent="0.3">
      <c r="A8443" s="15" t="s">
        <v>33499</v>
      </c>
      <c r="B8443" s="15" t="s">
        <v>795</v>
      </c>
      <c r="C8443" s="15" t="s">
        <v>795</v>
      </c>
      <c r="D8443" s="15" t="s">
        <v>795</v>
      </c>
      <c r="F8443" s="42"/>
    </row>
    <row r="8444" spans="1:6" x14ac:dyDescent="0.3">
      <c r="A8444" s="15" t="s">
        <v>33519</v>
      </c>
      <c r="B8444" s="15" t="s">
        <v>795</v>
      </c>
      <c r="C8444" s="15" t="s">
        <v>795</v>
      </c>
      <c r="D8444" s="15" t="s">
        <v>795</v>
      </c>
      <c r="F8444" s="42"/>
    </row>
    <row r="8445" spans="1:6" x14ac:dyDescent="0.3">
      <c r="A8445" s="15" t="s">
        <v>33499</v>
      </c>
      <c r="B8445" s="15" t="s">
        <v>795</v>
      </c>
      <c r="C8445" s="15" t="s">
        <v>795</v>
      </c>
      <c r="D8445" s="15" t="s">
        <v>795</v>
      </c>
      <c r="F8445" s="42"/>
    </row>
    <row r="8446" spans="1:6" x14ac:dyDescent="0.3">
      <c r="A8446" s="15" t="s">
        <v>40811</v>
      </c>
      <c r="B8446" s="15" t="s">
        <v>15421</v>
      </c>
      <c r="C8446" s="15" t="s">
        <v>800</v>
      </c>
      <c r="D8446" s="15" t="s">
        <v>15422</v>
      </c>
      <c r="E8446" s="15">
        <v>15.4817</v>
      </c>
      <c r="F8446" s="42">
        <v>46198</v>
      </c>
    </row>
    <row r="8447" spans="1:6" x14ac:dyDescent="0.3">
      <c r="A8447" s="15" t="s">
        <v>40810</v>
      </c>
      <c r="B8447" s="15" t="s">
        <v>800</v>
      </c>
      <c r="C8447" s="15" t="s">
        <v>15423</v>
      </c>
      <c r="D8447" s="15" t="s">
        <v>15424</v>
      </c>
      <c r="E8447" s="15">
        <v>15.4817</v>
      </c>
      <c r="F8447" s="42">
        <v>46198</v>
      </c>
    </row>
    <row r="8448" spans="1:6" x14ac:dyDescent="0.3">
      <c r="A8448" s="15" t="s">
        <v>40809</v>
      </c>
      <c r="B8448" s="15" t="s">
        <v>15425</v>
      </c>
      <c r="C8448" s="15" t="s">
        <v>800</v>
      </c>
      <c r="D8448" s="15" t="s">
        <v>15426</v>
      </c>
      <c r="E8448" s="15">
        <v>14.5328</v>
      </c>
      <c r="F8448" s="42">
        <v>46198</v>
      </c>
    </row>
    <row r="8449" spans="1:6" x14ac:dyDescent="0.3">
      <c r="A8449" s="15" t="s">
        <v>40808</v>
      </c>
      <c r="B8449" s="15" t="s">
        <v>800</v>
      </c>
      <c r="C8449" s="15" t="s">
        <v>15427</v>
      </c>
      <c r="D8449" s="15" t="s">
        <v>15428</v>
      </c>
      <c r="E8449" s="15">
        <v>14.5328</v>
      </c>
      <c r="F8449" s="42">
        <v>46198</v>
      </c>
    </row>
    <row r="8450" spans="1:6" x14ac:dyDescent="0.3">
      <c r="A8450" s="15" t="s">
        <v>40807</v>
      </c>
      <c r="B8450" s="15" t="s">
        <v>15429</v>
      </c>
      <c r="C8450" s="15" t="s">
        <v>800</v>
      </c>
      <c r="D8450" s="15" t="s">
        <v>15430</v>
      </c>
      <c r="E8450" s="15">
        <v>16.115200000000002</v>
      </c>
      <c r="F8450" s="42">
        <v>46198</v>
      </c>
    </row>
    <row r="8451" spans="1:6" x14ac:dyDescent="0.3">
      <c r="A8451" s="15" t="s">
        <v>40806</v>
      </c>
      <c r="B8451" s="15" t="s">
        <v>15431</v>
      </c>
      <c r="C8451" s="15" t="s">
        <v>800</v>
      </c>
      <c r="D8451" s="15" t="s">
        <v>15432</v>
      </c>
      <c r="E8451" s="15">
        <v>15.2034</v>
      </c>
      <c r="F8451" s="42">
        <v>46198</v>
      </c>
    </row>
    <row r="8452" spans="1:6" x14ac:dyDescent="0.3">
      <c r="A8452" s="15" t="s">
        <v>33499</v>
      </c>
      <c r="B8452" s="15" t="s">
        <v>795</v>
      </c>
      <c r="C8452" s="15" t="s">
        <v>795</v>
      </c>
      <c r="D8452" s="15" t="s">
        <v>795</v>
      </c>
      <c r="F8452" s="42"/>
    </row>
    <row r="8453" spans="1:6" x14ac:dyDescent="0.3">
      <c r="A8453" s="15" t="s">
        <v>39242</v>
      </c>
      <c r="B8453" s="15" t="s">
        <v>795</v>
      </c>
      <c r="C8453" s="15" t="s">
        <v>795</v>
      </c>
      <c r="D8453" s="15" t="s">
        <v>795</v>
      </c>
      <c r="F8453" s="42"/>
    </row>
    <row r="8454" spans="1:6" x14ac:dyDescent="0.3">
      <c r="A8454" s="15" t="s">
        <v>33499</v>
      </c>
      <c r="B8454" s="15" t="s">
        <v>795</v>
      </c>
      <c r="C8454" s="15" t="s">
        <v>795</v>
      </c>
      <c r="D8454" s="15" t="s">
        <v>795</v>
      </c>
      <c r="F8454" s="42"/>
    </row>
    <row r="8455" spans="1:6" x14ac:dyDescent="0.3">
      <c r="A8455" s="15" t="s">
        <v>40805</v>
      </c>
      <c r="B8455" s="15" t="s">
        <v>15433</v>
      </c>
      <c r="C8455" s="15" t="s">
        <v>800</v>
      </c>
      <c r="D8455" s="15" t="s">
        <v>15434</v>
      </c>
      <c r="E8455" s="15">
        <v>10.4536</v>
      </c>
      <c r="F8455" s="42">
        <v>46198</v>
      </c>
    </row>
    <row r="8456" spans="1:6" x14ac:dyDescent="0.3">
      <c r="A8456" s="15" t="s">
        <v>40804</v>
      </c>
      <c r="B8456" s="15" t="s">
        <v>15435</v>
      </c>
      <c r="C8456" s="15" t="s">
        <v>15436</v>
      </c>
      <c r="D8456" s="15" t="s">
        <v>15437</v>
      </c>
      <c r="E8456" s="15">
        <v>10.452500000000001</v>
      </c>
      <c r="F8456" s="42">
        <v>46198</v>
      </c>
    </row>
    <row r="8457" spans="1:6" x14ac:dyDescent="0.3">
      <c r="A8457" s="15" t="s">
        <v>40803</v>
      </c>
      <c r="B8457" s="15" t="s">
        <v>15438</v>
      </c>
      <c r="C8457" s="15" t="s">
        <v>800</v>
      </c>
      <c r="D8457" s="15" t="s">
        <v>15439</v>
      </c>
      <c r="E8457" s="15">
        <v>10.4057</v>
      </c>
      <c r="F8457" s="42">
        <v>46198</v>
      </c>
    </row>
    <row r="8458" spans="1:6" x14ac:dyDescent="0.3">
      <c r="A8458" s="15" t="s">
        <v>40802</v>
      </c>
      <c r="B8458" s="15" t="s">
        <v>15440</v>
      </c>
      <c r="C8458" s="15" t="s">
        <v>15441</v>
      </c>
      <c r="D8458" s="15" t="s">
        <v>15442</v>
      </c>
      <c r="E8458" s="15">
        <v>10.4055</v>
      </c>
      <c r="F8458" s="42">
        <v>46198</v>
      </c>
    </row>
    <row r="8459" spans="1:6" x14ac:dyDescent="0.3">
      <c r="A8459" s="15" t="s">
        <v>33499</v>
      </c>
      <c r="B8459" s="15" t="s">
        <v>795</v>
      </c>
      <c r="C8459" s="15" t="s">
        <v>795</v>
      </c>
      <c r="D8459" s="15" t="s">
        <v>795</v>
      </c>
      <c r="F8459" s="42"/>
    </row>
    <row r="8460" spans="1:6" x14ac:dyDescent="0.3">
      <c r="A8460" s="15" t="s">
        <v>33508</v>
      </c>
      <c r="B8460" s="15" t="s">
        <v>795</v>
      </c>
      <c r="C8460" s="15" t="s">
        <v>795</v>
      </c>
      <c r="D8460" s="15" t="s">
        <v>795</v>
      </c>
      <c r="F8460" s="42"/>
    </row>
    <row r="8461" spans="1:6" x14ac:dyDescent="0.3">
      <c r="A8461" s="15" t="s">
        <v>33499</v>
      </c>
      <c r="B8461" s="15" t="s">
        <v>795</v>
      </c>
      <c r="C8461" s="15" t="s">
        <v>795</v>
      </c>
      <c r="D8461" s="15" t="s">
        <v>795</v>
      </c>
      <c r="F8461" s="42"/>
    </row>
    <row r="8462" spans="1:6" x14ac:dyDescent="0.3">
      <c r="A8462" s="15" t="s">
        <v>40801</v>
      </c>
      <c r="B8462" s="15" t="s">
        <v>15443</v>
      </c>
      <c r="C8462" s="15" t="s">
        <v>800</v>
      </c>
      <c r="D8462" s="15" t="s">
        <v>15444</v>
      </c>
      <c r="E8462" s="15">
        <v>10.527900000000001</v>
      </c>
      <c r="F8462" s="42">
        <v>46198</v>
      </c>
    </row>
    <row r="8463" spans="1:6" x14ac:dyDescent="0.3">
      <c r="A8463" s="15" t="s">
        <v>40800</v>
      </c>
      <c r="B8463" s="15" t="s">
        <v>15445</v>
      </c>
      <c r="C8463" s="15" t="s">
        <v>800</v>
      </c>
      <c r="D8463" s="15" t="s">
        <v>15446</v>
      </c>
      <c r="E8463" s="15">
        <v>10.4589</v>
      </c>
      <c r="F8463" s="42">
        <v>46198</v>
      </c>
    </row>
    <row r="8464" spans="1:6" x14ac:dyDescent="0.3">
      <c r="A8464" s="15" t="s">
        <v>33499</v>
      </c>
      <c r="B8464" s="15" t="s">
        <v>795</v>
      </c>
      <c r="C8464" s="15" t="s">
        <v>795</v>
      </c>
      <c r="D8464" s="15" t="s">
        <v>795</v>
      </c>
      <c r="F8464" s="42"/>
    </row>
    <row r="8465" spans="1:6" x14ac:dyDescent="0.3">
      <c r="A8465" s="15" t="s">
        <v>33504</v>
      </c>
      <c r="B8465" s="15" t="s">
        <v>795</v>
      </c>
      <c r="C8465" s="15" t="s">
        <v>795</v>
      </c>
      <c r="D8465" s="15" t="s">
        <v>795</v>
      </c>
      <c r="F8465" s="42"/>
    </row>
    <row r="8466" spans="1:6" x14ac:dyDescent="0.3">
      <c r="A8466" s="15" t="s">
        <v>33499</v>
      </c>
      <c r="B8466" s="15" t="s">
        <v>795</v>
      </c>
      <c r="C8466" s="15" t="s">
        <v>795</v>
      </c>
      <c r="D8466" s="15" t="s">
        <v>795</v>
      </c>
      <c r="F8466" s="42"/>
    </row>
    <row r="8467" spans="1:6" x14ac:dyDescent="0.3">
      <c r="A8467" s="15" t="s">
        <v>40799</v>
      </c>
      <c r="B8467" s="15" t="s">
        <v>15447</v>
      </c>
      <c r="C8467" s="15" t="s">
        <v>800</v>
      </c>
      <c r="D8467" s="15" t="s">
        <v>15448</v>
      </c>
      <c r="E8467" s="15">
        <v>15.4282</v>
      </c>
      <c r="F8467" s="42">
        <v>46198</v>
      </c>
    </row>
    <row r="8468" spans="1:6" x14ac:dyDescent="0.3">
      <c r="A8468" s="15" t="s">
        <v>40798</v>
      </c>
      <c r="B8468" s="15" t="s">
        <v>15449</v>
      </c>
      <c r="C8468" s="15" t="s">
        <v>15450</v>
      </c>
      <c r="D8468" s="15" t="s">
        <v>15451</v>
      </c>
      <c r="E8468" s="15">
        <v>15.061999999999999</v>
      </c>
      <c r="F8468" s="42">
        <v>46198</v>
      </c>
    </row>
    <row r="8469" spans="1:6" x14ac:dyDescent="0.3">
      <c r="A8469" s="15" t="s">
        <v>40797</v>
      </c>
      <c r="B8469" s="15" t="s">
        <v>15452</v>
      </c>
      <c r="C8469" s="15" t="s">
        <v>800</v>
      </c>
      <c r="D8469" s="15" t="s">
        <v>15453</v>
      </c>
      <c r="E8469" s="15">
        <v>14.820499999999999</v>
      </c>
      <c r="F8469" s="42">
        <v>46198</v>
      </c>
    </row>
    <row r="8470" spans="1:6" x14ac:dyDescent="0.3">
      <c r="A8470" s="15" t="s">
        <v>40796</v>
      </c>
      <c r="B8470" s="15" t="s">
        <v>15454</v>
      </c>
      <c r="C8470" s="15" t="s">
        <v>15455</v>
      </c>
      <c r="D8470" s="15" t="s">
        <v>15456</v>
      </c>
      <c r="E8470" s="15">
        <v>14.4711</v>
      </c>
      <c r="F8470" s="42">
        <v>46198</v>
      </c>
    </row>
    <row r="8471" spans="1:6" x14ac:dyDescent="0.3">
      <c r="A8471" s="15" t="s">
        <v>33499</v>
      </c>
      <c r="B8471" s="15" t="s">
        <v>795</v>
      </c>
      <c r="C8471" s="15" t="s">
        <v>795</v>
      </c>
      <c r="D8471" s="15" t="s">
        <v>795</v>
      </c>
      <c r="F8471" s="42"/>
    </row>
    <row r="8472" spans="1:6" x14ac:dyDescent="0.3">
      <c r="A8472" s="15" t="s">
        <v>33500</v>
      </c>
      <c r="B8472" s="15" t="s">
        <v>795</v>
      </c>
      <c r="C8472" s="15" t="s">
        <v>795</v>
      </c>
      <c r="D8472" s="15" t="s">
        <v>795</v>
      </c>
      <c r="F8472" s="42"/>
    </row>
    <row r="8473" spans="1:6" x14ac:dyDescent="0.3">
      <c r="A8473" s="15" t="s">
        <v>33499</v>
      </c>
      <c r="B8473" s="15" t="s">
        <v>795</v>
      </c>
      <c r="C8473" s="15" t="s">
        <v>795</v>
      </c>
      <c r="D8473" s="15" t="s">
        <v>795</v>
      </c>
      <c r="F8473" s="42"/>
    </row>
    <row r="8474" spans="1:6" x14ac:dyDescent="0.3">
      <c r="A8474" s="15" t="s">
        <v>40795</v>
      </c>
      <c r="B8474" s="15" t="s">
        <v>15457</v>
      </c>
      <c r="C8474" s="15" t="s">
        <v>800</v>
      </c>
      <c r="D8474" s="15" t="s">
        <v>15458</v>
      </c>
      <c r="E8474" s="15">
        <v>39.700699999999998</v>
      </c>
      <c r="F8474" s="42">
        <v>46198</v>
      </c>
    </row>
    <row r="8475" spans="1:6" x14ac:dyDescent="0.3">
      <c r="A8475" s="15" t="s">
        <v>40794</v>
      </c>
      <c r="B8475" s="15" t="s">
        <v>15459</v>
      </c>
      <c r="C8475" s="15" t="s">
        <v>15460</v>
      </c>
      <c r="D8475" s="15" t="s">
        <v>15461</v>
      </c>
      <c r="E8475" s="15">
        <v>23.223199999999999</v>
      </c>
      <c r="F8475" s="42">
        <v>46198</v>
      </c>
    </row>
    <row r="8476" spans="1:6" x14ac:dyDescent="0.3">
      <c r="A8476" s="15" t="s">
        <v>40793</v>
      </c>
      <c r="B8476" s="15" t="s">
        <v>15462</v>
      </c>
      <c r="C8476" s="15" t="s">
        <v>800</v>
      </c>
      <c r="D8476" s="15" t="s">
        <v>15463</v>
      </c>
      <c r="E8476" s="15">
        <v>37.116399999999999</v>
      </c>
      <c r="F8476" s="42">
        <v>46198</v>
      </c>
    </row>
    <row r="8477" spans="1:6" x14ac:dyDescent="0.3">
      <c r="A8477" s="15" t="s">
        <v>40792</v>
      </c>
      <c r="B8477" s="15" t="s">
        <v>15464</v>
      </c>
      <c r="C8477" s="15" t="s">
        <v>15465</v>
      </c>
      <c r="D8477" s="15" t="s">
        <v>15466</v>
      </c>
      <c r="E8477" s="15">
        <v>20.9681</v>
      </c>
      <c r="F8477" s="42">
        <v>46198</v>
      </c>
    </row>
    <row r="8478" spans="1:6" x14ac:dyDescent="0.3">
      <c r="A8478" s="15" t="s">
        <v>33499</v>
      </c>
      <c r="B8478" s="15" t="s">
        <v>795</v>
      </c>
      <c r="C8478" s="15" t="s">
        <v>795</v>
      </c>
      <c r="D8478" s="15" t="s">
        <v>795</v>
      </c>
      <c r="F8478" s="42"/>
    </row>
    <row r="8479" spans="1:6" x14ac:dyDescent="0.3">
      <c r="A8479" s="15" t="s">
        <v>40172</v>
      </c>
      <c r="B8479" s="15" t="s">
        <v>795</v>
      </c>
      <c r="C8479" s="15" t="s">
        <v>795</v>
      </c>
      <c r="D8479" s="15" t="s">
        <v>795</v>
      </c>
      <c r="F8479" s="42"/>
    </row>
    <row r="8480" spans="1:6" x14ac:dyDescent="0.3">
      <c r="A8480" s="15" t="s">
        <v>33499</v>
      </c>
      <c r="B8480" s="15" t="s">
        <v>795</v>
      </c>
      <c r="C8480" s="15" t="s">
        <v>795</v>
      </c>
      <c r="D8480" s="15" t="s">
        <v>795</v>
      </c>
      <c r="F8480" s="42"/>
    </row>
    <row r="8481" spans="1:6" x14ac:dyDescent="0.3">
      <c r="A8481" s="15" t="s">
        <v>40791</v>
      </c>
      <c r="B8481" s="15" t="s">
        <v>15467</v>
      </c>
      <c r="C8481" s="15" t="s">
        <v>800</v>
      </c>
      <c r="D8481" s="15" t="s">
        <v>15468</v>
      </c>
      <c r="E8481" s="15">
        <v>11.342000000000001</v>
      </c>
      <c r="F8481" s="42">
        <v>46198</v>
      </c>
    </row>
    <row r="8482" spans="1:6" x14ac:dyDescent="0.3">
      <c r="A8482" s="15" t="s">
        <v>40790</v>
      </c>
      <c r="B8482" s="15" t="s">
        <v>15469</v>
      </c>
      <c r="C8482" s="15" t="s">
        <v>800</v>
      </c>
      <c r="D8482" s="15" t="s">
        <v>15470</v>
      </c>
      <c r="E8482" s="15">
        <v>11.191000000000001</v>
      </c>
      <c r="F8482" s="42">
        <v>46198</v>
      </c>
    </row>
    <row r="8483" spans="1:6" x14ac:dyDescent="0.3">
      <c r="A8483" s="15" t="s">
        <v>33499</v>
      </c>
      <c r="B8483" s="15" t="s">
        <v>795</v>
      </c>
      <c r="C8483" s="15" t="s">
        <v>795</v>
      </c>
      <c r="D8483" s="15" t="s">
        <v>795</v>
      </c>
      <c r="F8483" s="42"/>
    </row>
    <row r="8484" spans="1:6" x14ac:dyDescent="0.3">
      <c r="A8484" s="15" t="s">
        <v>40789</v>
      </c>
      <c r="B8484" s="15" t="s">
        <v>795</v>
      </c>
      <c r="C8484" s="15" t="s">
        <v>795</v>
      </c>
      <c r="D8484" s="15" t="s">
        <v>795</v>
      </c>
      <c r="F8484" s="42"/>
    </row>
    <row r="8485" spans="1:6" x14ac:dyDescent="0.3">
      <c r="A8485" s="15" t="s">
        <v>33499</v>
      </c>
      <c r="B8485" s="15" t="s">
        <v>795</v>
      </c>
      <c r="C8485" s="15" t="s">
        <v>795</v>
      </c>
      <c r="D8485" s="15" t="s">
        <v>795</v>
      </c>
      <c r="F8485" s="42"/>
    </row>
    <row r="8486" spans="1:6" x14ac:dyDescent="0.3">
      <c r="A8486" s="15" t="s">
        <v>37954</v>
      </c>
      <c r="B8486" s="15" t="s">
        <v>795</v>
      </c>
      <c r="C8486" s="15" t="s">
        <v>795</v>
      </c>
      <c r="D8486" s="15" t="s">
        <v>795</v>
      </c>
      <c r="F8486" s="42"/>
    </row>
    <row r="8487" spans="1:6" x14ac:dyDescent="0.3">
      <c r="A8487" s="15" t="s">
        <v>33499</v>
      </c>
      <c r="B8487" s="15" t="s">
        <v>795</v>
      </c>
      <c r="C8487" s="15" t="s">
        <v>795</v>
      </c>
      <c r="D8487" s="15" t="s">
        <v>795</v>
      </c>
      <c r="F8487" s="42"/>
    </row>
    <row r="8488" spans="1:6" x14ac:dyDescent="0.3">
      <c r="A8488" s="15" t="s">
        <v>40788</v>
      </c>
      <c r="B8488" s="15" t="s">
        <v>15471</v>
      </c>
      <c r="C8488" s="15" t="s">
        <v>15472</v>
      </c>
      <c r="D8488" s="15" t="s">
        <v>15473</v>
      </c>
      <c r="E8488" s="15">
        <v>13.6677</v>
      </c>
      <c r="F8488" s="42">
        <v>46198</v>
      </c>
    </row>
    <row r="8489" spans="1:6" x14ac:dyDescent="0.3">
      <c r="A8489" s="15" t="s">
        <v>40787</v>
      </c>
      <c r="B8489" s="15" t="s">
        <v>15474</v>
      </c>
      <c r="C8489" s="15" t="s">
        <v>800</v>
      </c>
      <c r="D8489" s="15" t="s">
        <v>15475</v>
      </c>
      <c r="E8489" s="15">
        <v>13.1166</v>
      </c>
      <c r="F8489" s="42">
        <v>46198</v>
      </c>
    </row>
    <row r="8490" spans="1:6" x14ac:dyDescent="0.3">
      <c r="A8490" s="15" t="s">
        <v>40786</v>
      </c>
      <c r="B8490" s="15" t="s">
        <v>15476</v>
      </c>
      <c r="C8490" s="15" t="s">
        <v>800</v>
      </c>
      <c r="D8490" s="15" t="s">
        <v>15477</v>
      </c>
      <c r="E8490" s="15">
        <v>13.6677</v>
      </c>
      <c r="F8490" s="42">
        <v>46198</v>
      </c>
    </row>
    <row r="8491" spans="1:6" x14ac:dyDescent="0.3">
      <c r="A8491" s="15" t="s">
        <v>40785</v>
      </c>
      <c r="B8491" s="15" t="s">
        <v>15478</v>
      </c>
      <c r="C8491" s="15" t="s">
        <v>15479</v>
      </c>
      <c r="D8491" s="15" t="s">
        <v>15480</v>
      </c>
      <c r="E8491" s="15">
        <v>13.1166</v>
      </c>
      <c r="F8491" s="42">
        <v>46198</v>
      </c>
    </row>
    <row r="8492" spans="1:6" x14ac:dyDescent="0.3">
      <c r="A8492" s="15" t="s">
        <v>33499</v>
      </c>
      <c r="B8492" s="15" t="s">
        <v>795</v>
      </c>
      <c r="C8492" s="15" t="s">
        <v>795</v>
      </c>
      <c r="D8492" s="15" t="s">
        <v>795</v>
      </c>
      <c r="F8492" s="42"/>
    </row>
    <row r="8493" spans="1:6" x14ac:dyDescent="0.3">
      <c r="A8493" s="15" t="s">
        <v>40172</v>
      </c>
      <c r="B8493" s="15" t="s">
        <v>795</v>
      </c>
      <c r="C8493" s="15" t="s">
        <v>795</v>
      </c>
      <c r="D8493" s="15" t="s">
        <v>795</v>
      </c>
      <c r="F8493" s="42"/>
    </row>
    <row r="8494" spans="1:6" x14ac:dyDescent="0.3">
      <c r="A8494" s="15" t="s">
        <v>33499</v>
      </c>
      <c r="B8494" s="15" t="s">
        <v>795</v>
      </c>
      <c r="C8494" s="15" t="s">
        <v>795</v>
      </c>
      <c r="D8494" s="15" t="s">
        <v>795</v>
      </c>
      <c r="F8494" s="42"/>
    </row>
    <row r="8495" spans="1:6" x14ac:dyDescent="0.3">
      <c r="A8495" s="15" t="s">
        <v>40784</v>
      </c>
      <c r="B8495" s="15" t="s">
        <v>15481</v>
      </c>
      <c r="C8495" s="15" t="s">
        <v>800</v>
      </c>
      <c r="D8495" s="15" t="s">
        <v>15482</v>
      </c>
      <c r="E8495" s="15">
        <v>13.628</v>
      </c>
      <c r="F8495" s="42">
        <v>46198</v>
      </c>
    </row>
    <row r="8496" spans="1:6" x14ac:dyDescent="0.3">
      <c r="A8496" s="15" t="s">
        <v>40783</v>
      </c>
      <c r="B8496" s="15" t="s">
        <v>15483</v>
      </c>
      <c r="C8496" s="15" t="s">
        <v>800</v>
      </c>
      <c r="D8496" s="15" t="s">
        <v>15484</v>
      </c>
      <c r="E8496" s="15">
        <v>13.093</v>
      </c>
      <c r="F8496" s="42">
        <v>46198</v>
      </c>
    </row>
    <row r="8497" spans="1:6" x14ac:dyDescent="0.3">
      <c r="A8497" s="15" t="s">
        <v>33499</v>
      </c>
      <c r="B8497" s="15" t="s">
        <v>795</v>
      </c>
      <c r="C8497" s="15" t="s">
        <v>795</v>
      </c>
      <c r="D8497" s="15" t="s">
        <v>795</v>
      </c>
      <c r="F8497" s="42"/>
    </row>
    <row r="8498" spans="1:6" x14ac:dyDescent="0.3">
      <c r="A8498" s="15" t="s">
        <v>40782</v>
      </c>
      <c r="B8498" s="15" t="s">
        <v>795</v>
      </c>
      <c r="C8498" s="15" t="s">
        <v>795</v>
      </c>
      <c r="D8498" s="15" t="s">
        <v>795</v>
      </c>
      <c r="F8498" s="42"/>
    </row>
    <row r="8499" spans="1:6" x14ac:dyDescent="0.3">
      <c r="A8499" s="15" t="s">
        <v>33499</v>
      </c>
      <c r="B8499" s="15" t="s">
        <v>795</v>
      </c>
      <c r="C8499" s="15" t="s">
        <v>795</v>
      </c>
      <c r="D8499" s="15" t="s">
        <v>795</v>
      </c>
      <c r="F8499" s="42"/>
    </row>
    <row r="8500" spans="1:6" x14ac:dyDescent="0.3">
      <c r="A8500" s="15" t="s">
        <v>37122</v>
      </c>
      <c r="B8500" s="15" t="s">
        <v>795</v>
      </c>
      <c r="C8500" s="15" t="s">
        <v>795</v>
      </c>
      <c r="D8500" s="15" t="s">
        <v>795</v>
      </c>
      <c r="F8500" s="42"/>
    </row>
    <row r="8501" spans="1:6" x14ac:dyDescent="0.3">
      <c r="A8501" s="15" t="s">
        <v>33499</v>
      </c>
      <c r="B8501" s="15" t="s">
        <v>795</v>
      </c>
      <c r="C8501" s="15" t="s">
        <v>795</v>
      </c>
      <c r="D8501" s="15" t="s">
        <v>795</v>
      </c>
      <c r="F8501" s="42"/>
    </row>
    <row r="8502" spans="1:6" x14ac:dyDescent="0.3">
      <c r="A8502" s="15" t="s">
        <v>40781</v>
      </c>
      <c r="B8502" s="15" t="s">
        <v>15485</v>
      </c>
      <c r="C8502" s="15" t="s">
        <v>47119</v>
      </c>
      <c r="D8502" s="15" t="s">
        <v>15486</v>
      </c>
      <c r="E8502" s="15">
        <v>27.139700000000001</v>
      </c>
      <c r="F8502" s="42">
        <v>46198</v>
      </c>
    </row>
    <row r="8503" spans="1:6" x14ac:dyDescent="0.3">
      <c r="A8503" s="15" t="s">
        <v>40780</v>
      </c>
      <c r="B8503" s="15" t="s">
        <v>15487</v>
      </c>
      <c r="C8503" s="15" t="s">
        <v>800</v>
      </c>
      <c r="D8503" s="15" t="s">
        <v>15488</v>
      </c>
      <c r="E8503" s="15">
        <v>78.621799999999993</v>
      </c>
      <c r="F8503" s="42">
        <v>46198</v>
      </c>
    </row>
    <row r="8504" spans="1:6" x14ac:dyDescent="0.3">
      <c r="A8504" s="15" t="s">
        <v>40779</v>
      </c>
      <c r="B8504" s="15" t="s">
        <v>15489</v>
      </c>
      <c r="C8504" s="15" t="s">
        <v>800</v>
      </c>
      <c r="D8504" s="15" t="s">
        <v>15490</v>
      </c>
      <c r="E8504" s="15">
        <v>69.777900000000002</v>
      </c>
      <c r="F8504" s="42">
        <v>46198</v>
      </c>
    </row>
    <row r="8505" spans="1:6" x14ac:dyDescent="0.3">
      <c r="A8505" s="15" t="s">
        <v>40778</v>
      </c>
      <c r="B8505" s="15" t="s">
        <v>15491</v>
      </c>
      <c r="C8505" s="15" t="s">
        <v>15492</v>
      </c>
      <c r="D8505" s="15" t="s">
        <v>15493</v>
      </c>
      <c r="E8505" s="15">
        <v>16.4816</v>
      </c>
      <c r="F8505" s="42">
        <v>46198</v>
      </c>
    </row>
    <row r="8506" spans="1:6" x14ac:dyDescent="0.3">
      <c r="A8506" s="15" t="s">
        <v>33499</v>
      </c>
      <c r="B8506" s="15" t="s">
        <v>795</v>
      </c>
      <c r="C8506" s="15" t="s">
        <v>795</v>
      </c>
      <c r="D8506" s="15" t="s">
        <v>795</v>
      </c>
      <c r="F8506" s="42"/>
    </row>
    <row r="8507" spans="1:6" x14ac:dyDescent="0.3">
      <c r="A8507" s="15" t="s">
        <v>37087</v>
      </c>
      <c r="B8507" s="15" t="s">
        <v>795</v>
      </c>
      <c r="C8507" s="15" t="s">
        <v>795</v>
      </c>
      <c r="D8507" s="15" t="s">
        <v>795</v>
      </c>
      <c r="F8507" s="42"/>
    </row>
    <row r="8508" spans="1:6" x14ac:dyDescent="0.3">
      <c r="A8508" s="15" t="s">
        <v>33499</v>
      </c>
      <c r="B8508" s="15" t="s">
        <v>795</v>
      </c>
      <c r="C8508" s="15" t="s">
        <v>795</v>
      </c>
      <c r="D8508" s="15" t="s">
        <v>795</v>
      </c>
      <c r="F8508" s="42"/>
    </row>
    <row r="8509" spans="1:6" x14ac:dyDescent="0.3">
      <c r="A8509" s="15" t="s">
        <v>40777</v>
      </c>
      <c r="B8509" s="15" t="s">
        <v>15494</v>
      </c>
      <c r="C8509" s="15" t="s">
        <v>15495</v>
      </c>
      <c r="D8509" s="15" t="s">
        <v>15496</v>
      </c>
      <c r="E8509" s="15">
        <v>16.392199999999999</v>
      </c>
      <c r="F8509" s="42">
        <v>46198</v>
      </c>
    </row>
    <row r="8510" spans="1:6" x14ac:dyDescent="0.3">
      <c r="A8510" s="15" t="s">
        <v>40776</v>
      </c>
      <c r="B8510" s="15" t="s">
        <v>15497</v>
      </c>
      <c r="C8510" s="15" t="s">
        <v>800</v>
      </c>
      <c r="D8510" s="15" t="s">
        <v>15498</v>
      </c>
      <c r="E8510" s="15">
        <v>35.987200000000001</v>
      </c>
      <c r="F8510" s="42">
        <v>46198</v>
      </c>
    </row>
    <row r="8511" spans="1:6" x14ac:dyDescent="0.3">
      <c r="A8511" s="15" t="s">
        <v>40775</v>
      </c>
      <c r="B8511" s="15" t="s">
        <v>15499</v>
      </c>
      <c r="C8511" s="15" t="s">
        <v>15500</v>
      </c>
      <c r="D8511" s="15" t="s">
        <v>15501</v>
      </c>
      <c r="E8511" s="15">
        <v>13.3957</v>
      </c>
      <c r="F8511" s="42">
        <v>46198</v>
      </c>
    </row>
    <row r="8512" spans="1:6" x14ac:dyDescent="0.3">
      <c r="A8512" s="15" t="s">
        <v>40774</v>
      </c>
      <c r="B8512" s="15" t="s">
        <v>15502</v>
      </c>
      <c r="C8512" s="15" t="s">
        <v>15503</v>
      </c>
      <c r="D8512" s="15" t="s">
        <v>15504</v>
      </c>
      <c r="E8512" s="15">
        <v>12.965400000000001</v>
      </c>
      <c r="F8512" s="42">
        <v>46198</v>
      </c>
    </row>
    <row r="8513" spans="1:6" x14ac:dyDescent="0.3">
      <c r="A8513" s="15" t="s">
        <v>40773</v>
      </c>
      <c r="B8513" s="15" t="s">
        <v>15505</v>
      </c>
      <c r="C8513" s="15" t="s">
        <v>15506</v>
      </c>
      <c r="D8513" s="15" t="s">
        <v>15507</v>
      </c>
      <c r="E8513" s="15">
        <v>13.6854</v>
      </c>
      <c r="F8513" s="42">
        <v>46198</v>
      </c>
    </row>
    <row r="8514" spans="1:6" x14ac:dyDescent="0.3">
      <c r="A8514" s="15" t="s">
        <v>40772</v>
      </c>
      <c r="B8514" s="15" t="s">
        <v>15508</v>
      </c>
      <c r="C8514" s="15" t="s">
        <v>800</v>
      </c>
      <c r="D8514" s="15" t="s">
        <v>15509</v>
      </c>
      <c r="E8514" s="15">
        <v>30.4422</v>
      </c>
      <c r="F8514" s="42">
        <v>46198</v>
      </c>
    </row>
    <row r="8515" spans="1:6" x14ac:dyDescent="0.3">
      <c r="A8515" s="15" t="s">
        <v>40771</v>
      </c>
      <c r="B8515" s="15" t="s">
        <v>15510</v>
      </c>
      <c r="C8515" s="15" t="s">
        <v>15511</v>
      </c>
      <c r="D8515" s="15" t="s">
        <v>15512</v>
      </c>
      <c r="E8515" s="15">
        <v>12.7288</v>
      </c>
      <c r="F8515" s="42">
        <v>46198</v>
      </c>
    </row>
    <row r="8516" spans="1:6" x14ac:dyDescent="0.3">
      <c r="A8516" s="15" t="s">
        <v>40770</v>
      </c>
      <c r="B8516" s="15" t="s">
        <v>15513</v>
      </c>
      <c r="C8516" s="15" t="s">
        <v>15514</v>
      </c>
      <c r="D8516" s="15" t="s">
        <v>15515</v>
      </c>
      <c r="E8516" s="15">
        <v>10.4771</v>
      </c>
      <c r="F8516" s="42">
        <v>46198</v>
      </c>
    </row>
    <row r="8517" spans="1:6" x14ac:dyDescent="0.3">
      <c r="A8517" s="15" t="s">
        <v>33499</v>
      </c>
      <c r="B8517" s="15" t="s">
        <v>795</v>
      </c>
      <c r="C8517" s="15" t="s">
        <v>795</v>
      </c>
      <c r="D8517" s="15" t="s">
        <v>795</v>
      </c>
      <c r="F8517" s="42"/>
    </row>
    <row r="8518" spans="1:6" x14ac:dyDescent="0.3">
      <c r="A8518" s="15" t="s">
        <v>37073</v>
      </c>
      <c r="B8518" s="15" t="s">
        <v>795</v>
      </c>
      <c r="C8518" s="15" t="s">
        <v>795</v>
      </c>
      <c r="D8518" s="15" t="s">
        <v>795</v>
      </c>
      <c r="F8518" s="42"/>
    </row>
    <row r="8519" spans="1:6" x14ac:dyDescent="0.3">
      <c r="A8519" s="15" t="s">
        <v>33499</v>
      </c>
      <c r="B8519" s="15" t="s">
        <v>795</v>
      </c>
      <c r="C8519" s="15" t="s">
        <v>795</v>
      </c>
      <c r="D8519" s="15" t="s">
        <v>795</v>
      </c>
      <c r="F8519" s="42"/>
    </row>
    <row r="8520" spans="1:6" x14ac:dyDescent="0.3">
      <c r="A8520" s="15" t="s">
        <v>40769</v>
      </c>
      <c r="B8520" s="15" t="s">
        <v>15516</v>
      </c>
      <c r="C8520" s="15" t="s">
        <v>800</v>
      </c>
      <c r="D8520" s="15" t="s">
        <v>15517</v>
      </c>
      <c r="E8520" s="15">
        <v>32.658299999999997</v>
      </c>
      <c r="F8520" s="42">
        <v>46198</v>
      </c>
    </row>
    <row r="8521" spans="1:6" x14ac:dyDescent="0.3">
      <c r="A8521" s="15" t="s">
        <v>40768</v>
      </c>
      <c r="B8521" s="15" t="s">
        <v>15518</v>
      </c>
      <c r="C8521" s="15" t="s">
        <v>15519</v>
      </c>
      <c r="D8521" s="15" t="s">
        <v>15520</v>
      </c>
      <c r="E8521" s="15">
        <v>11.234500000000001</v>
      </c>
      <c r="F8521" s="42">
        <v>46198</v>
      </c>
    </row>
    <row r="8522" spans="1:6" x14ac:dyDescent="0.3">
      <c r="A8522" s="15" t="s">
        <v>40767</v>
      </c>
      <c r="B8522" s="15" t="s">
        <v>15521</v>
      </c>
      <c r="C8522" s="15" t="s">
        <v>15522</v>
      </c>
      <c r="D8522" s="15" t="s">
        <v>15523</v>
      </c>
      <c r="E8522" s="15">
        <v>13.628299999999999</v>
      </c>
      <c r="F8522" s="42">
        <v>46198</v>
      </c>
    </row>
    <row r="8523" spans="1:6" x14ac:dyDescent="0.3">
      <c r="A8523" s="15" t="s">
        <v>40766</v>
      </c>
      <c r="B8523" s="15" t="s">
        <v>15524</v>
      </c>
      <c r="C8523" s="15" t="s">
        <v>800</v>
      </c>
      <c r="D8523" s="15" t="s">
        <v>15525</v>
      </c>
      <c r="E8523" s="15">
        <v>36.892699999999998</v>
      </c>
      <c r="F8523" s="42">
        <v>46198</v>
      </c>
    </row>
    <row r="8524" spans="1:6" x14ac:dyDescent="0.3">
      <c r="A8524" s="15" t="s">
        <v>40765</v>
      </c>
      <c r="B8524" s="15" t="s">
        <v>15526</v>
      </c>
      <c r="C8524" s="15" t="s">
        <v>15527</v>
      </c>
      <c r="D8524" s="15" t="s">
        <v>15528</v>
      </c>
      <c r="E8524" s="15">
        <v>13.2576</v>
      </c>
      <c r="F8524" s="42">
        <v>46198</v>
      </c>
    </row>
    <row r="8525" spans="1:6" x14ac:dyDescent="0.3">
      <c r="A8525" s="15" t="s">
        <v>40764</v>
      </c>
      <c r="B8525" s="15" t="s">
        <v>15529</v>
      </c>
      <c r="C8525" s="15" t="s">
        <v>15530</v>
      </c>
      <c r="D8525" s="15" t="s">
        <v>15531</v>
      </c>
      <c r="E8525" s="15">
        <v>16.358000000000001</v>
      </c>
      <c r="F8525" s="42">
        <v>46198</v>
      </c>
    </row>
    <row r="8526" spans="1:6" x14ac:dyDescent="0.3">
      <c r="A8526" s="15" t="s">
        <v>33499</v>
      </c>
      <c r="B8526" s="15" t="s">
        <v>795</v>
      </c>
      <c r="C8526" s="15" t="s">
        <v>795</v>
      </c>
      <c r="D8526" s="15" t="s">
        <v>795</v>
      </c>
      <c r="F8526" s="42"/>
    </row>
    <row r="8527" spans="1:6" x14ac:dyDescent="0.3">
      <c r="A8527" s="15" t="s">
        <v>37566</v>
      </c>
      <c r="B8527" s="15" t="s">
        <v>795</v>
      </c>
      <c r="C8527" s="15" t="s">
        <v>795</v>
      </c>
      <c r="D8527" s="15" t="s">
        <v>795</v>
      </c>
      <c r="F8527" s="42"/>
    </row>
    <row r="8528" spans="1:6" x14ac:dyDescent="0.3">
      <c r="A8528" s="15" t="s">
        <v>33499</v>
      </c>
      <c r="B8528" s="15" t="s">
        <v>795</v>
      </c>
      <c r="C8528" s="15" t="s">
        <v>795</v>
      </c>
      <c r="D8528" s="15" t="s">
        <v>795</v>
      </c>
      <c r="F8528" s="42"/>
    </row>
    <row r="8529" spans="1:6" x14ac:dyDescent="0.3">
      <c r="A8529" s="15" t="s">
        <v>40763</v>
      </c>
      <c r="B8529" s="15" t="s">
        <v>15532</v>
      </c>
      <c r="C8529" s="15" t="s">
        <v>800</v>
      </c>
      <c r="D8529" s="15" t="s">
        <v>15533</v>
      </c>
      <c r="E8529" s="15">
        <v>57.193300000000001</v>
      </c>
      <c r="F8529" s="42">
        <v>46198</v>
      </c>
    </row>
    <row r="8530" spans="1:6" x14ac:dyDescent="0.3">
      <c r="A8530" s="15" t="s">
        <v>40762</v>
      </c>
      <c r="B8530" s="15" t="s">
        <v>15534</v>
      </c>
      <c r="C8530" s="15" t="s">
        <v>15535</v>
      </c>
      <c r="D8530" s="15" t="s">
        <v>15536</v>
      </c>
      <c r="E8530" s="15">
        <v>13.206099999999999</v>
      </c>
      <c r="F8530" s="42">
        <v>46198</v>
      </c>
    </row>
    <row r="8531" spans="1:6" x14ac:dyDescent="0.3">
      <c r="A8531" s="15" t="s">
        <v>40761</v>
      </c>
      <c r="B8531" s="15" t="s">
        <v>15537</v>
      </c>
      <c r="C8531" s="15" t="s">
        <v>15538</v>
      </c>
      <c r="D8531" s="15" t="s">
        <v>15539</v>
      </c>
      <c r="E8531" s="15">
        <v>12.873100000000001</v>
      </c>
      <c r="F8531" s="42">
        <v>46198</v>
      </c>
    </row>
    <row r="8532" spans="1:6" x14ac:dyDescent="0.3">
      <c r="A8532" s="15" t="s">
        <v>40760</v>
      </c>
      <c r="B8532" s="15" t="s">
        <v>15540</v>
      </c>
      <c r="C8532" s="15" t="s">
        <v>800</v>
      </c>
      <c r="D8532" s="15" t="s">
        <v>15541</v>
      </c>
      <c r="E8532" s="15">
        <v>46.267099999999999</v>
      </c>
      <c r="F8532" s="42">
        <v>46198</v>
      </c>
    </row>
    <row r="8533" spans="1:6" x14ac:dyDescent="0.3">
      <c r="A8533" s="15" t="s">
        <v>40759</v>
      </c>
      <c r="B8533" s="15" t="s">
        <v>15542</v>
      </c>
      <c r="C8533" s="15" t="s">
        <v>15543</v>
      </c>
      <c r="D8533" s="15" t="s">
        <v>15544</v>
      </c>
      <c r="E8533" s="15">
        <v>10.708299999999999</v>
      </c>
      <c r="F8533" s="42">
        <v>46198</v>
      </c>
    </row>
    <row r="8534" spans="1:6" x14ac:dyDescent="0.3">
      <c r="A8534" s="15" t="s">
        <v>40758</v>
      </c>
      <c r="B8534" s="15" t="s">
        <v>15545</v>
      </c>
      <c r="C8534" s="15" t="s">
        <v>15546</v>
      </c>
      <c r="D8534" s="15" t="s">
        <v>15547</v>
      </c>
      <c r="E8534" s="15">
        <v>10.9459</v>
      </c>
      <c r="F8534" s="42">
        <v>46198</v>
      </c>
    </row>
    <row r="8535" spans="1:6" x14ac:dyDescent="0.3">
      <c r="A8535" s="15" t="s">
        <v>33499</v>
      </c>
      <c r="B8535" s="15" t="s">
        <v>795</v>
      </c>
      <c r="C8535" s="15" t="s">
        <v>795</v>
      </c>
      <c r="D8535" s="15" t="s">
        <v>795</v>
      </c>
      <c r="F8535" s="42"/>
    </row>
    <row r="8536" spans="1:6" x14ac:dyDescent="0.3">
      <c r="A8536" s="15" t="s">
        <v>40284</v>
      </c>
      <c r="B8536" s="15" t="s">
        <v>795</v>
      </c>
      <c r="C8536" s="15" t="s">
        <v>795</v>
      </c>
      <c r="D8536" s="15" t="s">
        <v>795</v>
      </c>
      <c r="F8536" s="42"/>
    </row>
    <row r="8537" spans="1:6" x14ac:dyDescent="0.3">
      <c r="A8537" s="15" t="s">
        <v>33499</v>
      </c>
      <c r="B8537" s="15" t="s">
        <v>795</v>
      </c>
      <c r="C8537" s="15" t="s">
        <v>795</v>
      </c>
      <c r="D8537" s="15" t="s">
        <v>795</v>
      </c>
      <c r="F8537" s="42"/>
    </row>
    <row r="8538" spans="1:6" x14ac:dyDescent="0.3">
      <c r="A8538" s="15" t="s">
        <v>40757</v>
      </c>
      <c r="B8538" s="15" t="s">
        <v>15548</v>
      </c>
      <c r="C8538" s="15" t="s">
        <v>800</v>
      </c>
      <c r="D8538" s="15" t="s">
        <v>15549</v>
      </c>
      <c r="E8538" s="15">
        <v>114.66630000000001</v>
      </c>
      <c r="F8538" s="42">
        <v>46198</v>
      </c>
    </row>
    <row r="8539" spans="1:6" x14ac:dyDescent="0.3">
      <c r="A8539" s="15" t="s">
        <v>40756</v>
      </c>
      <c r="B8539" s="15" t="s">
        <v>15550</v>
      </c>
      <c r="C8539" s="15" t="s">
        <v>15551</v>
      </c>
      <c r="D8539" s="15" t="s">
        <v>15552</v>
      </c>
      <c r="E8539" s="15">
        <v>16.1082</v>
      </c>
      <c r="F8539" s="42">
        <v>46198</v>
      </c>
    </row>
    <row r="8540" spans="1:6" x14ac:dyDescent="0.3">
      <c r="A8540" s="15" t="s">
        <v>40755</v>
      </c>
      <c r="B8540" s="15" t="s">
        <v>15553</v>
      </c>
      <c r="C8540" s="15" t="s">
        <v>15554</v>
      </c>
      <c r="D8540" s="15" t="s">
        <v>15555</v>
      </c>
      <c r="E8540" s="15">
        <v>16.3416</v>
      </c>
      <c r="F8540" s="42">
        <v>46198</v>
      </c>
    </row>
    <row r="8541" spans="1:6" x14ac:dyDescent="0.3">
      <c r="A8541" s="15" t="s">
        <v>40754</v>
      </c>
      <c r="B8541" s="15" t="s">
        <v>15556</v>
      </c>
      <c r="C8541" s="15" t="s">
        <v>800</v>
      </c>
      <c r="D8541" s="15" t="s">
        <v>15557</v>
      </c>
      <c r="E8541" s="15">
        <v>98.856399999999994</v>
      </c>
      <c r="F8541" s="42">
        <v>46198</v>
      </c>
    </row>
    <row r="8542" spans="1:6" x14ac:dyDescent="0.3">
      <c r="A8542" s="15" t="s">
        <v>40753</v>
      </c>
      <c r="B8542" s="15" t="s">
        <v>15558</v>
      </c>
      <c r="C8542" s="15" t="s">
        <v>15559</v>
      </c>
      <c r="D8542" s="15" t="s">
        <v>15560</v>
      </c>
      <c r="E8542" s="15">
        <v>12.428699999999999</v>
      </c>
      <c r="F8542" s="42">
        <v>46198</v>
      </c>
    </row>
    <row r="8543" spans="1:6" x14ac:dyDescent="0.3">
      <c r="A8543" s="15" t="s">
        <v>40752</v>
      </c>
      <c r="B8543" s="15" t="s">
        <v>15561</v>
      </c>
      <c r="C8543" s="15" t="s">
        <v>15562</v>
      </c>
      <c r="D8543" s="15" t="s">
        <v>15563</v>
      </c>
      <c r="E8543" s="15">
        <v>13.626200000000001</v>
      </c>
      <c r="F8543" s="42">
        <v>46198</v>
      </c>
    </row>
    <row r="8544" spans="1:6" x14ac:dyDescent="0.3">
      <c r="A8544" s="15" t="s">
        <v>33499</v>
      </c>
      <c r="B8544" s="15" t="s">
        <v>795</v>
      </c>
      <c r="C8544" s="15" t="s">
        <v>795</v>
      </c>
      <c r="D8544" s="15" t="s">
        <v>795</v>
      </c>
      <c r="F8544" s="42"/>
    </row>
    <row r="8545" spans="1:6" x14ac:dyDescent="0.3">
      <c r="A8545" s="15" t="s">
        <v>37061</v>
      </c>
      <c r="B8545" s="15" t="s">
        <v>795</v>
      </c>
      <c r="C8545" s="15" t="s">
        <v>795</v>
      </c>
      <c r="D8545" s="15" t="s">
        <v>795</v>
      </c>
      <c r="F8545" s="42"/>
    </row>
    <row r="8546" spans="1:6" x14ac:dyDescent="0.3">
      <c r="A8546" s="15" t="s">
        <v>33499</v>
      </c>
      <c r="B8546" s="15" t="s">
        <v>795</v>
      </c>
      <c r="C8546" s="15" t="s">
        <v>795</v>
      </c>
      <c r="D8546" s="15" t="s">
        <v>795</v>
      </c>
      <c r="F8546" s="42"/>
    </row>
    <row r="8547" spans="1:6" x14ac:dyDescent="0.3">
      <c r="A8547" s="15" t="s">
        <v>40751</v>
      </c>
      <c r="B8547" s="15" t="s">
        <v>15564</v>
      </c>
      <c r="C8547" s="15" t="s">
        <v>800</v>
      </c>
      <c r="D8547" s="15" t="s">
        <v>15565</v>
      </c>
      <c r="E8547" s="15">
        <v>68.906800000000004</v>
      </c>
      <c r="F8547" s="42">
        <v>46198</v>
      </c>
    </row>
    <row r="8548" spans="1:6" x14ac:dyDescent="0.3">
      <c r="A8548" s="15" t="s">
        <v>40750</v>
      </c>
      <c r="B8548" s="15" t="s">
        <v>15566</v>
      </c>
      <c r="C8548" s="15" t="s">
        <v>15567</v>
      </c>
      <c r="D8548" s="15" t="s">
        <v>15568</v>
      </c>
      <c r="E8548" s="15">
        <v>14.235900000000001</v>
      </c>
      <c r="F8548" s="42">
        <v>46198</v>
      </c>
    </row>
    <row r="8549" spans="1:6" x14ac:dyDescent="0.3">
      <c r="A8549" s="15" t="s">
        <v>40749</v>
      </c>
      <c r="B8549" s="15" t="s">
        <v>15569</v>
      </c>
      <c r="C8549" s="15" t="s">
        <v>15570</v>
      </c>
      <c r="D8549" s="15" t="s">
        <v>15571</v>
      </c>
      <c r="E8549" s="15">
        <v>14.1473</v>
      </c>
      <c r="F8549" s="42">
        <v>46198</v>
      </c>
    </row>
    <row r="8550" spans="1:6" x14ac:dyDescent="0.3">
      <c r="A8550" s="15" t="s">
        <v>40748</v>
      </c>
      <c r="B8550" s="15" t="s">
        <v>15572</v>
      </c>
      <c r="C8550" s="15" t="s">
        <v>15573</v>
      </c>
      <c r="D8550" s="15" t="s">
        <v>15574</v>
      </c>
      <c r="E8550" s="15">
        <v>11.072699999999999</v>
      </c>
      <c r="F8550" s="42">
        <v>46198</v>
      </c>
    </row>
    <row r="8551" spans="1:6" x14ac:dyDescent="0.3">
      <c r="A8551" s="15" t="s">
        <v>40747</v>
      </c>
      <c r="B8551" s="15" t="s">
        <v>15575</v>
      </c>
      <c r="C8551" s="15" t="s">
        <v>15576</v>
      </c>
      <c r="D8551" s="15" t="s">
        <v>15577</v>
      </c>
      <c r="E8551" s="15">
        <v>11.4815</v>
      </c>
      <c r="F8551" s="42">
        <v>46198</v>
      </c>
    </row>
    <row r="8552" spans="1:6" x14ac:dyDescent="0.3">
      <c r="A8552" s="15" t="s">
        <v>40746</v>
      </c>
      <c r="B8552" s="15" t="s">
        <v>15578</v>
      </c>
      <c r="C8552" s="15" t="s">
        <v>800</v>
      </c>
      <c r="D8552" s="15" t="s">
        <v>15579</v>
      </c>
      <c r="E8552" s="15">
        <v>60.806399999999996</v>
      </c>
      <c r="F8552" s="42">
        <v>46198</v>
      </c>
    </row>
    <row r="8553" spans="1:6" x14ac:dyDescent="0.3">
      <c r="A8553" s="15" t="s">
        <v>33499</v>
      </c>
      <c r="B8553" s="15" t="s">
        <v>795</v>
      </c>
      <c r="C8553" s="15" t="s">
        <v>795</v>
      </c>
      <c r="D8553" s="15" t="s">
        <v>795</v>
      </c>
      <c r="F8553" s="42"/>
    </row>
    <row r="8554" spans="1:6" x14ac:dyDescent="0.3">
      <c r="A8554" s="15" t="s">
        <v>37044</v>
      </c>
      <c r="B8554" s="15" t="s">
        <v>795</v>
      </c>
      <c r="C8554" s="15" t="s">
        <v>795</v>
      </c>
      <c r="D8554" s="15" t="s">
        <v>795</v>
      </c>
      <c r="F8554" s="42"/>
    </row>
    <row r="8555" spans="1:6" x14ac:dyDescent="0.3">
      <c r="A8555" s="15" t="s">
        <v>33499</v>
      </c>
      <c r="B8555" s="15" t="s">
        <v>795</v>
      </c>
      <c r="C8555" s="15" t="s">
        <v>795</v>
      </c>
      <c r="D8555" s="15" t="s">
        <v>795</v>
      </c>
      <c r="F8555" s="42"/>
    </row>
    <row r="8556" spans="1:6" x14ac:dyDescent="0.3">
      <c r="A8556" s="15" t="s">
        <v>40745</v>
      </c>
      <c r="B8556" s="15" t="s">
        <v>15580</v>
      </c>
      <c r="C8556" s="15" t="s">
        <v>800</v>
      </c>
      <c r="D8556" s="15" t="s">
        <v>15581</v>
      </c>
      <c r="E8556" s="15">
        <v>101.9481</v>
      </c>
      <c r="F8556" s="42">
        <v>46198</v>
      </c>
    </row>
    <row r="8557" spans="1:6" x14ac:dyDescent="0.3">
      <c r="A8557" s="15" t="s">
        <v>40744</v>
      </c>
      <c r="B8557" s="15" t="s">
        <v>15582</v>
      </c>
      <c r="C8557" s="15" t="s">
        <v>800</v>
      </c>
      <c r="D8557" s="15" t="s">
        <v>15583</v>
      </c>
      <c r="E8557" s="15">
        <v>92.195300000000003</v>
      </c>
      <c r="F8557" s="42">
        <v>46198</v>
      </c>
    </row>
    <row r="8558" spans="1:6" x14ac:dyDescent="0.3">
      <c r="A8558" s="15" t="s">
        <v>40743</v>
      </c>
      <c r="B8558" s="15" t="s">
        <v>15584</v>
      </c>
      <c r="C8558" s="15" t="s">
        <v>15585</v>
      </c>
      <c r="D8558" s="15" t="s">
        <v>15586</v>
      </c>
      <c r="E8558" s="15">
        <v>14.348800000000001</v>
      </c>
      <c r="F8558" s="42">
        <v>46198</v>
      </c>
    </row>
    <row r="8559" spans="1:6" x14ac:dyDescent="0.3">
      <c r="A8559" s="15" t="s">
        <v>40742</v>
      </c>
      <c r="B8559" s="15" t="s">
        <v>15587</v>
      </c>
      <c r="C8559" s="15" t="s">
        <v>15588</v>
      </c>
      <c r="D8559" s="15" t="s">
        <v>15589</v>
      </c>
      <c r="E8559" s="15">
        <v>13.4598</v>
      </c>
      <c r="F8559" s="42">
        <v>46198</v>
      </c>
    </row>
    <row r="8560" spans="1:6" x14ac:dyDescent="0.3">
      <c r="A8560" s="15" t="s">
        <v>40741</v>
      </c>
      <c r="B8560" s="15" t="s">
        <v>15590</v>
      </c>
      <c r="C8560" s="15" t="s">
        <v>15591</v>
      </c>
      <c r="D8560" s="15" t="s">
        <v>15592</v>
      </c>
      <c r="E8560" s="15">
        <v>12.6008</v>
      </c>
      <c r="F8560" s="42">
        <v>46198</v>
      </c>
    </row>
    <row r="8561" spans="1:6" x14ac:dyDescent="0.3">
      <c r="A8561" s="15" t="s">
        <v>40740</v>
      </c>
      <c r="B8561" s="15" t="s">
        <v>15593</v>
      </c>
      <c r="C8561" s="15" t="s">
        <v>15594</v>
      </c>
      <c r="D8561" s="15" t="s">
        <v>15595</v>
      </c>
      <c r="E8561" s="15">
        <v>11.6229</v>
      </c>
      <c r="F8561" s="42">
        <v>46198</v>
      </c>
    </row>
    <row r="8562" spans="1:6" x14ac:dyDescent="0.3">
      <c r="A8562" s="15" t="s">
        <v>40739</v>
      </c>
      <c r="B8562" s="15" t="s">
        <v>15596</v>
      </c>
      <c r="C8562" s="15" t="s">
        <v>800</v>
      </c>
      <c r="D8562" s="15" t="s">
        <v>15597</v>
      </c>
      <c r="E8562" s="15">
        <v>0</v>
      </c>
      <c r="F8562" s="42">
        <v>44207</v>
      </c>
    </row>
    <row r="8563" spans="1:6" x14ac:dyDescent="0.3">
      <c r="A8563" s="15" t="s">
        <v>40738</v>
      </c>
      <c r="B8563" s="15" t="s">
        <v>15598</v>
      </c>
      <c r="C8563" s="15" t="s">
        <v>800</v>
      </c>
      <c r="D8563" s="15" t="s">
        <v>15599</v>
      </c>
      <c r="E8563" s="15">
        <v>0</v>
      </c>
      <c r="F8563" s="42">
        <v>44196</v>
      </c>
    </row>
    <row r="8564" spans="1:6" x14ac:dyDescent="0.3">
      <c r="A8564" s="15" t="s">
        <v>40737</v>
      </c>
      <c r="B8564" s="15" t="s">
        <v>15600</v>
      </c>
      <c r="C8564" s="15" t="s">
        <v>800</v>
      </c>
      <c r="D8564" s="15" t="s">
        <v>15601</v>
      </c>
      <c r="E8564" s="15">
        <v>0</v>
      </c>
      <c r="F8564" s="42">
        <v>44207</v>
      </c>
    </row>
    <row r="8565" spans="1:6" x14ac:dyDescent="0.3">
      <c r="A8565" s="15" t="s">
        <v>40736</v>
      </c>
      <c r="B8565" s="15" t="s">
        <v>15602</v>
      </c>
      <c r="C8565" s="15" t="s">
        <v>800</v>
      </c>
      <c r="D8565" s="15" t="s">
        <v>15603</v>
      </c>
      <c r="E8565" s="15">
        <v>0</v>
      </c>
      <c r="F8565" s="42">
        <v>44207</v>
      </c>
    </row>
    <row r="8566" spans="1:6" x14ac:dyDescent="0.3">
      <c r="A8566" s="15" t="s">
        <v>40735</v>
      </c>
      <c r="B8566" s="15" t="s">
        <v>15604</v>
      </c>
      <c r="C8566" s="15" t="s">
        <v>800</v>
      </c>
      <c r="D8566" s="15" t="s">
        <v>15605</v>
      </c>
      <c r="E8566" s="15">
        <v>0</v>
      </c>
      <c r="F8566" s="42">
        <v>44207</v>
      </c>
    </row>
    <row r="8567" spans="1:6" x14ac:dyDescent="0.3">
      <c r="A8567" s="15" t="s">
        <v>40734</v>
      </c>
      <c r="B8567" s="15" t="s">
        <v>15606</v>
      </c>
      <c r="C8567" s="15" t="s">
        <v>800</v>
      </c>
      <c r="D8567" s="15" t="s">
        <v>15607</v>
      </c>
      <c r="E8567" s="15">
        <v>0</v>
      </c>
      <c r="F8567" s="42">
        <v>44207</v>
      </c>
    </row>
    <row r="8568" spans="1:6" x14ac:dyDescent="0.3">
      <c r="A8568" s="15" t="s">
        <v>33499</v>
      </c>
      <c r="B8568" s="15" t="s">
        <v>795</v>
      </c>
      <c r="C8568" s="15" t="s">
        <v>795</v>
      </c>
      <c r="D8568" s="15" t="s">
        <v>795</v>
      </c>
      <c r="F8568" s="42"/>
    </row>
    <row r="8569" spans="1:6" x14ac:dyDescent="0.3">
      <c r="A8569" s="15" t="s">
        <v>37043</v>
      </c>
      <c r="B8569" s="15" t="s">
        <v>795</v>
      </c>
      <c r="C8569" s="15" t="s">
        <v>795</v>
      </c>
      <c r="D8569" s="15" t="s">
        <v>795</v>
      </c>
      <c r="F8569" s="42"/>
    </row>
    <row r="8570" spans="1:6" x14ac:dyDescent="0.3">
      <c r="A8570" s="15" t="s">
        <v>33499</v>
      </c>
      <c r="B8570" s="15" t="s">
        <v>795</v>
      </c>
      <c r="C8570" s="15" t="s">
        <v>795</v>
      </c>
      <c r="D8570" s="15" t="s">
        <v>795</v>
      </c>
      <c r="F8570" s="42"/>
    </row>
    <row r="8571" spans="1:6" x14ac:dyDescent="0.3">
      <c r="A8571" s="15" t="s">
        <v>40733</v>
      </c>
      <c r="B8571" s="15" t="s">
        <v>15608</v>
      </c>
      <c r="C8571" s="15" t="s">
        <v>800</v>
      </c>
      <c r="D8571" s="15" t="s">
        <v>15609</v>
      </c>
      <c r="E8571" s="15">
        <v>89.729200000000006</v>
      </c>
      <c r="F8571" s="42">
        <v>46198</v>
      </c>
    </row>
    <row r="8572" spans="1:6" x14ac:dyDescent="0.3">
      <c r="A8572" s="15" t="s">
        <v>40732</v>
      </c>
      <c r="B8572" s="15" t="s">
        <v>15610</v>
      </c>
      <c r="C8572" s="15" t="s">
        <v>800</v>
      </c>
      <c r="D8572" s="15" t="s">
        <v>15611</v>
      </c>
      <c r="E8572" s="15">
        <v>83.897000000000006</v>
      </c>
      <c r="F8572" s="42">
        <v>46198</v>
      </c>
    </row>
    <row r="8573" spans="1:6" x14ac:dyDescent="0.3">
      <c r="A8573" s="15" t="s">
        <v>40731</v>
      </c>
      <c r="B8573" s="15" t="s">
        <v>15612</v>
      </c>
      <c r="C8573" s="15" t="s">
        <v>15613</v>
      </c>
      <c r="D8573" s="15" t="s">
        <v>15614</v>
      </c>
      <c r="E8573" s="15">
        <v>13.5824</v>
      </c>
      <c r="F8573" s="42">
        <v>46198</v>
      </c>
    </row>
    <row r="8574" spans="1:6" x14ac:dyDescent="0.3">
      <c r="A8574" s="15" t="s">
        <v>40730</v>
      </c>
      <c r="B8574" s="15" t="s">
        <v>15615</v>
      </c>
      <c r="C8574" s="15" t="s">
        <v>15616</v>
      </c>
      <c r="D8574" s="15" t="s">
        <v>15617</v>
      </c>
      <c r="E8574" s="15">
        <v>15.315</v>
      </c>
      <c r="F8574" s="42">
        <v>46198</v>
      </c>
    </row>
    <row r="8575" spans="1:6" x14ac:dyDescent="0.3">
      <c r="A8575" s="15" t="s">
        <v>40729</v>
      </c>
      <c r="B8575" s="15" t="s">
        <v>15618</v>
      </c>
      <c r="C8575" s="15" t="s">
        <v>15619</v>
      </c>
      <c r="D8575" s="15" t="s">
        <v>15620</v>
      </c>
      <c r="E8575" s="15">
        <v>14.481999999999999</v>
      </c>
      <c r="F8575" s="42">
        <v>46198</v>
      </c>
    </row>
    <row r="8576" spans="1:6" x14ac:dyDescent="0.3">
      <c r="A8576" s="15" t="s">
        <v>40728</v>
      </c>
      <c r="B8576" s="15" t="s">
        <v>15621</v>
      </c>
      <c r="C8576" s="15" t="s">
        <v>15622</v>
      </c>
      <c r="D8576" s="15" t="s">
        <v>15623</v>
      </c>
      <c r="E8576" s="15">
        <v>16.309799999999999</v>
      </c>
      <c r="F8576" s="42">
        <v>46198</v>
      </c>
    </row>
    <row r="8577" spans="1:6" x14ac:dyDescent="0.3">
      <c r="A8577" s="15" t="s">
        <v>33499</v>
      </c>
      <c r="B8577" s="15" t="s">
        <v>795</v>
      </c>
      <c r="C8577" s="15" t="s">
        <v>795</v>
      </c>
      <c r="D8577" s="15" t="s">
        <v>795</v>
      </c>
      <c r="F8577" s="42"/>
    </row>
    <row r="8578" spans="1:6" x14ac:dyDescent="0.3">
      <c r="A8578" s="15" t="s">
        <v>36815</v>
      </c>
      <c r="B8578" s="15" t="s">
        <v>795</v>
      </c>
      <c r="C8578" s="15" t="s">
        <v>795</v>
      </c>
      <c r="D8578" s="15" t="s">
        <v>795</v>
      </c>
      <c r="F8578" s="42"/>
    </row>
    <row r="8579" spans="1:6" x14ac:dyDescent="0.3">
      <c r="A8579" s="15" t="s">
        <v>33499</v>
      </c>
      <c r="B8579" s="15" t="s">
        <v>795</v>
      </c>
      <c r="C8579" s="15" t="s">
        <v>795</v>
      </c>
      <c r="D8579" s="15" t="s">
        <v>795</v>
      </c>
      <c r="F8579" s="42"/>
    </row>
    <row r="8580" spans="1:6" x14ac:dyDescent="0.3">
      <c r="A8580" s="15" t="s">
        <v>40727</v>
      </c>
      <c r="B8580" s="15" t="s">
        <v>15624</v>
      </c>
      <c r="C8580" s="15" t="s">
        <v>800</v>
      </c>
      <c r="D8580" s="15" t="s">
        <v>15625</v>
      </c>
      <c r="E8580" s="15">
        <v>71.957800000000006</v>
      </c>
      <c r="F8580" s="42">
        <v>46198</v>
      </c>
    </row>
    <row r="8581" spans="1:6" x14ac:dyDescent="0.3">
      <c r="A8581" s="15" t="s">
        <v>40726</v>
      </c>
      <c r="B8581" s="15" t="s">
        <v>15626</v>
      </c>
      <c r="C8581" s="15" t="s">
        <v>15627</v>
      </c>
      <c r="D8581" s="15" t="s">
        <v>15628</v>
      </c>
      <c r="E8581" s="15">
        <v>17.5471</v>
      </c>
      <c r="F8581" s="42">
        <v>46198</v>
      </c>
    </row>
    <row r="8582" spans="1:6" x14ac:dyDescent="0.3">
      <c r="A8582" s="15" t="s">
        <v>40725</v>
      </c>
      <c r="B8582" s="15" t="s">
        <v>15629</v>
      </c>
      <c r="C8582" s="15" t="s">
        <v>15630</v>
      </c>
      <c r="D8582" s="15" t="s">
        <v>15631</v>
      </c>
      <c r="E8582" s="15">
        <v>15.301399999999999</v>
      </c>
      <c r="F8582" s="42">
        <v>46198</v>
      </c>
    </row>
    <row r="8583" spans="1:6" x14ac:dyDescent="0.3">
      <c r="A8583" s="15" t="s">
        <v>40724</v>
      </c>
      <c r="B8583" s="15" t="s">
        <v>15632</v>
      </c>
      <c r="C8583" s="15" t="s">
        <v>800</v>
      </c>
      <c r="D8583" s="15" t="s">
        <v>15633</v>
      </c>
      <c r="E8583" s="15">
        <v>63.7241</v>
      </c>
      <c r="F8583" s="42">
        <v>46198</v>
      </c>
    </row>
    <row r="8584" spans="1:6" x14ac:dyDescent="0.3">
      <c r="A8584" s="15" t="s">
        <v>40723</v>
      </c>
      <c r="B8584" s="15" t="s">
        <v>15634</v>
      </c>
      <c r="C8584" s="15" t="s">
        <v>15635</v>
      </c>
      <c r="D8584" s="15" t="s">
        <v>15636</v>
      </c>
      <c r="E8584" s="15">
        <v>13.030799999999999</v>
      </c>
      <c r="F8584" s="42">
        <v>46198</v>
      </c>
    </row>
    <row r="8585" spans="1:6" x14ac:dyDescent="0.3">
      <c r="A8585" s="15" t="s">
        <v>40722</v>
      </c>
      <c r="B8585" s="15" t="s">
        <v>15637</v>
      </c>
      <c r="C8585" s="15" t="s">
        <v>15638</v>
      </c>
      <c r="D8585" s="15" t="s">
        <v>15639</v>
      </c>
      <c r="E8585" s="15">
        <v>17.2926</v>
      </c>
      <c r="F8585" s="42">
        <v>46198</v>
      </c>
    </row>
    <row r="8586" spans="1:6" x14ac:dyDescent="0.3">
      <c r="A8586" s="15" t="s">
        <v>33499</v>
      </c>
      <c r="B8586" s="15" t="s">
        <v>795</v>
      </c>
      <c r="C8586" s="15" t="s">
        <v>795</v>
      </c>
      <c r="D8586" s="15" t="s">
        <v>795</v>
      </c>
      <c r="F8586" s="42"/>
    </row>
    <row r="8587" spans="1:6" x14ac:dyDescent="0.3">
      <c r="A8587" s="15" t="s">
        <v>36764</v>
      </c>
      <c r="B8587" s="15" t="s">
        <v>795</v>
      </c>
      <c r="C8587" s="15" t="s">
        <v>795</v>
      </c>
      <c r="D8587" s="15" t="s">
        <v>795</v>
      </c>
      <c r="F8587" s="42"/>
    </row>
    <row r="8588" spans="1:6" x14ac:dyDescent="0.3">
      <c r="A8588" s="15" t="s">
        <v>33499</v>
      </c>
      <c r="B8588" s="15" t="s">
        <v>795</v>
      </c>
      <c r="C8588" s="15" t="s">
        <v>795</v>
      </c>
      <c r="D8588" s="15" t="s">
        <v>795</v>
      </c>
      <c r="F8588" s="42"/>
    </row>
    <row r="8589" spans="1:6" x14ac:dyDescent="0.3">
      <c r="A8589" s="15" t="s">
        <v>40721</v>
      </c>
      <c r="B8589" s="15" t="s">
        <v>15640</v>
      </c>
      <c r="C8589" s="15" t="s">
        <v>800</v>
      </c>
      <c r="D8589" s="15" t="s">
        <v>15641</v>
      </c>
      <c r="E8589" s="15">
        <v>46.392400000000002</v>
      </c>
      <c r="F8589" s="42">
        <v>43945</v>
      </c>
    </row>
    <row r="8590" spans="1:6" x14ac:dyDescent="0.3">
      <c r="A8590" s="15" t="s">
        <v>40720</v>
      </c>
      <c r="B8590" s="15" t="s">
        <v>15642</v>
      </c>
      <c r="C8590" s="15" t="s">
        <v>800</v>
      </c>
      <c r="D8590" s="15" t="s">
        <v>15643</v>
      </c>
      <c r="E8590" s="15">
        <v>87.379099999999994</v>
      </c>
      <c r="F8590" s="42">
        <v>46198</v>
      </c>
    </row>
    <row r="8591" spans="1:6" x14ac:dyDescent="0.3">
      <c r="A8591" s="15" t="s">
        <v>40719</v>
      </c>
      <c r="B8591" s="15" t="s">
        <v>15644</v>
      </c>
      <c r="C8591" s="15" t="s">
        <v>15645</v>
      </c>
      <c r="D8591" s="15" t="s">
        <v>15646</v>
      </c>
      <c r="E8591" s="15">
        <v>16.808800000000002</v>
      </c>
      <c r="F8591" s="42">
        <v>46198</v>
      </c>
    </row>
    <row r="8592" spans="1:6" x14ac:dyDescent="0.3">
      <c r="A8592" s="15" t="s">
        <v>40718</v>
      </c>
      <c r="B8592" s="15" t="s">
        <v>15647</v>
      </c>
      <c r="C8592" s="15" t="s">
        <v>15648</v>
      </c>
      <c r="D8592" s="15" t="s">
        <v>15649</v>
      </c>
      <c r="E8592" s="15">
        <v>16.497900000000001</v>
      </c>
      <c r="F8592" s="42">
        <v>46198</v>
      </c>
    </row>
    <row r="8593" spans="1:6" x14ac:dyDescent="0.3">
      <c r="A8593" s="15" t="s">
        <v>40717</v>
      </c>
      <c r="B8593" s="15" t="s">
        <v>15650</v>
      </c>
      <c r="C8593" s="15" t="s">
        <v>15651</v>
      </c>
      <c r="D8593" s="15" t="s">
        <v>15652</v>
      </c>
      <c r="E8593" s="15">
        <v>15.008900000000001</v>
      </c>
      <c r="F8593" s="42">
        <v>46198</v>
      </c>
    </row>
    <row r="8594" spans="1:6" x14ac:dyDescent="0.3">
      <c r="A8594" s="15" t="s">
        <v>40716</v>
      </c>
      <c r="B8594" s="15" t="s">
        <v>15653</v>
      </c>
      <c r="C8594" s="15" t="s">
        <v>800</v>
      </c>
      <c r="D8594" s="15" t="s">
        <v>15654</v>
      </c>
      <c r="E8594" s="15">
        <v>18.355399999999999</v>
      </c>
      <c r="F8594" s="42">
        <v>43945</v>
      </c>
    </row>
    <row r="8595" spans="1:6" x14ac:dyDescent="0.3">
      <c r="A8595" s="15" t="s">
        <v>40715</v>
      </c>
      <c r="B8595" s="15" t="s">
        <v>15655</v>
      </c>
      <c r="C8595" s="15" t="s">
        <v>800</v>
      </c>
      <c r="D8595" s="15" t="s">
        <v>15656</v>
      </c>
      <c r="E8595" s="15">
        <v>78.862700000000004</v>
      </c>
      <c r="F8595" s="42">
        <v>46198</v>
      </c>
    </row>
    <row r="8596" spans="1:6" x14ac:dyDescent="0.3">
      <c r="A8596" s="15" t="s">
        <v>40714</v>
      </c>
      <c r="B8596" s="15" t="s">
        <v>15657</v>
      </c>
      <c r="C8596" s="15" t="s">
        <v>15658</v>
      </c>
      <c r="D8596" s="15" t="s">
        <v>15659</v>
      </c>
      <c r="E8596" s="15">
        <v>13.094900000000001</v>
      </c>
      <c r="F8596" s="42">
        <v>46198</v>
      </c>
    </row>
    <row r="8597" spans="1:6" x14ac:dyDescent="0.3">
      <c r="A8597" s="15" t="s">
        <v>40713</v>
      </c>
      <c r="B8597" s="15" t="s">
        <v>15660</v>
      </c>
      <c r="C8597" s="15" t="s">
        <v>15661</v>
      </c>
      <c r="D8597" s="15" t="s">
        <v>15662</v>
      </c>
      <c r="E8597" s="15">
        <v>13.921900000000001</v>
      </c>
      <c r="F8597" s="42">
        <v>46198</v>
      </c>
    </row>
    <row r="8598" spans="1:6" x14ac:dyDescent="0.3">
      <c r="A8598" s="15" t="s">
        <v>40712</v>
      </c>
      <c r="B8598" s="15" t="s">
        <v>15663</v>
      </c>
      <c r="C8598" s="15" t="s">
        <v>15664</v>
      </c>
      <c r="D8598" s="15" t="s">
        <v>15665</v>
      </c>
      <c r="E8598" s="15">
        <v>12.171200000000001</v>
      </c>
      <c r="F8598" s="42">
        <v>46198</v>
      </c>
    </row>
    <row r="8599" spans="1:6" x14ac:dyDescent="0.3">
      <c r="A8599" s="15" t="s">
        <v>33499</v>
      </c>
      <c r="B8599" s="15" t="s">
        <v>795</v>
      </c>
      <c r="C8599" s="15" t="s">
        <v>795</v>
      </c>
      <c r="D8599" s="15" t="s">
        <v>795</v>
      </c>
      <c r="F8599" s="42"/>
    </row>
    <row r="8600" spans="1:6" x14ac:dyDescent="0.3">
      <c r="A8600" s="15" t="s">
        <v>139</v>
      </c>
      <c r="B8600" s="15" t="s">
        <v>795</v>
      </c>
      <c r="C8600" s="15" t="s">
        <v>795</v>
      </c>
      <c r="D8600" s="15" t="s">
        <v>795</v>
      </c>
      <c r="F8600" s="42"/>
    </row>
    <row r="8601" spans="1:6" x14ac:dyDescent="0.3">
      <c r="A8601" s="15" t="s">
        <v>33499</v>
      </c>
      <c r="B8601" s="15" t="s">
        <v>795</v>
      </c>
      <c r="C8601" s="15" t="s">
        <v>795</v>
      </c>
      <c r="D8601" s="15" t="s">
        <v>795</v>
      </c>
      <c r="F8601" s="42"/>
    </row>
    <row r="8602" spans="1:6" x14ac:dyDescent="0.3">
      <c r="A8602" s="15" t="s">
        <v>40711</v>
      </c>
      <c r="B8602" s="15" t="s">
        <v>15666</v>
      </c>
      <c r="C8602" s="15" t="s">
        <v>800</v>
      </c>
      <c r="D8602" s="15" t="s">
        <v>15667</v>
      </c>
      <c r="E8602" s="15">
        <v>59.579099999999997</v>
      </c>
      <c r="F8602" s="42">
        <v>46198</v>
      </c>
    </row>
    <row r="8603" spans="1:6" x14ac:dyDescent="0.3">
      <c r="A8603" s="15" t="s">
        <v>40710</v>
      </c>
      <c r="B8603" s="15" t="s">
        <v>15668</v>
      </c>
      <c r="C8603" s="15" t="s">
        <v>800</v>
      </c>
      <c r="D8603" s="15" t="s">
        <v>15669</v>
      </c>
      <c r="E8603" s="15">
        <v>69.561999999999998</v>
      </c>
      <c r="F8603" s="42">
        <v>46198</v>
      </c>
    </row>
    <row r="8604" spans="1:6" x14ac:dyDescent="0.3">
      <c r="A8604" s="15" t="s">
        <v>40709</v>
      </c>
      <c r="B8604" s="15" t="s">
        <v>15670</v>
      </c>
      <c r="C8604" s="15" t="s">
        <v>15671</v>
      </c>
      <c r="D8604" s="15" t="s">
        <v>15672</v>
      </c>
      <c r="E8604" s="15">
        <v>12.2751</v>
      </c>
      <c r="F8604" s="42">
        <v>46198</v>
      </c>
    </row>
    <row r="8605" spans="1:6" x14ac:dyDescent="0.3">
      <c r="A8605" s="15" t="s">
        <v>40708</v>
      </c>
      <c r="B8605" s="15" t="s">
        <v>15673</v>
      </c>
      <c r="C8605" s="15" t="s">
        <v>15674</v>
      </c>
      <c r="D8605" s="15" t="s">
        <v>15675</v>
      </c>
      <c r="E8605" s="15">
        <v>13.495200000000001</v>
      </c>
      <c r="F8605" s="42">
        <v>46198</v>
      </c>
    </row>
    <row r="8606" spans="1:6" x14ac:dyDescent="0.3">
      <c r="A8606" s="15" t="s">
        <v>33499</v>
      </c>
      <c r="B8606" s="15" t="s">
        <v>795</v>
      </c>
      <c r="C8606" s="15" t="s">
        <v>795</v>
      </c>
      <c r="D8606" s="15" t="s">
        <v>795</v>
      </c>
      <c r="F8606" s="42"/>
    </row>
    <row r="8607" spans="1:6" x14ac:dyDescent="0.3">
      <c r="A8607" s="15" t="s">
        <v>37618</v>
      </c>
      <c r="B8607" s="15" t="s">
        <v>795</v>
      </c>
      <c r="C8607" s="15" t="s">
        <v>795</v>
      </c>
      <c r="D8607" s="15" t="s">
        <v>795</v>
      </c>
      <c r="F8607" s="42"/>
    </row>
    <row r="8608" spans="1:6" x14ac:dyDescent="0.3">
      <c r="A8608" s="15" t="s">
        <v>33499</v>
      </c>
      <c r="B8608" s="15" t="s">
        <v>795</v>
      </c>
      <c r="C8608" s="15" t="s">
        <v>795</v>
      </c>
      <c r="D8608" s="15" t="s">
        <v>795</v>
      </c>
      <c r="F8608" s="42"/>
    </row>
    <row r="8609" spans="1:6" x14ac:dyDescent="0.3">
      <c r="A8609" s="15" t="s">
        <v>40707</v>
      </c>
      <c r="B8609" s="15" t="s">
        <v>15676</v>
      </c>
      <c r="C8609" s="15" t="s">
        <v>800</v>
      </c>
      <c r="D8609" s="15" t="s">
        <v>15677</v>
      </c>
      <c r="E8609" s="15">
        <v>94.024900000000002</v>
      </c>
      <c r="F8609" s="42">
        <v>46198</v>
      </c>
    </row>
    <row r="8610" spans="1:6" x14ac:dyDescent="0.3">
      <c r="A8610" s="15" t="s">
        <v>40706</v>
      </c>
      <c r="B8610" s="15" t="s">
        <v>15678</v>
      </c>
      <c r="C8610" s="15" t="s">
        <v>15679</v>
      </c>
      <c r="D8610" s="15" t="s">
        <v>15680</v>
      </c>
      <c r="E8610" s="15">
        <v>13.2712</v>
      </c>
      <c r="F8610" s="42">
        <v>46198</v>
      </c>
    </row>
    <row r="8611" spans="1:6" x14ac:dyDescent="0.3">
      <c r="A8611" s="15" t="s">
        <v>40705</v>
      </c>
      <c r="B8611" s="15" t="s">
        <v>15681</v>
      </c>
      <c r="C8611" s="15" t="s">
        <v>15682</v>
      </c>
      <c r="D8611" s="15" t="s">
        <v>15683</v>
      </c>
      <c r="E8611" s="15">
        <v>18.725000000000001</v>
      </c>
      <c r="F8611" s="42">
        <v>46198</v>
      </c>
    </row>
    <row r="8612" spans="1:6" x14ac:dyDescent="0.3">
      <c r="A8612" s="15" t="s">
        <v>40704</v>
      </c>
      <c r="B8612" s="15" t="s">
        <v>15684</v>
      </c>
      <c r="C8612" s="15" t="s">
        <v>15685</v>
      </c>
      <c r="D8612" s="15" t="s">
        <v>15686</v>
      </c>
      <c r="E8612" s="15">
        <v>14.3371</v>
      </c>
      <c r="F8612" s="42">
        <v>46198</v>
      </c>
    </row>
    <row r="8613" spans="1:6" x14ac:dyDescent="0.3">
      <c r="A8613" s="15" t="s">
        <v>40703</v>
      </c>
      <c r="B8613" s="15" t="s">
        <v>15687</v>
      </c>
      <c r="C8613" s="15" t="s">
        <v>800</v>
      </c>
      <c r="D8613" s="15" t="s">
        <v>15688</v>
      </c>
      <c r="E8613" s="15">
        <v>84.031800000000004</v>
      </c>
      <c r="F8613" s="42">
        <v>46198</v>
      </c>
    </row>
    <row r="8614" spans="1:6" x14ac:dyDescent="0.3">
      <c r="A8614" s="15" t="s">
        <v>40702</v>
      </c>
      <c r="B8614" s="15" t="s">
        <v>15689</v>
      </c>
      <c r="C8614" s="15" t="s">
        <v>15690</v>
      </c>
      <c r="D8614" s="15" t="s">
        <v>15691</v>
      </c>
      <c r="E8614" s="15">
        <v>12.8148</v>
      </c>
      <c r="F8614" s="42">
        <v>46198</v>
      </c>
    </row>
    <row r="8615" spans="1:6" x14ac:dyDescent="0.3">
      <c r="A8615" s="15" t="s">
        <v>40701</v>
      </c>
      <c r="B8615" s="15" t="s">
        <v>15692</v>
      </c>
      <c r="C8615" s="15" t="s">
        <v>15693</v>
      </c>
      <c r="D8615" s="15" t="s">
        <v>15694</v>
      </c>
      <c r="E8615" s="15">
        <v>14.7607</v>
      </c>
      <c r="F8615" s="42">
        <v>46198</v>
      </c>
    </row>
    <row r="8616" spans="1:6" x14ac:dyDescent="0.3">
      <c r="A8616" s="15" t="s">
        <v>40700</v>
      </c>
      <c r="B8616" s="15" t="s">
        <v>15695</v>
      </c>
      <c r="C8616" s="15" t="s">
        <v>15696</v>
      </c>
      <c r="D8616" s="15" t="s">
        <v>15697</v>
      </c>
      <c r="E8616" s="15">
        <v>11.8781</v>
      </c>
      <c r="F8616" s="42">
        <v>46198</v>
      </c>
    </row>
    <row r="8617" spans="1:6" x14ac:dyDescent="0.3">
      <c r="A8617" s="15" t="s">
        <v>33499</v>
      </c>
      <c r="B8617" s="15" t="s">
        <v>795</v>
      </c>
      <c r="C8617" s="15" t="s">
        <v>795</v>
      </c>
      <c r="D8617" s="15" t="s">
        <v>795</v>
      </c>
      <c r="F8617" s="42"/>
    </row>
    <row r="8618" spans="1:6" x14ac:dyDescent="0.3">
      <c r="A8618" s="15" t="s">
        <v>208</v>
      </c>
      <c r="B8618" s="15" t="s">
        <v>795</v>
      </c>
      <c r="C8618" s="15" t="s">
        <v>795</v>
      </c>
      <c r="D8618" s="15" t="s">
        <v>795</v>
      </c>
      <c r="F8618" s="42"/>
    </row>
    <row r="8619" spans="1:6" x14ac:dyDescent="0.3">
      <c r="A8619" s="15" t="s">
        <v>33499</v>
      </c>
      <c r="B8619" s="15" t="s">
        <v>795</v>
      </c>
      <c r="C8619" s="15" t="s">
        <v>795</v>
      </c>
      <c r="D8619" s="15" t="s">
        <v>795</v>
      </c>
      <c r="F8619" s="42"/>
    </row>
    <row r="8620" spans="1:6" x14ac:dyDescent="0.3">
      <c r="A8620" s="15" t="s">
        <v>40699</v>
      </c>
      <c r="B8620" s="15" t="s">
        <v>15698</v>
      </c>
      <c r="C8620" s="15" t="s">
        <v>15699</v>
      </c>
      <c r="D8620" s="15" t="s">
        <v>15700</v>
      </c>
      <c r="E8620" s="15">
        <v>0</v>
      </c>
      <c r="F8620" s="42">
        <v>46198</v>
      </c>
    </row>
    <row r="8621" spans="1:6" x14ac:dyDescent="0.3">
      <c r="A8621" s="15" t="s">
        <v>40698</v>
      </c>
      <c r="B8621" s="15" t="s">
        <v>15701</v>
      </c>
      <c r="C8621" s="15" t="s">
        <v>15702</v>
      </c>
      <c r="D8621" s="15" t="s">
        <v>15703</v>
      </c>
      <c r="E8621" s="15">
        <v>0</v>
      </c>
      <c r="F8621" s="42">
        <v>46198</v>
      </c>
    </row>
    <row r="8622" spans="1:6" x14ac:dyDescent="0.3">
      <c r="A8622" s="15" t="s">
        <v>40697</v>
      </c>
      <c r="B8622" s="15" t="s">
        <v>15704</v>
      </c>
      <c r="C8622" s="15" t="s">
        <v>15705</v>
      </c>
      <c r="D8622" s="15" t="s">
        <v>15706</v>
      </c>
      <c r="E8622" s="15">
        <v>0</v>
      </c>
      <c r="F8622" s="42">
        <v>46198</v>
      </c>
    </row>
    <row r="8623" spans="1:6" x14ac:dyDescent="0.3">
      <c r="A8623" s="15" t="s">
        <v>40696</v>
      </c>
      <c r="B8623" s="15" t="s">
        <v>15707</v>
      </c>
      <c r="C8623" s="15" t="s">
        <v>15708</v>
      </c>
      <c r="D8623" s="15" t="s">
        <v>15709</v>
      </c>
      <c r="E8623" s="15">
        <v>11.7264</v>
      </c>
      <c r="F8623" s="42">
        <v>46198</v>
      </c>
    </row>
    <row r="8624" spans="1:6" x14ac:dyDescent="0.3">
      <c r="A8624" s="15" t="s">
        <v>40695</v>
      </c>
      <c r="B8624" s="15" t="s">
        <v>15710</v>
      </c>
      <c r="C8624" s="15" t="s">
        <v>15711</v>
      </c>
      <c r="D8624" s="15" t="s">
        <v>15712</v>
      </c>
      <c r="E8624" s="15">
        <v>12.849399999999999</v>
      </c>
      <c r="F8624" s="42">
        <v>46198</v>
      </c>
    </row>
    <row r="8625" spans="1:6" x14ac:dyDescent="0.3">
      <c r="A8625" s="15" t="s">
        <v>40694</v>
      </c>
      <c r="B8625" s="15" t="s">
        <v>15713</v>
      </c>
      <c r="C8625" s="15" t="s">
        <v>800</v>
      </c>
      <c r="D8625" s="15" t="s">
        <v>15714</v>
      </c>
      <c r="E8625" s="15">
        <v>68.301699999999997</v>
      </c>
      <c r="F8625" s="42">
        <v>46198</v>
      </c>
    </row>
    <row r="8626" spans="1:6" x14ac:dyDescent="0.3">
      <c r="A8626" s="15" t="s">
        <v>40693</v>
      </c>
      <c r="B8626" s="15" t="s">
        <v>15715</v>
      </c>
      <c r="C8626" s="15" t="s">
        <v>15716</v>
      </c>
      <c r="D8626" s="15" t="s">
        <v>15717</v>
      </c>
      <c r="E8626" s="15">
        <v>11.285</v>
      </c>
      <c r="F8626" s="42">
        <v>46198</v>
      </c>
    </row>
    <row r="8627" spans="1:6" x14ac:dyDescent="0.3">
      <c r="A8627" s="15" t="s">
        <v>40692</v>
      </c>
      <c r="B8627" s="15" t="s">
        <v>15718</v>
      </c>
      <c r="C8627" s="15" t="s">
        <v>15719</v>
      </c>
      <c r="D8627" s="15" t="s">
        <v>15720</v>
      </c>
      <c r="E8627" s="15">
        <v>12.208600000000001</v>
      </c>
      <c r="F8627" s="42">
        <v>46198</v>
      </c>
    </row>
    <row r="8628" spans="1:6" x14ac:dyDescent="0.3">
      <c r="A8628" s="15" t="s">
        <v>40691</v>
      </c>
      <c r="B8628" s="15" t="s">
        <v>15721</v>
      </c>
      <c r="C8628" s="15" t="s">
        <v>800</v>
      </c>
      <c r="D8628" s="15" t="s">
        <v>15722</v>
      </c>
      <c r="E8628" s="15">
        <v>4.0808</v>
      </c>
      <c r="F8628" s="42">
        <v>44022</v>
      </c>
    </row>
    <row r="8629" spans="1:6" x14ac:dyDescent="0.3">
      <c r="A8629" s="15" t="s">
        <v>40690</v>
      </c>
      <c r="B8629" s="15" t="s">
        <v>15723</v>
      </c>
      <c r="C8629" s="15" t="s">
        <v>15724</v>
      </c>
      <c r="D8629" s="15" t="s">
        <v>15725</v>
      </c>
      <c r="E8629" s="15">
        <v>1.0786</v>
      </c>
      <c r="F8629" s="42">
        <v>44022</v>
      </c>
    </row>
    <row r="8630" spans="1:6" x14ac:dyDescent="0.3">
      <c r="A8630" s="15" t="s">
        <v>40689</v>
      </c>
      <c r="B8630" s="15" t="s">
        <v>15726</v>
      </c>
      <c r="C8630" s="15" t="s">
        <v>800</v>
      </c>
      <c r="D8630" s="15" t="s">
        <v>15727</v>
      </c>
      <c r="E8630" s="15">
        <v>3.8397999999999999</v>
      </c>
      <c r="F8630" s="42">
        <v>44022</v>
      </c>
    </row>
    <row r="8631" spans="1:6" x14ac:dyDescent="0.3">
      <c r="A8631" s="15" t="s">
        <v>40688</v>
      </c>
      <c r="B8631" s="15" t="s">
        <v>15728</v>
      </c>
      <c r="C8631" s="15" t="s">
        <v>15729</v>
      </c>
      <c r="D8631" s="15" t="s">
        <v>15730</v>
      </c>
      <c r="E8631" s="15">
        <v>0.99690000000000001</v>
      </c>
      <c r="F8631" s="42">
        <v>44022</v>
      </c>
    </row>
    <row r="8632" spans="1:6" x14ac:dyDescent="0.3">
      <c r="A8632" s="15" t="s">
        <v>40687</v>
      </c>
      <c r="B8632" s="15" t="s">
        <v>15731</v>
      </c>
      <c r="C8632" s="15" t="s">
        <v>15732</v>
      </c>
      <c r="D8632" s="15" t="s">
        <v>15733</v>
      </c>
      <c r="E8632" s="15">
        <v>1.0492999999999999</v>
      </c>
      <c r="F8632" s="42">
        <v>44022</v>
      </c>
    </row>
    <row r="8633" spans="1:6" x14ac:dyDescent="0.3">
      <c r="A8633" s="15" t="s">
        <v>40686</v>
      </c>
      <c r="B8633" s="15" t="s">
        <v>15734</v>
      </c>
      <c r="C8633" s="15" t="s">
        <v>800</v>
      </c>
      <c r="D8633" s="15" t="s">
        <v>15735</v>
      </c>
      <c r="E8633" s="15">
        <v>0</v>
      </c>
      <c r="F8633" s="42">
        <v>46198</v>
      </c>
    </row>
    <row r="8634" spans="1:6" x14ac:dyDescent="0.3">
      <c r="A8634" s="15" t="s">
        <v>40685</v>
      </c>
      <c r="B8634" s="15" t="s">
        <v>15736</v>
      </c>
      <c r="C8634" s="15" t="s">
        <v>800</v>
      </c>
      <c r="D8634" s="15" t="s">
        <v>15737</v>
      </c>
      <c r="E8634" s="15">
        <v>0</v>
      </c>
      <c r="F8634" s="42">
        <v>46198</v>
      </c>
    </row>
    <row r="8635" spans="1:6" x14ac:dyDescent="0.3">
      <c r="A8635" s="15" t="s">
        <v>40684</v>
      </c>
      <c r="B8635" s="15" t="s">
        <v>15738</v>
      </c>
      <c r="C8635" s="15" t="s">
        <v>800</v>
      </c>
      <c r="D8635" s="15" t="s">
        <v>15739</v>
      </c>
      <c r="E8635" s="15">
        <v>61.424599999999998</v>
      </c>
      <c r="F8635" s="42">
        <v>46198</v>
      </c>
    </row>
    <row r="8636" spans="1:6" x14ac:dyDescent="0.3">
      <c r="A8636" s="15" t="s">
        <v>40683</v>
      </c>
      <c r="B8636" s="15" t="s">
        <v>15740</v>
      </c>
      <c r="C8636" s="15" t="s">
        <v>15741</v>
      </c>
      <c r="D8636" s="15" t="s">
        <v>15742</v>
      </c>
      <c r="E8636" s="15">
        <v>0</v>
      </c>
      <c r="F8636" s="42">
        <v>46198</v>
      </c>
    </row>
    <row r="8637" spans="1:6" x14ac:dyDescent="0.3">
      <c r="A8637" s="15" t="s">
        <v>40682</v>
      </c>
      <c r="B8637" s="15" t="s">
        <v>15743</v>
      </c>
      <c r="C8637" s="15" t="s">
        <v>15744</v>
      </c>
      <c r="D8637" s="15" t="s">
        <v>15745</v>
      </c>
      <c r="E8637" s="15">
        <v>1.0860000000000001</v>
      </c>
      <c r="F8637" s="42">
        <v>44022</v>
      </c>
    </row>
    <row r="8638" spans="1:6" x14ac:dyDescent="0.3">
      <c r="A8638" s="15" t="s">
        <v>33499</v>
      </c>
      <c r="B8638" s="15" t="s">
        <v>795</v>
      </c>
      <c r="C8638" s="15" t="s">
        <v>795</v>
      </c>
      <c r="D8638" s="15" t="s">
        <v>795</v>
      </c>
      <c r="F8638" s="42"/>
    </row>
    <row r="8639" spans="1:6" x14ac:dyDescent="0.3">
      <c r="A8639" s="15" t="s">
        <v>40535</v>
      </c>
      <c r="B8639" s="15" t="s">
        <v>795</v>
      </c>
      <c r="C8639" s="15" t="s">
        <v>795</v>
      </c>
      <c r="D8639" s="15" t="s">
        <v>795</v>
      </c>
      <c r="F8639" s="42"/>
    </row>
    <row r="8640" spans="1:6" x14ac:dyDescent="0.3">
      <c r="A8640" s="15" t="s">
        <v>33499</v>
      </c>
      <c r="B8640" s="15" t="s">
        <v>795</v>
      </c>
      <c r="C8640" s="15" t="s">
        <v>795</v>
      </c>
      <c r="D8640" s="15" t="s">
        <v>795</v>
      </c>
      <c r="F8640" s="42"/>
    </row>
    <row r="8641" spans="1:6" x14ac:dyDescent="0.3">
      <c r="A8641" s="15" t="s">
        <v>40681</v>
      </c>
      <c r="B8641" s="15" t="s">
        <v>15746</v>
      </c>
      <c r="C8641" s="15" t="s">
        <v>800</v>
      </c>
      <c r="D8641" s="15" t="s">
        <v>15747</v>
      </c>
      <c r="E8641" s="15">
        <v>16.008400000000002</v>
      </c>
      <c r="F8641" s="42">
        <v>46198</v>
      </c>
    </row>
    <row r="8642" spans="1:6" x14ac:dyDescent="0.3">
      <c r="A8642" s="15" t="s">
        <v>40680</v>
      </c>
      <c r="B8642" s="15" t="s">
        <v>15748</v>
      </c>
      <c r="C8642" s="15" t="s">
        <v>15749</v>
      </c>
      <c r="D8642" s="15" t="s">
        <v>15750</v>
      </c>
      <c r="E8642" s="15">
        <v>11.010400000000001</v>
      </c>
      <c r="F8642" s="42">
        <v>46198</v>
      </c>
    </row>
    <row r="8643" spans="1:6" x14ac:dyDescent="0.3">
      <c r="A8643" s="15" t="s">
        <v>40679</v>
      </c>
      <c r="B8643" s="15" t="s">
        <v>15751</v>
      </c>
      <c r="C8643" s="15" t="s">
        <v>800</v>
      </c>
      <c r="D8643" s="15" t="s">
        <v>15752</v>
      </c>
      <c r="E8643" s="15">
        <v>15.765499999999999</v>
      </c>
      <c r="F8643" s="42">
        <v>46198</v>
      </c>
    </row>
    <row r="8644" spans="1:6" x14ac:dyDescent="0.3">
      <c r="A8644" s="15" t="s">
        <v>40678</v>
      </c>
      <c r="B8644" s="15" t="s">
        <v>15753</v>
      </c>
      <c r="C8644" s="15" t="s">
        <v>15754</v>
      </c>
      <c r="D8644" s="15" t="s">
        <v>15755</v>
      </c>
      <c r="E8644" s="15">
        <v>10.7644</v>
      </c>
      <c r="F8644" s="42">
        <v>46198</v>
      </c>
    </row>
    <row r="8645" spans="1:6" x14ac:dyDescent="0.3">
      <c r="A8645" s="15" t="s">
        <v>33499</v>
      </c>
      <c r="B8645" s="15" t="s">
        <v>795</v>
      </c>
      <c r="C8645" s="15" t="s">
        <v>795</v>
      </c>
      <c r="D8645" s="15" t="s">
        <v>795</v>
      </c>
      <c r="F8645" s="42"/>
    </row>
    <row r="8646" spans="1:6" x14ac:dyDescent="0.3">
      <c r="A8646" s="15" t="s">
        <v>33636</v>
      </c>
      <c r="B8646" s="15" t="s">
        <v>795</v>
      </c>
      <c r="C8646" s="15" t="s">
        <v>795</v>
      </c>
      <c r="D8646" s="15" t="s">
        <v>795</v>
      </c>
      <c r="F8646" s="42"/>
    </row>
    <row r="8647" spans="1:6" x14ac:dyDescent="0.3">
      <c r="A8647" s="15" t="s">
        <v>33499</v>
      </c>
      <c r="B8647" s="15" t="s">
        <v>795</v>
      </c>
      <c r="C8647" s="15" t="s">
        <v>795</v>
      </c>
      <c r="D8647" s="15" t="s">
        <v>795</v>
      </c>
      <c r="F8647" s="42"/>
    </row>
    <row r="8648" spans="1:6" x14ac:dyDescent="0.3">
      <c r="A8648" s="15" t="s">
        <v>40677</v>
      </c>
      <c r="B8648" s="15" t="s">
        <v>15756</v>
      </c>
      <c r="C8648" s="15" t="s">
        <v>15757</v>
      </c>
      <c r="D8648" s="15" t="s">
        <v>15758</v>
      </c>
      <c r="E8648" s="15">
        <v>25.561699999999998</v>
      </c>
      <c r="F8648" s="42">
        <v>46198</v>
      </c>
    </row>
    <row r="8649" spans="1:6" x14ac:dyDescent="0.3">
      <c r="A8649" s="15" t="s">
        <v>40676</v>
      </c>
      <c r="B8649" s="15" t="s">
        <v>15759</v>
      </c>
      <c r="C8649" s="15" t="s">
        <v>15760</v>
      </c>
      <c r="D8649" s="15" t="s">
        <v>15761</v>
      </c>
      <c r="E8649" s="15">
        <v>33.362900000000003</v>
      </c>
      <c r="F8649" s="42">
        <v>46198</v>
      </c>
    </row>
    <row r="8650" spans="1:6" x14ac:dyDescent="0.3">
      <c r="A8650" s="15" t="s">
        <v>40675</v>
      </c>
      <c r="B8650" s="15" t="s">
        <v>15762</v>
      </c>
      <c r="C8650" s="15" t="s">
        <v>800</v>
      </c>
      <c r="D8650" s="15" t="s">
        <v>15763</v>
      </c>
      <c r="E8650" s="15">
        <v>83.661699999999996</v>
      </c>
      <c r="F8650" s="42">
        <v>46198</v>
      </c>
    </row>
    <row r="8651" spans="1:6" x14ac:dyDescent="0.3">
      <c r="A8651" s="15" t="s">
        <v>40674</v>
      </c>
      <c r="B8651" s="15" t="s">
        <v>15764</v>
      </c>
      <c r="C8651" s="15" t="s">
        <v>15765</v>
      </c>
      <c r="D8651" s="15" t="s">
        <v>15766</v>
      </c>
      <c r="E8651" s="15">
        <v>28.073699999999999</v>
      </c>
      <c r="F8651" s="42">
        <v>46198</v>
      </c>
    </row>
    <row r="8652" spans="1:6" x14ac:dyDescent="0.3">
      <c r="A8652" s="15" t="s">
        <v>40673</v>
      </c>
      <c r="B8652" s="15" t="s">
        <v>15767</v>
      </c>
      <c r="C8652" s="15" t="s">
        <v>15768</v>
      </c>
      <c r="D8652" s="15" t="s">
        <v>15769</v>
      </c>
      <c r="E8652" s="15">
        <v>26.892399999999999</v>
      </c>
      <c r="F8652" s="42">
        <v>46198</v>
      </c>
    </row>
    <row r="8653" spans="1:6" x14ac:dyDescent="0.3">
      <c r="A8653" s="15" t="s">
        <v>40672</v>
      </c>
      <c r="B8653" s="15" t="s">
        <v>15770</v>
      </c>
      <c r="C8653" s="15" t="s">
        <v>800</v>
      </c>
      <c r="D8653" s="15" t="s">
        <v>15771</v>
      </c>
      <c r="E8653" s="15">
        <v>76.2393</v>
      </c>
      <c r="F8653" s="42">
        <v>46198</v>
      </c>
    </row>
    <row r="8654" spans="1:6" x14ac:dyDescent="0.3">
      <c r="A8654" s="15" t="s">
        <v>40671</v>
      </c>
      <c r="B8654" s="15" t="s">
        <v>15772</v>
      </c>
      <c r="C8654" s="15" t="s">
        <v>15773</v>
      </c>
      <c r="D8654" s="15" t="s">
        <v>15774</v>
      </c>
      <c r="E8654" s="15">
        <v>21.4086</v>
      </c>
      <c r="F8654" s="42">
        <v>46198</v>
      </c>
    </row>
    <row r="8655" spans="1:6" x14ac:dyDescent="0.3">
      <c r="A8655" s="15" t="s">
        <v>40670</v>
      </c>
      <c r="B8655" s="15" t="s">
        <v>15775</v>
      </c>
      <c r="C8655" s="15" t="s">
        <v>15776</v>
      </c>
      <c r="D8655" s="15" t="s">
        <v>15777</v>
      </c>
      <c r="E8655" s="15">
        <v>21.988399999999999</v>
      </c>
      <c r="F8655" s="42">
        <v>46198</v>
      </c>
    </row>
    <row r="8656" spans="1:6" x14ac:dyDescent="0.3">
      <c r="A8656" s="15" t="s">
        <v>33499</v>
      </c>
      <c r="B8656" s="15" t="s">
        <v>795</v>
      </c>
      <c r="C8656" s="15" t="s">
        <v>795</v>
      </c>
      <c r="D8656" s="15" t="s">
        <v>795</v>
      </c>
      <c r="F8656" s="42"/>
    </row>
    <row r="8657" spans="1:6" x14ac:dyDescent="0.3">
      <c r="A8657" s="15" t="s">
        <v>37414</v>
      </c>
      <c r="B8657" s="15" t="s">
        <v>795</v>
      </c>
      <c r="C8657" s="15" t="s">
        <v>795</v>
      </c>
      <c r="D8657" s="15" t="s">
        <v>795</v>
      </c>
      <c r="F8657" s="42"/>
    </row>
    <row r="8658" spans="1:6" x14ac:dyDescent="0.3">
      <c r="A8658" s="15" t="s">
        <v>33499</v>
      </c>
      <c r="B8658" s="15" t="s">
        <v>795</v>
      </c>
      <c r="C8658" s="15" t="s">
        <v>795</v>
      </c>
      <c r="D8658" s="15" t="s">
        <v>795</v>
      </c>
      <c r="F8658" s="42"/>
    </row>
    <row r="8659" spans="1:6" x14ac:dyDescent="0.3">
      <c r="A8659" s="15" t="s">
        <v>40669</v>
      </c>
      <c r="B8659" s="15" t="s">
        <v>15778</v>
      </c>
      <c r="C8659" s="15" t="s">
        <v>800</v>
      </c>
      <c r="D8659" s="15" t="s">
        <v>15779</v>
      </c>
      <c r="E8659" s="15">
        <v>32.556600000000003</v>
      </c>
      <c r="F8659" s="42">
        <v>46198</v>
      </c>
    </row>
    <row r="8660" spans="1:6" x14ac:dyDescent="0.3">
      <c r="A8660" s="15" t="s">
        <v>40668</v>
      </c>
      <c r="B8660" s="15" t="s">
        <v>15780</v>
      </c>
      <c r="C8660" s="15" t="s">
        <v>15781</v>
      </c>
      <c r="D8660" s="15" t="s">
        <v>15782</v>
      </c>
      <c r="E8660" s="15">
        <v>13.6387</v>
      </c>
      <c r="F8660" s="42">
        <v>45835</v>
      </c>
    </row>
    <row r="8661" spans="1:6" x14ac:dyDescent="0.3">
      <c r="A8661" s="15" t="s">
        <v>40667</v>
      </c>
      <c r="B8661" s="15" t="s">
        <v>15783</v>
      </c>
      <c r="C8661" s="15" t="s">
        <v>15784</v>
      </c>
      <c r="D8661" s="15" t="s">
        <v>15785</v>
      </c>
      <c r="E8661" s="15">
        <v>21.457799999999999</v>
      </c>
      <c r="F8661" s="42">
        <v>45835</v>
      </c>
    </row>
    <row r="8662" spans="1:6" x14ac:dyDescent="0.3">
      <c r="A8662" s="15" t="s">
        <v>40666</v>
      </c>
      <c r="B8662" s="15" t="s">
        <v>15786</v>
      </c>
      <c r="C8662" s="15" t="s">
        <v>15787</v>
      </c>
      <c r="D8662" s="15" t="s">
        <v>15788</v>
      </c>
      <c r="E8662" s="15">
        <v>20.454000000000001</v>
      </c>
      <c r="F8662" s="42">
        <v>46198</v>
      </c>
    </row>
    <row r="8663" spans="1:6" x14ac:dyDescent="0.3">
      <c r="A8663" s="15" t="s">
        <v>40665</v>
      </c>
      <c r="B8663" s="15" t="s">
        <v>15789</v>
      </c>
      <c r="C8663" s="15" t="s">
        <v>800</v>
      </c>
      <c r="D8663" s="15" t="s">
        <v>15790</v>
      </c>
      <c r="E8663" s="15">
        <v>29.317</v>
      </c>
      <c r="F8663" s="42">
        <v>46198</v>
      </c>
    </row>
    <row r="8664" spans="1:6" x14ac:dyDescent="0.3">
      <c r="A8664" s="15" t="s">
        <v>40664</v>
      </c>
      <c r="B8664" s="15" t="s">
        <v>15791</v>
      </c>
      <c r="C8664" s="15" t="s">
        <v>15792</v>
      </c>
      <c r="D8664" s="15" t="s">
        <v>15793</v>
      </c>
      <c r="E8664" s="15">
        <v>13.475199999999999</v>
      </c>
      <c r="F8664" s="42">
        <v>45835</v>
      </c>
    </row>
    <row r="8665" spans="1:6" x14ac:dyDescent="0.3">
      <c r="A8665" s="15" t="s">
        <v>40663</v>
      </c>
      <c r="B8665" s="15" t="s">
        <v>15794</v>
      </c>
      <c r="C8665" s="15" t="s">
        <v>15795</v>
      </c>
      <c r="D8665" s="15" t="s">
        <v>15796</v>
      </c>
      <c r="E8665" s="15">
        <v>18.3078</v>
      </c>
      <c r="F8665" s="42">
        <v>46198</v>
      </c>
    </row>
    <row r="8666" spans="1:6" x14ac:dyDescent="0.3">
      <c r="A8666" s="15" t="s">
        <v>40662</v>
      </c>
      <c r="B8666" s="15" t="s">
        <v>15797</v>
      </c>
      <c r="C8666" s="15" t="s">
        <v>15798</v>
      </c>
      <c r="D8666" s="15" t="s">
        <v>15799</v>
      </c>
      <c r="E8666" s="15">
        <v>19.2742</v>
      </c>
      <c r="F8666" s="42">
        <v>45835</v>
      </c>
    </row>
    <row r="8667" spans="1:6" x14ac:dyDescent="0.3">
      <c r="A8667" s="15" t="s">
        <v>33499</v>
      </c>
      <c r="B8667" s="15" t="s">
        <v>795</v>
      </c>
      <c r="C8667" s="15" t="s">
        <v>795</v>
      </c>
      <c r="D8667" s="15" t="s">
        <v>795</v>
      </c>
      <c r="F8667" s="42"/>
    </row>
    <row r="8668" spans="1:6" x14ac:dyDescent="0.3">
      <c r="A8668" s="15" t="s">
        <v>33500</v>
      </c>
      <c r="B8668" s="15" t="s">
        <v>795</v>
      </c>
      <c r="C8668" s="15" t="s">
        <v>795</v>
      </c>
      <c r="D8668" s="15" t="s">
        <v>795</v>
      </c>
      <c r="F8668" s="42"/>
    </row>
    <row r="8669" spans="1:6" x14ac:dyDescent="0.3">
      <c r="A8669" s="15" t="s">
        <v>33499</v>
      </c>
      <c r="B8669" s="15" t="s">
        <v>795</v>
      </c>
      <c r="C8669" s="15" t="s">
        <v>795</v>
      </c>
      <c r="D8669" s="15" t="s">
        <v>795</v>
      </c>
      <c r="F8669" s="42"/>
    </row>
    <row r="8670" spans="1:6" x14ac:dyDescent="0.3">
      <c r="A8670" s="15" t="s">
        <v>40661</v>
      </c>
      <c r="B8670" s="15" t="s">
        <v>15800</v>
      </c>
      <c r="C8670" s="15" t="s">
        <v>800</v>
      </c>
      <c r="D8670" s="15" t="s">
        <v>15801</v>
      </c>
      <c r="E8670" s="15">
        <v>4.08</v>
      </c>
      <c r="F8670" s="42">
        <v>44588</v>
      </c>
    </row>
    <row r="8671" spans="1:6" x14ac:dyDescent="0.3">
      <c r="A8671" s="15" t="s">
        <v>40660</v>
      </c>
      <c r="B8671" s="15" t="s">
        <v>15802</v>
      </c>
      <c r="C8671" s="15" t="s">
        <v>800</v>
      </c>
      <c r="D8671" s="15" t="s">
        <v>15803</v>
      </c>
      <c r="E8671" s="15">
        <v>4.0130999999999997</v>
      </c>
      <c r="F8671" s="42">
        <v>44588</v>
      </c>
    </row>
    <row r="8672" spans="1:6" x14ac:dyDescent="0.3">
      <c r="A8672" s="15" t="s">
        <v>40659</v>
      </c>
      <c r="B8672" s="15" t="s">
        <v>15804</v>
      </c>
      <c r="C8672" s="15" t="s">
        <v>800</v>
      </c>
      <c r="D8672" s="15" t="s">
        <v>15805</v>
      </c>
      <c r="E8672" s="15">
        <v>3.8395999999999999</v>
      </c>
      <c r="F8672" s="42">
        <v>44588</v>
      </c>
    </row>
    <row r="8673" spans="1:6" x14ac:dyDescent="0.3">
      <c r="A8673" s="15" t="s">
        <v>40658</v>
      </c>
      <c r="B8673" s="15" t="s">
        <v>15806</v>
      </c>
      <c r="C8673" s="15" t="s">
        <v>800</v>
      </c>
      <c r="D8673" s="15" t="s">
        <v>15807</v>
      </c>
      <c r="E8673" s="15">
        <v>3.8416000000000001</v>
      </c>
      <c r="F8673" s="42">
        <v>44588</v>
      </c>
    </row>
    <row r="8674" spans="1:6" x14ac:dyDescent="0.3">
      <c r="A8674" s="15" t="s">
        <v>40657</v>
      </c>
      <c r="B8674" s="15" t="s">
        <v>15808</v>
      </c>
      <c r="C8674" s="15" t="s">
        <v>15809</v>
      </c>
      <c r="D8674" s="15" t="s">
        <v>15810</v>
      </c>
      <c r="E8674" s="15">
        <v>3.4135</v>
      </c>
      <c r="F8674" s="42">
        <v>44588</v>
      </c>
    </row>
    <row r="8675" spans="1:6" x14ac:dyDescent="0.3">
      <c r="A8675" s="15" t="s">
        <v>40656</v>
      </c>
      <c r="B8675" s="15" t="s">
        <v>15811</v>
      </c>
      <c r="C8675" s="15" t="s">
        <v>15812</v>
      </c>
      <c r="D8675" s="15" t="s">
        <v>15813</v>
      </c>
      <c r="E8675" s="15">
        <v>1.4527000000000001</v>
      </c>
      <c r="F8675" s="42">
        <v>44588</v>
      </c>
    </row>
    <row r="8676" spans="1:6" x14ac:dyDescent="0.3">
      <c r="A8676" s="15" t="s">
        <v>40655</v>
      </c>
      <c r="B8676" s="15" t="s">
        <v>15814</v>
      </c>
      <c r="C8676" s="15" t="s">
        <v>15815</v>
      </c>
      <c r="D8676" s="15" t="s">
        <v>15816</v>
      </c>
      <c r="E8676" s="15">
        <v>3.1928000000000001</v>
      </c>
      <c r="F8676" s="42">
        <v>44588</v>
      </c>
    </row>
    <row r="8677" spans="1:6" x14ac:dyDescent="0.3">
      <c r="A8677" s="15" t="s">
        <v>40654</v>
      </c>
      <c r="B8677" s="15" t="s">
        <v>15817</v>
      </c>
      <c r="C8677" s="15" t="s">
        <v>15818</v>
      </c>
      <c r="D8677" s="15" t="s">
        <v>15819</v>
      </c>
      <c r="E8677" s="15">
        <v>1.3512</v>
      </c>
      <c r="F8677" s="42">
        <v>44588</v>
      </c>
    </row>
    <row r="8678" spans="1:6" x14ac:dyDescent="0.3">
      <c r="A8678" s="15" t="s">
        <v>40653</v>
      </c>
      <c r="B8678" s="15" t="s">
        <v>15820</v>
      </c>
      <c r="C8678" s="15" t="s">
        <v>800</v>
      </c>
      <c r="D8678" s="15" t="s">
        <v>15821</v>
      </c>
      <c r="E8678" s="15">
        <v>70.638900000000007</v>
      </c>
      <c r="F8678" s="42">
        <v>46198</v>
      </c>
    </row>
    <row r="8679" spans="1:6" x14ac:dyDescent="0.3">
      <c r="A8679" s="15" t="s">
        <v>40652</v>
      </c>
      <c r="B8679" s="15" t="s">
        <v>15822</v>
      </c>
      <c r="C8679" s="15" t="s">
        <v>15823</v>
      </c>
      <c r="D8679" s="15" t="s">
        <v>15824</v>
      </c>
      <c r="E8679" s="15">
        <v>49.913499999999999</v>
      </c>
      <c r="F8679" s="42">
        <v>46198</v>
      </c>
    </row>
    <row r="8680" spans="1:6" x14ac:dyDescent="0.3">
      <c r="A8680" s="15" t="s">
        <v>40651</v>
      </c>
      <c r="B8680" s="15" t="s">
        <v>15825</v>
      </c>
      <c r="C8680" s="15" t="s">
        <v>800</v>
      </c>
      <c r="D8680" s="15" t="s">
        <v>15826</v>
      </c>
      <c r="E8680" s="15">
        <v>76.835700000000003</v>
      </c>
      <c r="F8680" s="42">
        <v>46198</v>
      </c>
    </row>
    <row r="8681" spans="1:6" x14ac:dyDescent="0.3">
      <c r="A8681" s="15" t="s">
        <v>40650</v>
      </c>
      <c r="B8681" s="15" t="s">
        <v>15827</v>
      </c>
      <c r="C8681" s="15" t="s">
        <v>15828</v>
      </c>
      <c r="D8681" s="15" t="s">
        <v>15829</v>
      </c>
      <c r="E8681" s="15">
        <v>19.3218</v>
      </c>
      <c r="F8681" s="42">
        <v>46198</v>
      </c>
    </row>
    <row r="8682" spans="1:6" x14ac:dyDescent="0.3">
      <c r="A8682" s="15" t="s">
        <v>40649</v>
      </c>
      <c r="B8682" s="15" t="s">
        <v>15830</v>
      </c>
      <c r="C8682" s="15" t="s">
        <v>800</v>
      </c>
      <c r="D8682" s="15" t="s">
        <v>15831</v>
      </c>
      <c r="E8682" s="15">
        <v>75.583500000000001</v>
      </c>
      <c r="F8682" s="42">
        <v>46198</v>
      </c>
    </row>
    <row r="8683" spans="1:6" x14ac:dyDescent="0.3">
      <c r="A8683" s="15" t="s">
        <v>40648</v>
      </c>
      <c r="B8683" s="15" t="s">
        <v>15832</v>
      </c>
      <c r="C8683" s="15" t="s">
        <v>15833</v>
      </c>
      <c r="D8683" s="15" t="s">
        <v>15834</v>
      </c>
      <c r="E8683" s="15">
        <v>44.657699999999998</v>
      </c>
      <c r="F8683" s="42">
        <v>46198</v>
      </c>
    </row>
    <row r="8684" spans="1:6" x14ac:dyDescent="0.3">
      <c r="A8684" s="15" t="s">
        <v>40647</v>
      </c>
      <c r="B8684" s="15" t="s">
        <v>15835</v>
      </c>
      <c r="C8684" s="15" t="s">
        <v>800</v>
      </c>
      <c r="D8684" s="15" t="s">
        <v>15836</v>
      </c>
      <c r="E8684" s="15">
        <v>70.602699999999999</v>
      </c>
      <c r="F8684" s="42">
        <v>46198</v>
      </c>
    </row>
    <row r="8685" spans="1:6" x14ac:dyDescent="0.3">
      <c r="A8685" s="15" t="s">
        <v>40646</v>
      </c>
      <c r="B8685" s="15" t="s">
        <v>15837</v>
      </c>
      <c r="C8685" s="15" t="s">
        <v>15838</v>
      </c>
      <c r="D8685" s="15" t="s">
        <v>15839</v>
      </c>
      <c r="E8685" s="15">
        <v>16.976600000000001</v>
      </c>
      <c r="F8685" s="42">
        <v>46198</v>
      </c>
    </row>
    <row r="8686" spans="1:6" x14ac:dyDescent="0.3">
      <c r="A8686" s="15" t="s">
        <v>33499</v>
      </c>
      <c r="B8686" s="15" t="s">
        <v>795</v>
      </c>
      <c r="C8686" s="15" t="s">
        <v>795</v>
      </c>
      <c r="D8686" s="15" t="s">
        <v>795</v>
      </c>
      <c r="F8686" s="42"/>
    </row>
    <row r="8687" spans="1:6" x14ac:dyDescent="0.3">
      <c r="A8687" s="15" t="s">
        <v>40645</v>
      </c>
      <c r="B8687" s="15" t="s">
        <v>795</v>
      </c>
      <c r="C8687" s="15" t="s">
        <v>795</v>
      </c>
      <c r="D8687" s="15" t="s">
        <v>795</v>
      </c>
      <c r="F8687" s="42"/>
    </row>
    <row r="8688" spans="1:6" x14ac:dyDescent="0.3">
      <c r="A8688" s="15" t="s">
        <v>33499</v>
      </c>
      <c r="B8688" s="15" t="s">
        <v>795</v>
      </c>
      <c r="C8688" s="15" t="s">
        <v>795</v>
      </c>
      <c r="D8688" s="15" t="s">
        <v>795</v>
      </c>
      <c r="F8688" s="42"/>
    </row>
    <row r="8689" spans="1:6" x14ac:dyDescent="0.3">
      <c r="A8689" s="15" t="s">
        <v>37122</v>
      </c>
      <c r="B8689" s="15" t="s">
        <v>795</v>
      </c>
      <c r="C8689" s="15" t="s">
        <v>795</v>
      </c>
      <c r="D8689" s="15" t="s">
        <v>795</v>
      </c>
      <c r="F8689" s="42"/>
    </row>
    <row r="8690" spans="1:6" x14ac:dyDescent="0.3">
      <c r="A8690" s="15" t="s">
        <v>33499</v>
      </c>
      <c r="B8690" s="15" t="s">
        <v>795</v>
      </c>
      <c r="C8690" s="15" t="s">
        <v>795</v>
      </c>
      <c r="D8690" s="15" t="s">
        <v>795</v>
      </c>
      <c r="F8690" s="42"/>
    </row>
    <row r="8691" spans="1:6" x14ac:dyDescent="0.3">
      <c r="A8691" s="15" t="s">
        <v>40644</v>
      </c>
      <c r="B8691" s="15" t="s">
        <v>15840</v>
      </c>
      <c r="C8691" s="15" t="s">
        <v>800</v>
      </c>
      <c r="D8691" s="15" t="s">
        <v>15841</v>
      </c>
      <c r="E8691" s="15">
        <v>126.93</v>
      </c>
      <c r="F8691" s="42">
        <v>46198</v>
      </c>
    </row>
    <row r="8692" spans="1:6" x14ac:dyDescent="0.3">
      <c r="A8692" s="15" t="s">
        <v>40643</v>
      </c>
      <c r="B8692" s="15" t="s">
        <v>15842</v>
      </c>
      <c r="C8692" s="15" t="s">
        <v>800</v>
      </c>
      <c r="D8692" s="15" t="s">
        <v>15843</v>
      </c>
      <c r="E8692" s="15">
        <v>110.68</v>
      </c>
      <c r="F8692" s="42">
        <v>46198</v>
      </c>
    </row>
    <row r="8693" spans="1:6" x14ac:dyDescent="0.3">
      <c r="A8693" s="15" t="s">
        <v>40642</v>
      </c>
      <c r="B8693" s="15" t="s">
        <v>15844</v>
      </c>
      <c r="C8693" s="15" t="s">
        <v>15845</v>
      </c>
      <c r="D8693" s="15" t="s">
        <v>15846</v>
      </c>
      <c r="E8693" s="15">
        <v>30.08</v>
      </c>
      <c r="F8693" s="42">
        <v>46198</v>
      </c>
    </row>
    <row r="8694" spans="1:6" x14ac:dyDescent="0.3">
      <c r="A8694" s="15" t="s">
        <v>40641</v>
      </c>
      <c r="B8694" s="15" t="s">
        <v>15847</v>
      </c>
      <c r="C8694" s="15" t="s">
        <v>15848</v>
      </c>
      <c r="D8694" s="15" t="s">
        <v>15849</v>
      </c>
      <c r="E8694" s="15">
        <v>26.19</v>
      </c>
      <c r="F8694" s="42">
        <v>46198</v>
      </c>
    </row>
    <row r="8695" spans="1:6" x14ac:dyDescent="0.3">
      <c r="A8695" s="15" t="s">
        <v>33499</v>
      </c>
      <c r="B8695" s="15" t="s">
        <v>795</v>
      </c>
      <c r="C8695" s="15" t="s">
        <v>795</v>
      </c>
      <c r="D8695" s="15" t="s">
        <v>795</v>
      </c>
      <c r="F8695" s="42"/>
    </row>
    <row r="8696" spans="1:6" x14ac:dyDescent="0.3">
      <c r="A8696" s="15" t="s">
        <v>37087</v>
      </c>
      <c r="B8696" s="15" t="s">
        <v>795</v>
      </c>
      <c r="C8696" s="15" t="s">
        <v>795</v>
      </c>
      <c r="D8696" s="15" t="s">
        <v>795</v>
      </c>
      <c r="F8696" s="42"/>
    </row>
    <row r="8697" spans="1:6" x14ac:dyDescent="0.3">
      <c r="A8697" s="15" t="s">
        <v>33499</v>
      </c>
      <c r="B8697" s="15" t="s">
        <v>795</v>
      </c>
      <c r="C8697" s="15" t="s">
        <v>795</v>
      </c>
      <c r="D8697" s="15" t="s">
        <v>795</v>
      </c>
      <c r="F8697" s="42"/>
    </row>
    <row r="8698" spans="1:6" x14ac:dyDescent="0.3">
      <c r="A8698" s="15" t="s">
        <v>40640</v>
      </c>
      <c r="B8698" s="15" t="s">
        <v>15850</v>
      </c>
      <c r="C8698" s="15" t="s">
        <v>800</v>
      </c>
      <c r="D8698" s="15" t="s">
        <v>15851</v>
      </c>
      <c r="E8698" s="15">
        <v>24.07</v>
      </c>
      <c r="F8698" s="42">
        <v>46198</v>
      </c>
    </row>
    <row r="8699" spans="1:6" x14ac:dyDescent="0.3">
      <c r="A8699" s="15" t="s">
        <v>40639</v>
      </c>
      <c r="B8699" s="15" t="s">
        <v>15852</v>
      </c>
      <c r="C8699" s="15" t="s">
        <v>15853</v>
      </c>
      <c r="D8699" s="15" t="s">
        <v>15854</v>
      </c>
      <c r="E8699" s="15">
        <v>14.04</v>
      </c>
      <c r="F8699" s="42">
        <v>46198</v>
      </c>
    </row>
    <row r="8700" spans="1:6" x14ac:dyDescent="0.3">
      <c r="A8700" s="15" t="s">
        <v>40638</v>
      </c>
      <c r="B8700" s="15" t="s">
        <v>15855</v>
      </c>
      <c r="C8700" s="15" t="s">
        <v>800</v>
      </c>
      <c r="D8700" s="15" t="s">
        <v>15856</v>
      </c>
      <c r="E8700" s="15">
        <v>21.37</v>
      </c>
      <c r="F8700" s="42">
        <v>46198</v>
      </c>
    </row>
    <row r="8701" spans="1:6" x14ac:dyDescent="0.3">
      <c r="A8701" s="15" t="s">
        <v>40637</v>
      </c>
      <c r="B8701" s="15" t="s">
        <v>15857</v>
      </c>
      <c r="C8701" s="15" t="s">
        <v>15858</v>
      </c>
      <c r="D8701" s="15" t="s">
        <v>15859</v>
      </c>
      <c r="E8701" s="15">
        <v>12.86</v>
      </c>
      <c r="F8701" s="42">
        <v>46198</v>
      </c>
    </row>
    <row r="8702" spans="1:6" x14ac:dyDescent="0.3">
      <c r="A8702" s="15" t="s">
        <v>33499</v>
      </c>
      <c r="B8702" s="15" t="s">
        <v>795</v>
      </c>
      <c r="C8702" s="15" t="s">
        <v>795</v>
      </c>
      <c r="D8702" s="15" t="s">
        <v>795</v>
      </c>
      <c r="F8702" s="42"/>
    </row>
    <row r="8703" spans="1:6" x14ac:dyDescent="0.3">
      <c r="A8703" s="15" t="s">
        <v>37923</v>
      </c>
      <c r="B8703" s="15" t="s">
        <v>795</v>
      </c>
      <c r="C8703" s="15" t="s">
        <v>795</v>
      </c>
      <c r="D8703" s="15" t="s">
        <v>795</v>
      </c>
      <c r="F8703" s="42"/>
    </row>
    <row r="8704" spans="1:6" x14ac:dyDescent="0.3">
      <c r="A8704" s="15" t="s">
        <v>33499</v>
      </c>
      <c r="B8704" s="15" t="s">
        <v>795</v>
      </c>
      <c r="C8704" s="15" t="s">
        <v>795</v>
      </c>
      <c r="D8704" s="15" t="s">
        <v>795</v>
      </c>
      <c r="F8704" s="42"/>
    </row>
    <row r="8705" spans="1:6" x14ac:dyDescent="0.3">
      <c r="A8705" s="15" t="s">
        <v>40636</v>
      </c>
      <c r="B8705" s="15" t="s">
        <v>15860</v>
      </c>
      <c r="C8705" s="15" t="s">
        <v>800</v>
      </c>
      <c r="D8705" s="15" t="s">
        <v>15861</v>
      </c>
      <c r="E8705" s="15">
        <v>11.917999999999999</v>
      </c>
      <c r="F8705" s="42">
        <v>46198</v>
      </c>
    </row>
    <row r="8706" spans="1:6" x14ac:dyDescent="0.3">
      <c r="A8706" s="15" t="s">
        <v>40635</v>
      </c>
      <c r="B8706" s="15" t="s">
        <v>15862</v>
      </c>
      <c r="C8706" s="15" t="s">
        <v>15863</v>
      </c>
      <c r="D8706" s="15" t="s">
        <v>15864</v>
      </c>
      <c r="E8706" s="15">
        <v>11.917999999999999</v>
      </c>
      <c r="F8706" s="42">
        <v>46198</v>
      </c>
    </row>
    <row r="8707" spans="1:6" x14ac:dyDescent="0.3">
      <c r="A8707" s="15" t="s">
        <v>40634</v>
      </c>
      <c r="B8707" s="15" t="s">
        <v>15865</v>
      </c>
      <c r="C8707" s="15" t="s">
        <v>800</v>
      </c>
      <c r="D8707" s="15" t="s">
        <v>15866</v>
      </c>
      <c r="E8707" s="15">
        <v>11.461</v>
      </c>
      <c r="F8707" s="42">
        <v>46198</v>
      </c>
    </row>
    <row r="8708" spans="1:6" x14ac:dyDescent="0.3">
      <c r="A8708" s="15" t="s">
        <v>40633</v>
      </c>
      <c r="B8708" s="15" t="s">
        <v>15867</v>
      </c>
      <c r="C8708" s="15" t="s">
        <v>15868</v>
      </c>
      <c r="D8708" s="15" t="s">
        <v>15869</v>
      </c>
      <c r="E8708" s="15">
        <v>11.461</v>
      </c>
      <c r="F8708" s="42">
        <v>46198</v>
      </c>
    </row>
    <row r="8709" spans="1:6" x14ac:dyDescent="0.3">
      <c r="A8709" s="15" t="s">
        <v>33499</v>
      </c>
      <c r="B8709" s="15" t="s">
        <v>795</v>
      </c>
      <c r="C8709" s="15" t="s">
        <v>795</v>
      </c>
      <c r="D8709" s="15" t="s">
        <v>795</v>
      </c>
      <c r="F8709" s="42"/>
    </row>
    <row r="8710" spans="1:6" x14ac:dyDescent="0.3">
      <c r="A8710" s="15" t="s">
        <v>37073</v>
      </c>
      <c r="B8710" s="15" t="s">
        <v>795</v>
      </c>
      <c r="C8710" s="15" t="s">
        <v>795</v>
      </c>
      <c r="D8710" s="15" t="s">
        <v>795</v>
      </c>
      <c r="F8710" s="42"/>
    </row>
    <row r="8711" spans="1:6" x14ac:dyDescent="0.3">
      <c r="A8711" s="15" t="s">
        <v>33499</v>
      </c>
      <c r="B8711" s="15" t="s">
        <v>795</v>
      </c>
      <c r="C8711" s="15" t="s">
        <v>795</v>
      </c>
      <c r="D8711" s="15" t="s">
        <v>795</v>
      </c>
      <c r="F8711" s="42"/>
    </row>
    <row r="8712" spans="1:6" x14ac:dyDescent="0.3">
      <c r="A8712" s="15" t="s">
        <v>40632</v>
      </c>
      <c r="B8712" s="15" t="s">
        <v>15870</v>
      </c>
      <c r="C8712" s="15" t="s">
        <v>800</v>
      </c>
      <c r="D8712" s="15" t="s">
        <v>15871</v>
      </c>
      <c r="E8712" s="15">
        <v>29.241</v>
      </c>
      <c r="F8712" s="42">
        <v>46198</v>
      </c>
    </row>
    <row r="8713" spans="1:6" x14ac:dyDescent="0.3">
      <c r="A8713" s="15" t="s">
        <v>40631</v>
      </c>
      <c r="B8713" s="15" t="s">
        <v>15872</v>
      </c>
      <c r="C8713" s="15" t="s">
        <v>15873</v>
      </c>
      <c r="D8713" s="15" t="s">
        <v>15874</v>
      </c>
      <c r="E8713" s="15">
        <v>16.202000000000002</v>
      </c>
      <c r="F8713" s="42">
        <v>46198</v>
      </c>
    </row>
    <row r="8714" spans="1:6" x14ac:dyDescent="0.3">
      <c r="A8714" s="15" t="s">
        <v>40630</v>
      </c>
      <c r="B8714" s="15" t="s">
        <v>15875</v>
      </c>
      <c r="C8714" s="15" t="s">
        <v>800</v>
      </c>
      <c r="D8714" s="15" t="s">
        <v>15876</v>
      </c>
      <c r="E8714" s="15">
        <v>24.992000000000001</v>
      </c>
      <c r="F8714" s="42">
        <v>46198</v>
      </c>
    </row>
    <row r="8715" spans="1:6" x14ac:dyDescent="0.3">
      <c r="A8715" s="15" t="s">
        <v>40629</v>
      </c>
      <c r="B8715" s="15" t="s">
        <v>15877</v>
      </c>
      <c r="C8715" s="15" t="s">
        <v>15878</v>
      </c>
      <c r="D8715" s="15" t="s">
        <v>15879</v>
      </c>
      <c r="E8715" s="15">
        <v>13.936</v>
      </c>
      <c r="F8715" s="42">
        <v>46198</v>
      </c>
    </row>
    <row r="8716" spans="1:6" x14ac:dyDescent="0.3">
      <c r="A8716" s="15" t="s">
        <v>33499</v>
      </c>
      <c r="B8716" s="15" t="s">
        <v>795</v>
      </c>
      <c r="C8716" s="15" t="s">
        <v>795</v>
      </c>
      <c r="D8716" s="15" t="s">
        <v>795</v>
      </c>
      <c r="F8716" s="42"/>
    </row>
    <row r="8717" spans="1:6" x14ac:dyDescent="0.3">
      <c r="A8717" s="15" t="s">
        <v>37447</v>
      </c>
      <c r="B8717" s="15" t="s">
        <v>795</v>
      </c>
      <c r="C8717" s="15" t="s">
        <v>795</v>
      </c>
      <c r="D8717" s="15" t="s">
        <v>795</v>
      </c>
      <c r="F8717" s="42"/>
    </row>
    <row r="8718" spans="1:6" x14ac:dyDescent="0.3">
      <c r="A8718" s="15" t="s">
        <v>33499</v>
      </c>
      <c r="B8718" s="15" t="s">
        <v>795</v>
      </c>
      <c r="C8718" s="15" t="s">
        <v>795</v>
      </c>
      <c r="D8718" s="15" t="s">
        <v>795</v>
      </c>
      <c r="F8718" s="42"/>
    </row>
    <row r="8719" spans="1:6" x14ac:dyDescent="0.3">
      <c r="A8719" s="15" t="s">
        <v>40628</v>
      </c>
      <c r="B8719" s="15" t="s">
        <v>15880</v>
      </c>
      <c r="C8719" s="15" t="s">
        <v>15881</v>
      </c>
      <c r="D8719" s="15" t="s">
        <v>15882</v>
      </c>
      <c r="E8719" s="15">
        <v>17.127099999999999</v>
      </c>
      <c r="F8719" s="42">
        <v>46198</v>
      </c>
    </row>
    <row r="8720" spans="1:6" x14ac:dyDescent="0.3">
      <c r="A8720" s="15" t="s">
        <v>40627</v>
      </c>
      <c r="B8720" s="15" t="s">
        <v>15883</v>
      </c>
      <c r="C8720" s="15" t="s">
        <v>15884</v>
      </c>
      <c r="D8720" s="15" t="s">
        <v>15885</v>
      </c>
      <c r="E8720" s="15">
        <v>18.129799999999999</v>
      </c>
      <c r="F8720" s="42">
        <v>46198</v>
      </c>
    </row>
    <row r="8721" spans="1:6" x14ac:dyDescent="0.3">
      <c r="A8721" s="15" t="s">
        <v>40626</v>
      </c>
      <c r="B8721" s="15" t="s">
        <v>15886</v>
      </c>
      <c r="C8721" s="15" t="s">
        <v>800</v>
      </c>
      <c r="D8721" s="15" t="s">
        <v>15887</v>
      </c>
      <c r="E8721" s="15">
        <v>28.384699999999999</v>
      </c>
      <c r="F8721" s="42">
        <v>46198</v>
      </c>
    </row>
    <row r="8722" spans="1:6" x14ac:dyDescent="0.3">
      <c r="A8722" s="15" t="s">
        <v>40625</v>
      </c>
      <c r="B8722" s="15" t="s">
        <v>15888</v>
      </c>
      <c r="C8722" s="15" t="s">
        <v>800</v>
      </c>
      <c r="D8722" s="15" t="s">
        <v>15889</v>
      </c>
      <c r="E8722" s="15">
        <v>25.985600000000002</v>
      </c>
      <c r="F8722" s="42">
        <v>46198</v>
      </c>
    </row>
    <row r="8723" spans="1:6" x14ac:dyDescent="0.3">
      <c r="A8723" s="15" t="s">
        <v>33499</v>
      </c>
      <c r="B8723" s="15" t="s">
        <v>795</v>
      </c>
      <c r="C8723" s="15" t="s">
        <v>795</v>
      </c>
      <c r="D8723" s="15" t="s">
        <v>795</v>
      </c>
      <c r="F8723" s="42"/>
    </row>
    <row r="8724" spans="1:6" x14ac:dyDescent="0.3">
      <c r="A8724" s="15" t="s">
        <v>37566</v>
      </c>
      <c r="B8724" s="15" t="s">
        <v>795</v>
      </c>
      <c r="C8724" s="15" t="s">
        <v>795</v>
      </c>
      <c r="D8724" s="15" t="s">
        <v>795</v>
      </c>
      <c r="F8724" s="42"/>
    </row>
    <row r="8725" spans="1:6" x14ac:dyDescent="0.3">
      <c r="A8725" s="15" t="s">
        <v>33499</v>
      </c>
      <c r="B8725" s="15" t="s">
        <v>795</v>
      </c>
      <c r="C8725" s="15" t="s">
        <v>795</v>
      </c>
      <c r="D8725" s="15" t="s">
        <v>795</v>
      </c>
      <c r="F8725" s="42"/>
    </row>
    <row r="8726" spans="1:6" x14ac:dyDescent="0.3">
      <c r="A8726" s="15" t="s">
        <v>40624</v>
      </c>
      <c r="B8726" s="15" t="s">
        <v>15890</v>
      </c>
      <c r="C8726" s="15" t="s">
        <v>800</v>
      </c>
      <c r="D8726" s="15" t="s">
        <v>15891</v>
      </c>
      <c r="E8726" s="15">
        <v>28.198599999999999</v>
      </c>
      <c r="F8726" s="42">
        <v>46198</v>
      </c>
    </row>
    <row r="8727" spans="1:6" x14ac:dyDescent="0.3">
      <c r="A8727" s="15" t="s">
        <v>40623</v>
      </c>
      <c r="B8727" s="15" t="s">
        <v>15892</v>
      </c>
      <c r="C8727" s="15" t="s">
        <v>15893</v>
      </c>
      <c r="D8727" s="15" t="s">
        <v>15894</v>
      </c>
      <c r="E8727" s="15">
        <v>17.849699999999999</v>
      </c>
      <c r="F8727" s="42">
        <v>46198</v>
      </c>
    </row>
    <row r="8728" spans="1:6" x14ac:dyDescent="0.3">
      <c r="A8728" s="15" t="s">
        <v>40622</v>
      </c>
      <c r="B8728" s="15" t="s">
        <v>15895</v>
      </c>
      <c r="C8728" s="15" t="s">
        <v>800</v>
      </c>
      <c r="D8728" s="15" t="s">
        <v>15896</v>
      </c>
      <c r="E8728" s="15">
        <v>25.534199999999998</v>
      </c>
      <c r="F8728" s="42">
        <v>46198</v>
      </c>
    </row>
    <row r="8729" spans="1:6" x14ac:dyDescent="0.3">
      <c r="A8729" s="15" t="s">
        <v>40621</v>
      </c>
      <c r="B8729" s="15" t="s">
        <v>15897</v>
      </c>
      <c r="C8729" s="15" t="s">
        <v>15898</v>
      </c>
      <c r="D8729" s="15" t="s">
        <v>15899</v>
      </c>
      <c r="E8729" s="15">
        <v>16.126300000000001</v>
      </c>
      <c r="F8729" s="42">
        <v>46198</v>
      </c>
    </row>
    <row r="8730" spans="1:6" x14ac:dyDescent="0.3">
      <c r="A8730" s="15" t="s">
        <v>33499</v>
      </c>
      <c r="B8730" s="15" t="s">
        <v>795</v>
      </c>
      <c r="C8730" s="15" t="s">
        <v>795</v>
      </c>
      <c r="D8730" s="15" t="s">
        <v>795</v>
      </c>
      <c r="F8730" s="42"/>
    </row>
    <row r="8731" spans="1:6" x14ac:dyDescent="0.3">
      <c r="A8731" s="15" t="s">
        <v>40284</v>
      </c>
      <c r="B8731" s="15" t="s">
        <v>795</v>
      </c>
      <c r="C8731" s="15" t="s">
        <v>795</v>
      </c>
      <c r="D8731" s="15" t="s">
        <v>795</v>
      </c>
      <c r="F8731" s="42"/>
    </row>
    <row r="8732" spans="1:6" x14ac:dyDescent="0.3">
      <c r="A8732" s="15" t="s">
        <v>33499</v>
      </c>
      <c r="B8732" s="15" t="s">
        <v>795</v>
      </c>
      <c r="C8732" s="15" t="s">
        <v>795</v>
      </c>
      <c r="D8732" s="15" t="s">
        <v>795</v>
      </c>
      <c r="F8732" s="42"/>
    </row>
    <row r="8733" spans="1:6" x14ac:dyDescent="0.3">
      <c r="A8733" s="15" t="s">
        <v>40620</v>
      </c>
      <c r="B8733" s="15" t="s">
        <v>15900</v>
      </c>
      <c r="C8733" s="15" t="s">
        <v>800</v>
      </c>
      <c r="D8733" s="15" t="s">
        <v>15901</v>
      </c>
      <c r="E8733" s="15">
        <v>10.44</v>
      </c>
      <c r="F8733" s="42">
        <v>46198</v>
      </c>
    </row>
    <row r="8734" spans="1:6" x14ac:dyDescent="0.3">
      <c r="A8734" s="15" t="s">
        <v>40619</v>
      </c>
      <c r="B8734" s="15" t="s">
        <v>15902</v>
      </c>
      <c r="C8734" s="15" t="s">
        <v>15903</v>
      </c>
      <c r="D8734" s="15" t="s">
        <v>15904</v>
      </c>
      <c r="E8734" s="15">
        <v>10.34</v>
      </c>
      <c r="F8734" s="42">
        <v>46198</v>
      </c>
    </row>
    <row r="8735" spans="1:6" x14ac:dyDescent="0.3">
      <c r="A8735" s="15" t="s">
        <v>40618</v>
      </c>
      <c r="B8735" s="15" t="s">
        <v>15905</v>
      </c>
      <c r="C8735" s="15" t="s">
        <v>800</v>
      </c>
      <c r="D8735" s="15" t="s">
        <v>15906</v>
      </c>
      <c r="E8735" s="15">
        <v>10.17</v>
      </c>
      <c r="F8735" s="42">
        <v>46198</v>
      </c>
    </row>
    <row r="8736" spans="1:6" x14ac:dyDescent="0.3">
      <c r="A8736" s="15" t="s">
        <v>40617</v>
      </c>
      <c r="B8736" s="15" t="s">
        <v>15907</v>
      </c>
      <c r="C8736" s="15" t="s">
        <v>15908</v>
      </c>
      <c r="D8736" s="15" t="s">
        <v>15909</v>
      </c>
      <c r="E8736" s="15">
        <v>10.06</v>
      </c>
      <c r="F8736" s="42">
        <v>46198</v>
      </c>
    </row>
    <row r="8737" spans="1:6" x14ac:dyDescent="0.3">
      <c r="A8737" s="15" t="s">
        <v>33499</v>
      </c>
      <c r="B8737" s="15" t="s">
        <v>795</v>
      </c>
      <c r="C8737" s="15" t="s">
        <v>795</v>
      </c>
      <c r="D8737" s="15" t="s">
        <v>795</v>
      </c>
      <c r="F8737" s="42"/>
    </row>
    <row r="8738" spans="1:6" x14ac:dyDescent="0.3">
      <c r="A8738" s="15" t="s">
        <v>37061</v>
      </c>
      <c r="B8738" s="15" t="s">
        <v>795</v>
      </c>
      <c r="C8738" s="15" t="s">
        <v>795</v>
      </c>
      <c r="D8738" s="15" t="s">
        <v>795</v>
      </c>
      <c r="F8738" s="42"/>
    </row>
    <row r="8739" spans="1:6" x14ac:dyDescent="0.3">
      <c r="A8739" s="15" t="s">
        <v>33499</v>
      </c>
      <c r="B8739" s="15" t="s">
        <v>795</v>
      </c>
      <c r="C8739" s="15" t="s">
        <v>795</v>
      </c>
      <c r="D8739" s="15" t="s">
        <v>795</v>
      </c>
      <c r="F8739" s="42"/>
    </row>
    <row r="8740" spans="1:6" x14ac:dyDescent="0.3">
      <c r="A8740" s="15" t="s">
        <v>40616</v>
      </c>
      <c r="B8740" s="15" t="s">
        <v>15910</v>
      </c>
      <c r="C8740" s="15" t="s">
        <v>800</v>
      </c>
      <c r="D8740" s="15" t="s">
        <v>15911</v>
      </c>
      <c r="E8740" s="15">
        <v>33.246000000000002</v>
      </c>
      <c r="F8740" s="42">
        <v>46198</v>
      </c>
    </row>
    <row r="8741" spans="1:6" x14ac:dyDescent="0.3">
      <c r="A8741" s="15" t="s">
        <v>40615</v>
      </c>
      <c r="B8741" s="15" t="s">
        <v>15912</v>
      </c>
      <c r="C8741" s="15" t="s">
        <v>15913</v>
      </c>
      <c r="D8741" s="15" t="s">
        <v>15914</v>
      </c>
      <c r="E8741" s="15">
        <v>16.956</v>
      </c>
      <c r="F8741" s="42">
        <v>46198</v>
      </c>
    </row>
    <row r="8742" spans="1:6" x14ac:dyDescent="0.3">
      <c r="A8742" s="15" t="s">
        <v>40614</v>
      </c>
      <c r="B8742" s="15" t="s">
        <v>15915</v>
      </c>
      <c r="C8742" s="15" t="s">
        <v>800</v>
      </c>
      <c r="D8742" s="15" t="s">
        <v>15916</v>
      </c>
      <c r="E8742" s="15">
        <v>28.684000000000001</v>
      </c>
      <c r="F8742" s="42">
        <v>46198</v>
      </c>
    </row>
    <row r="8743" spans="1:6" x14ac:dyDescent="0.3">
      <c r="A8743" s="15" t="s">
        <v>40613</v>
      </c>
      <c r="B8743" s="15" t="s">
        <v>15917</v>
      </c>
      <c r="C8743" s="15" t="s">
        <v>15918</v>
      </c>
      <c r="D8743" s="15" t="s">
        <v>15919</v>
      </c>
      <c r="E8743" s="15">
        <v>14.179</v>
      </c>
      <c r="F8743" s="42">
        <v>46198</v>
      </c>
    </row>
    <row r="8744" spans="1:6" x14ac:dyDescent="0.3">
      <c r="A8744" s="15" t="s">
        <v>33499</v>
      </c>
      <c r="B8744" s="15" t="s">
        <v>795</v>
      </c>
      <c r="C8744" s="15" t="s">
        <v>795</v>
      </c>
      <c r="D8744" s="15" t="s">
        <v>795</v>
      </c>
      <c r="F8744" s="42"/>
    </row>
    <row r="8745" spans="1:6" x14ac:dyDescent="0.3">
      <c r="A8745" s="15" t="s">
        <v>37895</v>
      </c>
      <c r="B8745" s="15" t="s">
        <v>795</v>
      </c>
      <c r="C8745" s="15" t="s">
        <v>795</v>
      </c>
      <c r="D8745" s="15" t="s">
        <v>795</v>
      </c>
      <c r="F8745" s="42"/>
    </row>
    <row r="8746" spans="1:6" x14ac:dyDescent="0.3">
      <c r="A8746" s="15" t="s">
        <v>33499</v>
      </c>
      <c r="B8746" s="15" t="s">
        <v>795</v>
      </c>
      <c r="C8746" s="15" t="s">
        <v>795</v>
      </c>
      <c r="D8746" s="15" t="s">
        <v>795</v>
      </c>
      <c r="F8746" s="42"/>
    </row>
    <row r="8747" spans="1:6" x14ac:dyDescent="0.3">
      <c r="A8747" s="15" t="s">
        <v>40612</v>
      </c>
      <c r="B8747" s="15" t="s">
        <v>15920</v>
      </c>
      <c r="C8747" s="15" t="s">
        <v>15921</v>
      </c>
      <c r="D8747" s="15" t="s">
        <v>15922</v>
      </c>
      <c r="E8747" s="15">
        <v>25.94</v>
      </c>
      <c r="F8747" s="42">
        <v>46198</v>
      </c>
    </row>
    <row r="8748" spans="1:6" x14ac:dyDescent="0.3">
      <c r="A8748" s="15" t="s">
        <v>40611</v>
      </c>
      <c r="B8748" s="15" t="s">
        <v>15923</v>
      </c>
      <c r="C8748" s="15" t="s">
        <v>15924</v>
      </c>
      <c r="D8748" s="15" t="s">
        <v>15925</v>
      </c>
      <c r="E8748" s="15">
        <v>28.79</v>
      </c>
      <c r="F8748" s="42">
        <v>46198</v>
      </c>
    </row>
    <row r="8749" spans="1:6" x14ac:dyDescent="0.3">
      <c r="A8749" s="15" t="s">
        <v>40610</v>
      </c>
      <c r="B8749" s="15" t="s">
        <v>15926</v>
      </c>
      <c r="C8749" s="15" t="s">
        <v>800</v>
      </c>
      <c r="D8749" s="15" t="s">
        <v>15927</v>
      </c>
      <c r="E8749" s="15">
        <v>52.19</v>
      </c>
      <c r="F8749" s="42">
        <v>46198</v>
      </c>
    </row>
    <row r="8750" spans="1:6" x14ac:dyDescent="0.3">
      <c r="A8750" s="15" t="s">
        <v>40609</v>
      </c>
      <c r="B8750" s="15" t="s">
        <v>15928</v>
      </c>
      <c r="C8750" s="15" t="s">
        <v>15929</v>
      </c>
      <c r="D8750" s="15" t="s">
        <v>15930</v>
      </c>
      <c r="E8750" s="15">
        <v>20.45</v>
      </c>
      <c r="F8750" s="42">
        <v>46198</v>
      </c>
    </row>
    <row r="8751" spans="1:6" x14ac:dyDescent="0.3">
      <c r="A8751" s="15" t="s">
        <v>40608</v>
      </c>
      <c r="B8751" s="15" t="s">
        <v>15931</v>
      </c>
      <c r="C8751" s="15" t="s">
        <v>15932</v>
      </c>
      <c r="D8751" s="15" t="s">
        <v>15933</v>
      </c>
      <c r="E8751" s="15">
        <v>20.96</v>
      </c>
      <c r="F8751" s="42">
        <v>46198</v>
      </c>
    </row>
    <row r="8752" spans="1:6" x14ac:dyDescent="0.3">
      <c r="A8752" s="15" t="s">
        <v>40607</v>
      </c>
      <c r="B8752" s="15" t="s">
        <v>15934</v>
      </c>
      <c r="C8752" s="15" t="s">
        <v>800</v>
      </c>
      <c r="D8752" s="15" t="s">
        <v>15935</v>
      </c>
      <c r="E8752" s="15">
        <v>59.99</v>
      </c>
      <c r="F8752" s="42">
        <v>46198</v>
      </c>
    </row>
    <row r="8753" spans="1:6" x14ac:dyDescent="0.3">
      <c r="A8753" s="15" t="s">
        <v>33499</v>
      </c>
      <c r="B8753" s="15" t="s">
        <v>795</v>
      </c>
      <c r="C8753" s="15" t="s">
        <v>795</v>
      </c>
      <c r="D8753" s="15" t="s">
        <v>795</v>
      </c>
      <c r="F8753" s="42"/>
    </row>
    <row r="8754" spans="1:6" x14ac:dyDescent="0.3">
      <c r="A8754" s="15" t="s">
        <v>37044</v>
      </c>
      <c r="B8754" s="15" t="s">
        <v>795</v>
      </c>
      <c r="C8754" s="15" t="s">
        <v>795</v>
      </c>
      <c r="D8754" s="15" t="s">
        <v>795</v>
      </c>
      <c r="F8754" s="42"/>
    </row>
    <row r="8755" spans="1:6" x14ac:dyDescent="0.3">
      <c r="A8755" s="15" t="s">
        <v>33499</v>
      </c>
      <c r="B8755" s="15" t="s">
        <v>795</v>
      </c>
      <c r="C8755" s="15" t="s">
        <v>795</v>
      </c>
      <c r="D8755" s="15" t="s">
        <v>795</v>
      </c>
      <c r="F8755" s="42"/>
    </row>
    <row r="8756" spans="1:6" x14ac:dyDescent="0.3">
      <c r="A8756" s="15" t="s">
        <v>40606</v>
      </c>
      <c r="B8756" s="15" t="s">
        <v>15936</v>
      </c>
      <c r="C8756" s="15" t="s">
        <v>800</v>
      </c>
      <c r="D8756" s="15" t="s">
        <v>15937</v>
      </c>
      <c r="E8756" s="15">
        <v>14.427300000000001</v>
      </c>
      <c r="F8756" s="42">
        <v>46198</v>
      </c>
    </row>
    <row r="8757" spans="1:6" x14ac:dyDescent="0.3">
      <c r="A8757" s="15" t="s">
        <v>40605</v>
      </c>
      <c r="B8757" s="15" t="s">
        <v>15938</v>
      </c>
      <c r="C8757" s="15" t="s">
        <v>800</v>
      </c>
      <c r="D8757" s="15" t="s">
        <v>15939</v>
      </c>
      <c r="E8757" s="15">
        <v>15.3406</v>
      </c>
      <c r="F8757" s="42">
        <v>46198</v>
      </c>
    </row>
    <row r="8758" spans="1:6" x14ac:dyDescent="0.3">
      <c r="A8758" s="15" t="s">
        <v>40604</v>
      </c>
      <c r="B8758" s="15" t="s">
        <v>15940</v>
      </c>
      <c r="C8758" s="15" t="s">
        <v>15941</v>
      </c>
      <c r="D8758" s="15" t="s">
        <v>15942</v>
      </c>
      <c r="E8758" s="15">
        <v>13.417999999999999</v>
      </c>
      <c r="F8758" s="42">
        <v>46198</v>
      </c>
    </row>
    <row r="8759" spans="1:6" x14ac:dyDescent="0.3">
      <c r="A8759" s="15" t="s">
        <v>40603</v>
      </c>
      <c r="B8759" s="15" t="s">
        <v>15943</v>
      </c>
      <c r="C8759" s="15" t="s">
        <v>15944</v>
      </c>
      <c r="D8759" s="15" t="s">
        <v>15945</v>
      </c>
      <c r="E8759" s="15">
        <v>13.6937</v>
      </c>
      <c r="F8759" s="42">
        <v>46198</v>
      </c>
    </row>
    <row r="8760" spans="1:6" x14ac:dyDescent="0.3">
      <c r="A8760" s="15" t="s">
        <v>33499</v>
      </c>
      <c r="B8760" s="15" t="s">
        <v>795</v>
      </c>
      <c r="C8760" s="15" t="s">
        <v>795</v>
      </c>
      <c r="D8760" s="15" t="s">
        <v>795</v>
      </c>
      <c r="F8760" s="42"/>
    </row>
    <row r="8761" spans="1:6" x14ac:dyDescent="0.3">
      <c r="A8761" s="15" t="s">
        <v>37043</v>
      </c>
      <c r="B8761" s="15" t="s">
        <v>795</v>
      </c>
      <c r="C8761" s="15" t="s">
        <v>795</v>
      </c>
      <c r="D8761" s="15" t="s">
        <v>795</v>
      </c>
      <c r="F8761" s="42"/>
    </row>
    <row r="8762" spans="1:6" x14ac:dyDescent="0.3">
      <c r="A8762" s="15" t="s">
        <v>33499</v>
      </c>
      <c r="B8762" s="15" t="s">
        <v>795</v>
      </c>
      <c r="C8762" s="15" t="s">
        <v>795</v>
      </c>
      <c r="D8762" s="15" t="s">
        <v>795</v>
      </c>
      <c r="F8762" s="42"/>
    </row>
    <row r="8763" spans="1:6" x14ac:dyDescent="0.3">
      <c r="A8763" s="15" t="s">
        <v>40602</v>
      </c>
      <c r="B8763" s="15" t="s">
        <v>15946</v>
      </c>
      <c r="C8763" s="15" t="s">
        <v>800</v>
      </c>
      <c r="D8763" s="15" t="s">
        <v>15947</v>
      </c>
      <c r="E8763" s="15">
        <v>520.73699999999997</v>
      </c>
      <c r="F8763" s="42">
        <v>46198</v>
      </c>
    </row>
    <row r="8764" spans="1:6" x14ac:dyDescent="0.3">
      <c r="A8764" s="15" t="s">
        <v>40601</v>
      </c>
      <c r="B8764" s="15" t="s">
        <v>15948</v>
      </c>
      <c r="C8764" s="15" t="s">
        <v>800</v>
      </c>
      <c r="D8764" s="15" t="s">
        <v>15949</v>
      </c>
      <c r="E8764" s="15">
        <v>565.89599999999996</v>
      </c>
      <c r="F8764" s="42">
        <v>46198</v>
      </c>
    </row>
    <row r="8765" spans="1:6" x14ac:dyDescent="0.3">
      <c r="A8765" s="15" t="s">
        <v>40600</v>
      </c>
      <c r="B8765" s="15" t="s">
        <v>15950</v>
      </c>
      <c r="C8765" s="15" t="s">
        <v>15951</v>
      </c>
      <c r="D8765" s="15" t="s">
        <v>15952</v>
      </c>
      <c r="E8765" s="15">
        <v>36.615000000000002</v>
      </c>
      <c r="F8765" s="42">
        <v>46198</v>
      </c>
    </row>
    <row r="8766" spans="1:6" x14ac:dyDescent="0.3">
      <c r="A8766" s="15" t="s">
        <v>40599</v>
      </c>
      <c r="B8766" s="15" t="s">
        <v>15953</v>
      </c>
      <c r="C8766" s="15" t="s">
        <v>15954</v>
      </c>
      <c r="D8766" s="15" t="s">
        <v>15955</v>
      </c>
      <c r="E8766" s="15">
        <v>43.445999999999998</v>
      </c>
      <c r="F8766" s="42">
        <v>46198</v>
      </c>
    </row>
    <row r="8767" spans="1:6" x14ac:dyDescent="0.3">
      <c r="A8767" s="15" t="s">
        <v>33499</v>
      </c>
      <c r="B8767" s="15" t="s">
        <v>795</v>
      </c>
      <c r="C8767" s="15" t="s">
        <v>795</v>
      </c>
      <c r="D8767" s="15" t="s">
        <v>795</v>
      </c>
      <c r="F8767" s="42"/>
    </row>
    <row r="8768" spans="1:6" x14ac:dyDescent="0.3">
      <c r="A8768" s="15" t="s">
        <v>40598</v>
      </c>
      <c r="B8768" s="15" t="s">
        <v>795</v>
      </c>
      <c r="C8768" s="15" t="s">
        <v>795</v>
      </c>
      <c r="D8768" s="15" t="s">
        <v>795</v>
      </c>
      <c r="F8768" s="42"/>
    </row>
    <row r="8769" spans="1:6" x14ac:dyDescent="0.3">
      <c r="A8769" s="15" t="s">
        <v>33499</v>
      </c>
      <c r="B8769" s="15" t="s">
        <v>795</v>
      </c>
      <c r="C8769" s="15" t="s">
        <v>795</v>
      </c>
      <c r="D8769" s="15" t="s">
        <v>795</v>
      </c>
      <c r="F8769" s="42"/>
    </row>
    <row r="8770" spans="1:6" x14ac:dyDescent="0.3">
      <c r="A8770" s="15" t="s">
        <v>40597</v>
      </c>
      <c r="B8770" s="15" t="s">
        <v>15956</v>
      </c>
      <c r="C8770" s="15" t="s">
        <v>800</v>
      </c>
      <c r="D8770" s="15" t="s">
        <v>15957</v>
      </c>
      <c r="E8770" s="15">
        <v>11.83</v>
      </c>
      <c r="F8770" s="42">
        <v>46198</v>
      </c>
    </row>
    <row r="8771" spans="1:6" x14ac:dyDescent="0.3">
      <c r="A8771" s="15" t="s">
        <v>40596</v>
      </c>
      <c r="B8771" s="15" t="s">
        <v>15958</v>
      </c>
      <c r="C8771" s="15" t="s">
        <v>15959</v>
      </c>
      <c r="D8771" s="15" t="s">
        <v>15960</v>
      </c>
      <c r="E8771" s="15">
        <v>11.75</v>
      </c>
      <c r="F8771" s="42">
        <v>46198</v>
      </c>
    </row>
    <row r="8772" spans="1:6" x14ac:dyDescent="0.3">
      <c r="A8772" s="15" t="s">
        <v>40595</v>
      </c>
      <c r="B8772" s="15" t="s">
        <v>15961</v>
      </c>
      <c r="C8772" s="15" t="s">
        <v>800</v>
      </c>
      <c r="D8772" s="15" t="s">
        <v>15962</v>
      </c>
      <c r="E8772" s="15">
        <v>11.42</v>
      </c>
      <c r="F8772" s="42">
        <v>46198</v>
      </c>
    </row>
    <row r="8773" spans="1:6" x14ac:dyDescent="0.3">
      <c r="A8773" s="15" t="s">
        <v>40594</v>
      </c>
      <c r="B8773" s="15" t="s">
        <v>15963</v>
      </c>
      <c r="C8773" s="15" t="s">
        <v>15964</v>
      </c>
      <c r="D8773" s="15" t="s">
        <v>15965</v>
      </c>
      <c r="E8773" s="15">
        <v>11.35</v>
      </c>
      <c r="F8773" s="42">
        <v>46198</v>
      </c>
    </row>
    <row r="8774" spans="1:6" x14ac:dyDescent="0.3">
      <c r="A8774" s="15" t="s">
        <v>33499</v>
      </c>
      <c r="B8774" s="15" t="s">
        <v>795</v>
      </c>
      <c r="C8774" s="15" t="s">
        <v>795</v>
      </c>
      <c r="D8774" s="15" t="s">
        <v>795</v>
      </c>
      <c r="F8774" s="42"/>
    </row>
    <row r="8775" spans="1:6" x14ac:dyDescent="0.3">
      <c r="A8775" s="15" t="s">
        <v>36815</v>
      </c>
      <c r="B8775" s="15" t="s">
        <v>795</v>
      </c>
      <c r="C8775" s="15" t="s">
        <v>795</v>
      </c>
      <c r="D8775" s="15" t="s">
        <v>795</v>
      </c>
      <c r="F8775" s="42"/>
    </row>
    <row r="8776" spans="1:6" x14ac:dyDescent="0.3">
      <c r="A8776" s="15" t="s">
        <v>33499</v>
      </c>
      <c r="B8776" s="15" t="s">
        <v>795</v>
      </c>
      <c r="C8776" s="15" t="s">
        <v>795</v>
      </c>
      <c r="D8776" s="15" t="s">
        <v>795</v>
      </c>
      <c r="F8776" s="42"/>
    </row>
    <row r="8777" spans="1:6" x14ac:dyDescent="0.3">
      <c r="A8777" s="15" t="s">
        <v>40593</v>
      </c>
      <c r="B8777" s="15" t="s">
        <v>15966</v>
      </c>
      <c r="C8777" s="15" t="s">
        <v>800</v>
      </c>
      <c r="D8777" s="15" t="s">
        <v>15967</v>
      </c>
      <c r="E8777" s="15">
        <v>51.363100000000003</v>
      </c>
      <c r="F8777" s="42">
        <v>46198</v>
      </c>
    </row>
    <row r="8778" spans="1:6" x14ac:dyDescent="0.3">
      <c r="A8778" s="15" t="s">
        <v>40592</v>
      </c>
      <c r="B8778" s="15" t="s">
        <v>15968</v>
      </c>
      <c r="C8778" s="15" t="s">
        <v>15969</v>
      </c>
      <c r="D8778" s="15" t="s">
        <v>15970</v>
      </c>
      <c r="E8778" s="15">
        <v>22.173400000000001</v>
      </c>
      <c r="F8778" s="42">
        <v>46198</v>
      </c>
    </row>
    <row r="8779" spans="1:6" x14ac:dyDescent="0.3">
      <c r="A8779" s="15" t="s">
        <v>40591</v>
      </c>
      <c r="B8779" s="15" t="s">
        <v>15971</v>
      </c>
      <c r="C8779" s="15" t="s">
        <v>800</v>
      </c>
      <c r="D8779" s="15" t="s">
        <v>15972</v>
      </c>
      <c r="E8779" s="15">
        <v>43.8</v>
      </c>
      <c r="F8779" s="42">
        <v>46198</v>
      </c>
    </row>
    <row r="8780" spans="1:6" x14ac:dyDescent="0.3">
      <c r="A8780" s="15" t="s">
        <v>40590</v>
      </c>
      <c r="B8780" s="15" t="s">
        <v>15973</v>
      </c>
      <c r="C8780" s="15" t="s">
        <v>15974</v>
      </c>
      <c r="D8780" s="15" t="s">
        <v>15975</v>
      </c>
      <c r="E8780" s="15">
        <v>18.445599999999999</v>
      </c>
      <c r="F8780" s="42">
        <v>46198</v>
      </c>
    </row>
    <row r="8781" spans="1:6" x14ac:dyDescent="0.3">
      <c r="A8781" s="15" t="s">
        <v>33499</v>
      </c>
      <c r="B8781" s="15" t="s">
        <v>795</v>
      </c>
      <c r="C8781" s="15" t="s">
        <v>795</v>
      </c>
      <c r="D8781" s="15" t="s">
        <v>795</v>
      </c>
      <c r="F8781" s="42"/>
    </row>
    <row r="8782" spans="1:6" x14ac:dyDescent="0.3">
      <c r="A8782" s="15" t="s">
        <v>36764</v>
      </c>
      <c r="B8782" s="15" t="s">
        <v>795</v>
      </c>
      <c r="C8782" s="15" t="s">
        <v>795</v>
      </c>
      <c r="D8782" s="15" t="s">
        <v>795</v>
      </c>
      <c r="F8782" s="42"/>
    </row>
    <row r="8783" spans="1:6" x14ac:dyDescent="0.3">
      <c r="A8783" s="15" t="s">
        <v>33499</v>
      </c>
      <c r="B8783" s="15" t="s">
        <v>795</v>
      </c>
      <c r="C8783" s="15" t="s">
        <v>795</v>
      </c>
      <c r="D8783" s="15" t="s">
        <v>795</v>
      </c>
      <c r="F8783" s="42"/>
    </row>
    <row r="8784" spans="1:6" x14ac:dyDescent="0.3">
      <c r="A8784" s="15" t="s">
        <v>40589</v>
      </c>
      <c r="B8784" s="15" t="s">
        <v>770</v>
      </c>
      <c r="C8784" s="15" t="s">
        <v>800</v>
      </c>
      <c r="D8784" s="15" t="s">
        <v>15976</v>
      </c>
      <c r="E8784" s="15">
        <v>86.86</v>
      </c>
      <c r="F8784" s="42">
        <v>46198</v>
      </c>
    </row>
    <row r="8785" spans="1:6" x14ac:dyDescent="0.3">
      <c r="A8785" s="15" t="s">
        <v>40588</v>
      </c>
      <c r="B8785" s="15" t="s">
        <v>15977</v>
      </c>
      <c r="C8785" s="15" t="s">
        <v>15978</v>
      </c>
      <c r="D8785" s="15" t="s">
        <v>15979</v>
      </c>
      <c r="E8785" s="15">
        <v>29.49</v>
      </c>
      <c r="F8785" s="42">
        <v>46198</v>
      </c>
    </row>
    <row r="8786" spans="1:6" x14ac:dyDescent="0.3">
      <c r="A8786" s="15" t="s">
        <v>40587</v>
      </c>
      <c r="B8786" s="15" t="s">
        <v>15980</v>
      </c>
      <c r="C8786" s="15" t="s">
        <v>15981</v>
      </c>
      <c r="D8786" s="15" t="s">
        <v>15982</v>
      </c>
      <c r="E8786" s="15">
        <v>27.12</v>
      </c>
      <c r="F8786" s="42">
        <v>46198</v>
      </c>
    </row>
    <row r="8787" spans="1:6" x14ac:dyDescent="0.3">
      <c r="A8787" s="15" t="s">
        <v>40586</v>
      </c>
      <c r="B8787" s="15" t="s">
        <v>15983</v>
      </c>
      <c r="C8787" s="15" t="s">
        <v>15984</v>
      </c>
      <c r="D8787" s="15" t="s">
        <v>15985</v>
      </c>
      <c r="E8787" s="15">
        <v>18.079999999999998</v>
      </c>
      <c r="F8787" s="42">
        <v>44813</v>
      </c>
    </row>
    <row r="8788" spans="1:6" x14ac:dyDescent="0.3">
      <c r="A8788" s="15" t="s">
        <v>40585</v>
      </c>
      <c r="B8788" s="15" t="s">
        <v>15986</v>
      </c>
      <c r="C8788" s="15" t="s">
        <v>800</v>
      </c>
      <c r="D8788" s="15" t="s">
        <v>15987</v>
      </c>
      <c r="E8788" s="15">
        <v>77.45</v>
      </c>
      <c r="F8788" s="42">
        <v>46198</v>
      </c>
    </row>
    <row r="8789" spans="1:6" x14ac:dyDescent="0.3">
      <c r="A8789" s="15" t="s">
        <v>40584</v>
      </c>
      <c r="B8789" s="15" t="s">
        <v>15988</v>
      </c>
      <c r="C8789" s="15" t="s">
        <v>15989</v>
      </c>
      <c r="D8789" s="15" t="s">
        <v>15990</v>
      </c>
      <c r="E8789" s="15">
        <v>18.079999999999998</v>
      </c>
      <c r="F8789" s="42">
        <v>46198</v>
      </c>
    </row>
    <row r="8790" spans="1:6" x14ac:dyDescent="0.3">
      <c r="A8790" s="15" t="s">
        <v>40583</v>
      </c>
      <c r="B8790" s="15" t="s">
        <v>15991</v>
      </c>
      <c r="C8790" s="15" t="s">
        <v>15992</v>
      </c>
      <c r="D8790" s="15" t="s">
        <v>15993</v>
      </c>
      <c r="E8790" s="15">
        <v>22.49</v>
      </c>
      <c r="F8790" s="42">
        <v>46198</v>
      </c>
    </row>
    <row r="8791" spans="1:6" x14ac:dyDescent="0.3">
      <c r="A8791" s="15" t="s">
        <v>40582</v>
      </c>
      <c r="B8791" s="15" t="s">
        <v>15994</v>
      </c>
      <c r="C8791" s="15" t="s">
        <v>15995</v>
      </c>
      <c r="D8791" s="15" t="s">
        <v>15996</v>
      </c>
      <c r="E8791" s="15">
        <v>16.38</v>
      </c>
      <c r="F8791" s="42">
        <v>44813</v>
      </c>
    </row>
    <row r="8792" spans="1:6" x14ac:dyDescent="0.3">
      <c r="A8792" s="15" t="s">
        <v>33499</v>
      </c>
      <c r="B8792" s="15" t="s">
        <v>795</v>
      </c>
      <c r="C8792" s="15" t="s">
        <v>795</v>
      </c>
      <c r="D8792" s="15" t="s">
        <v>795</v>
      </c>
      <c r="F8792" s="42"/>
    </row>
    <row r="8793" spans="1:6" x14ac:dyDescent="0.3">
      <c r="A8793" s="15" t="s">
        <v>37807</v>
      </c>
      <c r="B8793" s="15" t="s">
        <v>795</v>
      </c>
      <c r="C8793" s="15" t="s">
        <v>795</v>
      </c>
      <c r="D8793" s="15" t="s">
        <v>795</v>
      </c>
      <c r="F8793" s="42"/>
    </row>
    <row r="8794" spans="1:6" x14ac:dyDescent="0.3">
      <c r="A8794" s="15" t="s">
        <v>33499</v>
      </c>
      <c r="B8794" s="15" t="s">
        <v>795</v>
      </c>
      <c r="C8794" s="15" t="s">
        <v>795</v>
      </c>
      <c r="D8794" s="15" t="s">
        <v>795</v>
      </c>
      <c r="F8794" s="42"/>
    </row>
    <row r="8795" spans="1:6" x14ac:dyDescent="0.3">
      <c r="A8795" s="15" t="s">
        <v>40581</v>
      </c>
      <c r="B8795" s="15" t="s">
        <v>15997</v>
      </c>
      <c r="C8795" s="15" t="s">
        <v>800</v>
      </c>
      <c r="D8795" s="15" t="s">
        <v>15998</v>
      </c>
      <c r="E8795" s="15">
        <v>62.94</v>
      </c>
      <c r="F8795" s="42">
        <v>46198</v>
      </c>
    </row>
    <row r="8796" spans="1:6" x14ac:dyDescent="0.3">
      <c r="A8796" s="15" t="s">
        <v>40580</v>
      </c>
      <c r="B8796" s="15" t="s">
        <v>15999</v>
      </c>
      <c r="C8796" s="15" t="s">
        <v>16000</v>
      </c>
      <c r="D8796" s="15" t="s">
        <v>16001</v>
      </c>
      <c r="E8796" s="15">
        <v>22</v>
      </c>
      <c r="F8796" s="42">
        <v>46198</v>
      </c>
    </row>
    <row r="8797" spans="1:6" x14ac:dyDescent="0.3">
      <c r="A8797" s="15" t="s">
        <v>40579</v>
      </c>
      <c r="B8797" s="15" t="s">
        <v>16002</v>
      </c>
      <c r="C8797" s="15" t="s">
        <v>800</v>
      </c>
      <c r="D8797" s="15" t="s">
        <v>16003</v>
      </c>
      <c r="E8797" s="15">
        <v>52.46</v>
      </c>
      <c r="F8797" s="42">
        <v>46198</v>
      </c>
    </row>
    <row r="8798" spans="1:6" x14ac:dyDescent="0.3">
      <c r="A8798" s="15" t="s">
        <v>40578</v>
      </c>
      <c r="B8798" s="15" t="s">
        <v>16004</v>
      </c>
      <c r="C8798" s="15" t="s">
        <v>16005</v>
      </c>
      <c r="D8798" s="15" t="s">
        <v>16006</v>
      </c>
      <c r="E8798" s="15">
        <v>17.48</v>
      </c>
      <c r="F8798" s="42">
        <v>46198</v>
      </c>
    </row>
    <row r="8799" spans="1:6" x14ac:dyDescent="0.3">
      <c r="A8799" s="15" t="s">
        <v>33499</v>
      </c>
      <c r="B8799" s="15" t="s">
        <v>795</v>
      </c>
      <c r="C8799" s="15" t="s">
        <v>795</v>
      </c>
      <c r="D8799" s="15" t="s">
        <v>795</v>
      </c>
      <c r="F8799" s="42"/>
    </row>
    <row r="8800" spans="1:6" x14ac:dyDescent="0.3">
      <c r="A8800" s="15" t="s">
        <v>40577</v>
      </c>
      <c r="B8800" s="15" t="s">
        <v>795</v>
      </c>
      <c r="C8800" s="15" t="s">
        <v>795</v>
      </c>
      <c r="D8800" s="15" t="s">
        <v>795</v>
      </c>
      <c r="F8800" s="42"/>
    </row>
    <row r="8801" spans="1:6" x14ac:dyDescent="0.3">
      <c r="A8801" s="15" t="s">
        <v>33499</v>
      </c>
      <c r="B8801" s="15" t="s">
        <v>795</v>
      </c>
      <c r="C8801" s="15" t="s">
        <v>795</v>
      </c>
      <c r="D8801" s="15" t="s">
        <v>795</v>
      </c>
      <c r="F8801" s="42"/>
    </row>
    <row r="8802" spans="1:6" x14ac:dyDescent="0.3">
      <c r="A8802" s="15" t="s">
        <v>40576</v>
      </c>
      <c r="B8802" s="15" t="s">
        <v>16007</v>
      </c>
      <c r="C8802" s="15" t="s">
        <v>800</v>
      </c>
      <c r="D8802" s="15" t="s">
        <v>16008</v>
      </c>
      <c r="E8802" s="15">
        <v>16.121099999999998</v>
      </c>
      <c r="F8802" s="42">
        <v>46198</v>
      </c>
    </row>
    <row r="8803" spans="1:6" x14ac:dyDescent="0.3">
      <c r="A8803" s="15" t="s">
        <v>40575</v>
      </c>
      <c r="B8803" s="15" t="s">
        <v>16009</v>
      </c>
      <c r="C8803" s="15" t="s">
        <v>16010</v>
      </c>
      <c r="D8803" s="15" t="s">
        <v>16011</v>
      </c>
      <c r="E8803" s="15">
        <v>13.744300000000001</v>
      </c>
      <c r="F8803" s="42">
        <v>46198</v>
      </c>
    </row>
    <row r="8804" spans="1:6" x14ac:dyDescent="0.3">
      <c r="A8804" s="15" t="s">
        <v>40574</v>
      </c>
      <c r="B8804" s="15" t="s">
        <v>16012</v>
      </c>
      <c r="C8804" s="15" t="s">
        <v>800</v>
      </c>
      <c r="D8804" s="15" t="s">
        <v>16013</v>
      </c>
      <c r="E8804" s="15">
        <v>14.217700000000001</v>
      </c>
      <c r="F8804" s="42">
        <v>46198</v>
      </c>
    </row>
    <row r="8805" spans="1:6" x14ac:dyDescent="0.3">
      <c r="A8805" s="15" t="s">
        <v>40573</v>
      </c>
      <c r="B8805" s="15" t="s">
        <v>16014</v>
      </c>
      <c r="C8805" s="15" t="s">
        <v>16015</v>
      </c>
      <c r="D8805" s="15" t="s">
        <v>16016</v>
      </c>
      <c r="E8805" s="15">
        <v>11.902699999999999</v>
      </c>
      <c r="F8805" s="42">
        <v>46198</v>
      </c>
    </row>
    <row r="8806" spans="1:6" x14ac:dyDescent="0.3">
      <c r="A8806" s="15" t="s">
        <v>33499</v>
      </c>
      <c r="B8806" s="15" t="s">
        <v>795</v>
      </c>
      <c r="C8806" s="15" t="s">
        <v>795</v>
      </c>
      <c r="D8806" s="15" t="s">
        <v>795</v>
      </c>
      <c r="F8806" s="42"/>
    </row>
    <row r="8807" spans="1:6" x14ac:dyDescent="0.3">
      <c r="A8807" s="15" t="s">
        <v>139</v>
      </c>
      <c r="B8807" s="15" t="s">
        <v>795</v>
      </c>
      <c r="C8807" s="15" t="s">
        <v>795</v>
      </c>
      <c r="D8807" s="15" t="s">
        <v>795</v>
      </c>
      <c r="F8807" s="42"/>
    </row>
    <row r="8808" spans="1:6" x14ac:dyDescent="0.3">
      <c r="A8808" s="15" t="s">
        <v>33499</v>
      </c>
      <c r="B8808" s="15" t="s">
        <v>795</v>
      </c>
      <c r="C8808" s="15" t="s">
        <v>795</v>
      </c>
      <c r="D8808" s="15" t="s">
        <v>795</v>
      </c>
      <c r="F8808" s="42"/>
    </row>
    <row r="8809" spans="1:6" x14ac:dyDescent="0.3">
      <c r="A8809" s="15" t="s">
        <v>40572</v>
      </c>
      <c r="B8809" s="15" t="s">
        <v>16017</v>
      </c>
      <c r="C8809" s="15" t="s">
        <v>800</v>
      </c>
      <c r="D8809" s="15" t="s">
        <v>16018</v>
      </c>
      <c r="E8809" s="15">
        <v>22.931000000000001</v>
      </c>
      <c r="F8809" s="42">
        <v>46198</v>
      </c>
    </row>
    <row r="8810" spans="1:6" x14ac:dyDescent="0.3">
      <c r="A8810" s="15" t="s">
        <v>40571</v>
      </c>
      <c r="B8810" s="15" t="s">
        <v>16019</v>
      </c>
      <c r="C8810" s="15" t="s">
        <v>16020</v>
      </c>
      <c r="D8810" s="15" t="s">
        <v>16021</v>
      </c>
      <c r="E8810" s="15">
        <v>20.922000000000001</v>
      </c>
      <c r="F8810" s="42">
        <v>46198</v>
      </c>
    </row>
    <row r="8811" spans="1:6" x14ac:dyDescent="0.3">
      <c r="A8811" s="15" t="s">
        <v>40570</v>
      </c>
      <c r="B8811" s="15" t="s">
        <v>16022</v>
      </c>
      <c r="C8811" s="15" t="s">
        <v>16023</v>
      </c>
      <c r="D8811" s="15" t="s">
        <v>16024</v>
      </c>
      <c r="E8811" s="15">
        <v>22.931000000000001</v>
      </c>
      <c r="F8811" s="42">
        <v>46198</v>
      </c>
    </row>
    <row r="8812" spans="1:6" x14ac:dyDescent="0.3">
      <c r="A8812" s="15" t="s">
        <v>40569</v>
      </c>
      <c r="B8812" s="15" t="s">
        <v>16025</v>
      </c>
      <c r="C8812" s="15" t="s">
        <v>800</v>
      </c>
      <c r="D8812" s="15" t="s">
        <v>16026</v>
      </c>
      <c r="E8812" s="15">
        <v>20.920999999999999</v>
      </c>
      <c r="F8812" s="42">
        <v>46198</v>
      </c>
    </row>
    <row r="8813" spans="1:6" x14ac:dyDescent="0.3">
      <c r="A8813" s="15" t="s">
        <v>33499</v>
      </c>
      <c r="B8813" s="15" t="s">
        <v>795</v>
      </c>
      <c r="C8813" s="15" t="s">
        <v>795</v>
      </c>
      <c r="D8813" s="15" t="s">
        <v>795</v>
      </c>
      <c r="F8813" s="42"/>
    </row>
    <row r="8814" spans="1:6" x14ac:dyDescent="0.3">
      <c r="A8814" s="15" t="s">
        <v>37618</v>
      </c>
      <c r="B8814" s="15" t="s">
        <v>795</v>
      </c>
      <c r="C8814" s="15" t="s">
        <v>795</v>
      </c>
      <c r="D8814" s="15" t="s">
        <v>795</v>
      </c>
      <c r="F8814" s="42"/>
    </row>
    <row r="8815" spans="1:6" x14ac:dyDescent="0.3">
      <c r="A8815" s="15" t="s">
        <v>33499</v>
      </c>
      <c r="B8815" s="15" t="s">
        <v>795</v>
      </c>
      <c r="C8815" s="15" t="s">
        <v>795</v>
      </c>
      <c r="D8815" s="15" t="s">
        <v>795</v>
      </c>
      <c r="F8815" s="42"/>
    </row>
    <row r="8816" spans="1:6" x14ac:dyDescent="0.3">
      <c r="A8816" s="15" t="s">
        <v>40568</v>
      </c>
      <c r="B8816" s="15" t="s">
        <v>16027</v>
      </c>
      <c r="C8816" s="15" t="s">
        <v>800</v>
      </c>
      <c r="D8816" s="15" t="s">
        <v>16028</v>
      </c>
      <c r="E8816" s="15">
        <v>14.5487</v>
      </c>
      <c r="F8816" s="42">
        <v>46198</v>
      </c>
    </row>
    <row r="8817" spans="1:6" x14ac:dyDescent="0.3">
      <c r="A8817" s="15" t="s">
        <v>40567</v>
      </c>
      <c r="B8817" s="15" t="s">
        <v>16029</v>
      </c>
      <c r="C8817" s="15" t="s">
        <v>16030</v>
      </c>
      <c r="D8817" s="15" t="s">
        <v>16031</v>
      </c>
      <c r="E8817" s="15">
        <v>12.4899</v>
      </c>
      <c r="F8817" s="42">
        <v>46198</v>
      </c>
    </row>
    <row r="8818" spans="1:6" x14ac:dyDescent="0.3">
      <c r="A8818" s="15" t="s">
        <v>40566</v>
      </c>
      <c r="B8818" s="15" t="s">
        <v>16032</v>
      </c>
      <c r="C8818" s="15" t="s">
        <v>800</v>
      </c>
      <c r="D8818" s="15" t="s">
        <v>16033</v>
      </c>
      <c r="E8818" s="15">
        <v>13.4908</v>
      </c>
      <c r="F8818" s="42">
        <v>46198</v>
      </c>
    </row>
    <row r="8819" spans="1:6" x14ac:dyDescent="0.3">
      <c r="A8819" s="15" t="s">
        <v>40565</v>
      </c>
      <c r="B8819" s="15" t="s">
        <v>16034</v>
      </c>
      <c r="C8819" s="15" t="s">
        <v>16035</v>
      </c>
      <c r="D8819" s="15" t="s">
        <v>16036</v>
      </c>
      <c r="E8819" s="15">
        <v>11.7041</v>
      </c>
      <c r="F8819" s="42">
        <v>46198</v>
      </c>
    </row>
    <row r="8820" spans="1:6" x14ac:dyDescent="0.3">
      <c r="A8820" s="15" t="s">
        <v>33499</v>
      </c>
      <c r="B8820" s="15" t="s">
        <v>795</v>
      </c>
      <c r="C8820" s="15" t="s">
        <v>795</v>
      </c>
      <c r="D8820" s="15" t="s">
        <v>795</v>
      </c>
      <c r="F8820" s="42"/>
    </row>
    <row r="8821" spans="1:6" x14ac:dyDescent="0.3">
      <c r="A8821" s="15" t="s">
        <v>39301</v>
      </c>
      <c r="B8821" s="15" t="s">
        <v>795</v>
      </c>
      <c r="C8821" s="15" t="s">
        <v>795</v>
      </c>
      <c r="D8821" s="15" t="s">
        <v>795</v>
      </c>
      <c r="F8821" s="42"/>
    </row>
    <row r="8822" spans="1:6" x14ac:dyDescent="0.3">
      <c r="A8822" s="15" t="s">
        <v>33499</v>
      </c>
      <c r="B8822" s="15" t="s">
        <v>795</v>
      </c>
      <c r="C8822" s="15" t="s">
        <v>795</v>
      </c>
      <c r="D8822" s="15" t="s">
        <v>795</v>
      </c>
      <c r="F8822" s="42"/>
    </row>
    <row r="8823" spans="1:6" x14ac:dyDescent="0.3">
      <c r="A8823" s="15" t="s">
        <v>40564</v>
      </c>
      <c r="B8823" s="15" t="s">
        <v>16037</v>
      </c>
      <c r="C8823" s="15" t="s">
        <v>800</v>
      </c>
      <c r="D8823" s="15" t="s">
        <v>16038</v>
      </c>
      <c r="E8823" s="15">
        <v>15.8164</v>
      </c>
      <c r="F8823" s="42">
        <v>46198</v>
      </c>
    </row>
    <row r="8824" spans="1:6" x14ac:dyDescent="0.3">
      <c r="A8824" s="15" t="s">
        <v>40563</v>
      </c>
      <c r="B8824" s="15" t="s">
        <v>16039</v>
      </c>
      <c r="C8824" s="15" t="s">
        <v>16040</v>
      </c>
      <c r="D8824" s="15" t="s">
        <v>16041</v>
      </c>
      <c r="E8824" s="15">
        <v>12.702500000000001</v>
      </c>
      <c r="F8824" s="42">
        <v>46198</v>
      </c>
    </row>
    <row r="8825" spans="1:6" x14ac:dyDescent="0.3">
      <c r="A8825" s="15" t="s">
        <v>40562</v>
      </c>
      <c r="B8825" s="15" t="s">
        <v>16042</v>
      </c>
      <c r="C8825" s="15" t="s">
        <v>800</v>
      </c>
      <c r="D8825" s="15" t="s">
        <v>16043</v>
      </c>
      <c r="E8825" s="15">
        <v>14.620900000000001</v>
      </c>
      <c r="F8825" s="42">
        <v>46198</v>
      </c>
    </row>
    <row r="8826" spans="1:6" x14ac:dyDescent="0.3">
      <c r="A8826" s="15" t="s">
        <v>40561</v>
      </c>
      <c r="B8826" s="15" t="s">
        <v>16044</v>
      </c>
      <c r="C8826" s="15" t="s">
        <v>16045</v>
      </c>
      <c r="D8826" s="15" t="s">
        <v>16046</v>
      </c>
      <c r="E8826" s="15">
        <v>11.578799999999999</v>
      </c>
      <c r="F8826" s="42">
        <v>46198</v>
      </c>
    </row>
    <row r="8827" spans="1:6" x14ac:dyDescent="0.3">
      <c r="A8827" s="15" t="s">
        <v>33499</v>
      </c>
      <c r="B8827" s="15" t="s">
        <v>795</v>
      </c>
      <c r="C8827" s="15" t="s">
        <v>795</v>
      </c>
      <c r="D8827" s="15" t="s">
        <v>795</v>
      </c>
      <c r="F8827" s="42"/>
    </row>
    <row r="8828" spans="1:6" x14ac:dyDescent="0.3">
      <c r="A8828" s="15" t="s">
        <v>37780</v>
      </c>
      <c r="B8828" s="15" t="s">
        <v>795</v>
      </c>
      <c r="C8828" s="15" t="s">
        <v>795</v>
      </c>
      <c r="D8828" s="15" t="s">
        <v>795</v>
      </c>
      <c r="F8828" s="42"/>
    </row>
    <row r="8829" spans="1:6" x14ac:dyDescent="0.3">
      <c r="A8829" s="15" t="s">
        <v>33499</v>
      </c>
      <c r="B8829" s="15" t="s">
        <v>795</v>
      </c>
      <c r="C8829" s="15" t="s">
        <v>795</v>
      </c>
      <c r="D8829" s="15" t="s">
        <v>795</v>
      </c>
      <c r="F8829" s="42"/>
    </row>
    <row r="8830" spans="1:6" x14ac:dyDescent="0.3">
      <c r="A8830" s="15" t="s">
        <v>40560</v>
      </c>
      <c r="B8830" s="15" t="s">
        <v>16047</v>
      </c>
      <c r="C8830" s="15" t="s">
        <v>800</v>
      </c>
      <c r="D8830" s="15" t="s">
        <v>16048</v>
      </c>
      <c r="E8830" s="15">
        <v>15.33</v>
      </c>
      <c r="F8830" s="42">
        <v>46198</v>
      </c>
    </row>
    <row r="8831" spans="1:6" x14ac:dyDescent="0.3">
      <c r="A8831" s="15" t="s">
        <v>40559</v>
      </c>
      <c r="B8831" s="15" t="s">
        <v>16049</v>
      </c>
      <c r="C8831" s="15" t="s">
        <v>16050</v>
      </c>
      <c r="D8831" s="15" t="s">
        <v>16051</v>
      </c>
      <c r="E8831" s="15">
        <v>14.114000000000001</v>
      </c>
      <c r="F8831" s="42">
        <v>46198</v>
      </c>
    </row>
    <row r="8832" spans="1:6" x14ac:dyDescent="0.3">
      <c r="A8832" s="15" t="s">
        <v>40558</v>
      </c>
      <c r="B8832" s="15" t="s">
        <v>16052</v>
      </c>
      <c r="C8832" s="15" t="s">
        <v>16053</v>
      </c>
      <c r="D8832" s="15" t="s">
        <v>16054</v>
      </c>
      <c r="E8832" s="15">
        <v>13.381</v>
      </c>
      <c r="F8832" s="42">
        <v>46198</v>
      </c>
    </row>
    <row r="8833" spans="1:6" x14ac:dyDescent="0.3">
      <c r="A8833" s="15" t="s">
        <v>40557</v>
      </c>
      <c r="B8833" s="15" t="s">
        <v>16055</v>
      </c>
      <c r="C8833" s="15" t="s">
        <v>800</v>
      </c>
      <c r="D8833" s="15" t="s">
        <v>16056</v>
      </c>
      <c r="E8833" s="15">
        <v>14.523</v>
      </c>
      <c r="F8833" s="42">
        <v>46198</v>
      </c>
    </row>
    <row r="8834" spans="1:6" x14ac:dyDescent="0.3">
      <c r="A8834" s="15" t="s">
        <v>33499</v>
      </c>
      <c r="B8834" s="15" t="s">
        <v>795</v>
      </c>
      <c r="C8834" s="15" t="s">
        <v>795</v>
      </c>
      <c r="D8834" s="15" t="s">
        <v>795</v>
      </c>
      <c r="F8834" s="42"/>
    </row>
    <row r="8835" spans="1:6" x14ac:dyDescent="0.3">
      <c r="A8835" s="15" t="s">
        <v>37742</v>
      </c>
      <c r="B8835" s="15" t="s">
        <v>795</v>
      </c>
      <c r="C8835" s="15" t="s">
        <v>795</v>
      </c>
      <c r="D8835" s="15" t="s">
        <v>795</v>
      </c>
      <c r="F8835" s="42"/>
    </row>
    <row r="8836" spans="1:6" x14ac:dyDescent="0.3">
      <c r="A8836" s="15" t="s">
        <v>33499</v>
      </c>
      <c r="B8836" s="15" t="s">
        <v>795</v>
      </c>
      <c r="C8836" s="15" t="s">
        <v>795</v>
      </c>
      <c r="D8836" s="15" t="s">
        <v>795</v>
      </c>
      <c r="F8836" s="42"/>
    </row>
    <row r="8837" spans="1:6" x14ac:dyDescent="0.3">
      <c r="A8837" s="15" t="s">
        <v>40556</v>
      </c>
      <c r="B8837" s="15" t="s">
        <v>16057</v>
      </c>
      <c r="C8837" s="15" t="s">
        <v>800</v>
      </c>
      <c r="D8837" s="15" t="s">
        <v>16058</v>
      </c>
      <c r="E8837" s="15">
        <v>20.7775</v>
      </c>
      <c r="F8837" s="42">
        <v>46198</v>
      </c>
    </row>
    <row r="8838" spans="1:6" x14ac:dyDescent="0.3">
      <c r="A8838" s="15" t="s">
        <v>40555</v>
      </c>
      <c r="B8838" s="15" t="s">
        <v>16059</v>
      </c>
      <c r="C8838" s="15" t="s">
        <v>16060</v>
      </c>
      <c r="D8838" s="15" t="s">
        <v>16061</v>
      </c>
      <c r="E8838" s="15">
        <v>12.449299999999999</v>
      </c>
      <c r="F8838" s="42">
        <v>46198</v>
      </c>
    </row>
    <row r="8839" spans="1:6" x14ac:dyDescent="0.3">
      <c r="A8839" s="15" t="s">
        <v>40554</v>
      </c>
      <c r="B8839" s="15" t="s">
        <v>16062</v>
      </c>
      <c r="C8839" s="15" t="s">
        <v>800</v>
      </c>
      <c r="D8839" s="15" t="s">
        <v>16063</v>
      </c>
      <c r="E8839" s="15">
        <v>18.4651</v>
      </c>
      <c r="F8839" s="42">
        <v>46198</v>
      </c>
    </row>
    <row r="8840" spans="1:6" x14ac:dyDescent="0.3">
      <c r="A8840" s="15" t="s">
        <v>40553</v>
      </c>
      <c r="B8840" s="15" t="s">
        <v>16064</v>
      </c>
      <c r="C8840" s="15" t="s">
        <v>16065</v>
      </c>
      <c r="D8840" s="15" t="s">
        <v>16066</v>
      </c>
      <c r="E8840" s="15">
        <v>13.2935</v>
      </c>
      <c r="F8840" s="42">
        <v>46198</v>
      </c>
    </row>
    <row r="8841" spans="1:6" x14ac:dyDescent="0.3">
      <c r="A8841" s="15" t="s">
        <v>40552</v>
      </c>
      <c r="B8841" s="15" t="s">
        <v>16067</v>
      </c>
      <c r="C8841" s="15" t="s">
        <v>16068</v>
      </c>
      <c r="D8841" s="15" t="s">
        <v>16069</v>
      </c>
      <c r="E8841" s="15">
        <v>11.7536</v>
      </c>
      <c r="F8841" s="42">
        <v>46198</v>
      </c>
    </row>
    <row r="8842" spans="1:6" x14ac:dyDescent="0.3">
      <c r="A8842" s="15" t="s">
        <v>40551</v>
      </c>
      <c r="B8842" s="15" t="s">
        <v>16070</v>
      </c>
      <c r="C8842" s="15" t="s">
        <v>16071</v>
      </c>
      <c r="D8842" s="15" t="s">
        <v>16072</v>
      </c>
      <c r="E8842" s="15">
        <v>10.8614</v>
      </c>
      <c r="F8842" s="42">
        <v>46198</v>
      </c>
    </row>
    <row r="8843" spans="1:6" x14ac:dyDescent="0.3">
      <c r="A8843" s="15" t="s">
        <v>33499</v>
      </c>
      <c r="B8843" s="15" t="s">
        <v>795</v>
      </c>
      <c r="C8843" s="15" t="s">
        <v>795</v>
      </c>
      <c r="D8843" s="15" t="s">
        <v>795</v>
      </c>
      <c r="F8843" s="42"/>
    </row>
    <row r="8844" spans="1:6" x14ac:dyDescent="0.3">
      <c r="A8844" s="15" t="s">
        <v>208</v>
      </c>
      <c r="B8844" s="15" t="s">
        <v>795</v>
      </c>
      <c r="C8844" s="15" t="s">
        <v>795</v>
      </c>
      <c r="D8844" s="15" t="s">
        <v>795</v>
      </c>
      <c r="F8844" s="42"/>
    </row>
    <row r="8845" spans="1:6" x14ac:dyDescent="0.3">
      <c r="A8845" s="15" t="s">
        <v>33499</v>
      </c>
      <c r="B8845" s="15" t="s">
        <v>795</v>
      </c>
      <c r="C8845" s="15" t="s">
        <v>795</v>
      </c>
      <c r="D8845" s="15" t="s">
        <v>795</v>
      </c>
      <c r="F8845" s="42"/>
    </row>
    <row r="8846" spans="1:6" x14ac:dyDescent="0.3">
      <c r="A8846" s="15" t="s">
        <v>40550</v>
      </c>
      <c r="B8846" s="15" t="s">
        <v>16073</v>
      </c>
      <c r="C8846" s="15" t="s">
        <v>16074</v>
      </c>
      <c r="D8846" s="15" t="s">
        <v>16075</v>
      </c>
      <c r="E8846" s="15">
        <v>45.828200000000002</v>
      </c>
      <c r="F8846" s="42">
        <v>46198</v>
      </c>
    </row>
    <row r="8847" spans="1:6" x14ac:dyDescent="0.3">
      <c r="A8847" s="15" t="s">
        <v>40549</v>
      </c>
      <c r="B8847" s="15" t="s">
        <v>16076</v>
      </c>
      <c r="C8847" s="15" t="s">
        <v>800</v>
      </c>
      <c r="D8847" s="15" t="s">
        <v>16077</v>
      </c>
      <c r="E8847" s="15">
        <v>9.6826000000000008</v>
      </c>
      <c r="F8847" s="42">
        <v>42362</v>
      </c>
    </row>
    <row r="8848" spans="1:6" x14ac:dyDescent="0.3">
      <c r="A8848" s="15" t="s">
        <v>40548</v>
      </c>
      <c r="B8848" s="15" t="s">
        <v>16078</v>
      </c>
      <c r="C8848" s="15" t="s">
        <v>800</v>
      </c>
      <c r="D8848" s="15" t="s">
        <v>16079</v>
      </c>
      <c r="E8848" s="15">
        <v>208.33080000000001</v>
      </c>
      <c r="F8848" s="42">
        <v>46198</v>
      </c>
    </row>
    <row r="8849" spans="1:6" x14ac:dyDescent="0.3">
      <c r="A8849" s="15" t="s">
        <v>40547</v>
      </c>
      <c r="B8849" s="15" t="s">
        <v>16080</v>
      </c>
      <c r="C8849" s="15" t="s">
        <v>16081</v>
      </c>
      <c r="D8849" s="15" t="s">
        <v>16082</v>
      </c>
      <c r="E8849" s="15">
        <v>31.646699999999999</v>
      </c>
      <c r="F8849" s="42">
        <v>46198</v>
      </c>
    </row>
    <row r="8850" spans="1:6" x14ac:dyDescent="0.3">
      <c r="A8850" s="15" t="s">
        <v>40546</v>
      </c>
      <c r="B8850" s="15" t="s">
        <v>16083</v>
      </c>
      <c r="C8850" s="15" t="s">
        <v>800</v>
      </c>
      <c r="D8850" s="15" t="s">
        <v>16084</v>
      </c>
      <c r="E8850" s="15">
        <v>181.93039999999999</v>
      </c>
      <c r="F8850" s="42">
        <v>46198</v>
      </c>
    </row>
    <row r="8851" spans="1:6" x14ac:dyDescent="0.3">
      <c r="A8851" s="15" t="s">
        <v>40545</v>
      </c>
      <c r="B8851" s="15" t="s">
        <v>16085</v>
      </c>
      <c r="C8851" s="15" t="s">
        <v>800</v>
      </c>
      <c r="D8851" s="15" t="s">
        <v>16086</v>
      </c>
      <c r="E8851" s="15">
        <v>181.93039999999999</v>
      </c>
      <c r="F8851" s="42">
        <v>46198</v>
      </c>
    </row>
    <row r="8852" spans="1:6" x14ac:dyDescent="0.3">
      <c r="A8852" s="15" t="s">
        <v>33499</v>
      </c>
      <c r="B8852" s="15" t="s">
        <v>795</v>
      </c>
      <c r="C8852" s="15" t="s">
        <v>795</v>
      </c>
      <c r="D8852" s="15" t="s">
        <v>795</v>
      </c>
      <c r="F8852" s="42"/>
    </row>
    <row r="8853" spans="1:6" x14ac:dyDescent="0.3">
      <c r="A8853" s="15" t="s">
        <v>40544</v>
      </c>
      <c r="B8853" s="15" t="s">
        <v>795</v>
      </c>
      <c r="C8853" s="15" t="s">
        <v>795</v>
      </c>
      <c r="D8853" s="15" t="s">
        <v>795</v>
      </c>
      <c r="F8853" s="42"/>
    </row>
    <row r="8854" spans="1:6" x14ac:dyDescent="0.3">
      <c r="A8854" s="15" t="s">
        <v>33499</v>
      </c>
      <c r="B8854" s="15" t="s">
        <v>795</v>
      </c>
      <c r="C8854" s="15" t="s">
        <v>795</v>
      </c>
      <c r="D8854" s="15" t="s">
        <v>795</v>
      </c>
      <c r="F8854" s="42"/>
    </row>
    <row r="8855" spans="1:6" x14ac:dyDescent="0.3">
      <c r="A8855" s="15" t="s">
        <v>40543</v>
      </c>
      <c r="B8855" s="15" t="s">
        <v>16087</v>
      </c>
      <c r="C8855" s="15" t="s">
        <v>800</v>
      </c>
      <c r="D8855" s="15" t="s">
        <v>16088</v>
      </c>
      <c r="E8855" s="15">
        <v>14.31</v>
      </c>
      <c r="F8855" s="42">
        <v>46198</v>
      </c>
    </row>
    <row r="8856" spans="1:6" x14ac:dyDescent="0.3">
      <c r="A8856" s="15" t="s">
        <v>40542</v>
      </c>
      <c r="B8856" s="15" t="s">
        <v>16089</v>
      </c>
      <c r="C8856" s="15" t="s">
        <v>800</v>
      </c>
      <c r="D8856" s="15" t="s">
        <v>16090</v>
      </c>
      <c r="E8856" s="15">
        <v>14.31</v>
      </c>
      <c r="F8856" s="42">
        <v>46198</v>
      </c>
    </row>
    <row r="8857" spans="1:6" x14ac:dyDescent="0.3">
      <c r="A8857" s="15" t="s">
        <v>40541</v>
      </c>
      <c r="B8857" s="15" t="s">
        <v>16091</v>
      </c>
      <c r="C8857" s="15" t="s">
        <v>800</v>
      </c>
      <c r="D8857" s="15" t="s">
        <v>16092</v>
      </c>
      <c r="E8857" s="15">
        <v>13.47</v>
      </c>
      <c r="F8857" s="42">
        <v>46198</v>
      </c>
    </row>
    <row r="8858" spans="1:6" x14ac:dyDescent="0.3">
      <c r="A8858" s="15" t="s">
        <v>40540</v>
      </c>
      <c r="B8858" s="15" t="s">
        <v>16093</v>
      </c>
      <c r="C8858" s="15" t="s">
        <v>800</v>
      </c>
      <c r="D8858" s="15" t="s">
        <v>16094</v>
      </c>
      <c r="E8858" s="15">
        <v>13.47</v>
      </c>
      <c r="F8858" s="42">
        <v>46198</v>
      </c>
    </row>
    <row r="8859" spans="1:6" x14ac:dyDescent="0.3">
      <c r="A8859" s="15" t="s">
        <v>33499</v>
      </c>
      <c r="B8859" s="15" t="s">
        <v>795</v>
      </c>
      <c r="C8859" s="15" t="s">
        <v>795</v>
      </c>
      <c r="D8859" s="15" t="s">
        <v>795</v>
      </c>
      <c r="F8859" s="42"/>
    </row>
    <row r="8860" spans="1:6" x14ac:dyDescent="0.3">
      <c r="A8860" s="15" t="s">
        <v>37523</v>
      </c>
      <c r="B8860" s="15" t="s">
        <v>795</v>
      </c>
      <c r="C8860" s="15" t="s">
        <v>795</v>
      </c>
      <c r="D8860" s="15" t="s">
        <v>795</v>
      </c>
      <c r="F8860" s="42"/>
    </row>
    <row r="8861" spans="1:6" x14ac:dyDescent="0.3">
      <c r="A8861" s="15" t="s">
        <v>33499</v>
      </c>
      <c r="B8861" s="15" t="s">
        <v>795</v>
      </c>
      <c r="C8861" s="15" t="s">
        <v>795</v>
      </c>
      <c r="D8861" s="15" t="s">
        <v>795</v>
      </c>
      <c r="F8861" s="42"/>
    </row>
    <row r="8862" spans="1:6" x14ac:dyDescent="0.3">
      <c r="A8862" s="15" t="s">
        <v>40539</v>
      </c>
      <c r="B8862" s="15" t="s">
        <v>16095</v>
      </c>
      <c r="C8862" s="15" t="s">
        <v>800</v>
      </c>
      <c r="D8862" s="15" t="s">
        <v>16096</v>
      </c>
      <c r="E8862" s="15">
        <v>16.46</v>
      </c>
      <c r="F8862" s="42">
        <v>46198</v>
      </c>
    </row>
    <row r="8863" spans="1:6" x14ac:dyDescent="0.3">
      <c r="A8863" s="15" t="s">
        <v>40538</v>
      </c>
      <c r="B8863" s="15" t="s">
        <v>16097</v>
      </c>
      <c r="C8863" s="15" t="s">
        <v>16098</v>
      </c>
      <c r="D8863" s="15" t="s">
        <v>16099</v>
      </c>
      <c r="E8863" s="15">
        <v>10.85</v>
      </c>
      <c r="F8863" s="42">
        <v>46198</v>
      </c>
    </row>
    <row r="8864" spans="1:6" x14ac:dyDescent="0.3">
      <c r="A8864" s="15" t="s">
        <v>40537</v>
      </c>
      <c r="B8864" s="15" t="s">
        <v>16100</v>
      </c>
      <c r="C8864" s="15" t="s">
        <v>16101</v>
      </c>
      <c r="D8864" s="15" t="s">
        <v>16102</v>
      </c>
      <c r="E8864" s="15">
        <v>10.68</v>
      </c>
      <c r="F8864" s="42">
        <v>46198</v>
      </c>
    </row>
    <row r="8865" spans="1:6" x14ac:dyDescent="0.3">
      <c r="A8865" s="15" t="s">
        <v>40536</v>
      </c>
      <c r="B8865" s="15" t="s">
        <v>16103</v>
      </c>
      <c r="C8865" s="15" t="s">
        <v>800</v>
      </c>
      <c r="D8865" s="15" t="s">
        <v>16104</v>
      </c>
      <c r="E8865" s="15">
        <v>14.99</v>
      </c>
      <c r="F8865" s="42">
        <v>46198</v>
      </c>
    </row>
    <row r="8866" spans="1:6" x14ac:dyDescent="0.3">
      <c r="A8866" s="15" t="s">
        <v>33499</v>
      </c>
      <c r="B8866" s="15" t="s">
        <v>795</v>
      </c>
      <c r="C8866" s="15" t="s">
        <v>795</v>
      </c>
      <c r="D8866" s="15" t="s">
        <v>795</v>
      </c>
      <c r="F8866" s="42"/>
    </row>
    <row r="8867" spans="1:6" x14ac:dyDescent="0.3">
      <c r="A8867" s="15" t="s">
        <v>40535</v>
      </c>
      <c r="B8867" s="15" t="s">
        <v>795</v>
      </c>
      <c r="C8867" s="15" t="s">
        <v>795</v>
      </c>
      <c r="D8867" s="15" t="s">
        <v>795</v>
      </c>
      <c r="F8867" s="42"/>
    </row>
    <row r="8868" spans="1:6" x14ac:dyDescent="0.3">
      <c r="A8868" s="15" t="s">
        <v>33499</v>
      </c>
      <c r="B8868" s="15" t="s">
        <v>795</v>
      </c>
      <c r="C8868" s="15" t="s">
        <v>795</v>
      </c>
      <c r="D8868" s="15" t="s">
        <v>795</v>
      </c>
      <c r="F8868" s="42"/>
    </row>
    <row r="8869" spans="1:6" x14ac:dyDescent="0.3">
      <c r="A8869" s="15" t="s">
        <v>40534</v>
      </c>
      <c r="B8869" s="15" t="s">
        <v>800</v>
      </c>
      <c r="C8869" s="15" t="s">
        <v>16105</v>
      </c>
      <c r="D8869" s="15" t="s">
        <v>16106</v>
      </c>
      <c r="E8869" s="15">
        <v>10.4069</v>
      </c>
      <c r="F8869" s="42">
        <v>46198</v>
      </c>
    </row>
    <row r="8870" spans="1:6" x14ac:dyDescent="0.3">
      <c r="A8870" s="15" t="s">
        <v>40533</v>
      </c>
      <c r="B8870" s="15" t="s">
        <v>16107</v>
      </c>
      <c r="C8870" s="15" t="s">
        <v>800</v>
      </c>
      <c r="D8870" s="15" t="s">
        <v>16108</v>
      </c>
      <c r="E8870" s="15">
        <v>11.791499999999999</v>
      </c>
      <c r="F8870" s="42">
        <v>46198</v>
      </c>
    </row>
    <row r="8871" spans="1:6" x14ac:dyDescent="0.3">
      <c r="A8871" s="15" t="s">
        <v>40532</v>
      </c>
      <c r="B8871" s="15" t="s">
        <v>800</v>
      </c>
      <c r="C8871" s="15" t="s">
        <v>16109</v>
      </c>
      <c r="D8871" s="15" t="s">
        <v>16110</v>
      </c>
      <c r="E8871" s="15">
        <v>10.147600000000001</v>
      </c>
      <c r="F8871" s="42">
        <v>46198</v>
      </c>
    </row>
    <row r="8872" spans="1:6" x14ac:dyDescent="0.3">
      <c r="A8872" s="15" t="s">
        <v>40531</v>
      </c>
      <c r="B8872" s="15" t="s">
        <v>16111</v>
      </c>
      <c r="C8872" s="15" t="s">
        <v>800</v>
      </c>
      <c r="D8872" s="15" t="s">
        <v>16112</v>
      </c>
      <c r="E8872" s="15">
        <v>11.7074</v>
      </c>
      <c r="F8872" s="42">
        <v>46198</v>
      </c>
    </row>
    <row r="8873" spans="1:6" x14ac:dyDescent="0.3">
      <c r="A8873" s="15" t="s">
        <v>33499</v>
      </c>
      <c r="B8873" s="15" t="s">
        <v>795</v>
      </c>
      <c r="C8873" s="15" t="s">
        <v>795</v>
      </c>
      <c r="D8873" s="15" t="s">
        <v>795</v>
      </c>
      <c r="F8873" s="42"/>
    </row>
    <row r="8874" spans="1:6" x14ac:dyDescent="0.3">
      <c r="A8874" s="15" t="s">
        <v>40216</v>
      </c>
      <c r="B8874" s="15" t="s">
        <v>795</v>
      </c>
      <c r="C8874" s="15" t="s">
        <v>795</v>
      </c>
      <c r="D8874" s="15" t="s">
        <v>795</v>
      </c>
      <c r="F8874" s="42"/>
    </row>
    <row r="8875" spans="1:6" x14ac:dyDescent="0.3">
      <c r="A8875" s="15" t="s">
        <v>33499</v>
      </c>
      <c r="B8875" s="15" t="s">
        <v>795</v>
      </c>
      <c r="C8875" s="15" t="s">
        <v>795</v>
      </c>
      <c r="D8875" s="15" t="s">
        <v>795</v>
      </c>
      <c r="F8875" s="42"/>
    </row>
    <row r="8876" spans="1:6" x14ac:dyDescent="0.3">
      <c r="A8876" s="15" t="s">
        <v>40530</v>
      </c>
      <c r="B8876" s="15" t="s">
        <v>16113</v>
      </c>
      <c r="C8876" s="15" t="s">
        <v>800</v>
      </c>
      <c r="D8876" s="15" t="s">
        <v>16114</v>
      </c>
      <c r="E8876" s="15">
        <v>17.4893</v>
      </c>
      <c r="F8876" s="42">
        <v>46198</v>
      </c>
    </row>
    <row r="8877" spans="1:6" x14ac:dyDescent="0.3">
      <c r="A8877" s="15" t="s">
        <v>40529</v>
      </c>
      <c r="B8877" s="15" t="s">
        <v>16115</v>
      </c>
      <c r="C8877" s="15" t="s">
        <v>800</v>
      </c>
      <c r="D8877" s="15" t="s">
        <v>16116</v>
      </c>
      <c r="E8877" s="15">
        <v>16.664899999999999</v>
      </c>
      <c r="F8877" s="42">
        <v>46198</v>
      </c>
    </row>
    <row r="8878" spans="1:6" x14ac:dyDescent="0.3">
      <c r="A8878" s="15" t="s">
        <v>40528</v>
      </c>
      <c r="B8878" s="15" t="s">
        <v>16117</v>
      </c>
      <c r="C8878" s="15" t="s">
        <v>16118</v>
      </c>
      <c r="D8878" s="15" t="s">
        <v>16119</v>
      </c>
      <c r="E8878" s="15">
        <v>17.4833</v>
      </c>
      <c r="F8878" s="42">
        <v>46198</v>
      </c>
    </row>
    <row r="8879" spans="1:6" x14ac:dyDescent="0.3">
      <c r="A8879" s="15" t="s">
        <v>40527</v>
      </c>
      <c r="B8879" s="15" t="s">
        <v>16120</v>
      </c>
      <c r="C8879" s="15" t="s">
        <v>16121</v>
      </c>
      <c r="D8879" s="15" t="s">
        <v>16122</v>
      </c>
      <c r="E8879" s="15">
        <v>16.666499999999999</v>
      </c>
      <c r="F8879" s="42">
        <v>46198</v>
      </c>
    </row>
    <row r="8880" spans="1:6" x14ac:dyDescent="0.3">
      <c r="A8880" s="15" t="s">
        <v>33499</v>
      </c>
      <c r="B8880" s="15" t="s">
        <v>795</v>
      </c>
      <c r="C8880" s="15" t="s">
        <v>795</v>
      </c>
      <c r="D8880" s="15" t="s">
        <v>795</v>
      </c>
      <c r="F8880" s="42"/>
    </row>
    <row r="8881" spans="1:6" x14ac:dyDescent="0.3">
      <c r="A8881" s="15" t="s">
        <v>40209</v>
      </c>
      <c r="B8881" s="15" t="s">
        <v>795</v>
      </c>
      <c r="C8881" s="15" t="s">
        <v>795</v>
      </c>
      <c r="D8881" s="15" t="s">
        <v>795</v>
      </c>
      <c r="F8881" s="42"/>
    </row>
    <row r="8882" spans="1:6" x14ac:dyDescent="0.3">
      <c r="A8882" s="15" t="s">
        <v>33499</v>
      </c>
      <c r="B8882" s="15" t="s">
        <v>795</v>
      </c>
      <c r="C8882" s="15" t="s">
        <v>795</v>
      </c>
      <c r="D8882" s="15" t="s">
        <v>795</v>
      </c>
      <c r="F8882" s="42"/>
    </row>
    <row r="8883" spans="1:6" x14ac:dyDescent="0.3">
      <c r="A8883" s="15" t="s">
        <v>40526</v>
      </c>
      <c r="B8883" s="15" t="s">
        <v>16123</v>
      </c>
      <c r="C8883" s="15" t="s">
        <v>800</v>
      </c>
      <c r="D8883" s="15" t="s">
        <v>16124</v>
      </c>
      <c r="E8883" s="15">
        <v>10.74</v>
      </c>
      <c r="F8883" s="42">
        <v>46198</v>
      </c>
    </row>
    <row r="8884" spans="1:6" x14ac:dyDescent="0.3">
      <c r="A8884" s="15" t="s">
        <v>40525</v>
      </c>
      <c r="B8884" s="15" t="s">
        <v>16125</v>
      </c>
      <c r="C8884" s="15" t="s">
        <v>16126</v>
      </c>
      <c r="D8884" s="15" t="s">
        <v>16127</v>
      </c>
      <c r="E8884" s="15">
        <v>10.73</v>
      </c>
      <c r="F8884" s="42">
        <v>46198</v>
      </c>
    </row>
    <row r="8885" spans="1:6" x14ac:dyDescent="0.3">
      <c r="A8885" s="15" t="s">
        <v>40524</v>
      </c>
      <c r="B8885" s="15" t="s">
        <v>16128</v>
      </c>
      <c r="C8885" s="15" t="s">
        <v>800</v>
      </c>
      <c r="D8885" s="15" t="s">
        <v>16129</v>
      </c>
      <c r="E8885" s="15">
        <v>10.32</v>
      </c>
      <c r="F8885" s="42">
        <v>46198</v>
      </c>
    </row>
    <row r="8886" spans="1:6" x14ac:dyDescent="0.3">
      <c r="A8886" s="15" t="s">
        <v>40523</v>
      </c>
      <c r="B8886" s="15" t="s">
        <v>16130</v>
      </c>
      <c r="C8886" s="15" t="s">
        <v>16131</v>
      </c>
      <c r="D8886" s="15" t="s">
        <v>16132</v>
      </c>
      <c r="E8886" s="15">
        <v>10.32</v>
      </c>
      <c r="F8886" s="42">
        <v>46198</v>
      </c>
    </row>
    <row r="8887" spans="1:6" x14ac:dyDescent="0.3">
      <c r="A8887" s="15" t="s">
        <v>33499</v>
      </c>
      <c r="B8887" s="15" t="s">
        <v>795</v>
      </c>
      <c r="C8887" s="15" t="s">
        <v>795</v>
      </c>
      <c r="D8887" s="15" t="s">
        <v>795</v>
      </c>
      <c r="F8887" s="42"/>
    </row>
    <row r="8888" spans="1:6" x14ac:dyDescent="0.3">
      <c r="A8888" s="15" t="s">
        <v>33636</v>
      </c>
      <c r="B8888" s="15" t="s">
        <v>795</v>
      </c>
      <c r="C8888" s="15" t="s">
        <v>795</v>
      </c>
      <c r="D8888" s="15" t="s">
        <v>795</v>
      </c>
      <c r="F8888" s="42"/>
    </row>
    <row r="8889" spans="1:6" x14ac:dyDescent="0.3">
      <c r="A8889" s="15" t="s">
        <v>33499</v>
      </c>
      <c r="B8889" s="15" t="s">
        <v>795</v>
      </c>
      <c r="C8889" s="15" t="s">
        <v>795</v>
      </c>
      <c r="D8889" s="15" t="s">
        <v>795</v>
      </c>
      <c r="F8889" s="42"/>
    </row>
    <row r="8890" spans="1:6" x14ac:dyDescent="0.3">
      <c r="A8890" s="15" t="s">
        <v>40522</v>
      </c>
      <c r="B8890" s="15" t="s">
        <v>16133</v>
      </c>
      <c r="C8890" s="15" t="s">
        <v>800</v>
      </c>
      <c r="D8890" s="15" t="s">
        <v>16134</v>
      </c>
      <c r="E8890" s="15">
        <v>16.607800000000001</v>
      </c>
      <c r="F8890" s="42">
        <v>46198</v>
      </c>
    </row>
    <row r="8891" spans="1:6" x14ac:dyDescent="0.3">
      <c r="A8891" s="15" t="s">
        <v>40521</v>
      </c>
      <c r="B8891" s="15" t="s">
        <v>16135</v>
      </c>
      <c r="C8891" s="15" t="s">
        <v>16136</v>
      </c>
      <c r="D8891" s="15" t="s">
        <v>16137</v>
      </c>
      <c r="E8891" s="15">
        <v>16.6082</v>
      </c>
      <c r="F8891" s="42">
        <v>46198</v>
      </c>
    </row>
    <row r="8892" spans="1:6" x14ac:dyDescent="0.3">
      <c r="A8892" s="15" t="s">
        <v>40520</v>
      </c>
      <c r="B8892" s="15" t="s">
        <v>16138</v>
      </c>
      <c r="C8892" s="15" t="s">
        <v>800</v>
      </c>
      <c r="D8892" s="15" t="s">
        <v>16139</v>
      </c>
      <c r="E8892" s="15">
        <v>15.8621</v>
      </c>
      <c r="F8892" s="42">
        <v>46198</v>
      </c>
    </row>
    <row r="8893" spans="1:6" x14ac:dyDescent="0.3">
      <c r="A8893" s="15" t="s">
        <v>40519</v>
      </c>
      <c r="B8893" s="15" t="s">
        <v>16140</v>
      </c>
      <c r="C8893" s="15" t="s">
        <v>16141</v>
      </c>
      <c r="D8893" s="15" t="s">
        <v>16142</v>
      </c>
      <c r="E8893" s="15">
        <v>15.862299999999999</v>
      </c>
      <c r="F8893" s="42">
        <v>46198</v>
      </c>
    </row>
    <row r="8894" spans="1:6" x14ac:dyDescent="0.3">
      <c r="A8894" s="15" t="s">
        <v>33499</v>
      </c>
      <c r="B8894" s="15" t="s">
        <v>795</v>
      </c>
      <c r="C8894" s="15" t="s">
        <v>795</v>
      </c>
      <c r="D8894" s="15" t="s">
        <v>795</v>
      </c>
      <c r="F8894" s="42"/>
    </row>
    <row r="8895" spans="1:6" x14ac:dyDescent="0.3">
      <c r="A8895" s="15" t="s">
        <v>37664</v>
      </c>
      <c r="B8895" s="15" t="s">
        <v>795</v>
      </c>
      <c r="C8895" s="15" t="s">
        <v>795</v>
      </c>
      <c r="D8895" s="15" t="s">
        <v>795</v>
      </c>
      <c r="F8895" s="42"/>
    </row>
    <row r="8896" spans="1:6" x14ac:dyDescent="0.3">
      <c r="A8896" s="15" t="s">
        <v>33499</v>
      </c>
      <c r="B8896" s="15" t="s">
        <v>795</v>
      </c>
      <c r="C8896" s="15" t="s">
        <v>795</v>
      </c>
      <c r="D8896" s="15" t="s">
        <v>795</v>
      </c>
      <c r="F8896" s="42"/>
    </row>
    <row r="8897" spans="1:6" x14ac:dyDescent="0.3">
      <c r="A8897" s="15" t="s">
        <v>40518</v>
      </c>
      <c r="B8897" s="15" t="s">
        <v>16143</v>
      </c>
      <c r="C8897" s="15" t="s">
        <v>800</v>
      </c>
      <c r="D8897" s="15" t="s">
        <v>16144</v>
      </c>
      <c r="E8897" s="15">
        <v>18.7941</v>
      </c>
      <c r="F8897" s="42">
        <v>46198</v>
      </c>
    </row>
    <row r="8898" spans="1:6" x14ac:dyDescent="0.3">
      <c r="A8898" s="15" t="s">
        <v>40517</v>
      </c>
      <c r="B8898" s="15" t="s">
        <v>16145</v>
      </c>
      <c r="C8898" s="15" t="s">
        <v>16146</v>
      </c>
      <c r="D8898" s="15" t="s">
        <v>16147</v>
      </c>
      <c r="E8898" s="15">
        <v>18.633299999999998</v>
      </c>
      <c r="F8898" s="42">
        <v>46198</v>
      </c>
    </row>
    <row r="8899" spans="1:6" x14ac:dyDescent="0.3">
      <c r="A8899" s="15" t="s">
        <v>40516</v>
      </c>
      <c r="B8899" s="15" t="s">
        <v>16148</v>
      </c>
      <c r="C8899" s="15" t="s">
        <v>800</v>
      </c>
      <c r="D8899" s="15" t="s">
        <v>16149</v>
      </c>
      <c r="E8899" s="15">
        <v>16.508400000000002</v>
      </c>
      <c r="F8899" s="42">
        <v>46198</v>
      </c>
    </row>
    <row r="8900" spans="1:6" x14ac:dyDescent="0.3">
      <c r="A8900" s="15" t="s">
        <v>40515</v>
      </c>
      <c r="B8900" s="15" t="s">
        <v>16150</v>
      </c>
      <c r="C8900" s="15" t="s">
        <v>16151</v>
      </c>
      <c r="D8900" s="15" t="s">
        <v>16152</v>
      </c>
      <c r="E8900" s="15">
        <v>16.531099999999999</v>
      </c>
      <c r="F8900" s="42">
        <v>46198</v>
      </c>
    </row>
    <row r="8901" spans="1:6" x14ac:dyDescent="0.3">
      <c r="A8901" s="15" t="s">
        <v>33499</v>
      </c>
      <c r="B8901" s="15" t="s">
        <v>795</v>
      </c>
      <c r="C8901" s="15" t="s">
        <v>795</v>
      </c>
      <c r="D8901" s="15" t="s">
        <v>795</v>
      </c>
      <c r="F8901" s="42"/>
    </row>
    <row r="8902" spans="1:6" x14ac:dyDescent="0.3">
      <c r="A8902" s="15" t="s">
        <v>37414</v>
      </c>
      <c r="B8902" s="15" t="s">
        <v>795</v>
      </c>
      <c r="C8902" s="15" t="s">
        <v>795</v>
      </c>
      <c r="D8902" s="15" t="s">
        <v>795</v>
      </c>
      <c r="F8902" s="42"/>
    </row>
    <row r="8903" spans="1:6" x14ac:dyDescent="0.3">
      <c r="A8903" s="15" t="s">
        <v>33499</v>
      </c>
      <c r="B8903" s="15" t="s">
        <v>795</v>
      </c>
      <c r="C8903" s="15" t="s">
        <v>795</v>
      </c>
      <c r="D8903" s="15" t="s">
        <v>795</v>
      </c>
      <c r="F8903" s="42"/>
    </row>
    <row r="8904" spans="1:6" x14ac:dyDescent="0.3">
      <c r="A8904" s="15" t="s">
        <v>40514</v>
      </c>
      <c r="B8904" s="15" t="s">
        <v>16153</v>
      </c>
      <c r="C8904" s="15" t="s">
        <v>800</v>
      </c>
      <c r="D8904" s="15" t="s">
        <v>16154</v>
      </c>
      <c r="E8904" s="15">
        <v>41.575000000000003</v>
      </c>
      <c r="F8904" s="42">
        <v>46198</v>
      </c>
    </row>
    <row r="8905" spans="1:6" x14ac:dyDescent="0.3">
      <c r="A8905" s="15" t="s">
        <v>40513</v>
      </c>
      <c r="B8905" s="15" t="s">
        <v>16155</v>
      </c>
      <c r="C8905" s="15" t="s">
        <v>16156</v>
      </c>
      <c r="D8905" s="15" t="s">
        <v>16157</v>
      </c>
      <c r="E8905" s="15">
        <v>17.6935</v>
      </c>
      <c r="F8905" s="42">
        <v>46198</v>
      </c>
    </row>
    <row r="8906" spans="1:6" x14ac:dyDescent="0.3">
      <c r="A8906" s="15" t="s">
        <v>40512</v>
      </c>
      <c r="B8906" s="15" t="s">
        <v>16158</v>
      </c>
      <c r="C8906" s="15" t="s">
        <v>800</v>
      </c>
      <c r="D8906" s="15" t="s">
        <v>16159</v>
      </c>
      <c r="E8906" s="15">
        <v>34.9634</v>
      </c>
      <c r="F8906" s="42">
        <v>46198</v>
      </c>
    </row>
    <row r="8907" spans="1:6" x14ac:dyDescent="0.3">
      <c r="A8907" s="15" t="s">
        <v>40511</v>
      </c>
      <c r="B8907" s="15" t="s">
        <v>16160</v>
      </c>
      <c r="C8907" s="15" t="s">
        <v>16161</v>
      </c>
      <c r="D8907" s="15" t="s">
        <v>16162</v>
      </c>
      <c r="E8907" s="15">
        <v>14.264200000000001</v>
      </c>
      <c r="F8907" s="42">
        <v>46198</v>
      </c>
    </row>
    <row r="8908" spans="1:6" x14ac:dyDescent="0.3">
      <c r="A8908" s="15" t="s">
        <v>33499</v>
      </c>
      <c r="B8908" s="15" t="s">
        <v>795</v>
      </c>
      <c r="C8908" s="15" t="s">
        <v>795</v>
      </c>
      <c r="D8908" s="15" t="s">
        <v>795</v>
      </c>
      <c r="F8908" s="42"/>
    </row>
    <row r="8909" spans="1:6" x14ac:dyDescent="0.3">
      <c r="A8909" s="15" t="s">
        <v>33519</v>
      </c>
      <c r="B8909" s="15" t="s">
        <v>795</v>
      </c>
      <c r="C8909" s="15" t="s">
        <v>795</v>
      </c>
      <c r="D8909" s="15" t="s">
        <v>795</v>
      </c>
      <c r="F8909" s="42"/>
    </row>
    <row r="8910" spans="1:6" x14ac:dyDescent="0.3">
      <c r="A8910" s="15" t="s">
        <v>33499</v>
      </c>
      <c r="B8910" s="15" t="s">
        <v>795</v>
      </c>
      <c r="C8910" s="15" t="s">
        <v>795</v>
      </c>
      <c r="D8910" s="15" t="s">
        <v>795</v>
      </c>
      <c r="F8910" s="42"/>
    </row>
    <row r="8911" spans="1:6" x14ac:dyDescent="0.3">
      <c r="A8911" s="15" t="s">
        <v>40510</v>
      </c>
      <c r="B8911" s="15" t="s">
        <v>16163</v>
      </c>
      <c r="C8911" s="15" t="s">
        <v>800</v>
      </c>
      <c r="D8911" s="15" t="s">
        <v>16164</v>
      </c>
      <c r="E8911" s="15">
        <v>22.6922</v>
      </c>
      <c r="F8911" s="42">
        <v>46198</v>
      </c>
    </row>
    <row r="8912" spans="1:6" x14ac:dyDescent="0.3">
      <c r="A8912" s="15" t="s">
        <v>40509</v>
      </c>
      <c r="B8912" s="15" t="s">
        <v>800</v>
      </c>
      <c r="C8912" s="15" t="s">
        <v>16165</v>
      </c>
      <c r="D8912" s="15" t="s">
        <v>16166</v>
      </c>
      <c r="E8912" s="15">
        <v>22.6922</v>
      </c>
      <c r="F8912" s="42">
        <v>46198</v>
      </c>
    </row>
    <row r="8913" spans="1:6" x14ac:dyDescent="0.3">
      <c r="A8913" s="15" t="s">
        <v>40508</v>
      </c>
      <c r="B8913" s="15" t="s">
        <v>16167</v>
      </c>
      <c r="C8913" s="15" t="s">
        <v>800</v>
      </c>
      <c r="D8913" s="15" t="s">
        <v>16168</v>
      </c>
      <c r="E8913" s="15">
        <v>20.1587</v>
      </c>
      <c r="F8913" s="42">
        <v>46198</v>
      </c>
    </row>
    <row r="8914" spans="1:6" x14ac:dyDescent="0.3">
      <c r="A8914" s="15" t="s">
        <v>40507</v>
      </c>
      <c r="B8914" s="15" t="s">
        <v>800</v>
      </c>
      <c r="C8914" s="15" t="s">
        <v>16169</v>
      </c>
      <c r="D8914" s="15" t="s">
        <v>16170</v>
      </c>
      <c r="E8914" s="15">
        <v>20.1587</v>
      </c>
      <c r="F8914" s="42">
        <v>46198</v>
      </c>
    </row>
    <row r="8915" spans="1:6" x14ac:dyDescent="0.3">
      <c r="A8915" s="15" t="s">
        <v>40506</v>
      </c>
      <c r="B8915" s="15" t="s">
        <v>16171</v>
      </c>
      <c r="C8915" s="15" t="s">
        <v>800</v>
      </c>
      <c r="D8915" s="15" t="s">
        <v>16172</v>
      </c>
      <c r="E8915" s="15">
        <v>23.546099999999999</v>
      </c>
      <c r="F8915" s="42">
        <v>46198</v>
      </c>
    </row>
    <row r="8916" spans="1:6" x14ac:dyDescent="0.3">
      <c r="A8916" s="15" t="s">
        <v>40505</v>
      </c>
      <c r="B8916" s="15" t="s">
        <v>16173</v>
      </c>
      <c r="C8916" s="15" t="s">
        <v>800</v>
      </c>
      <c r="D8916" s="15" t="s">
        <v>16174</v>
      </c>
      <c r="E8916" s="15">
        <v>21.012</v>
      </c>
      <c r="F8916" s="42">
        <v>46198</v>
      </c>
    </row>
    <row r="8917" spans="1:6" x14ac:dyDescent="0.3">
      <c r="A8917" s="15" t="s">
        <v>33499</v>
      </c>
      <c r="B8917" s="15" t="s">
        <v>795</v>
      </c>
      <c r="C8917" s="15" t="s">
        <v>795</v>
      </c>
      <c r="D8917" s="15" t="s">
        <v>795</v>
      </c>
      <c r="F8917" s="42"/>
    </row>
    <row r="8918" spans="1:6" x14ac:dyDescent="0.3">
      <c r="A8918" s="15" t="s">
        <v>39242</v>
      </c>
      <c r="B8918" s="15" t="s">
        <v>795</v>
      </c>
      <c r="C8918" s="15" t="s">
        <v>795</v>
      </c>
      <c r="D8918" s="15" t="s">
        <v>795</v>
      </c>
      <c r="F8918" s="42"/>
    </row>
    <row r="8919" spans="1:6" x14ac:dyDescent="0.3">
      <c r="A8919" s="15" t="s">
        <v>33499</v>
      </c>
      <c r="B8919" s="15" t="s">
        <v>795</v>
      </c>
      <c r="C8919" s="15" t="s">
        <v>795</v>
      </c>
      <c r="D8919" s="15" t="s">
        <v>795</v>
      </c>
      <c r="F8919" s="42"/>
    </row>
    <row r="8920" spans="1:6" x14ac:dyDescent="0.3">
      <c r="A8920" s="15" t="s">
        <v>40504</v>
      </c>
      <c r="B8920" s="15" t="s">
        <v>16175</v>
      </c>
      <c r="C8920" s="15" t="s">
        <v>800</v>
      </c>
      <c r="D8920" s="15" t="s">
        <v>16176</v>
      </c>
      <c r="E8920" s="15">
        <v>10.0548</v>
      </c>
      <c r="F8920" s="42">
        <v>46198</v>
      </c>
    </row>
    <row r="8921" spans="1:6" x14ac:dyDescent="0.3">
      <c r="A8921" s="15" t="s">
        <v>40503</v>
      </c>
      <c r="B8921" s="15" t="s">
        <v>16177</v>
      </c>
      <c r="C8921" s="15" t="s">
        <v>16178</v>
      </c>
      <c r="D8921" s="15" t="s">
        <v>16179</v>
      </c>
      <c r="E8921" s="15">
        <v>10.0543</v>
      </c>
      <c r="F8921" s="42">
        <v>46198</v>
      </c>
    </row>
    <row r="8922" spans="1:6" x14ac:dyDescent="0.3">
      <c r="A8922" s="15" t="s">
        <v>40502</v>
      </c>
      <c r="B8922" s="15" t="s">
        <v>16180</v>
      </c>
      <c r="C8922" s="15" t="s">
        <v>800</v>
      </c>
      <c r="D8922" s="15" t="s">
        <v>16181</v>
      </c>
      <c r="E8922" s="15">
        <v>9.9832999999999998</v>
      </c>
      <c r="F8922" s="42">
        <v>46198</v>
      </c>
    </row>
    <row r="8923" spans="1:6" x14ac:dyDescent="0.3">
      <c r="A8923" s="15" t="s">
        <v>40501</v>
      </c>
      <c r="B8923" s="15" t="s">
        <v>16182</v>
      </c>
      <c r="C8923" s="15" t="s">
        <v>16183</v>
      </c>
      <c r="D8923" s="15" t="s">
        <v>16184</v>
      </c>
      <c r="E8923" s="15">
        <v>9.9821000000000009</v>
      </c>
      <c r="F8923" s="42">
        <v>46198</v>
      </c>
    </row>
    <row r="8924" spans="1:6" x14ac:dyDescent="0.3">
      <c r="A8924" s="15" t="s">
        <v>33499</v>
      </c>
      <c r="B8924" s="15" t="s">
        <v>795</v>
      </c>
      <c r="C8924" s="15" t="s">
        <v>795</v>
      </c>
      <c r="D8924" s="15" t="s">
        <v>795</v>
      </c>
      <c r="F8924" s="42"/>
    </row>
    <row r="8925" spans="1:6" x14ac:dyDescent="0.3">
      <c r="A8925" s="15" t="s">
        <v>40500</v>
      </c>
      <c r="B8925" s="15" t="s">
        <v>795</v>
      </c>
      <c r="C8925" s="15" t="s">
        <v>795</v>
      </c>
      <c r="D8925" s="15" t="s">
        <v>795</v>
      </c>
      <c r="F8925" s="42"/>
    </row>
    <row r="8926" spans="1:6" x14ac:dyDescent="0.3">
      <c r="A8926" s="15" t="s">
        <v>33499</v>
      </c>
      <c r="B8926" s="15" t="s">
        <v>795</v>
      </c>
      <c r="C8926" s="15" t="s">
        <v>795</v>
      </c>
      <c r="D8926" s="15" t="s">
        <v>795</v>
      </c>
      <c r="F8926" s="42"/>
    </row>
    <row r="8927" spans="1:6" x14ac:dyDescent="0.3">
      <c r="A8927" s="15" t="s">
        <v>40499</v>
      </c>
      <c r="B8927" s="15" t="s">
        <v>16185</v>
      </c>
      <c r="C8927" s="15" t="s">
        <v>800</v>
      </c>
      <c r="D8927" s="15" t="s">
        <v>16186</v>
      </c>
      <c r="E8927" s="15">
        <v>11.0785</v>
      </c>
      <c r="F8927" s="42">
        <v>46198</v>
      </c>
    </row>
    <row r="8928" spans="1:6" x14ac:dyDescent="0.3">
      <c r="A8928" s="15" t="s">
        <v>40498</v>
      </c>
      <c r="B8928" s="15" t="s">
        <v>16187</v>
      </c>
      <c r="C8928" s="15" t="s">
        <v>800</v>
      </c>
      <c r="D8928" s="15" t="s">
        <v>16188</v>
      </c>
      <c r="E8928" s="15">
        <v>10.9945</v>
      </c>
      <c r="F8928" s="42">
        <v>46198</v>
      </c>
    </row>
    <row r="8929" spans="1:6" x14ac:dyDescent="0.3">
      <c r="A8929" s="15" t="s">
        <v>33499</v>
      </c>
      <c r="B8929" s="15" t="s">
        <v>795</v>
      </c>
      <c r="C8929" s="15" t="s">
        <v>795</v>
      </c>
      <c r="D8929" s="15" t="s">
        <v>795</v>
      </c>
      <c r="F8929" s="42"/>
    </row>
    <row r="8930" spans="1:6" x14ac:dyDescent="0.3">
      <c r="A8930" s="15" t="s">
        <v>33504</v>
      </c>
      <c r="B8930" s="15" t="s">
        <v>795</v>
      </c>
      <c r="C8930" s="15" t="s">
        <v>795</v>
      </c>
      <c r="D8930" s="15" t="s">
        <v>795</v>
      </c>
      <c r="F8930" s="42"/>
    </row>
    <row r="8931" spans="1:6" x14ac:dyDescent="0.3">
      <c r="A8931" s="15" t="s">
        <v>33499</v>
      </c>
      <c r="B8931" s="15" t="s">
        <v>795</v>
      </c>
      <c r="C8931" s="15" t="s">
        <v>795</v>
      </c>
      <c r="D8931" s="15" t="s">
        <v>795</v>
      </c>
      <c r="F8931" s="42"/>
    </row>
    <row r="8932" spans="1:6" x14ac:dyDescent="0.3">
      <c r="A8932" s="15" t="s">
        <v>40497</v>
      </c>
      <c r="B8932" s="15" t="s">
        <v>16189</v>
      </c>
      <c r="C8932" s="15" t="s">
        <v>800</v>
      </c>
      <c r="D8932" s="15" t="s">
        <v>16190</v>
      </c>
      <c r="E8932" s="15">
        <v>22.16</v>
      </c>
      <c r="F8932" s="42">
        <v>46198</v>
      </c>
    </row>
    <row r="8933" spans="1:6" x14ac:dyDescent="0.3">
      <c r="A8933" s="15" t="s">
        <v>40496</v>
      </c>
      <c r="B8933" s="15" t="s">
        <v>16191</v>
      </c>
      <c r="C8933" s="15" t="s">
        <v>16192</v>
      </c>
      <c r="D8933" s="15" t="s">
        <v>16193</v>
      </c>
      <c r="E8933" s="15">
        <v>20.63</v>
      </c>
      <c r="F8933" s="42">
        <v>46198</v>
      </c>
    </row>
    <row r="8934" spans="1:6" x14ac:dyDescent="0.3">
      <c r="A8934" s="15" t="s">
        <v>40495</v>
      </c>
      <c r="B8934" s="15" t="s">
        <v>16194</v>
      </c>
      <c r="C8934" s="15" t="s">
        <v>800</v>
      </c>
      <c r="D8934" s="15" t="s">
        <v>16195</v>
      </c>
      <c r="E8934" s="15">
        <v>20.34</v>
      </c>
      <c r="F8934" s="42">
        <v>46198</v>
      </c>
    </row>
    <row r="8935" spans="1:6" x14ac:dyDescent="0.3">
      <c r="A8935" s="15" t="s">
        <v>40494</v>
      </c>
      <c r="B8935" s="15" t="s">
        <v>16196</v>
      </c>
      <c r="C8935" s="15" t="s">
        <v>16197</v>
      </c>
      <c r="D8935" s="15" t="s">
        <v>16198</v>
      </c>
      <c r="E8935" s="15">
        <v>18.82</v>
      </c>
      <c r="F8935" s="42">
        <v>46198</v>
      </c>
    </row>
    <row r="8936" spans="1:6" x14ac:dyDescent="0.3">
      <c r="A8936" s="15" t="s">
        <v>33499</v>
      </c>
      <c r="B8936" s="15" t="s">
        <v>795</v>
      </c>
      <c r="C8936" s="15" t="s">
        <v>795</v>
      </c>
      <c r="D8936" s="15" t="s">
        <v>795</v>
      </c>
      <c r="F8936" s="42"/>
    </row>
    <row r="8937" spans="1:6" x14ac:dyDescent="0.3">
      <c r="A8937" s="15" t="s">
        <v>33500</v>
      </c>
      <c r="B8937" s="15" t="s">
        <v>795</v>
      </c>
      <c r="C8937" s="15" t="s">
        <v>795</v>
      </c>
      <c r="D8937" s="15" t="s">
        <v>795</v>
      </c>
      <c r="F8937" s="42"/>
    </row>
    <row r="8938" spans="1:6" x14ac:dyDescent="0.3">
      <c r="A8938" s="15" t="s">
        <v>33499</v>
      </c>
      <c r="B8938" s="15" t="s">
        <v>795</v>
      </c>
      <c r="C8938" s="15" t="s">
        <v>795</v>
      </c>
      <c r="D8938" s="15" t="s">
        <v>795</v>
      </c>
      <c r="F8938" s="42"/>
    </row>
    <row r="8939" spans="1:6" x14ac:dyDescent="0.3">
      <c r="A8939" s="15" t="s">
        <v>40493</v>
      </c>
      <c r="B8939" s="15" t="s">
        <v>800</v>
      </c>
      <c r="C8939" s="15" t="s">
        <v>800</v>
      </c>
      <c r="D8939" s="15" t="s">
        <v>16199</v>
      </c>
      <c r="E8939" s="15">
        <v>41.993000000000002</v>
      </c>
      <c r="F8939" s="42">
        <v>46198</v>
      </c>
    </row>
    <row r="8940" spans="1:6" x14ac:dyDescent="0.3">
      <c r="A8940" s="15" t="s">
        <v>40492</v>
      </c>
      <c r="B8940" s="15" t="s">
        <v>800</v>
      </c>
      <c r="C8940" s="15" t="s">
        <v>800</v>
      </c>
      <c r="D8940" s="15" t="s">
        <v>16200</v>
      </c>
      <c r="E8940" s="15">
        <v>45.684699999999999</v>
      </c>
      <c r="F8940" s="42">
        <v>46198</v>
      </c>
    </row>
    <row r="8941" spans="1:6" x14ac:dyDescent="0.3">
      <c r="A8941" s="15" t="s">
        <v>40491</v>
      </c>
      <c r="B8941" s="15" t="s">
        <v>16201</v>
      </c>
      <c r="C8941" s="15" t="s">
        <v>800</v>
      </c>
      <c r="D8941" s="15" t="s">
        <v>16202</v>
      </c>
      <c r="E8941" s="15">
        <v>12.9055</v>
      </c>
      <c r="F8941" s="42">
        <v>46198</v>
      </c>
    </row>
    <row r="8942" spans="1:6" x14ac:dyDescent="0.3">
      <c r="A8942" s="15" t="s">
        <v>40490</v>
      </c>
      <c r="B8942" s="15" t="s">
        <v>16203</v>
      </c>
      <c r="C8942" s="15" t="s">
        <v>800</v>
      </c>
      <c r="D8942" s="15" t="s">
        <v>16204</v>
      </c>
      <c r="E8942" s="15">
        <v>12.9055</v>
      </c>
      <c r="F8942" s="42">
        <v>46198</v>
      </c>
    </row>
    <row r="8943" spans="1:6" x14ac:dyDescent="0.3">
      <c r="A8943" s="15" t="s">
        <v>40489</v>
      </c>
      <c r="B8943" s="15" t="s">
        <v>16205</v>
      </c>
      <c r="C8943" s="15" t="s">
        <v>800</v>
      </c>
      <c r="D8943" s="15" t="s">
        <v>16206</v>
      </c>
      <c r="E8943" s="15">
        <v>12.405799999999999</v>
      </c>
      <c r="F8943" s="42">
        <v>46198</v>
      </c>
    </row>
    <row r="8944" spans="1:6" x14ac:dyDescent="0.3">
      <c r="A8944" s="15" t="s">
        <v>40488</v>
      </c>
      <c r="B8944" s="15" t="s">
        <v>16207</v>
      </c>
      <c r="C8944" s="15" t="s">
        <v>800</v>
      </c>
      <c r="D8944" s="15" t="s">
        <v>16208</v>
      </c>
      <c r="E8944" s="15">
        <v>12.405900000000001</v>
      </c>
      <c r="F8944" s="42">
        <v>46198</v>
      </c>
    </row>
    <row r="8945" spans="1:6" x14ac:dyDescent="0.3">
      <c r="A8945" s="15" t="s">
        <v>33499</v>
      </c>
      <c r="B8945" s="15" t="s">
        <v>795</v>
      </c>
      <c r="C8945" s="15" t="s">
        <v>795</v>
      </c>
      <c r="D8945" s="15" t="s">
        <v>795</v>
      </c>
      <c r="F8945" s="42"/>
    </row>
    <row r="8946" spans="1:6" x14ac:dyDescent="0.3">
      <c r="A8946" s="15" t="s">
        <v>40172</v>
      </c>
      <c r="B8946" s="15" t="s">
        <v>795</v>
      </c>
      <c r="C8946" s="15" t="s">
        <v>795</v>
      </c>
      <c r="D8946" s="15" t="s">
        <v>795</v>
      </c>
      <c r="F8946" s="42"/>
    </row>
    <row r="8947" spans="1:6" x14ac:dyDescent="0.3">
      <c r="A8947" s="15" t="s">
        <v>33499</v>
      </c>
      <c r="B8947" s="15" t="s">
        <v>795</v>
      </c>
      <c r="C8947" s="15" t="s">
        <v>795</v>
      </c>
      <c r="D8947" s="15" t="s">
        <v>795</v>
      </c>
      <c r="F8947" s="42"/>
    </row>
    <row r="8948" spans="1:6" x14ac:dyDescent="0.3">
      <c r="A8948" s="15" t="s">
        <v>40487</v>
      </c>
      <c r="B8948" s="15" t="s">
        <v>16209</v>
      </c>
      <c r="C8948" s="15" t="s">
        <v>800</v>
      </c>
      <c r="D8948" s="15" t="s">
        <v>16210</v>
      </c>
      <c r="E8948" s="15">
        <v>15.204000000000001</v>
      </c>
      <c r="F8948" s="42">
        <v>46198</v>
      </c>
    </row>
    <row r="8949" spans="1:6" x14ac:dyDescent="0.3">
      <c r="A8949" s="15" t="s">
        <v>40486</v>
      </c>
      <c r="B8949" s="15" t="s">
        <v>16211</v>
      </c>
      <c r="C8949" s="15" t="s">
        <v>800</v>
      </c>
      <c r="D8949" s="15" t="s">
        <v>16212</v>
      </c>
      <c r="E8949" s="15">
        <v>14.42</v>
      </c>
      <c r="F8949" s="42">
        <v>46198</v>
      </c>
    </row>
    <row r="8950" spans="1:6" x14ac:dyDescent="0.3">
      <c r="A8950" s="15" t="s">
        <v>33499</v>
      </c>
      <c r="B8950" s="15" t="s">
        <v>795</v>
      </c>
      <c r="C8950" s="15" t="s">
        <v>795</v>
      </c>
      <c r="D8950" s="15" t="s">
        <v>795</v>
      </c>
      <c r="F8950" s="42"/>
    </row>
    <row r="8951" spans="1:6" x14ac:dyDescent="0.3">
      <c r="A8951" s="15" t="s">
        <v>40485</v>
      </c>
      <c r="B8951" s="15" t="s">
        <v>795</v>
      </c>
      <c r="C8951" s="15" t="s">
        <v>795</v>
      </c>
      <c r="D8951" s="15" t="s">
        <v>795</v>
      </c>
      <c r="F8951" s="42"/>
    </row>
    <row r="8952" spans="1:6" x14ac:dyDescent="0.3">
      <c r="A8952" s="15" t="s">
        <v>33499</v>
      </c>
      <c r="B8952" s="15" t="s">
        <v>795</v>
      </c>
      <c r="C8952" s="15" t="s">
        <v>795</v>
      </c>
      <c r="D8952" s="15" t="s">
        <v>795</v>
      </c>
      <c r="F8952" s="42"/>
    </row>
    <row r="8953" spans="1:6" x14ac:dyDescent="0.3">
      <c r="A8953" s="15" t="s">
        <v>37122</v>
      </c>
      <c r="B8953" s="15" t="s">
        <v>795</v>
      </c>
      <c r="C8953" s="15" t="s">
        <v>795</v>
      </c>
      <c r="D8953" s="15" t="s">
        <v>795</v>
      </c>
      <c r="F8953" s="42"/>
    </row>
    <row r="8954" spans="1:6" x14ac:dyDescent="0.3">
      <c r="A8954" s="15" t="s">
        <v>33499</v>
      </c>
      <c r="B8954" s="15" t="s">
        <v>795</v>
      </c>
      <c r="C8954" s="15" t="s">
        <v>795</v>
      </c>
      <c r="D8954" s="15" t="s">
        <v>795</v>
      </c>
      <c r="F8954" s="42"/>
    </row>
    <row r="8955" spans="1:6" x14ac:dyDescent="0.3">
      <c r="A8955" s="15" t="s">
        <v>40484</v>
      </c>
      <c r="B8955" s="15" t="s">
        <v>16213</v>
      </c>
      <c r="C8955" s="15" t="s">
        <v>16214</v>
      </c>
      <c r="D8955" s="15" t="s">
        <v>16215</v>
      </c>
      <c r="E8955" s="15">
        <v>15.65</v>
      </c>
      <c r="F8955" s="42">
        <v>46198</v>
      </c>
    </row>
    <row r="8956" spans="1:6" x14ac:dyDescent="0.3">
      <c r="A8956" s="15" t="s">
        <v>40483</v>
      </c>
      <c r="B8956" s="15" t="s">
        <v>16216</v>
      </c>
      <c r="C8956" s="15" t="s">
        <v>800</v>
      </c>
      <c r="D8956" s="15" t="s">
        <v>16217</v>
      </c>
      <c r="E8956" s="15">
        <v>25.74</v>
      </c>
      <c r="F8956" s="42">
        <v>46198</v>
      </c>
    </row>
    <row r="8957" spans="1:6" x14ac:dyDescent="0.3">
      <c r="A8957" s="15" t="s">
        <v>40482</v>
      </c>
      <c r="B8957" s="15" t="s">
        <v>16218</v>
      </c>
      <c r="C8957" s="15" t="s">
        <v>16219</v>
      </c>
      <c r="D8957" s="15" t="s">
        <v>16220</v>
      </c>
      <c r="E8957" s="15">
        <v>13.24</v>
      </c>
      <c r="F8957" s="42">
        <v>46198</v>
      </c>
    </row>
    <row r="8958" spans="1:6" x14ac:dyDescent="0.3">
      <c r="A8958" s="15" t="s">
        <v>40481</v>
      </c>
      <c r="B8958" s="15" t="s">
        <v>16221</v>
      </c>
      <c r="C8958" s="15" t="s">
        <v>800</v>
      </c>
      <c r="D8958" s="15" t="s">
        <v>16222</v>
      </c>
      <c r="E8958" s="15">
        <v>23.12</v>
      </c>
      <c r="F8958" s="42">
        <v>46198</v>
      </c>
    </row>
    <row r="8959" spans="1:6" x14ac:dyDescent="0.3">
      <c r="A8959" s="15" t="s">
        <v>33499</v>
      </c>
      <c r="B8959" s="15" t="s">
        <v>795</v>
      </c>
      <c r="C8959" s="15" t="s">
        <v>795</v>
      </c>
      <c r="D8959" s="15" t="s">
        <v>795</v>
      </c>
      <c r="F8959" s="42"/>
    </row>
    <row r="8960" spans="1:6" x14ac:dyDescent="0.3">
      <c r="A8960" s="15" t="s">
        <v>37087</v>
      </c>
      <c r="B8960" s="15" t="s">
        <v>795</v>
      </c>
      <c r="C8960" s="15" t="s">
        <v>795</v>
      </c>
      <c r="D8960" s="15" t="s">
        <v>795</v>
      </c>
      <c r="F8960" s="42"/>
    </row>
    <row r="8961" spans="1:6" x14ac:dyDescent="0.3">
      <c r="A8961" s="15" t="s">
        <v>33499</v>
      </c>
      <c r="B8961" s="15" t="s">
        <v>795</v>
      </c>
      <c r="C8961" s="15" t="s">
        <v>795</v>
      </c>
      <c r="D8961" s="15" t="s">
        <v>795</v>
      </c>
      <c r="F8961" s="42"/>
    </row>
    <row r="8962" spans="1:6" x14ac:dyDescent="0.3">
      <c r="A8962" s="15" t="s">
        <v>40480</v>
      </c>
      <c r="B8962" s="15" t="s">
        <v>16223</v>
      </c>
      <c r="C8962" s="15" t="s">
        <v>800</v>
      </c>
      <c r="D8962" s="15" t="s">
        <v>16224</v>
      </c>
      <c r="E8962" s="15">
        <v>26.16</v>
      </c>
      <c r="F8962" s="42">
        <v>46198</v>
      </c>
    </row>
    <row r="8963" spans="1:6" x14ac:dyDescent="0.3">
      <c r="A8963" s="15" t="s">
        <v>40479</v>
      </c>
      <c r="B8963" s="15" t="s">
        <v>16225</v>
      </c>
      <c r="C8963" s="15" t="s">
        <v>16226</v>
      </c>
      <c r="D8963" s="15" t="s">
        <v>16227</v>
      </c>
      <c r="E8963" s="15">
        <v>13.46</v>
      </c>
      <c r="F8963" s="42">
        <v>46198</v>
      </c>
    </row>
    <row r="8964" spans="1:6" x14ac:dyDescent="0.3">
      <c r="A8964" s="15" t="s">
        <v>40478</v>
      </c>
      <c r="B8964" s="15" t="s">
        <v>16228</v>
      </c>
      <c r="C8964" s="15" t="s">
        <v>16229</v>
      </c>
      <c r="D8964" s="15" t="s">
        <v>16230</v>
      </c>
      <c r="E8964" s="15">
        <v>13.93</v>
      </c>
      <c r="F8964" s="42">
        <v>46198</v>
      </c>
    </row>
    <row r="8965" spans="1:6" x14ac:dyDescent="0.3">
      <c r="A8965" s="15" t="s">
        <v>40477</v>
      </c>
      <c r="B8965" s="15" t="s">
        <v>16231</v>
      </c>
      <c r="C8965" s="15" t="s">
        <v>16232</v>
      </c>
      <c r="D8965" s="15" t="s">
        <v>16233</v>
      </c>
      <c r="E8965" s="15">
        <v>12.99</v>
      </c>
      <c r="F8965" s="42">
        <v>46198</v>
      </c>
    </row>
    <row r="8966" spans="1:6" x14ac:dyDescent="0.3">
      <c r="A8966" s="15" t="s">
        <v>40476</v>
      </c>
      <c r="B8966" s="15" t="s">
        <v>16234</v>
      </c>
      <c r="C8966" s="15" t="s">
        <v>800</v>
      </c>
      <c r="D8966" s="15" t="s">
        <v>16235</v>
      </c>
      <c r="E8966" s="15">
        <v>22.85</v>
      </c>
      <c r="F8966" s="42">
        <v>46198</v>
      </c>
    </row>
    <row r="8967" spans="1:6" x14ac:dyDescent="0.3">
      <c r="A8967" s="15" t="s">
        <v>40475</v>
      </c>
      <c r="B8967" s="15" t="s">
        <v>16236</v>
      </c>
      <c r="C8967" s="15" t="s">
        <v>16237</v>
      </c>
      <c r="D8967" s="15" t="s">
        <v>16238</v>
      </c>
      <c r="E8967" s="15">
        <v>11.19</v>
      </c>
      <c r="F8967" s="42">
        <v>46198</v>
      </c>
    </row>
    <row r="8968" spans="1:6" x14ac:dyDescent="0.3">
      <c r="A8968" s="15" t="s">
        <v>40474</v>
      </c>
      <c r="B8968" s="15" t="s">
        <v>16239</v>
      </c>
      <c r="C8968" s="15" t="s">
        <v>16240</v>
      </c>
      <c r="D8968" s="15" t="s">
        <v>16241</v>
      </c>
      <c r="E8968" s="15">
        <v>11.79</v>
      </c>
      <c r="F8968" s="42">
        <v>46198</v>
      </c>
    </row>
    <row r="8969" spans="1:6" x14ac:dyDescent="0.3">
      <c r="A8969" s="15" t="s">
        <v>40473</v>
      </c>
      <c r="B8969" s="15" t="s">
        <v>16242</v>
      </c>
      <c r="C8969" s="15" t="s">
        <v>16243</v>
      </c>
      <c r="D8969" s="15" t="s">
        <v>16244</v>
      </c>
      <c r="E8969" s="15">
        <v>12.09</v>
      </c>
      <c r="F8969" s="42">
        <v>46198</v>
      </c>
    </row>
    <row r="8970" spans="1:6" x14ac:dyDescent="0.3">
      <c r="A8970" s="15" t="s">
        <v>33499</v>
      </c>
      <c r="B8970" s="15" t="s">
        <v>795</v>
      </c>
      <c r="C8970" s="15" t="s">
        <v>795</v>
      </c>
      <c r="D8970" s="15" t="s">
        <v>795</v>
      </c>
      <c r="F8970" s="42"/>
    </row>
    <row r="8971" spans="1:6" x14ac:dyDescent="0.3">
      <c r="A8971" s="15" t="s">
        <v>37923</v>
      </c>
      <c r="B8971" s="15" t="s">
        <v>795</v>
      </c>
      <c r="C8971" s="15" t="s">
        <v>795</v>
      </c>
      <c r="D8971" s="15" t="s">
        <v>795</v>
      </c>
      <c r="F8971" s="42"/>
    </row>
    <row r="8972" spans="1:6" x14ac:dyDescent="0.3">
      <c r="A8972" s="15" t="s">
        <v>33499</v>
      </c>
      <c r="B8972" s="15" t="s">
        <v>795</v>
      </c>
      <c r="C8972" s="15" t="s">
        <v>795</v>
      </c>
      <c r="D8972" s="15" t="s">
        <v>795</v>
      </c>
      <c r="F8972" s="42"/>
    </row>
    <row r="8973" spans="1:6" x14ac:dyDescent="0.3">
      <c r="A8973" s="15" t="s">
        <v>40472</v>
      </c>
      <c r="B8973" s="15" t="s">
        <v>16245</v>
      </c>
      <c r="C8973" s="15" t="s">
        <v>16246</v>
      </c>
      <c r="D8973" s="15" t="s">
        <v>16247</v>
      </c>
      <c r="E8973" s="15">
        <v>10.481</v>
      </c>
      <c r="F8973" s="42">
        <v>46198</v>
      </c>
    </row>
    <row r="8974" spans="1:6" x14ac:dyDescent="0.3">
      <c r="A8974" s="15" t="s">
        <v>40471</v>
      </c>
      <c r="B8974" s="15" t="s">
        <v>16248</v>
      </c>
      <c r="C8974" s="15" t="s">
        <v>800</v>
      </c>
      <c r="D8974" s="15" t="s">
        <v>16249</v>
      </c>
      <c r="E8974" s="15">
        <v>10.481</v>
      </c>
      <c r="F8974" s="42">
        <v>46198</v>
      </c>
    </row>
    <row r="8975" spans="1:6" x14ac:dyDescent="0.3">
      <c r="A8975" s="15" t="s">
        <v>40470</v>
      </c>
      <c r="B8975" s="15" t="s">
        <v>16250</v>
      </c>
      <c r="C8975" s="15" t="s">
        <v>800</v>
      </c>
      <c r="D8975" s="15" t="s">
        <v>16251</v>
      </c>
      <c r="E8975" s="15">
        <v>10.388999999999999</v>
      </c>
      <c r="F8975" s="42">
        <v>46198</v>
      </c>
    </row>
    <row r="8976" spans="1:6" x14ac:dyDescent="0.3">
      <c r="A8976" s="15" t="s">
        <v>40469</v>
      </c>
      <c r="B8976" s="15" t="s">
        <v>16252</v>
      </c>
      <c r="C8976" s="15" t="s">
        <v>16253</v>
      </c>
      <c r="D8976" s="15" t="s">
        <v>16254</v>
      </c>
      <c r="E8976" s="15">
        <v>10.388999999999999</v>
      </c>
      <c r="F8976" s="42">
        <v>46198</v>
      </c>
    </row>
    <row r="8977" spans="1:6" x14ac:dyDescent="0.3">
      <c r="A8977" s="15" t="s">
        <v>33499</v>
      </c>
      <c r="B8977" s="15" t="s">
        <v>795</v>
      </c>
      <c r="C8977" s="15" t="s">
        <v>795</v>
      </c>
      <c r="D8977" s="15" t="s">
        <v>795</v>
      </c>
      <c r="F8977" s="42"/>
    </row>
    <row r="8978" spans="1:6" x14ac:dyDescent="0.3">
      <c r="A8978" s="15" t="s">
        <v>37073</v>
      </c>
      <c r="B8978" s="15" t="s">
        <v>795</v>
      </c>
      <c r="C8978" s="15" t="s">
        <v>795</v>
      </c>
      <c r="D8978" s="15" t="s">
        <v>795</v>
      </c>
      <c r="F8978" s="42"/>
    </row>
    <row r="8979" spans="1:6" x14ac:dyDescent="0.3">
      <c r="A8979" s="15" t="s">
        <v>33499</v>
      </c>
      <c r="B8979" s="15" t="s">
        <v>795</v>
      </c>
      <c r="C8979" s="15" t="s">
        <v>795</v>
      </c>
      <c r="D8979" s="15" t="s">
        <v>795</v>
      </c>
      <c r="F8979" s="42"/>
    </row>
    <row r="8980" spans="1:6" x14ac:dyDescent="0.3">
      <c r="A8980" s="15" t="s">
        <v>40468</v>
      </c>
      <c r="B8980" s="15" t="s">
        <v>16255</v>
      </c>
      <c r="C8980" s="15" t="s">
        <v>800</v>
      </c>
      <c r="D8980" s="15" t="s">
        <v>16256</v>
      </c>
      <c r="E8980" s="15">
        <v>32.229999999999997</v>
      </c>
      <c r="F8980" s="42">
        <v>46198</v>
      </c>
    </row>
    <row r="8981" spans="1:6" x14ac:dyDescent="0.3">
      <c r="A8981" s="15" t="s">
        <v>40467</v>
      </c>
      <c r="B8981" s="15" t="s">
        <v>16257</v>
      </c>
      <c r="C8981" s="15" t="s">
        <v>16258</v>
      </c>
      <c r="D8981" s="15" t="s">
        <v>16259</v>
      </c>
      <c r="E8981" s="15">
        <v>10.904999999999999</v>
      </c>
      <c r="F8981" s="42">
        <v>46198</v>
      </c>
    </row>
    <row r="8982" spans="1:6" x14ac:dyDescent="0.3">
      <c r="A8982" s="15" t="s">
        <v>40466</v>
      </c>
      <c r="B8982" s="15" t="s">
        <v>16260</v>
      </c>
      <c r="C8982" s="15" t="s">
        <v>16261</v>
      </c>
      <c r="D8982" s="15" t="s">
        <v>16262</v>
      </c>
      <c r="E8982" s="15">
        <v>12.493</v>
      </c>
      <c r="F8982" s="42">
        <v>46198</v>
      </c>
    </row>
    <row r="8983" spans="1:6" x14ac:dyDescent="0.3">
      <c r="A8983" s="15" t="s">
        <v>40465</v>
      </c>
      <c r="B8983" s="15" t="s">
        <v>16263</v>
      </c>
      <c r="C8983" s="15" t="s">
        <v>16264</v>
      </c>
      <c r="D8983" s="15" t="s">
        <v>16265</v>
      </c>
      <c r="E8983" s="15">
        <v>12.360845319999999</v>
      </c>
      <c r="F8983" s="42">
        <v>42783</v>
      </c>
    </row>
    <row r="8984" spans="1:6" x14ac:dyDescent="0.3">
      <c r="A8984" s="15" t="s">
        <v>40464</v>
      </c>
      <c r="B8984" s="15" t="s">
        <v>16266</v>
      </c>
      <c r="C8984" s="15" t="s">
        <v>800</v>
      </c>
      <c r="D8984" s="15" t="s">
        <v>16267</v>
      </c>
      <c r="E8984" s="15">
        <v>16.011399999999998</v>
      </c>
      <c r="F8984" s="42">
        <v>42012</v>
      </c>
    </row>
    <row r="8985" spans="1:6" x14ac:dyDescent="0.3">
      <c r="A8985" s="15" t="s">
        <v>40463</v>
      </c>
      <c r="B8985" s="15" t="s">
        <v>16268</v>
      </c>
      <c r="C8985" s="15" t="s">
        <v>16269</v>
      </c>
      <c r="D8985" s="15" t="s">
        <v>16270</v>
      </c>
      <c r="E8985" s="15">
        <v>12.827999999999999</v>
      </c>
      <c r="F8985" s="42">
        <v>46198</v>
      </c>
    </row>
    <row r="8986" spans="1:6" x14ac:dyDescent="0.3">
      <c r="A8986" s="15" t="s">
        <v>40462</v>
      </c>
      <c r="B8986" s="15" t="s">
        <v>16271</v>
      </c>
      <c r="C8986" s="15" t="s">
        <v>16272</v>
      </c>
      <c r="D8986" s="15" t="s">
        <v>16273</v>
      </c>
      <c r="E8986" s="15">
        <v>13.436999999999999</v>
      </c>
      <c r="F8986" s="42">
        <v>46198</v>
      </c>
    </row>
    <row r="8987" spans="1:6" x14ac:dyDescent="0.3">
      <c r="A8987" s="15" t="s">
        <v>40461</v>
      </c>
      <c r="B8987" s="15" t="s">
        <v>16274</v>
      </c>
      <c r="C8987" s="15" t="s">
        <v>16275</v>
      </c>
      <c r="D8987" s="15" t="s">
        <v>16276</v>
      </c>
      <c r="E8987" s="15">
        <v>13.898999999999999</v>
      </c>
      <c r="F8987" s="42">
        <v>46198</v>
      </c>
    </row>
    <row r="8988" spans="1:6" x14ac:dyDescent="0.3">
      <c r="A8988" s="15" t="s">
        <v>40460</v>
      </c>
      <c r="B8988" s="15" t="s">
        <v>16277</v>
      </c>
      <c r="C8988" s="15" t="s">
        <v>800</v>
      </c>
      <c r="D8988" s="15" t="s">
        <v>16278</v>
      </c>
      <c r="E8988" s="15">
        <v>36.085000000000001</v>
      </c>
      <c r="F8988" s="42">
        <v>46198</v>
      </c>
    </row>
    <row r="8989" spans="1:6" x14ac:dyDescent="0.3">
      <c r="A8989" s="15" t="s">
        <v>40459</v>
      </c>
      <c r="B8989" s="15" t="s">
        <v>16279</v>
      </c>
      <c r="C8989" s="15" t="s">
        <v>16280</v>
      </c>
      <c r="D8989" s="15" t="s">
        <v>16281</v>
      </c>
      <c r="E8989" s="15">
        <v>11.552</v>
      </c>
      <c r="F8989" s="42">
        <v>46198</v>
      </c>
    </row>
    <row r="8990" spans="1:6" x14ac:dyDescent="0.3">
      <c r="A8990" s="15" t="s">
        <v>33499</v>
      </c>
      <c r="B8990" s="15" t="s">
        <v>795</v>
      </c>
      <c r="C8990" s="15" t="s">
        <v>795</v>
      </c>
      <c r="D8990" s="15" t="s">
        <v>795</v>
      </c>
      <c r="F8990" s="42"/>
    </row>
    <row r="8991" spans="1:6" x14ac:dyDescent="0.3">
      <c r="A8991" s="15" t="s">
        <v>37566</v>
      </c>
      <c r="B8991" s="15" t="s">
        <v>795</v>
      </c>
      <c r="C8991" s="15" t="s">
        <v>795</v>
      </c>
      <c r="D8991" s="15" t="s">
        <v>795</v>
      </c>
      <c r="F8991" s="42"/>
    </row>
    <row r="8992" spans="1:6" x14ac:dyDescent="0.3">
      <c r="A8992" s="15" t="s">
        <v>33499</v>
      </c>
      <c r="B8992" s="15" t="s">
        <v>795</v>
      </c>
      <c r="C8992" s="15" t="s">
        <v>795</v>
      </c>
      <c r="D8992" s="15" t="s">
        <v>795</v>
      </c>
      <c r="F8992" s="42"/>
    </row>
    <row r="8993" spans="1:6" x14ac:dyDescent="0.3">
      <c r="A8993" s="15" t="s">
        <v>40458</v>
      </c>
      <c r="B8993" s="15" t="s">
        <v>16282</v>
      </c>
      <c r="C8993" s="15" t="s">
        <v>800</v>
      </c>
      <c r="D8993" s="15" t="s">
        <v>16283</v>
      </c>
      <c r="E8993" s="15">
        <v>18.5273</v>
      </c>
      <c r="F8993" s="42">
        <v>46198</v>
      </c>
    </row>
    <row r="8994" spans="1:6" x14ac:dyDescent="0.3">
      <c r="A8994" s="15" t="s">
        <v>40457</v>
      </c>
      <c r="B8994" s="15" t="s">
        <v>800</v>
      </c>
      <c r="C8994" s="15" t="s">
        <v>16284</v>
      </c>
      <c r="D8994" s="15" t="s">
        <v>16285</v>
      </c>
      <c r="E8994" s="15">
        <v>13.807</v>
      </c>
      <c r="F8994" s="42">
        <v>46198</v>
      </c>
    </row>
    <row r="8995" spans="1:6" x14ac:dyDescent="0.3">
      <c r="A8995" s="15" t="s">
        <v>40456</v>
      </c>
      <c r="B8995" s="15" t="s">
        <v>16286</v>
      </c>
      <c r="C8995" s="15" t="s">
        <v>800</v>
      </c>
      <c r="D8995" s="15" t="s">
        <v>16287</v>
      </c>
      <c r="E8995" s="15">
        <v>17.1814</v>
      </c>
      <c r="F8995" s="42">
        <v>46198</v>
      </c>
    </row>
    <row r="8996" spans="1:6" x14ac:dyDescent="0.3">
      <c r="A8996" s="15" t="s">
        <v>40455</v>
      </c>
      <c r="B8996" s="15" t="s">
        <v>800</v>
      </c>
      <c r="C8996" s="15" t="s">
        <v>16288</v>
      </c>
      <c r="D8996" s="15" t="s">
        <v>16289</v>
      </c>
      <c r="E8996" s="15">
        <v>12.804500000000001</v>
      </c>
      <c r="F8996" s="42">
        <v>46198</v>
      </c>
    </row>
    <row r="8997" spans="1:6" x14ac:dyDescent="0.3">
      <c r="A8997" s="15" t="s">
        <v>33499</v>
      </c>
      <c r="B8997" s="15" t="s">
        <v>795</v>
      </c>
      <c r="C8997" s="15" t="s">
        <v>795</v>
      </c>
      <c r="D8997" s="15" t="s">
        <v>795</v>
      </c>
      <c r="F8997" s="42"/>
    </row>
    <row r="8998" spans="1:6" x14ac:dyDescent="0.3">
      <c r="A8998" s="15" t="s">
        <v>37061</v>
      </c>
      <c r="B8998" s="15" t="s">
        <v>795</v>
      </c>
      <c r="C8998" s="15" t="s">
        <v>795</v>
      </c>
      <c r="D8998" s="15" t="s">
        <v>795</v>
      </c>
      <c r="F8998" s="42"/>
    </row>
    <row r="8999" spans="1:6" x14ac:dyDescent="0.3">
      <c r="A8999" s="15" t="s">
        <v>33499</v>
      </c>
      <c r="B8999" s="15" t="s">
        <v>795</v>
      </c>
      <c r="C8999" s="15" t="s">
        <v>795</v>
      </c>
      <c r="D8999" s="15" t="s">
        <v>795</v>
      </c>
      <c r="F8999" s="42"/>
    </row>
    <row r="9000" spans="1:6" x14ac:dyDescent="0.3">
      <c r="A9000" s="15" t="s">
        <v>40454</v>
      </c>
      <c r="B9000" s="15" t="s">
        <v>16290</v>
      </c>
      <c r="C9000" s="15" t="s">
        <v>800</v>
      </c>
      <c r="D9000" s="15" t="s">
        <v>16291</v>
      </c>
      <c r="E9000" s="15">
        <v>25.228000000000002</v>
      </c>
      <c r="F9000" s="42">
        <v>46198</v>
      </c>
    </row>
    <row r="9001" spans="1:6" x14ac:dyDescent="0.3">
      <c r="A9001" s="15" t="s">
        <v>40453</v>
      </c>
      <c r="B9001" s="15" t="s">
        <v>16292</v>
      </c>
      <c r="C9001" s="15" t="s">
        <v>16293</v>
      </c>
      <c r="D9001" s="15" t="s">
        <v>16294</v>
      </c>
      <c r="E9001" s="15">
        <v>13.693</v>
      </c>
      <c r="F9001" s="42">
        <v>46198</v>
      </c>
    </row>
    <row r="9002" spans="1:6" x14ac:dyDescent="0.3">
      <c r="A9002" s="15" t="s">
        <v>40452</v>
      </c>
      <c r="B9002" s="15" t="s">
        <v>16295</v>
      </c>
      <c r="C9002" s="15" t="s">
        <v>16296</v>
      </c>
      <c r="D9002" s="15" t="s">
        <v>16297</v>
      </c>
      <c r="E9002" s="15">
        <v>17.393000000000001</v>
      </c>
      <c r="F9002" s="42">
        <v>46198</v>
      </c>
    </row>
    <row r="9003" spans="1:6" x14ac:dyDescent="0.3">
      <c r="A9003" s="15" t="s">
        <v>40451</v>
      </c>
      <c r="B9003" s="15" t="s">
        <v>16298</v>
      </c>
      <c r="C9003" s="15" t="s">
        <v>16299</v>
      </c>
      <c r="D9003" s="15" t="s">
        <v>16300</v>
      </c>
      <c r="E9003" s="15">
        <v>17.376999999999999</v>
      </c>
      <c r="F9003" s="42">
        <v>46198</v>
      </c>
    </row>
    <row r="9004" spans="1:6" x14ac:dyDescent="0.3">
      <c r="A9004" s="15" t="s">
        <v>40450</v>
      </c>
      <c r="B9004" s="15" t="s">
        <v>16301</v>
      </c>
      <c r="C9004" s="15" t="s">
        <v>800</v>
      </c>
      <c r="D9004" s="15" t="s">
        <v>16302</v>
      </c>
      <c r="E9004" s="15">
        <v>22.321999999999999</v>
      </c>
      <c r="F9004" s="42">
        <v>46198</v>
      </c>
    </row>
    <row r="9005" spans="1:6" x14ac:dyDescent="0.3">
      <c r="A9005" s="15" t="s">
        <v>40449</v>
      </c>
      <c r="B9005" s="15" t="s">
        <v>16303</v>
      </c>
      <c r="C9005" s="15" t="s">
        <v>16304</v>
      </c>
      <c r="D9005" s="15" t="s">
        <v>16305</v>
      </c>
      <c r="E9005" s="15">
        <v>12.154999999999999</v>
      </c>
      <c r="F9005" s="42">
        <v>46198</v>
      </c>
    </row>
    <row r="9006" spans="1:6" x14ac:dyDescent="0.3">
      <c r="A9006" s="15" t="s">
        <v>40448</v>
      </c>
      <c r="B9006" s="15" t="s">
        <v>16306</v>
      </c>
      <c r="C9006" s="15" t="s">
        <v>16307</v>
      </c>
      <c r="D9006" s="15" t="s">
        <v>16308</v>
      </c>
      <c r="E9006" s="15">
        <v>13.632</v>
      </c>
      <c r="F9006" s="42">
        <v>46198</v>
      </c>
    </row>
    <row r="9007" spans="1:6" x14ac:dyDescent="0.3">
      <c r="A9007" s="15" t="s">
        <v>40447</v>
      </c>
      <c r="B9007" s="15" t="s">
        <v>16309</v>
      </c>
      <c r="C9007" s="15" t="s">
        <v>16310</v>
      </c>
      <c r="D9007" s="15" t="s">
        <v>16311</v>
      </c>
      <c r="E9007" s="15">
        <v>13.702</v>
      </c>
      <c r="F9007" s="42">
        <v>46198</v>
      </c>
    </row>
    <row r="9008" spans="1:6" x14ac:dyDescent="0.3">
      <c r="A9008" s="15" t="s">
        <v>33499</v>
      </c>
      <c r="B9008" s="15" t="s">
        <v>795</v>
      </c>
      <c r="C9008" s="15" t="s">
        <v>795</v>
      </c>
      <c r="D9008" s="15" t="s">
        <v>795</v>
      </c>
      <c r="F9008" s="42"/>
    </row>
    <row r="9009" spans="1:6" x14ac:dyDescent="0.3">
      <c r="A9009" s="15" t="s">
        <v>37895</v>
      </c>
      <c r="B9009" s="15" t="s">
        <v>795</v>
      </c>
      <c r="C9009" s="15" t="s">
        <v>795</v>
      </c>
      <c r="D9009" s="15" t="s">
        <v>795</v>
      </c>
      <c r="F9009" s="42"/>
    </row>
    <row r="9010" spans="1:6" x14ac:dyDescent="0.3">
      <c r="A9010" s="15" t="s">
        <v>33499</v>
      </c>
      <c r="B9010" s="15" t="s">
        <v>795</v>
      </c>
      <c r="C9010" s="15" t="s">
        <v>795</v>
      </c>
      <c r="D9010" s="15" t="s">
        <v>795</v>
      </c>
      <c r="F9010" s="42"/>
    </row>
    <row r="9011" spans="1:6" x14ac:dyDescent="0.3">
      <c r="A9011" s="15" t="s">
        <v>40446</v>
      </c>
      <c r="B9011" s="15" t="s">
        <v>16312</v>
      </c>
      <c r="C9011" s="15" t="s">
        <v>800</v>
      </c>
      <c r="D9011" s="15" t="s">
        <v>16313</v>
      </c>
      <c r="E9011" s="15">
        <v>29.819900000000001</v>
      </c>
      <c r="F9011" s="42">
        <v>46198</v>
      </c>
    </row>
    <row r="9012" spans="1:6" x14ac:dyDescent="0.3">
      <c r="A9012" s="15" t="s">
        <v>40445</v>
      </c>
      <c r="B9012" s="15" t="s">
        <v>16314</v>
      </c>
      <c r="C9012" s="15" t="s">
        <v>800</v>
      </c>
      <c r="D9012" s="15" t="s">
        <v>16315</v>
      </c>
      <c r="E9012" s="15">
        <v>29.806100000000001</v>
      </c>
      <c r="F9012" s="42">
        <v>46198</v>
      </c>
    </row>
    <row r="9013" spans="1:6" x14ac:dyDescent="0.3">
      <c r="A9013" s="15" t="s">
        <v>40444</v>
      </c>
      <c r="B9013" s="15" t="s">
        <v>16316</v>
      </c>
      <c r="C9013" s="15" t="s">
        <v>16317</v>
      </c>
      <c r="D9013" s="15" t="s">
        <v>16318</v>
      </c>
      <c r="E9013" s="15">
        <v>21.367000000000001</v>
      </c>
      <c r="F9013" s="42">
        <v>46198</v>
      </c>
    </row>
    <row r="9014" spans="1:6" x14ac:dyDescent="0.3">
      <c r="A9014" s="15" t="s">
        <v>40443</v>
      </c>
      <c r="B9014" s="15" t="s">
        <v>16319</v>
      </c>
      <c r="C9014" s="15" t="s">
        <v>16320</v>
      </c>
      <c r="D9014" s="15" t="s">
        <v>16321</v>
      </c>
      <c r="E9014" s="15">
        <v>16.5367</v>
      </c>
      <c r="F9014" s="42">
        <v>46198</v>
      </c>
    </row>
    <row r="9015" spans="1:6" x14ac:dyDescent="0.3">
      <c r="A9015" s="15" t="s">
        <v>40442</v>
      </c>
      <c r="B9015" s="15" t="s">
        <v>16322</v>
      </c>
      <c r="C9015" s="15" t="s">
        <v>800</v>
      </c>
      <c r="D9015" s="15" t="s">
        <v>16323</v>
      </c>
      <c r="E9015" s="15">
        <v>23.610199999999999</v>
      </c>
      <c r="F9015" s="42">
        <v>45614</v>
      </c>
    </row>
    <row r="9016" spans="1:6" x14ac:dyDescent="0.3">
      <c r="A9016" s="15" t="s">
        <v>40441</v>
      </c>
      <c r="B9016" s="15" t="s">
        <v>16324</v>
      </c>
      <c r="C9016" s="15" t="s">
        <v>800</v>
      </c>
      <c r="D9016" s="15" t="s">
        <v>16325</v>
      </c>
      <c r="E9016" s="15">
        <v>26.758099999999999</v>
      </c>
      <c r="F9016" s="42">
        <v>46198</v>
      </c>
    </row>
    <row r="9017" spans="1:6" x14ac:dyDescent="0.3">
      <c r="A9017" s="15" t="s">
        <v>40440</v>
      </c>
      <c r="B9017" s="15" t="s">
        <v>16326</v>
      </c>
      <c r="C9017" s="15" t="s">
        <v>16327</v>
      </c>
      <c r="D9017" s="15" t="s">
        <v>16328</v>
      </c>
      <c r="E9017" s="15">
        <v>18.193999999999999</v>
      </c>
      <c r="F9017" s="42">
        <v>46198</v>
      </c>
    </row>
    <row r="9018" spans="1:6" x14ac:dyDescent="0.3">
      <c r="A9018" s="15" t="s">
        <v>40439</v>
      </c>
      <c r="B9018" s="15" t="s">
        <v>16329</v>
      </c>
      <c r="C9018" s="15" t="s">
        <v>16330</v>
      </c>
      <c r="D9018" s="15" t="s">
        <v>16331</v>
      </c>
      <c r="E9018" s="15">
        <v>14.3438</v>
      </c>
      <c r="F9018" s="42">
        <v>46198</v>
      </c>
    </row>
    <row r="9019" spans="1:6" x14ac:dyDescent="0.3">
      <c r="A9019" s="15" t="s">
        <v>33499</v>
      </c>
      <c r="B9019" s="15" t="s">
        <v>795</v>
      </c>
      <c r="C9019" s="15" t="s">
        <v>795</v>
      </c>
      <c r="D9019" s="15" t="s">
        <v>795</v>
      </c>
      <c r="F9019" s="42"/>
    </row>
    <row r="9020" spans="1:6" x14ac:dyDescent="0.3">
      <c r="A9020" s="15" t="s">
        <v>37044</v>
      </c>
      <c r="B9020" s="15" t="s">
        <v>795</v>
      </c>
      <c r="C9020" s="15" t="s">
        <v>795</v>
      </c>
      <c r="D9020" s="15" t="s">
        <v>795</v>
      </c>
      <c r="F9020" s="42"/>
    </row>
    <row r="9021" spans="1:6" x14ac:dyDescent="0.3">
      <c r="A9021" s="15" t="s">
        <v>33499</v>
      </c>
      <c r="B9021" s="15" t="s">
        <v>795</v>
      </c>
      <c r="C9021" s="15" t="s">
        <v>795</v>
      </c>
      <c r="D9021" s="15" t="s">
        <v>795</v>
      </c>
      <c r="F9021" s="42"/>
    </row>
    <row r="9022" spans="1:6" x14ac:dyDescent="0.3">
      <c r="A9022" s="15" t="s">
        <v>40438</v>
      </c>
      <c r="B9022" s="15" t="s">
        <v>16332</v>
      </c>
      <c r="C9022" s="15" t="s">
        <v>16333</v>
      </c>
      <c r="D9022" s="15" t="s">
        <v>16334</v>
      </c>
      <c r="E9022" s="15">
        <v>15.1722</v>
      </c>
      <c r="F9022" s="42">
        <v>46198</v>
      </c>
    </row>
    <row r="9023" spans="1:6" x14ac:dyDescent="0.3">
      <c r="A9023" s="15" t="s">
        <v>40437</v>
      </c>
      <c r="B9023" s="15" t="s">
        <v>16335</v>
      </c>
      <c r="C9023" s="15" t="s">
        <v>16336</v>
      </c>
      <c r="D9023" s="15" t="s">
        <v>16337</v>
      </c>
      <c r="E9023" s="15">
        <v>13.6797</v>
      </c>
      <c r="F9023" s="42">
        <v>46198</v>
      </c>
    </row>
    <row r="9024" spans="1:6" x14ac:dyDescent="0.3">
      <c r="A9024" s="15" t="s">
        <v>40436</v>
      </c>
      <c r="B9024" s="15" t="s">
        <v>16338</v>
      </c>
      <c r="C9024" s="15" t="s">
        <v>16339</v>
      </c>
      <c r="D9024" s="15" t="s">
        <v>16340</v>
      </c>
      <c r="E9024" s="15">
        <v>13.8575</v>
      </c>
      <c r="F9024" s="42">
        <v>46198</v>
      </c>
    </row>
    <row r="9025" spans="1:6" x14ac:dyDescent="0.3">
      <c r="A9025" s="15" t="s">
        <v>40435</v>
      </c>
      <c r="B9025" s="15" t="s">
        <v>16341</v>
      </c>
      <c r="C9025" s="15" t="s">
        <v>16342</v>
      </c>
      <c r="D9025" s="15" t="s">
        <v>16343</v>
      </c>
      <c r="E9025" s="15">
        <v>13.835800000000001</v>
      </c>
      <c r="F9025" s="42">
        <v>46198</v>
      </c>
    </row>
    <row r="9026" spans="1:6" x14ac:dyDescent="0.3">
      <c r="A9026" s="15" t="s">
        <v>40434</v>
      </c>
      <c r="B9026" s="15" t="s">
        <v>16344</v>
      </c>
      <c r="C9026" s="15" t="s">
        <v>16345</v>
      </c>
      <c r="D9026" s="15" t="s">
        <v>16346</v>
      </c>
      <c r="E9026" s="15">
        <v>13.170500000000001</v>
      </c>
      <c r="F9026" s="42">
        <v>46198</v>
      </c>
    </row>
    <row r="9027" spans="1:6" x14ac:dyDescent="0.3">
      <c r="A9027" s="15" t="s">
        <v>40433</v>
      </c>
      <c r="B9027" s="15" t="s">
        <v>16347</v>
      </c>
      <c r="C9027" s="15" t="s">
        <v>16348</v>
      </c>
      <c r="D9027" s="15" t="s">
        <v>16349</v>
      </c>
      <c r="E9027" s="15">
        <v>12.243399999999999</v>
      </c>
      <c r="F9027" s="42">
        <v>46198</v>
      </c>
    </row>
    <row r="9028" spans="1:6" x14ac:dyDescent="0.3">
      <c r="A9028" s="15" t="s">
        <v>40432</v>
      </c>
      <c r="B9028" s="15" t="s">
        <v>16350</v>
      </c>
      <c r="C9028" s="15" t="s">
        <v>800</v>
      </c>
      <c r="D9028" s="15" t="s">
        <v>16351</v>
      </c>
      <c r="E9028" s="15">
        <v>16.8813</v>
      </c>
      <c r="F9028" s="42">
        <v>46198</v>
      </c>
    </row>
    <row r="9029" spans="1:6" x14ac:dyDescent="0.3">
      <c r="A9029" s="15" t="s">
        <v>40431</v>
      </c>
      <c r="B9029" s="15" t="s">
        <v>16352</v>
      </c>
      <c r="C9029" s="15" t="s">
        <v>800</v>
      </c>
      <c r="D9029" s="15" t="s">
        <v>16353</v>
      </c>
      <c r="E9029" s="15">
        <v>18.5871</v>
      </c>
      <c r="F9029" s="42">
        <v>46198</v>
      </c>
    </row>
    <row r="9030" spans="1:6" x14ac:dyDescent="0.3">
      <c r="A9030" s="15" t="s">
        <v>33499</v>
      </c>
      <c r="B9030" s="15" t="s">
        <v>795</v>
      </c>
      <c r="C9030" s="15" t="s">
        <v>795</v>
      </c>
      <c r="D9030" s="15" t="s">
        <v>795</v>
      </c>
      <c r="F9030" s="42"/>
    </row>
    <row r="9031" spans="1:6" x14ac:dyDescent="0.3">
      <c r="A9031" s="15" t="s">
        <v>37043</v>
      </c>
      <c r="B9031" s="15" t="s">
        <v>795</v>
      </c>
      <c r="C9031" s="15" t="s">
        <v>795</v>
      </c>
      <c r="D9031" s="15" t="s">
        <v>795</v>
      </c>
      <c r="F9031" s="42"/>
    </row>
    <row r="9032" spans="1:6" x14ac:dyDescent="0.3">
      <c r="A9032" s="15" t="s">
        <v>33499</v>
      </c>
      <c r="B9032" s="15" t="s">
        <v>795</v>
      </c>
      <c r="C9032" s="15" t="s">
        <v>795</v>
      </c>
      <c r="D9032" s="15" t="s">
        <v>795</v>
      </c>
      <c r="F9032" s="42"/>
    </row>
    <row r="9033" spans="1:6" x14ac:dyDescent="0.3">
      <c r="A9033" s="15" t="s">
        <v>40430</v>
      </c>
      <c r="B9033" s="15" t="s">
        <v>16354</v>
      </c>
      <c r="C9033" s="15" t="s">
        <v>800</v>
      </c>
      <c r="D9033" s="15" t="s">
        <v>16355</v>
      </c>
      <c r="E9033" s="15">
        <v>76.034999999999997</v>
      </c>
      <c r="F9033" s="42">
        <v>46198</v>
      </c>
    </row>
    <row r="9034" spans="1:6" x14ac:dyDescent="0.3">
      <c r="A9034" s="15" t="s">
        <v>40429</v>
      </c>
      <c r="B9034" s="15" t="s">
        <v>16356</v>
      </c>
      <c r="C9034" s="15" t="s">
        <v>800</v>
      </c>
      <c r="D9034" s="15" t="s">
        <v>16357</v>
      </c>
      <c r="E9034" s="15">
        <v>67.326999999999998</v>
      </c>
      <c r="F9034" s="42">
        <v>46198</v>
      </c>
    </row>
    <row r="9035" spans="1:6" x14ac:dyDescent="0.3">
      <c r="A9035" s="15" t="s">
        <v>40428</v>
      </c>
      <c r="B9035" s="15" t="s">
        <v>16358</v>
      </c>
      <c r="C9035" s="15" t="s">
        <v>16359</v>
      </c>
      <c r="D9035" s="15" t="s">
        <v>16360</v>
      </c>
      <c r="E9035" s="15">
        <v>15.19</v>
      </c>
      <c r="F9035" s="42">
        <v>46198</v>
      </c>
    </row>
    <row r="9036" spans="1:6" x14ac:dyDescent="0.3">
      <c r="A9036" s="15" t="s">
        <v>40427</v>
      </c>
      <c r="B9036" s="15" t="s">
        <v>16361</v>
      </c>
      <c r="C9036" s="15" t="s">
        <v>16362</v>
      </c>
      <c r="D9036" s="15" t="s">
        <v>16363</v>
      </c>
      <c r="E9036" s="15">
        <v>12.512</v>
      </c>
      <c r="F9036" s="42">
        <v>46198</v>
      </c>
    </row>
    <row r="9037" spans="1:6" x14ac:dyDescent="0.3">
      <c r="A9037" s="15" t="s">
        <v>33499</v>
      </c>
      <c r="B9037" s="15" t="s">
        <v>795</v>
      </c>
      <c r="C9037" s="15" t="s">
        <v>795</v>
      </c>
      <c r="D9037" s="15" t="s">
        <v>795</v>
      </c>
      <c r="F9037" s="42"/>
    </row>
    <row r="9038" spans="1:6" x14ac:dyDescent="0.3">
      <c r="A9038" s="15" t="s">
        <v>36815</v>
      </c>
      <c r="B9038" s="15" t="s">
        <v>795</v>
      </c>
      <c r="C9038" s="15" t="s">
        <v>795</v>
      </c>
      <c r="D9038" s="15" t="s">
        <v>795</v>
      </c>
      <c r="F9038" s="42"/>
    </row>
    <row r="9039" spans="1:6" x14ac:dyDescent="0.3">
      <c r="A9039" s="15" t="s">
        <v>33499</v>
      </c>
      <c r="B9039" s="15" t="s">
        <v>795</v>
      </c>
      <c r="C9039" s="15" t="s">
        <v>795</v>
      </c>
      <c r="D9039" s="15" t="s">
        <v>795</v>
      </c>
      <c r="F9039" s="42"/>
    </row>
    <row r="9040" spans="1:6" x14ac:dyDescent="0.3">
      <c r="A9040" s="15" t="s">
        <v>40426</v>
      </c>
      <c r="B9040" s="15" t="s">
        <v>16364</v>
      </c>
      <c r="C9040" s="15" t="s">
        <v>800</v>
      </c>
      <c r="D9040" s="15" t="s">
        <v>16365</v>
      </c>
      <c r="E9040" s="15">
        <v>40.837400000000002</v>
      </c>
      <c r="F9040" s="42">
        <v>46198</v>
      </c>
    </row>
    <row r="9041" spans="1:6" x14ac:dyDescent="0.3">
      <c r="A9041" s="15" t="s">
        <v>40425</v>
      </c>
      <c r="B9041" s="15" t="s">
        <v>16366</v>
      </c>
      <c r="C9041" s="15" t="s">
        <v>16367</v>
      </c>
      <c r="D9041" s="15" t="s">
        <v>16368</v>
      </c>
      <c r="E9041" s="15">
        <v>17.755099999999999</v>
      </c>
      <c r="F9041" s="42">
        <v>46198</v>
      </c>
    </row>
    <row r="9042" spans="1:6" x14ac:dyDescent="0.3">
      <c r="A9042" s="15" t="s">
        <v>40424</v>
      </c>
      <c r="B9042" s="15" t="s">
        <v>16369</v>
      </c>
      <c r="C9042" s="15" t="s">
        <v>16370</v>
      </c>
      <c r="D9042" s="15" t="s">
        <v>16371</v>
      </c>
      <c r="E9042" s="15">
        <v>18.598199999999999</v>
      </c>
      <c r="F9042" s="42">
        <v>46198</v>
      </c>
    </row>
    <row r="9043" spans="1:6" x14ac:dyDescent="0.3">
      <c r="A9043" s="15" t="s">
        <v>40423</v>
      </c>
      <c r="B9043" s="15" t="s">
        <v>16372</v>
      </c>
      <c r="C9043" s="15" t="s">
        <v>800</v>
      </c>
      <c r="D9043" s="15" t="s">
        <v>16373</v>
      </c>
      <c r="E9043" s="15">
        <v>36.520800000000001</v>
      </c>
      <c r="F9043" s="42">
        <v>46198</v>
      </c>
    </row>
    <row r="9044" spans="1:6" x14ac:dyDescent="0.3">
      <c r="A9044" s="15" t="s">
        <v>40422</v>
      </c>
      <c r="B9044" s="15" t="s">
        <v>16374</v>
      </c>
      <c r="C9044" s="15" t="s">
        <v>16375</v>
      </c>
      <c r="D9044" s="15" t="s">
        <v>16376</v>
      </c>
      <c r="E9044" s="15">
        <v>15.563599999999999</v>
      </c>
      <c r="F9044" s="42">
        <v>46198</v>
      </c>
    </row>
    <row r="9045" spans="1:6" x14ac:dyDescent="0.3">
      <c r="A9045" s="15" t="s">
        <v>40421</v>
      </c>
      <c r="B9045" s="15" t="s">
        <v>16377</v>
      </c>
      <c r="C9045" s="15" t="s">
        <v>16378</v>
      </c>
      <c r="D9045" s="15" t="s">
        <v>16379</v>
      </c>
      <c r="E9045" s="15">
        <v>16.705100000000002</v>
      </c>
      <c r="F9045" s="42">
        <v>46198</v>
      </c>
    </row>
    <row r="9046" spans="1:6" x14ac:dyDescent="0.3">
      <c r="A9046" s="15" t="s">
        <v>33499</v>
      </c>
      <c r="B9046" s="15" t="s">
        <v>795</v>
      </c>
      <c r="C9046" s="15" t="s">
        <v>795</v>
      </c>
      <c r="D9046" s="15" t="s">
        <v>795</v>
      </c>
      <c r="F9046" s="42"/>
    </row>
    <row r="9047" spans="1:6" x14ac:dyDescent="0.3">
      <c r="A9047" s="15" t="s">
        <v>36764</v>
      </c>
      <c r="B9047" s="15" t="s">
        <v>795</v>
      </c>
      <c r="C9047" s="15" t="s">
        <v>795</v>
      </c>
      <c r="D9047" s="15" t="s">
        <v>795</v>
      </c>
      <c r="F9047" s="42"/>
    </row>
    <row r="9048" spans="1:6" x14ac:dyDescent="0.3">
      <c r="A9048" s="15" t="s">
        <v>33499</v>
      </c>
      <c r="B9048" s="15" t="s">
        <v>795</v>
      </c>
      <c r="C9048" s="15" t="s">
        <v>795</v>
      </c>
      <c r="D9048" s="15" t="s">
        <v>795</v>
      </c>
      <c r="F9048" s="42"/>
    </row>
    <row r="9049" spans="1:6" x14ac:dyDescent="0.3">
      <c r="A9049" s="15" t="s">
        <v>40420</v>
      </c>
      <c r="B9049" s="15" t="s">
        <v>16380</v>
      </c>
      <c r="C9049" s="15" t="s">
        <v>800</v>
      </c>
      <c r="D9049" s="15" t="s">
        <v>16381</v>
      </c>
      <c r="E9049" s="15">
        <v>23.13</v>
      </c>
      <c r="F9049" s="42">
        <v>46198</v>
      </c>
    </row>
    <row r="9050" spans="1:6" x14ac:dyDescent="0.3">
      <c r="A9050" s="15" t="s">
        <v>40419</v>
      </c>
      <c r="B9050" s="15" t="s">
        <v>16382</v>
      </c>
      <c r="C9050" s="15" t="s">
        <v>800</v>
      </c>
      <c r="D9050" s="15" t="s">
        <v>16383</v>
      </c>
      <c r="E9050" s="15">
        <v>24.94</v>
      </c>
      <c r="F9050" s="42">
        <v>46198</v>
      </c>
    </row>
    <row r="9051" spans="1:6" x14ac:dyDescent="0.3">
      <c r="A9051" s="15" t="s">
        <v>40418</v>
      </c>
      <c r="B9051" s="15" t="s">
        <v>16384</v>
      </c>
      <c r="C9051" s="15" t="s">
        <v>16385</v>
      </c>
      <c r="D9051" s="15" t="s">
        <v>16386</v>
      </c>
      <c r="E9051" s="15">
        <v>15.6</v>
      </c>
      <c r="F9051" s="42">
        <v>44820</v>
      </c>
    </row>
    <row r="9052" spans="1:6" x14ac:dyDescent="0.3">
      <c r="A9052" s="15" t="s">
        <v>40417</v>
      </c>
      <c r="B9052" s="15" t="s">
        <v>16387</v>
      </c>
      <c r="C9052" s="15" t="s">
        <v>16388</v>
      </c>
      <c r="D9052" s="15" t="s">
        <v>16389</v>
      </c>
      <c r="E9052" s="15">
        <v>14.38</v>
      </c>
      <c r="F9052" s="42">
        <v>44820</v>
      </c>
    </row>
    <row r="9053" spans="1:6" x14ac:dyDescent="0.3">
      <c r="A9053" s="15" t="s">
        <v>40416</v>
      </c>
      <c r="B9053" s="15" t="s">
        <v>16390</v>
      </c>
      <c r="C9053" s="15" t="s">
        <v>16391</v>
      </c>
      <c r="D9053" s="15" t="s">
        <v>16392</v>
      </c>
      <c r="E9053" s="15">
        <v>15.59</v>
      </c>
      <c r="F9053" s="42">
        <v>46198</v>
      </c>
    </row>
    <row r="9054" spans="1:6" x14ac:dyDescent="0.3">
      <c r="A9054" s="15" t="s">
        <v>40415</v>
      </c>
      <c r="B9054" s="15" t="s">
        <v>16393</v>
      </c>
      <c r="C9054" s="15" t="s">
        <v>16394</v>
      </c>
      <c r="D9054" s="15" t="s">
        <v>16395</v>
      </c>
      <c r="E9054" s="15">
        <v>14.35</v>
      </c>
      <c r="F9054" s="42">
        <v>44820</v>
      </c>
    </row>
    <row r="9055" spans="1:6" x14ac:dyDescent="0.3">
      <c r="A9055" s="15" t="s">
        <v>40414</v>
      </c>
      <c r="B9055" s="15" t="s">
        <v>16396</v>
      </c>
      <c r="C9055" s="15" t="s">
        <v>16397</v>
      </c>
      <c r="D9055" s="15" t="s">
        <v>16398</v>
      </c>
      <c r="E9055" s="15">
        <v>12.17</v>
      </c>
      <c r="F9055" s="42">
        <v>44820</v>
      </c>
    </row>
    <row r="9056" spans="1:6" x14ac:dyDescent="0.3">
      <c r="A9056" s="15" t="s">
        <v>40413</v>
      </c>
      <c r="B9056" s="15" t="s">
        <v>16399</v>
      </c>
      <c r="C9056" s="15" t="s">
        <v>16400</v>
      </c>
      <c r="D9056" s="15" t="s">
        <v>16401</v>
      </c>
      <c r="E9056" s="15">
        <v>13.08</v>
      </c>
      <c r="F9056" s="42">
        <v>46198</v>
      </c>
    </row>
    <row r="9057" spans="1:6" x14ac:dyDescent="0.3">
      <c r="A9057" s="15" t="s">
        <v>33499</v>
      </c>
      <c r="B9057" s="15" t="s">
        <v>795</v>
      </c>
      <c r="C9057" s="15" t="s">
        <v>795</v>
      </c>
      <c r="D9057" s="15" t="s">
        <v>795</v>
      </c>
      <c r="F9057" s="42"/>
    </row>
    <row r="9058" spans="1:6" x14ac:dyDescent="0.3">
      <c r="A9058" s="15" t="s">
        <v>37807</v>
      </c>
      <c r="B9058" s="15" t="s">
        <v>795</v>
      </c>
      <c r="C9058" s="15" t="s">
        <v>795</v>
      </c>
      <c r="D9058" s="15" t="s">
        <v>795</v>
      </c>
      <c r="F9058" s="42"/>
    </row>
    <row r="9059" spans="1:6" x14ac:dyDescent="0.3">
      <c r="A9059" s="15" t="s">
        <v>33499</v>
      </c>
      <c r="B9059" s="15" t="s">
        <v>795</v>
      </c>
      <c r="C9059" s="15" t="s">
        <v>795</v>
      </c>
      <c r="D9059" s="15" t="s">
        <v>795</v>
      </c>
      <c r="F9059" s="42"/>
    </row>
    <row r="9060" spans="1:6" x14ac:dyDescent="0.3">
      <c r="A9060" s="15" t="s">
        <v>40412</v>
      </c>
      <c r="B9060" s="15" t="s">
        <v>16402</v>
      </c>
      <c r="C9060" s="15" t="s">
        <v>800</v>
      </c>
      <c r="D9060" s="15" t="s">
        <v>16403</v>
      </c>
      <c r="E9060" s="15">
        <v>18.746200000000002</v>
      </c>
      <c r="F9060" s="42">
        <v>46198</v>
      </c>
    </row>
    <row r="9061" spans="1:6" x14ac:dyDescent="0.3">
      <c r="A9061" s="15" t="s">
        <v>40411</v>
      </c>
      <c r="B9061" s="15" t="s">
        <v>16404</v>
      </c>
      <c r="C9061" s="15" t="s">
        <v>16405</v>
      </c>
      <c r="D9061" s="15" t="s">
        <v>16406</v>
      </c>
      <c r="E9061" s="15">
        <v>18.690799999999999</v>
      </c>
      <c r="F9061" s="42">
        <v>46198</v>
      </c>
    </row>
    <row r="9062" spans="1:6" x14ac:dyDescent="0.3">
      <c r="A9062" s="15" t="s">
        <v>40410</v>
      </c>
      <c r="B9062" s="15" t="s">
        <v>16407</v>
      </c>
      <c r="C9062" s="15" t="s">
        <v>800</v>
      </c>
      <c r="D9062" s="15" t="s">
        <v>16408</v>
      </c>
      <c r="E9062" s="15">
        <v>16.608699999999999</v>
      </c>
      <c r="F9062" s="42">
        <v>46198</v>
      </c>
    </row>
    <row r="9063" spans="1:6" x14ac:dyDescent="0.3">
      <c r="A9063" s="15" t="s">
        <v>40409</v>
      </c>
      <c r="B9063" s="15" t="s">
        <v>16409</v>
      </c>
      <c r="C9063" s="15" t="s">
        <v>16410</v>
      </c>
      <c r="D9063" s="15" t="s">
        <v>16411</v>
      </c>
      <c r="E9063" s="15">
        <v>16.607700000000001</v>
      </c>
      <c r="F9063" s="42">
        <v>46198</v>
      </c>
    </row>
    <row r="9064" spans="1:6" x14ac:dyDescent="0.3">
      <c r="A9064" s="15" t="s">
        <v>33499</v>
      </c>
      <c r="B9064" s="15" t="s">
        <v>795</v>
      </c>
      <c r="C9064" s="15" t="s">
        <v>795</v>
      </c>
      <c r="D9064" s="15" t="s">
        <v>795</v>
      </c>
      <c r="F9064" s="42"/>
    </row>
    <row r="9065" spans="1:6" x14ac:dyDescent="0.3">
      <c r="A9065" s="15" t="s">
        <v>139</v>
      </c>
      <c r="B9065" s="15" t="s">
        <v>795</v>
      </c>
      <c r="C9065" s="15" t="s">
        <v>795</v>
      </c>
      <c r="D9065" s="15" t="s">
        <v>795</v>
      </c>
      <c r="F9065" s="42"/>
    </row>
    <row r="9066" spans="1:6" x14ac:dyDescent="0.3">
      <c r="A9066" s="15" t="s">
        <v>33499</v>
      </c>
      <c r="B9066" s="15" t="s">
        <v>795</v>
      </c>
      <c r="C9066" s="15" t="s">
        <v>795</v>
      </c>
      <c r="D9066" s="15" t="s">
        <v>795</v>
      </c>
      <c r="F9066" s="42"/>
    </row>
    <row r="9067" spans="1:6" x14ac:dyDescent="0.3">
      <c r="A9067" s="15" t="s">
        <v>40408</v>
      </c>
      <c r="B9067" s="15" t="s">
        <v>16412</v>
      </c>
      <c r="C9067" s="15" t="s">
        <v>800</v>
      </c>
      <c r="D9067" s="15" t="s">
        <v>16413</v>
      </c>
      <c r="E9067" s="15">
        <v>30.165099999999999</v>
      </c>
      <c r="F9067" s="42">
        <v>46198</v>
      </c>
    </row>
    <row r="9068" spans="1:6" x14ac:dyDescent="0.3">
      <c r="A9068" s="15" t="s">
        <v>40407</v>
      </c>
      <c r="B9068" s="15" t="s">
        <v>16414</v>
      </c>
      <c r="C9068" s="15" t="s">
        <v>16415</v>
      </c>
      <c r="D9068" s="15" t="s">
        <v>16416</v>
      </c>
      <c r="E9068" s="15">
        <v>21.6556</v>
      </c>
      <c r="F9068" s="42">
        <v>46198</v>
      </c>
    </row>
    <row r="9069" spans="1:6" x14ac:dyDescent="0.3">
      <c r="A9069" s="15" t="s">
        <v>40406</v>
      </c>
      <c r="B9069" s="15" t="s">
        <v>16417</v>
      </c>
      <c r="C9069" s="15" t="s">
        <v>800</v>
      </c>
      <c r="D9069" s="15" t="s">
        <v>16418</v>
      </c>
      <c r="E9069" s="15">
        <v>27.1892</v>
      </c>
      <c r="F9069" s="42">
        <v>46198</v>
      </c>
    </row>
    <row r="9070" spans="1:6" x14ac:dyDescent="0.3">
      <c r="A9070" s="15" t="s">
        <v>40405</v>
      </c>
      <c r="B9070" s="15" t="s">
        <v>16419</v>
      </c>
      <c r="C9070" s="15" t="s">
        <v>16420</v>
      </c>
      <c r="D9070" s="15" t="s">
        <v>16421</v>
      </c>
      <c r="E9070" s="15">
        <v>19.9069</v>
      </c>
      <c r="F9070" s="42">
        <v>46198</v>
      </c>
    </row>
    <row r="9071" spans="1:6" x14ac:dyDescent="0.3">
      <c r="A9071" s="15" t="s">
        <v>33499</v>
      </c>
      <c r="B9071" s="15" t="s">
        <v>795</v>
      </c>
      <c r="C9071" s="15" t="s">
        <v>795</v>
      </c>
      <c r="D9071" s="15" t="s">
        <v>795</v>
      </c>
      <c r="F9071" s="42"/>
    </row>
    <row r="9072" spans="1:6" x14ac:dyDescent="0.3">
      <c r="A9072" s="15" t="s">
        <v>37618</v>
      </c>
      <c r="B9072" s="15" t="s">
        <v>795</v>
      </c>
      <c r="C9072" s="15" t="s">
        <v>795</v>
      </c>
      <c r="D9072" s="15" t="s">
        <v>795</v>
      </c>
      <c r="F9072" s="42"/>
    </row>
    <row r="9073" spans="1:6" x14ac:dyDescent="0.3">
      <c r="A9073" s="15" t="s">
        <v>33499</v>
      </c>
      <c r="B9073" s="15" t="s">
        <v>795</v>
      </c>
      <c r="C9073" s="15" t="s">
        <v>795</v>
      </c>
      <c r="D9073" s="15" t="s">
        <v>795</v>
      </c>
      <c r="F9073" s="42"/>
    </row>
    <row r="9074" spans="1:6" x14ac:dyDescent="0.3">
      <c r="A9074" s="15" t="s">
        <v>40404</v>
      </c>
      <c r="B9074" s="15" t="s">
        <v>16422</v>
      </c>
      <c r="C9074" s="15" t="s">
        <v>800</v>
      </c>
      <c r="D9074" s="15" t="s">
        <v>16423</v>
      </c>
      <c r="E9074" s="15">
        <v>31.899899999999999</v>
      </c>
      <c r="F9074" s="42">
        <v>46198</v>
      </c>
    </row>
    <row r="9075" spans="1:6" x14ac:dyDescent="0.3">
      <c r="A9075" s="15" t="s">
        <v>40403</v>
      </c>
      <c r="B9075" s="15" t="s">
        <v>16424</v>
      </c>
      <c r="C9075" s="15" t="s">
        <v>16425</v>
      </c>
      <c r="D9075" s="15" t="s">
        <v>16426</v>
      </c>
      <c r="E9075" s="15">
        <v>21.545999999999999</v>
      </c>
      <c r="F9075" s="42">
        <v>46198</v>
      </c>
    </row>
    <row r="9076" spans="1:6" x14ac:dyDescent="0.3">
      <c r="A9076" s="15" t="s">
        <v>40402</v>
      </c>
      <c r="B9076" s="15" t="s">
        <v>16427</v>
      </c>
      <c r="C9076" s="15" t="s">
        <v>16428</v>
      </c>
      <c r="D9076" s="15" t="s">
        <v>16429</v>
      </c>
      <c r="E9076" s="15">
        <v>17.770199999999999</v>
      </c>
      <c r="F9076" s="42">
        <v>46198</v>
      </c>
    </row>
    <row r="9077" spans="1:6" x14ac:dyDescent="0.3">
      <c r="A9077" s="15" t="s">
        <v>40401</v>
      </c>
      <c r="B9077" s="15" t="s">
        <v>16430</v>
      </c>
      <c r="C9077" s="15" t="s">
        <v>800</v>
      </c>
      <c r="D9077" s="15" t="s">
        <v>16431</v>
      </c>
      <c r="E9077" s="15">
        <v>27.985700000000001</v>
      </c>
      <c r="F9077" s="42">
        <v>46198</v>
      </c>
    </row>
    <row r="9078" spans="1:6" x14ac:dyDescent="0.3">
      <c r="A9078" s="15" t="s">
        <v>40400</v>
      </c>
      <c r="B9078" s="15" t="s">
        <v>16432</v>
      </c>
      <c r="C9078" s="15" t="s">
        <v>16433</v>
      </c>
      <c r="D9078" s="15" t="s">
        <v>16434</v>
      </c>
      <c r="E9078" s="15">
        <v>22.0488</v>
      </c>
      <c r="F9078" s="42">
        <v>46198</v>
      </c>
    </row>
    <row r="9079" spans="1:6" x14ac:dyDescent="0.3">
      <c r="A9079" s="15" t="s">
        <v>40399</v>
      </c>
      <c r="B9079" s="15" t="s">
        <v>16435</v>
      </c>
      <c r="C9079" s="15" t="s">
        <v>16436</v>
      </c>
      <c r="D9079" s="15" t="s">
        <v>16437</v>
      </c>
      <c r="E9079" s="15">
        <v>20.8461</v>
      </c>
      <c r="F9079" s="42">
        <v>46198</v>
      </c>
    </row>
    <row r="9080" spans="1:6" x14ac:dyDescent="0.3">
      <c r="A9080" s="15" t="s">
        <v>33499</v>
      </c>
      <c r="B9080" s="15" t="s">
        <v>795</v>
      </c>
      <c r="C9080" s="15" t="s">
        <v>795</v>
      </c>
      <c r="D9080" s="15" t="s">
        <v>795</v>
      </c>
      <c r="F9080" s="42"/>
    </row>
    <row r="9081" spans="1:6" x14ac:dyDescent="0.3">
      <c r="A9081" s="15" t="s">
        <v>39301</v>
      </c>
      <c r="B9081" s="15" t="s">
        <v>795</v>
      </c>
      <c r="C9081" s="15" t="s">
        <v>795</v>
      </c>
      <c r="D9081" s="15" t="s">
        <v>795</v>
      </c>
      <c r="F9081" s="42"/>
    </row>
    <row r="9082" spans="1:6" x14ac:dyDescent="0.3">
      <c r="A9082" s="15" t="s">
        <v>33499</v>
      </c>
      <c r="B9082" s="15" t="s">
        <v>795</v>
      </c>
      <c r="C9082" s="15" t="s">
        <v>795</v>
      </c>
      <c r="D9082" s="15" t="s">
        <v>795</v>
      </c>
      <c r="F9082" s="42"/>
    </row>
    <row r="9083" spans="1:6" x14ac:dyDescent="0.3">
      <c r="A9083" s="15" t="s">
        <v>40398</v>
      </c>
      <c r="B9083" s="15" t="s">
        <v>16438</v>
      </c>
      <c r="C9083" s="15" t="s">
        <v>800</v>
      </c>
      <c r="D9083" s="15" t="s">
        <v>16439</v>
      </c>
      <c r="E9083" s="15">
        <v>25.3764</v>
      </c>
      <c r="F9083" s="42">
        <v>46198</v>
      </c>
    </row>
    <row r="9084" spans="1:6" x14ac:dyDescent="0.3">
      <c r="A9084" s="15" t="s">
        <v>40397</v>
      </c>
      <c r="B9084" s="15" t="s">
        <v>16440</v>
      </c>
      <c r="C9084" s="15" t="s">
        <v>800</v>
      </c>
      <c r="D9084" s="15" t="s">
        <v>16441</v>
      </c>
      <c r="E9084" s="15">
        <v>21.416699999999999</v>
      </c>
      <c r="F9084" s="42">
        <v>46198</v>
      </c>
    </row>
    <row r="9085" spans="1:6" x14ac:dyDescent="0.3">
      <c r="A9085" s="15" t="s">
        <v>40396</v>
      </c>
      <c r="B9085" s="15" t="s">
        <v>16442</v>
      </c>
      <c r="C9085" s="15" t="s">
        <v>16443</v>
      </c>
      <c r="D9085" s="15" t="s">
        <v>16444</v>
      </c>
      <c r="E9085" s="15">
        <v>17.687000000000001</v>
      </c>
      <c r="F9085" s="42">
        <v>46198</v>
      </c>
    </row>
    <row r="9086" spans="1:6" x14ac:dyDescent="0.3">
      <c r="A9086" s="15" t="s">
        <v>40395</v>
      </c>
      <c r="B9086" s="15" t="s">
        <v>16445</v>
      </c>
      <c r="C9086" s="15" t="s">
        <v>16446</v>
      </c>
      <c r="D9086" s="15" t="s">
        <v>16447</v>
      </c>
      <c r="E9086" s="15">
        <v>14.225300000000001</v>
      </c>
      <c r="F9086" s="42">
        <v>46198</v>
      </c>
    </row>
    <row r="9087" spans="1:6" x14ac:dyDescent="0.3">
      <c r="A9087" s="15" t="s">
        <v>33499</v>
      </c>
      <c r="B9087" s="15" t="s">
        <v>795</v>
      </c>
      <c r="C9087" s="15" t="s">
        <v>795</v>
      </c>
      <c r="D9087" s="15" t="s">
        <v>795</v>
      </c>
      <c r="F9087" s="42"/>
    </row>
    <row r="9088" spans="1:6" x14ac:dyDescent="0.3">
      <c r="A9088" s="15" t="s">
        <v>37780</v>
      </c>
      <c r="B9088" s="15" t="s">
        <v>795</v>
      </c>
      <c r="C9088" s="15" t="s">
        <v>795</v>
      </c>
      <c r="D9088" s="15" t="s">
        <v>795</v>
      </c>
      <c r="F9088" s="42"/>
    </row>
    <row r="9089" spans="1:6" x14ac:dyDescent="0.3">
      <c r="A9089" s="15" t="s">
        <v>33499</v>
      </c>
      <c r="B9089" s="15" t="s">
        <v>795</v>
      </c>
      <c r="C9089" s="15" t="s">
        <v>795</v>
      </c>
      <c r="D9089" s="15" t="s">
        <v>795</v>
      </c>
      <c r="F9089" s="42"/>
    </row>
    <row r="9090" spans="1:6" x14ac:dyDescent="0.3">
      <c r="A9090" s="15" t="s">
        <v>40394</v>
      </c>
      <c r="B9090" s="15" t="s">
        <v>16448</v>
      </c>
      <c r="C9090" s="15" t="s">
        <v>16449</v>
      </c>
      <c r="D9090" s="15" t="s">
        <v>16450</v>
      </c>
      <c r="E9090" s="15">
        <v>13.606999999999999</v>
      </c>
      <c r="F9090" s="42">
        <v>46198</v>
      </c>
    </row>
    <row r="9091" spans="1:6" x14ac:dyDescent="0.3">
      <c r="A9091" s="15" t="s">
        <v>40393</v>
      </c>
      <c r="B9091" s="15" t="s">
        <v>16451</v>
      </c>
      <c r="C9091" s="15" t="s">
        <v>16452</v>
      </c>
      <c r="D9091" s="15" t="s">
        <v>16453</v>
      </c>
      <c r="E9091" s="15">
        <v>12.462999999999999</v>
      </c>
      <c r="F9091" s="42">
        <v>46198</v>
      </c>
    </row>
    <row r="9092" spans="1:6" x14ac:dyDescent="0.3">
      <c r="A9092" s="15" t="s">
        <v>40392</v>
      </c>
      <c r="B9092" s="15" t="s">
        <v>16454</v>
      </c>
      <c r="C9092" s="15" t="s">
        <v>800</v>
      </c>
      <c r="D9092" s="15" t="s">
        <v>16455</v>
      </c>
      <c r="E9092" s="15">
        <v>22.753</v>
      </c>
      <c r="F9092" s="42">
        <v>46198</v>
      </c>
    </row>
    <row r="9093" spans="1:6" x14ac:dyDescent="0.3">
      <c r="A9093" s="15" t="s">
        <v>40391</v>
      </c>
      <c r="B9093" s="15" t="s">
        <v>16456</v>
      </c>
      <c r="C9093" s="15" t="s">
        <v>800</v>
      </c>
      <c r="D9093" s="15" t="s">
        <v>16457</v>
      </c>
      <c r="E9093" s="15">
        <v>21.055</v>
      </c>
      <c r="F9093" s="42">
        <v>46198</v>
      </c>
    </row>
    <row r="9094" spans="1:6" x14ac:dyDescent="0.3">
      <c r="A9094" s="15" t="s">
        <v>33499</v>
      </c>
      <c r="B9094" s="15" t="s">
        <v>795</v>
      </c>
      <c r="C9094" s="15" t="s">
        <v>795</v>
      </c>
      <c r="D9094" s="15" t="s">
        <v>795</v>
      </c>
      <c r="F9094" s="42"/>
    </row>
    <row r="9095" spans="1:6" x14ac:dyDescent="0.3">
      <c r="A9095" s="15" t="s">
        <v>208</v>
      </c>
      <c r="B9095" s="15" t="s">
        <v>795</v>
      </c>
      <c r="C9095" s="15" t="s">
        <v>795</v>
      </c>
      <c r="D9095" s="15" t="s">
        <v>795</v>
      </c>
      <c r="F9095" s="42"/>
    </row>
    <row r="9096" spans="1:6" x14ac:dyDescent="0.3">
      <c r="A9096" s="15" t="s">
        <v>33499</v>
      </c>
      <c r="B9096" s="15" t="s">
        <v>795</v>
      </c>
      <c r="C9096" s="15" t="s">
        <v>795</v>
      </c>
      <c r="D9096" s="15" t="s">
        <v>795</v>
      </c>
      <c r="F9096" s="42"/>
    </row>
    <row r="9097" spans="1:6" x14ac:dyDescent="0.3">
      <c r="A9097" s="15" t="s">
        <v>40390</v>
      </c>
      <c r="B9097" s="15" t="s">
        <v>16458</v>
      </c>
      <c r="C9097" s="15" t="s">
        <v>16459</v>
      </c>
      <c r="D9097" s="15" t="s">
        <v>16460</v>
      </c>
      <c r="E9097" s="15">
        <v>0</v>
      </c>
      <c r="F9097" s="42">
        <v>46198</v>
      </c>
    </row>
    <row r="9098" spans="1:6" x14ac:dyDescent="0.3">
      <c r="A9098" s="15" t="s">
        <v>40389</v>
      </c>
      <c r="B9098" s="15" t="s">
        <v>16461</v>
      </c>
      <c r="C9098" s="15" t="s">
        <v>16462</v>
      </c>
      <c r="D9098" s="15" t="s">
        <v>16463</v>
      </c>
      <c r="E9098" s="15">
        <v>0</v>
      </c>
      <c r="F9098" s="42">
        <v>46198</v>
      </c>
    </row>
    <row r="9099" spans="1:6" x14ac:dyDescent="0.3">
      <c r="A9099" s="15" t="s">
        <v>40388</v>
      </c>
      <c r="B9099" s="15" t="s">
        <v>16464</v>
      </c>
      <c r="C9099" s="15" t="s">
        <v>16465</v>
      </c>
      <c r="D9099" s="15" t="s">
        <v>16466</v>
      </c>
      <c r="E9099" s="15">
        <v>0</v>
      </c>
      <c r="F9099" s="42">
        <v>46198</v>
      </c>
    </row>
    <row r="9100" spans="1:6" x14ac:dyDescent="0.3">
      <c r="A9100" s="15" t="s">
        <v>40387</v>
      </c>
      <c r="B9100" s="15" t="s">
        <v>16467</v>
      </c>
      <c r="C9100" s="15" t="s">
        <v>16468</v>
      </c>
      <c r="D9100" s="15" t="s">
        <v>16469</v>
      </c>
      <c r="E9100" s="15">
        <v>0</v>
      </c>
      <c r="F9100" s="42">
        <v>46198</v>
      </c>
    </row>
    <row r="9101" spans="1:6" x14ac:dyDescent="0.3">
      <c r="A9101" s="15" t="s">
        <v>40386</v>
      </c>
      <c r="B9101" s="15" t="s">
        <v>16470</v>
      </c>
      <c r="C9101" s="15" t="s">
        <v>16471</v>
      </c>
      <c r="D9101" s="15" t="s">
        <v>16472</v>
      </c>
      <c r="E9101" s="15">
        <v>0</v>
      </c>
      <c r="F9101" s="42">
        <v>46198</v>
      </c>
    </row>
    <row r="9102" spans="1:6" x14ac:dyDescent="0.3">
      <c r="A9102" s="15" t="s">
        <v>40385</v>
      </c>
      <c r="B9102" s="15" t="s">
        <v>16473</v>
      </c>
      <c r="C9102" s="15" t="s">
        <v>16474</v>
      </c>
      <c r="D9102" s="15" t="s">
        <v>16475</v>
      </c>
      <c r="E9102" s="15">
        <v>0</v>
      </c>
      <c r="F9102" s="42">
        <v>46198</v>
      </c>
    </row>
    <row r="9103" spans="1:6" x14ac:dyDescent="0.3">
      <c r="A9103" s="15" t="s">
        <v>40384</v>
      </c>
      <c r="B9103" s="15" t="s">
        <v>16476</v>
      </c>
      <c r="C9103" s="15" t="s">
        <v>16477</v>
      </c>
      <c r="D9103" s="15" t="s">
        <v>16478</v>
      </c>
      <c r="E9103" s="15">
        <v>15.7338</v>
      </c>
      <c r="F9103" s="42">
        <v>46198</v>
      </c>
    </row>
    <row r="9104" spans="1:6" x14ac:dyDescent="0.3">
      <c r="A9104" s="15" t="s">
        <v>40383</v>
      </c>
      <c r="B9104" s="15" t="s">
        <v>16479</v>
      </c>
      <c r="C9104" s="15" t="s">
        <v>16480</v>
      </c>
      <c r="D9104" s="15" t="s">
        <v>16481</v>
      </c>
      <c r="E9104" s="15">
        <v>15.5069</v>
      </c>
      <c r="F9104" s="42">
        <v>46198</v>
      </c>
    </row>
    <row r="9105" spans="1:6" x14ac:dyDescent="0.3">
      <c r="A9105" s="15" t="s">
        <v>40382</v>
      </c>
      <c r="B9105" s="15" t="s">
        <v>16482</v>
      </c>
      <c r="C9105" s="15" t="s">
        <v>16483</v>
      </c>
      <c r="D9105" s="15" t="s">
        <v>16484</v>
      </c>
      <c r="E9105" s="15">
        <v>15.491899999999999</v>
      </c>
      <c r="F9105" s="42">
        <v>46198</v>
      </c>
    </row>
    <row r="9106" spans="1:6" x14ac:dyDescent="0.3">
      <c r="A9106" s="15" t="s">
        <v>40381</v>
      </c>
      <c r="B9106" s="15" t="s">
        <v>16485</v>
      </c>
      <c r="C9106" s="15" t="s">
        <v>16486</v>
      </c>
      <c r="D9106" s="15" t="s">
        <v>16487</v>
      </c>
      <c r="E9106" s="15">
        <v>14.053100000000001</v>
      </c>
      <c r="F9106" s="42">
        <v>46198</v>
      </c>
    </row>
    <row r="9107" spans="1:6" x14ac:dyDescent="0.3">
      <c r="A9107" s="15" t="s">
        <v>40380</v>
      </c>
      <c r="B9107" s="15" t="s">
        <v>16488</v>
      </c>
      <c r="C9107" s="15" t="s">
        <v>16489</v>
      </c>
      <c r="D9107" s="15" t="s">
        <v>16490</v>
      </c>
      <c r="E9107" s="15">
        <v>13.862</v>
      </c>
      <c r="F9107" s="42">
        <v>46198</v>
      </c>
    </row>
    <row r="9108" spans="1:6" x14ac:dyDescent="0.3">
      <c r="A9108" s="15" t="s">
        <v>40379</v>
      </c>
      <c r="B9108" s="15" t="s">
        <v>16491</v>
      </c>
      <c r="C9108" s="15" t="s">
        <v>16492</v>
      </c>
      <c r="D9108" s="15" t="s">
        <v>16493</v>
      </c>
      <c r="E9108" s="15">
        <v>13.852499999999999</v>
      </c>
      <c r="F9108" s="42">
        <v>46198</v>
      </c>
    </row>
    <row r="9109" spans="1:6" x14ac:dyDescent="0.3">
      <c r="A9109" s="15" t="s">
        <v>40378</v>
      </c>
      <c r="B9109" s="15" t="s">
        <v>16494</v>
      </c>
      <c r="C9109" s="15" t="s">
        <v>800</v>
      </c>
      <c r="D9109" s="15" t="s">
        <v>16495</v>
      </c>
      <c r="E9109" s="15">
        <v>0.68279999999999996</v>
      </c>
      <c r="F9109" s="42">
        <v>45737</v>
      </c>
    </row>
    <row r="9110" spans="1:6" x14ac:dyDescent="0.3">
      <c r="A9110" s="15" t="s">
        <v>40377</v>
      </c>
      <c r="B9110" s="15" t="s">
        <v>16496</v>
      </c>
      <c r="C9110" s="15" t="s">
        <v>800</v>
      </c>
      <c r="D9110" s="15" t="s">
        <v>16497</v>
      </c>
      <c r="E9110" s="15">
        <v>0.68279999999999996</v>
      </c>
      <c r="F9110" s="42">
        <v>45737</v>
      </c>
    </row>
    <row r="9111" spans="1:6" x14ac:dyDescent="0.3">
      <c r="A9111" s="15" t="s">
        <v>40376</v>
      </c>
      <c r="B9111" s="15" t="s">
        <v>16498</v>
      </c>
      <c r="C9111" s="15" t="s">
        <v>16499</v>
      </c>
      <c r="D9111" s="15" t="s">
        <v>16500</v>
      </c>
      <c r="E9111" s="15">
        <v>0.58860000000000001</v>
      </c>
      <c r="F9111" s="42">
        <v>45737</v>
      </c>
    </row>
    <row r="9112" spans="1:6" x14ac:dyDescent="0.3">
      <c r="A9112" s="15" t="s">
        <v>40375</v>
      </c>
      <c r="B9112" s="15" t="s">
        <v>16501</v>
      </c>
      <c r="C9112" s="15" t="s">
        <v>16502</v>
      </c>
      <c r="D9112" s="15" t="s">
        <v>16503</v>
      </c>
      <c r="E9112" s="15">
        <v>0.58009999999999995</v>
      </c>
      <c r="F9112" s="42">
        <v>45737</v>
      </c>
    </row>
    <row r="9113" spans="1:6" x14ac:dyDescent="0.3">
      <c r="A9113" s="15" t="s">
        <v>40374</v>
      </c>
      <c r="B9113" s="15" t="s">
        <v>16504</v>
      </c>
      <c r="C9113" s="15" t="s">
        <v>16505</v>
      </c>
      <c r="D9113" s="15" t="s">
        <v>16506</v>
      </c>
      <c r="E9113" s="15">
        <v>0.57950000000000002</v>
      </c>
      <c r="F9113" s="42">
        <v>45737</v>
      </c>
    </row>
    <row r="9114" spans="1:6" x14ac:dyDescent="0.3">
      <c r="A9114" s="15" t="s">
        <v>40373</v>
      </c>
      <c r="B9114" s="15" t="s">
        <v>16507</v>
      </c>
      <c r="C9114" s="15" t="s">
        <v>800</v>
      </c>
      <c r="D9114" s="15" t="s">
        <v>16508</v>
      </c>
      <c r="E9114" s="15">
        <v>0.65200000000000002</v>
      </c>
      <c r="F9114" s="42">
        <v>45737</v>
      </c>
    </row>
    <row r="9115" spans="1:6" x14ac:dyDescent="0.3">
      <c r="A9115" s="15" t="s">
        <v>40372</v>
      </c>
      <c r="B9115" s="15" t="s">
        <v>16509</v>
      </c>
      <c r="C9115" s="15" t="s">
        <v>800</v>
      </c>
      <c r="D9115" s="15" t="s">
        <v>16510</v>
      </c>
      <c r="E9115" s="15">
        <v>0.65200000000000002</v>
      </c>
      <c r="F9115" s="42">
        <v>45737</v>
      </c>
    </row>
    <row r="9116" spans="1:6" x14ac:dyDescent="0.3">
      <c r="A9116" s="15" t="s">
        <v>40371</v>
      </c>
      <c r="B9116" s="15" t="s">
        <v>16511</v>
      </c>
      <c r="C9116" s="15" t="s">
        <v>16512</v>
      </c>
      <c r="D9116" s="15" t="s">
        <v>16513</v>
      </c>
      <c r="E9116" s="15">
        <v>0.55859999999999999</v>
      </c>
      <c r="F9116" s="42">
        <v>45737</v>
      </c>
    </row>
    <row r="9117" spans="1:6" x14ac:dyDescent="0.3">
      <c r="A9117" s="15" t="s">
        <v>40370</v>
      </c>
      <c r="B9117" s="15" t="s">
        <v>16514</v>
      </c>
      <c r="C9117" s="15" t="s">
        <v>16515</v>
      </c>
      <c r="D9117" s="15" t="s">
        <v>16516</v>
      </c>
      <c r="E9117" s="15">
        <v>0.55089999999999995</v>
      </c>
      <c r="F9117" s="42">
        <v>45737</v>
      </c>
    </row>
    <row r="9118" spans="1:6" x14ac:dyDescent="0.3">
      <c r="A9118" s="15" t="s">
        <v>40369</v>
      </c>
      <c r="B9118" s="15" t="s">
        <v>16517</v>
      </c>
      <c r="C9118" s="15" t="s">
        <v>16518</v>
      </c>
      <c r="D9118" s="15" t="s">
        <v>16519</v>
      </c>
      <c r="E9118" s="15">
        <v>0.55049999999999999</v>
      </c>
      <c r="F9118" s="42">
        <v>45737</v>
      </c>
    </row>
    <row r="9119" spans="1:6" x14ac:dyDescent="0.3">
      <c r="A9119" s="15" t="s">
        <v>40368</v>
      </c>
      <c r="B9119" s="15" t="s">
        <v>16520</v>
      </c>
      <c r="C9119" s="15" t="s">
        <v>800</v>
      </c>
      <c r="D9119" s="15" t="s">
        <v>16521</v>
      </c>
      <c r="E9119" s="15">
        <v>0</v>
      </c>
      <c r="F9119" s="42">
        <v>46198</v>
      </c>
    </row>
    <row r="9120" spans="1:6" x14ac:dyDescent="0.3">
      <c r="A9120" s="15" t="s">
        <v>40367</v>
      </c>
      <c r="B9120" s="15" t="s">
        <v>16522</v>
      </c>
      <c r="C9120" s="15" t="s">
        <v>800</v>
      </c>
      <c r="D9120" s="15" t="s">
        <v>16523</v>
      </c>
      <c r="E9120" s="15">
        <v>0</v>
      </c>
      <c r="F9120" s="42">
        <v>46198</v>
      </c>
    </row>
    <row r="9121" spans="1:6" x14ac:dyDescent="0.3">
      <c r="A9121" s="15" t="s">
        <v>40366</v>
      </c>
      <c r="B9121" s="15" t="s">
        <v>16524</v>
      </c>
      <c r="C9121" s="15" t="s">
        <v>800</v>
      </c>
      <c r="D9121" s="15" t="s">
        <v>16525</v>
      </c>
      <c r="E9121" s="15">
        <v>0</v>
      </c>
      <c r="F9121" s="42">
        <v>46198</v>
      </c>
    </row>
    <row r="9122" spans="1:6" x14ac:dyDescent="0.3">
      <c r="A9122" s="15" t="s">
        <v>40365</v>
      </c>
      <c r="B9122" s="15" t="s">
        <v>16526</v>
      </c>
      <c r="C9122" s="15" t="s">
        <v>800</v>
      </c>
      <c r="D9122" s="15" t="s">
        <v>16527</v>
      </c>
      <c r="E9122" s="15">
        <v>0</v>
      </c>
      <c r="F9122" s="42">
        <v>46198</v>
      </c>
    </row>
    <row r="9123" spans="1:6" x14ac:dyDescent="0.3">
      <c r="A9123" s="15" t="s">
        <v>40364</v>
      </c>
      <c r="B9123" s="15" t="s">
        <v>16528</v>
      </c>
      <c r="C9123" s="15" t="s">
        <v>800</v>
      </c>
      <c r="D9123" s="15" t="s">
        <v>16529</v>
      </c>
      <c r="E9123" s="15">
        <v>18.252400000000002</v>
      </c>
      <c r="F9123" s="42">
        <v>46198</v>
      </c>
    </row>
    <row r="9124" spans="1:6" x14ac:dyDescent="0.3">
      <c r="A9124" s="15" t="s">
        <v>40363</v>
      </c>
      <c r="B9124" s="15" t="s">
        <v>16530</v>
      </c>
      <c r="C9124" s="15" t="s">
        <v>800</v>
      </c>
      <c r="D9124" s="15" t="s">
        <v>16531</v>
      </c>
      <c r="E9124" s="15">
        <v>18.252400000000002</v>
      </c>
      <c r="F9124" s="42">
        <v>46198</v>
      </c>
    </row>
    <row r="9125" spans="1:6" x14ac:dyDescent="0.3">
      <c r="A9125" s="15" t="s">
        <v>40362</v>
      </c>
      <c r="B9125" s="15" t="s">
        <v>16532</v>
      </c>
      <c r="C9125" s="15" t="s">
        <v>800</v>
      </c>
      <c r="D9125" s="15" t="s">
        <v>16533</v>
      </c>
      <c r="E9125" s="15">
        <v>16.404599999999999</v>
      </c>
      <c r="F9125" s="42">
        <v>46198</v>
      </c>
    </row>
    <row r="9126" spans="1:6" x14ac:dyDescent="0.3">
      <c r="A9126" s="15" t="s">
        <v>40361</v>
      </c>
      <c r="B9126" s="15" t="s">
        <v>16534</v>
      </c>
      <c r="C9126" s="15" t="s">
        <v>800</v>
      </c>
      <c r="D9126" s="15" t="s">
        <v>16535</v>
      </c>
      <c r="E9126" s="15">
        <v>16.404599999999999</v>
      </c>
      <c r="F9126" s="42">
        <v>46198</v>
      </c>
    </row>
    <row r="9127" spans="1:6" x14ac:dyDescent="0.3">
      <c r="A9127" s="15" t="s">
        <v>33499</v>
      </c>
      <c r="B9127" s="15" t="s">
        <v>795</v>
      </c>
      <c r="C9127" s="15" t="s">
        <v>795</v>
      </c>
      <c r="D9127" s="15" t="s">
        <v>795</v>
      </c>
      <c r="F9127" s="42"/>
    </row>
    <row r="9128" spans="1:6" x14ac:dyDescent="0.3">
      <c r="A9128" s="15" t="s">
        <v>37523</v>
      </c>
      <c r="B9128" s="15" t="s">
        <v>795</v>
      </c>
      <c r="C9128" s="15" t="s">
        <v>795</v>
      </c>
      <c r="D9128" s="15" t="s">
        <v>795</v>
      </c>
      <c r="F9128" s="42"/>
    </row>
    <row r="9129" spans="1:6" x14ac:dyDescent="0.3">
      <c r="A9129" s="15" t="s">
        <v>33499</v>
      </c>
      <c r="B9129" s="15" t="s">
        <v>795</v>
      </c>
      <c r="C9129" s="15" t="s">
        <v>795</v>
      </c>
      <c r="D9129" s="15" t="s">
        <v>795</v>
      </c>
      <c r="F9129" s="42"/>
    </row>
    <row r="9130" spans="1:6" x14ac:dyDescent="0.3">
      <c r="A9130" s="15" t="s">
        <v>40360</v>
      </c>
      <c r="B9130" s="15" t="s">
        <v>16536</v>
      </c>
      <c r="C9130" s="15" t="s">
        <v>16537</v>
      </c>
      <c r="D9130" s="15" t="s">
        <v>16538</v>
      </c>
      <c r="E9130" s="15">
        <v>14.5672</v>
      </c>
      <c r="F9130" s="42">
        <v>46198</v>
      </c>
    </row>
    <row r="9131" spans="1:6" x14ac:dyDescent="0.3">
      <c r="A9131" s="15" t="s">
        <v>40359</v>
      </c>
      <c r="B9131" s="15" t="s">
        <v>16539</v>
      </c>
      <c r="C9131" s="15" t="s">
        <v>16540</v>
      </c>
      <c r="D9131" s="15" t="s">
        <v>16541</v>
      </c>
      <c r="E9131" s="15">
        <v>15.548</v>
      </c>
      <c r="F9131" s="42">
        <v>46198</v>
      </c>
    </row>
    <row r="9132" spans="1:6" x14ac:dyDescent="0.3">
      <c r="A9132" s="15" t="s">
        <v>40358</v>
      </c>
      <c r="B9132" s="15" t="s">
        <v>16542</v>
      </c>
      <c r="C9132" s="15" t="s">
        <v>800</v>
      </c>
      <c r="D9132" s="15" t="s">
        <v>16543</v>
      </c>
      <c r="E9132" s="15">
        <v>57.7059</v>
      </c>
      <c r="F9132" s="42">
        <v>46198</v>
      </c>
    </row>
    <row r="9133" spans="1:6" x14ac:dyDescent="0.3">
      <c r="A9133" s="15" t="s">
        <v>40357</v>
      </c>
      <c r="B9133" s="15" t="s">
        <v>16544</v>
      </c>
      <c r="C9133" s="15" t="s">
        <v>16545</v>
      </c>
      <c r="D9133" s="15" t="s">
        <v>16546</v>
      </c>
      <c r="E9133" s="15">
        <v>12.3735</v>
      </c>
      <c r="F9133" s="42">
        <v>44260</v>
      </c>
    </row>
    <row r="9134" spans="1:6" x14ac:dyDescent="0.3">
      <c r="A9134" s="15" t="s">
        <v>40356</v>
      </c>
      <c r="B9134" s="15" t="s">
        <v>16547</v>
      </c>
      <c r="C9134" s="15" t="s">
        <v>16548</v>
      </c>
      <c r="D9134" s="15" t="s">
        <v>16549</v>
      </c>
      <c r="E9134" s="15">
        <v>13.648999999999999</v>
      </c>
      <c r="F9134" s="42">
        <v>46198</v>
      </c>
    </row>
    <row r="9135" spans="1:6" x14ac:dyDescent="0.3">
      <c r="A9135" s="15" t="s">
        <v>40355</v>
      </c>
      <c r="B9135" s="15" t="s">
        <v>16550</v>
      </c>
      <c r="C9135" s="15" t="s">
        <v>16551</v>
      </c>
      <c r="D9135" s="15" t="s">
        <v>16552</v>
      </c>
      <c r="E9135" s="15">
        <v>12.792299999999999</v>
      </c>
      <c r="F9135" s="42">
        <v>44260</v>
      </c>
    </row>
    <row r="9136" spans="1:6" x14ac:dyDescent="0.3">
      <c r="A9136" s="15" t="s">
        <v>40354</v>
      </c>
      <c r="B9136" s="15" t="s">
        <v>16553</v>
      </c>
      <c r="C9136" s="15" t="s">
        <v>16554</v>
      </c>
      <c r="D9136" s="15" t="s">
        <v>16555</v>
      </c>
      <c r="E9136" s="15">
        <v>12.132899999999999</v>
      </c>
      <c r="F9136" s="42">
        <v>44260</v>
      </c>
    </row>
    <row r="9137" spans="1:6" x14ac:dyDescent="0.3">
      <c r="A9137" s="15" t="s">
        <v>40353</v>
      </c>
      <c r="B9137" s="15" t="s">
        <v>16556</v>
      </c>
      <c r="C9137" s="15" t="s">
        <v>800</v>
      </c>
      <c r="D9137" s="15" t="s">
        <v>16557</v>
      </c>
      <c r="E9137" s="15">
        <v>50.595799999999997</v>
      </c>
      <c r="F9137" s="42">
        <v>46198</v>
      </c>
    </row>
    <row r="9138" spans="1:6" x14ac:dyDescent="0.3">
      <c r="A9138" s="15" t="s">
        <v>40352</v>
      </c>
      <c r="B9138" s="15" t="s">
        <v>16558</v>
      </c>
      <c r="C9138" s="15" t="s">
        <v>16559</v>
      </c>
      <c r="D9138" s="15" t="s">
        <v>16560</v>
      </c>
      <c r="E9138" s="15">
        <v>12.363099999999999</v>
      </c>
      <c r="F9138" s="42">
        <v>46198</v>
      </c>
    </row>
    <row r="9139" spans="1:6" x14ac:dyDescent="0.3">
      <c r="A9139" s="15" t="s">
        <v>40351</v>
      </c>
      <c r="B9139" s="15" t="s">
        <v>16561</v>
      </c>
      <c r="C9139" s="15" t="s">
        <v>16562</v>
      </c>
      <c r="D9139" s="15" t="s">
        <v>16563</v>
      </c>
      <c r="E9139" s="15">
        <v>12.363899999999999</v>
      </c>
      <c r="F9139" s="42">
        <v>44260</v>
      </c>
    </row>
    <row r="9140" spans="1:6" x14ac:dyDescent="0.3">
      <c r="A9140" s="15" t="s">
        <v>40350</v>
      </c>
      <c r="B9140" s="15" t="s">
        <v>16564</v>
      </c>
      <c r="C9140" s="15" t="s">
        <v>16565</v>
      </c>
      <c r="D9140" s="15" t="s">
        <v>16566</v>
      </c>
      <c r="E9140" s="15">
        <v>12.117900000000001</v>
      </c>
      <c r="F9140" s="42">
        <v>44260</v>
      </c>
    </row>
    <row r="9141" spans="1:6" x14ac:dyDescent="0.3">
      <c r="A9141" s="15" t="s">
        <v>33499</v>
      </c>
      <c r="B9141" s="15" t="s">
        <v>795</v>
      </c>
      <c r="C9141" s="15" t="s">
        <v>795</v>
      </c>
      <c r="D9141" s="15" t="s">
        <v>795</v>
      </c>
      <c r="F9141" s="42"/>
    </row>
    <row r="9142" spans="1:6" x14ac:dyDescent="0.3">
      <c r="A9142" s="15" t="s">
        <v>40216</v>
      </c>
      <c r="B9142" s="15" t="s">
        <v>795</v>
      </c>
      <c r="C9142" s="15" t="s">
        <v>795</v>
      </c>
      <c r="D9142" s="15" t="s">
        <v>795</v>
      </c>
      <c r="F9142" s="42"/>
    </row>
    <row r="9143" spans="1:6" x14ac:dyDescent="0.3">
      <c r="A9143" s="15" t="s">
        <v>33499</v>
      </c>
      <c r="B9143" s="15" t="s">
        <v>795</v>
      </c>
      <c r="C9143" s="15" t="s">
        <v>795</v>
      </c>
      <c r="D9143" s="15" t="s">
        <v>795</v>
      </c>
      <c r="F9143" s="42"/>
    </row>
    <row r="9144" spans="1:6" x14ac:dyDescent="0.3">
      <c r="A9144" s="15" t="s">
        <v>40349</v>
      </c>
      <c r="B9144" s="15" t="s">
        <v>16567</v>
      </c>
      <c r="C9144" s="15" t="s">
        <v>800</v>
      </c>
      <c r="D9144" s="15" t="s">
        <v>16568</v>
      </c>
      <c r="E9144" s="15">
        <v>10.782500000000001</v>
      </c>
      <c r="F9144" s="42">
        <v>46198</v>
      </c>
    </row>
    <row r="9145" spans="1:6" x14ac:dyDescent="0.3">
      <c r="A9145" s="15" t="s">
        <v>40348</v>
      </c>
      <c r="B9145" s="15" t="s">
        <v>16569</v>
      </c>
      <c r="C9145" s="15" t="s">
        <v>800</v>
      </c>
      <c r="D9145" s="15" t="s">
        <v>16570</v>
      </c>
      <c r="E9145" s="15">
        <v>10.613</v>
      </c>
      <c r="F9145" s="42">
        <v>46198</v>
      </c>
    </row>
    <row r="9146" spans="1:6" x14ac:dyDescent="0.3">
      <c r="A9146" s="15" t="s">
        <v>40347</v>
      </c>
      <c r="B9146" s="15" t="s">
        <v>16571</v>
      </c>
      <c r="C9146" s="15" t="s">
        <v>16572</v>
      </c>
      <c r="D9146" s="15" t="s">
        <v>16573</v>
      </c>
      <c r="E9146" s="15">
        <v>10.7578</v>
      </c>
      <c r="F9146" s="42">
        <v>46198</v>
      </c>
    </row>
    <row r="9147" spans="1:6" x14ac:dyDescent="0.3">
      <c r="A9147" s="15" t="s">
        <v>40346</v>
      </c>
      <c r="B9147" s="15" t="s">
        <v>16574</v>
      </c>
      <c r="C9147" s="15" t="s">
        <v>16575</v>
      </c>
      <c r="D9147" s="15" t="s">
        <v>16576</v>
      </c>
      <c r="E9147" s="15">
        <v>10.6126</v>
      </c>
      <c r="F9147" s="42">
        <v>46198</v>
      </c>
    </row>
    <row r="9148" spans="1:6" x14ac:dyDescent="0.3">
      <c r="A9148" s="15" t="s">
        <v>33499</v>
      </c>
      <c r="B9148" s="15" t="s">
        <v>795</v>
      </c>
      <c r="C9148" s="15" t="s">
        <v>795</v>
      </c>
      <c r="D9148" s="15" t="s">
        <v>795</v>
      </c>
      <c r="F9148" s="42"/>
    </row>
    <row r="9149" spans="1:6" x14ac:dyDescent="0.3">
      <c r="A9149" s="15" t="s">
        <v>33636</v>
      </c>
      <c r="B9149" s="15" t="s">
        <v>795</v>
      </c>
      <c r="C9149" s="15" t="s">
        <v>795</v>
      </c>
      <c r="D9149" s="15" t="s">
        <v>795</v>
      </c>
      <c r="F9149" s="42"/>
    </row>
    <row r="9150" spans="1:6" x14ac:dyDescent="0.3">
      <c r="A9150" s="15" t="s">
        <v>33499</v>
      </c>
      <c r="B9150" s="15" t="s">
        <v>795</v>
      </c>
      <c r="C9150" s="15" t="s">
        <v>795</v>
      </c>
      <c r="D9150" s="15" t="s">
        <v>795</v>
      </c>
      <c r="F9150" s="42"/>
    </row>
    <row r="9151" spans="1:6" x14ac:dyDescent="0.3">
      <c r="A9151" s="15" t="s">
        <v>40345</v>
      </c>
      <c r="B9151" s="15" t="s">
        <v>16577</v>
      </c>
      <c r="C9151" s="15" t="s">
        <v>800</v>
      </c>
      <c r="D9151" s="15" t="s">
        <v>16578</v>
      </c>
      <c r="E9151" s="15">
        <v>27.306799999999999</v>
      </c>
      <c r="F9151" s="42">
        <v>46198</v>
      </c>
    </row>
    <row r="9152" spans="1:6" x14ac:dyDescent="0.3">
      <c r="A9152" s="15" t="s">
        <v>40344</v>
      </c>
      <c r="B9152" s="15" t="s">
        <v>16579</v>
      </c>
      <c r="C9152" s="15" t="s">
        <v>16580</v>
      </c>
      <c r="D9152" s="15" t="s">
        <v>16581</v>
      </c>
      <c r="E9152" s="15">
        <v>24.994900000000001</v>
      </c>
      <c r="F9152" s="42">
        <v>46198</v>
      </c>
    </row>
    <row r="9153" spans="1:6" x14ac:dyDescent="0.3">
      <c r="A9153" s="15" t="s">
        <v>40343</v>
      </c>
      <c r="B9153" s="15" t="s">
        <v>16582</v>
      </c>
      <c r="C9153" s="15" t="s">
        <v>16583</v>
      </c>
      <c r="D9153" s="15" t="s">
        <v>16584</v>
      </c>
      <c r="E9153" s="15">
        <v>25.858799999999999</v>
      </c>
      <c r="F9153" s="42">
        <v>46198</v>
      </c>
    </row>
    <row r="9154" spans="1:6" x14ac:dyDescent="0.3">
      <c r="A9154" s="15" t="s">
        <v>40342</v>
      </c>
      <c r="B9154" s="15" t="s">
        <v>16585</v>
      </c>
      <c r="C9154" s="15" t="s">
        <v>800</v>
      </c>
      <c r="D9154" s="15" t="s">
        <v>16586</v>
      </c>
      <c r="E9154" s="15">
        <v>24.633199999999999</v>
      </c>
      <c r="F9154" s="42">
        <v>46198</v>
      </c>
    </row>
    <row r="9155" spans="1:6" x14ac:dyDescent="0.3">
      <c r="A9155" s="15" t="s">
        <v>40341</v>
      </c>
      <c r="B9155" s="15" t="s">
        <v>16587</v>
      </c>
      <c r="C9155" s="15" t="s">
        <v>16588</v>
      </c>
      <c r="D9155" s="15" t="s">
        <v>16589</v>
      </c>
      <c r="E9155" s="15">
        <v>22.837599999999998</v>
      </c>
      <c r="F9155" s="42">
        <v>46198</v>
      </c>
    </row>
    <row r="9156" spans="1:6" x14ac:dyDescent="0.3">
      <c r="A9156" s="15" t="s">
        <v>40340</v>
      </c>
      <c r="B9156" s="15" t="s">
        <v>16590</v>
      </c>
      <c r="C9156" s="15" t="s">
        <v>16591</v>
      </c>
      <c r="D9156" s="15" t="s">
        <v>16592</v>
      </c>
      <c r="E9156" s="15">
        <v>23.293800000000001</v>
      </c>
      <c r="F9156" s="42">
        <v>46198</v>
      </c>
    </row>
    <row r="9157" spans="1:6" x14ac:dyDescent="0.3">
      <c r="A9157" s="15" t="s">
        <v>33499</v>
      </c>
      <c r="B9157" s="15" t="s">
        <v>795</v>
      </c>
      <c r="C9157" s="15" t="s">
        <v>795</v>
      </c>
      <c r="D9157" s="15" t="s">
        <v>795</v>
      </c>
      <c r="F9157" s="42"/>
    </row>
    <row r="9158" spans="1:6" x14ac:dyDescent="0.3">
      <c r="A9158" s="15" t="s">
        <v>37414</v>
      </c>
      <c r="B9158" s="15" t="s">
        <v>795</v>
      </c>
      <c r="C9158" s="15" t="s">
        <v>795</v>
      </c>
      <c r="D9158" s="15" t="s">
        <v>795</v>
      </c>
      <c r="F9158" s="42"/>
    </row>
    <row r="9159" spans="1:6" x14ac:dyDescent="0.3">
      <c r="A9159" s="15" t="s">
        <v>33499</v>
      </c>
      <c r="B9159" s="15" t="s">
        <v>795</v>
      </c>
      <c r="C9159" s="15" t="s">
        <v>795</v>
      </c>
      <c r="D9159" s="15" t="s">
        <v>795</v>
      </c>
      <c r="F9159" s="42"/>
    </row>
    <row r="9160" spans="1:6" x14ac:dyDescent="0.3">
      <c r="A9160" s="15" t="s">
        <v>40339</v>
      </c>
      <c r="B9160" s="15" t="s">
        <v>16593</v>
      </c>
      <c r="C9160" s="15" t="s">
        <v>16594</v>
      </c>
      <c r="D9160" s="15" t="s">
        <v>16595</v>
      </c>
      <c r="E9160" s="15">
        <v>15.4701</v>
      </c>
      <c r="F9160" s="42">
        <v>46198</v>
      </c>
    </row>
    <row r="9161" spans="1:6" x14ac:dyDescent="0.3">
      <c r="A9161" s="15" t="s">
        <v>40338</v>
      </c>
      <c r="B9161" s="15" t="s">
        <v>16596</v>
      </c>
      <c r="C9161" s="15" t="s">
        <v>800</v>
      </c>
      <c r="D9161" s="15" t="s">
        <v>16597</v>
      </c>
      <c r="E9161" s="15">
        <v>83.369</v>
      </c>
      <c r="F9161" s="42">
        <v>46198</v>
      </c>
    </row>
    <row r="9162" spans="1:6" x14ac:dyDescent="0.3">
      <c r="A9162" s="15" t="s">
        <v>40337</v>
      </c>
      <c r="B9162" s="15" t="s">
        <v>16598</v>
      </c>
      <c r="C9162" s="15" t="s">
        <v>800</v>
      </c>
      <c r="D9162" s="15" t="s">
        <v>16599</v>
      </c>
      <c r="E9162" s="15">
        <v>70.825800000000001</v>
      </c>
      <c r="F9162" s="42">
        <v>46198</v>
      </c>
    </row>
    <row r="9163" spans="1:6" x14ac:dyDescent="0.3">
      <c r="A9163" s="15" t="s">
        <v>40336</v>
      </c>
      <c r="B9163" s="15" t="s">
        <v>16600</v>
      </c>
      <c r="C9163" s="15" t="s">
        <v>16601</v>
      </c>
      <c r="D9163" s="15" t="s">
        <v>16602</v>
      </c>
      <c r="E9163" s="15">
        <v>17.116</v>
      </c>
      <c r="F9163" s="42">
        <v>45835</v>
      </c>
    </row>
    <row r="9164" spans="1:6" x14ac:dyDescent="0.3">
      <c r="A9164" s="15" t="s">
        <v>40335</v>
      </c>
      <c r="B9164" s="15" t="s">
        <v>16603</v>
      </c>
      <c r="C9164" s="15" t="s">
        <v>16604</v>
      </c>
      <c r="D9164" s="15" t="s">
        <v>16605</v>
      </c>
      <c r="E9164" s="15">
        <v>24.9648</v>
      </c>
      <c r="F9164" s="42">
        <v>45835</v>
      </c>
    </row>
    <row r="9165" spans="1:6" x14ac:dyDescent="0.3">
      <c r="A9165" s="15" t="s">
        <v>40334</v>
      </c>
      <c r="B9165" s="15" t="s">
        <v>16606</v>
      </c>
      <c r="C9165" s="15" t="s">
        <v>16607</v>
      </c>
      <c r="D9165" s="15" t="s">
        <v>16608</v>
      </c>
      <c r="E9165" s="15">
        <v>14.2105</v>
      </c>
      <c r="F9165" s="42">
        <v>46198</v>
      </c>
    </row>
    <row r="9166" spans="1:6" x14ac:dyDescent="0.3">
      <c r="A9166" s="15" t="s">
        <v>33499</v>
      </c>
      <c r="B9166" s="15" t="s">
        <v>795</v>
      </c>
      <c r="C9166" s="15" t="s">
        <v>795</v>
      </c>
      <c r="D9166" s="15" t="s">
        <v>795</v>
      </c>
      <c r="F9166" s="42"/>
    </row>
    <row r="9167" spans="1:6" x14ac:dyDescent="0.3">
      <c r="A9167" s="15" t="s">
        <v>33519</v>
      </c>
      <c r="B9167" s="15" t="s">
        <v>795</v>
      </c>
      <c r="C9167" s="15" t="s">
        <v>795</v>
      </c>
      <c r="D9167" s="15" t="s">
        <v>795</v>
      </c>
      <c r="F9167" s="42"/>
    </row>
    <row r="9168" spans="1:6" x14ac:dyDescent="0.3">
      <c r="A9168" s="15" t="s">
        <v>33499</v>
      </c>
      <c r="B9168" s="15" t="s">
        <v>795</v>
      </c>
      <c r="C9168" s="15" t="s">
        <v>795</v>
      </c>
      <c r="D9168" s="15" t="s">
        <v>795</v>
      </c>
      <c r="F9168" s="42"/>
    </row>
    <row r="9169" spans="1:6" x14ac:dyDescent="0.3">
      <c r="A9169" s="15" t="s">
        <v>40333</v>
      </c>
      <c r="B9169" s="15" t="s">
        <v>16609</v>
      </c>
      <c r="C9169" s="15" t="s">
        <v>800</v>
      </c>
      <c r="D9169" s="15" t="s">
        <v>16610</v>
      </c>
      <c r="E9169" s="15">
        <v>56.3583</v>
      </c>
      <c r="F9169" s="42">
        <v>46073</v>
      </c>
    </row>
    <row r="9170" spans="1:6" x14ac:dyDescent="0.3">
      <c r="A9170" s="15" t="s">
        <v>40332</v>
      </c>
      <c r="B9170" s="15" t="s">
        <v>16611</v>
      </c>
      <c r="C9170" s="15" t="s">
        <v>800</v>
      </c>
      <c r="D9170" s="15" t="s">
        <v>16612</v>
      </c>
      <c r="E9170" s="15">
        <v>63.749299999999998</v>
      </c>
      <c r="F9170" s="42">
        <v>46073</v>
      </c>
    </row>
    <row r="9171" spans="1:6" x14ac:dyDescent="0.3">
      <c r="A9171" s="15" t="s">
        <v>40331</v>
      </c>
      <c r="B9171" s="15" t="s">
        <v>16613</v>
      </c>
      <c r="C9171" s="15" t="s">
        <v>16614</v>
      </c>
      <c r="D9171" s="15" t="s">
        <v>16615</v>
      </c>
      <c r="E9171" s="15">
        <v>26.999099999999999</v>
      </c>
      <c r="F9171" s="42">
        <v>46073</v>
      </c>
    </row>
    <row r="9172" spans="1:6" x14ac:dyDescent="0.3">
      <c r="A9172" s="15" t="s">
        <v>40330</v>
      </c>
      <c r="B9172" s="15" t="s">
        <v>16616</v>
      </c>
      <c r="C9172" s="15" t="s">
        <v>16617</v>
      </c>
      <c r="D9172" s="15" t="s">
        <v>16618</v>
      </c>
      <c r="E9172" s="15">
        <v>17.571200000000001</v>
      </c>
      <c r="F9172" s="42">
        <v>46073</v>
      </c>
    </row>
    <row r="9173" spans="1:6" x14ac:dyDescent="0.3">
      <c r="A9173" s="15" t="s">
        <v>40329</v>
      </c>
      <c r="B9173" s="15" t="s">
        <v>16619</v>
      </c>
      <c r="C9173" s="15" t="s">
        <v>16620</v>
      </c>
      <c r="D9173" s="15" t="s">
        <v>16621</v>
      </c>
      <c r="E9173" s="15">
        <v>21.684899999999999</v>
      </c>
      <c r="F9173" s="42">
        <v>46073</v>
      </c>
    </row>
    <row r="9174" spans="1:6" x14ac:dyDescent="0.3">
      <c r="A9174" s="15" t="s">
        <v>40328</v>
      </c>
      <c r="B9174" s="15" t="s">
        <v>16622</v>
      </c>
      <c r="C9174" s="15" t="s">
        <v>16623</v>
      </c>
      <c r="D9174" s="15" t="s">
        <v>16624</v>
      </c>
      <c r="E9174" s="15">
        <v>31.1493</v>
      </c>
      <c r="F9174" s="42">
        <v>46073</v>
      </c>
    </row>
    <row r="9175" spans="1:6" x14ac:dyDescent="0.3">
      <c r="A9175" s="15" t="s">
        <v>33499</v>
      </c>
      <c r="B9175" s="15" t="s">
        <v>795</v>
      </c>
      <c r="C9175" s="15" t="s">
        <v>795</v>
      </c>
      <c r="D9175" s="15" t="s">
        <v>795</v>
      </c>
      <c r="F9175" s="42"/>
    </row>
    <row r="9176" spans="1:6" x14ac:dyDescent="0.3">
      <c r="A9176" s="15" t="s">
        <v>33504</v>
      </c>
      <c r="B9176" s="15" t="s">
        <v>795</v>
      </c>
      <c r="C9176" s="15" t="s">
        <v>795</v>
      </c>
      <c r="D9176" s="15" t="s">
        <v>795</v>
      </c>
      <c r="F9176" s="42"/>
    </row>
    <row r="9177" spans="1:6" x14ac:dyDescent="0.3">
      <c r="A9177" s="15" t="s">
        <v>33499</v>
      </c>
      <c r="B9177" s="15" t="s">
        <v>795</v>
      </c>
      <c r="C9177" s="15" t="s">
        <v>795</v>
      </c>
      <c r="D9177" s="15" t="s">
        <v>795</v>
      </c>
      <c r="F9177" s="42"/>
    </row>
    <row r="9178" spans="1:6" x14ac:dyDescent="0.3">
      <c r="A9178" s="15" t="s">
        <v>40327</v>
      </c>
      <c r="B9178" s="15" t="s">
        <v>16625</v>
      </c>
      <c r="C9178" s="15" t="s">
        <v>800</v>
      </c>
      <c r="D9178" s="15" t="s">
        <v>16626</v>
      </c>
      <c r="E9178" s="15">
        <v>18.05</v>
      </c>
      <c r="F9178" s="42">
        <v>46198</v>
      </c>
    </row>
    <row r="9179" spans="1:6" x14ac:dyDescent="0.3">
      <c r="A9179" s="15" t="s">
        <v>40326</v>
      </c>
      <c r="B9179" s="15" t="s">
        <v>16627</v>
      </c>
      <c r="C9179" s="15" t="s">
        <v>16628</v>
      </c>
      <c r="D9179" s="15" t="s">
        <v>16629</v>
      </c>
      <c r="E9179" s="15">
        <v>18.05</v>
      </c>
      <c r="F9179" s="42">
        <v>46198</v>
      </c>
    </row>
    <row r="9180" spans="1:6" x14ac:dyDescent="0.3">
      <c r="A9180" s="15" t="s">
        <v>40325</v>
      </c>
      <c r="B9180" s="15" t="s">
        <v>16630</v>
      </c>
      <c r="C9180" s="15" t="s">
        <v>800</v>
      </c>
      <c r="D9180" s="15" t="s">
        <v>16631</v>
      </c>
      <c r="E9180" s="15">
        <v>17.28</v>
      </c>
      <c r="F9180" s="42">
        <v>46198</v>
      </c>
    </row>
    <row r="9181" spans="1:6" x14ac:dyDescent="0.3">
      <c r="A9181" s="15" t="s">
        <v>40324</v>
      </c>
      <c r="B9181" s="15" t="s">
        <v>16632</v>
      </c>
      <c r="C9181" s="15" t="s">
        <v>16633</v>
      </c>
      <c r="D9181" s="15" t="s">
        <v>16634</v>
      </c>
      <c r="E9181" s="15">
        <v>17.28</v>
      </c>
      <c r="F9181" s="42">
        <v>46198</v>
      </c>
    </row>
    <row r="9182" spans="1:6" x14ac:dyDescent="0.3">
      <c r="A9182" s="15" t="s">
        <v>33499</v>
      </c>
      <c r="B9182" s="15" t="s">
        <v>795</v>
      </c>
      <c r="C9182" s="15" t="s">
        <v>795</v>
      </c>
      <c r="D9182" s="15" t="s">
        <v>795</v>
      </c>
      <c r="F9182" s="42"/>
    </row>
    <row r="9183" spans="1:6" x14ac:dyDescent="0.3">
      <c r="A9183" s="15" t="s">
        <v>33500</v>
      </c>
      <c r="B9183" s="15" t="s">
        <v>795</v>
      </c>
      <c r="C9183" s="15" t="s">
        <v>795</v>
      </c>
      <c r="D9183" s="15" t="s">
        <v>795</v>
      </c>
      <c r="F9183" s="42"/>
    </row>
    <row r="9184" spans="1:6" x14ac:dyDescent="0.3">
      <c r="A9184" s="15" t="s">
        <v>33499</v>
      </c>
      <c r="B9184" s="15" t="s">
        <v>795</v>
      </c>
      <c r="C9184" s="15" t="s">
        <v>795</v>
      </c>
      <c r="D9184" s="15" t="s">
        <v>795</v>
      </c>
      <c r="F9184" s="42"/>
    </row>
    <row r="9185" spans="1:6" x14ac:dyDescent="0.3">
      <c r="A9185" s="15" t="s">
        <v>40323</v>
      </c>
      <c r="B9185" s="15" t="s">
        <v>16635</v>
      </c>
      <c r="C9185" s="15" t="s">
        <v>800</v>
      </c>
      <c r="D9185" s="15" t="s">
        <v>16636</v>
      </c>
      <c r="E9185" s="15">
        <v>20.218800000000002</v>
      </c>
      <c r="F9185" s="42">
        <v>46198</v>
      </c>
    </row>
    <row r="9186" spans="1:6" x14ac:dyDescent="0.3">
      <c r="A9186" s="15" t="s">
        <v>40322</v>
      </c>
      <c r="B9186" s="15" t="s">
        <v>16637</v>
      </c>
      <c r="C9186" s="15" t="s">
        <v>16638</v>
      </c>
      <c r="D9186" s="15" t="s">
        <v>16639</v>
      </c>
      <c r="E9186" s="15">
        <v>20.218800000000002</v>
      </c>
      <c r="F9186" s="42">
        <v>46198</v>
      </c>
    </row>
    <row r="9187" spans="1:6" x14ac:dyDescent="0.3">
      <c r="A9187" s="15" t="s">
        <v>40321</v>
      </c>
      <c r="B9187" s="15" t="s">
        <v>16640</v>
      </c>
      <c r="C9187" s="15" t="s">
        <v>16641</v>
      </c>
      <c r="D9187" s="15" t="s">
        <v>16642</v>
      </c>
      <c r="E9187" s="15">
        <v>20.219899999999999</v>
      </c>
      <c r="F9187" s="42">
        <v>46198</v>
      </c>
    </row>
    <row r="9188" spans="1:6" x14ac:dyDescent="0.3">
      <c r="A9188" s="15" t="s">
        <v>40320</v>
      </c>
      <c r="B9188" s="15" t="s">
        <v>16643</v>
      </c>
      <c r="C9188" s="15" t="s">
        <v>16644</v>
      </c>
      <c r="D9188" s="15" t="s">
        <v>16645</v>
      </c>
      <c r="E9188" s="15">
        <v>20.218800000000002</v>
      </c>
      <c r="F9188" s="42">
        <v>46198</v>
      </c>
    </row>
    <row r="9189" spans="1:6" x14ac:dyDescent="0.3">
      <c r="A9189" s="15" t="s">
        <v>40319</v>
      </c>
      <c r="B9189" s="15" t="s">
        <v>16646</v>
      </c>
      <c r="C9189" s="15" t="s">
        <v>800</v>
      </c>
      <c r="D9189" s="15" t="s">
        <v>16647</v>
      </c>
      <c r="E9189" s="15">
        <v>18.830300000000001</v>
      </c>
      <c r="F9189" s="42">
        <v>46198</v>
      </c>
    </row>
    <row r="9190" spans="1:6" x14ac:dyDescent="0.3">
      <c r="A9190" s="15" t="s">
        <v>40318</v>
      </c>
      <c r="B9190" s="15" t="s">
        <v>16648</v>
      </c>
      <c r="C9190" s="15" t="s">
        <v>16649</v>
      </c>
      <c r="D9190" s="15" t="s">
        <v>16650</v>
      </c>
      <c r="E9190" s="15">
        <v>18.830300000000001</v>
      </c>
      <c r="F9190" s="42">
        <v>46198</v>
      </c>
    </row>
    <row r="9191" spans="1:6" x14ac:dyDescent="0.3">
      <c r="A9191" s="15" t="s">
        <v>40317</v>
      </c>
      <c r="B9191" s="15" t="s">
        <v>16651</v>
      </c>
      <c r="C9191" s="15" t="s">
        <v>16652</v>
      </c>
      <c r="D9191" s="15" t="s">
        <v>16653</v>
      </c>
      <c r="E9191" s="15">
        <v>18.830400000000001</v>
      </c>
      <c r="F9191" s="42">
        <v>46198</v>
      </c>
    </row>
    <row r="9192" spans="1:6" x14ac:dyDescent="0.3">
      <c r="A9192" s="15" t="s">
        <v>40316</v>
      </c>
      <c r="B9192" s="15" t="s">
        <v>16654</v>
      </c>
      <c r="C9192" s="15" t="s">
        <v>16655</v>
      </c>
      <c r="D9192" s="15" t="s">
        <v>16656</v>
      </c>
      <c r="E9192" s="15">
        <v>18.830200000000001</v>
      </c>
      <c r="F9192" s="42">
        <v>46198</v>
      </c>
    </row>
    <row r="9193" spans="1:6" x14ac:dyDescent="0.3">
      <c r="A9193" s="15" t="s">
        <v>33499</v>
      </c>
      <c r="B9193" s="15" t="s">
        <v>795</v>
      </c>
      <c r="C9193" s="15" t="s">
        <v>795</v>
      </c>
      <c r="D9193" s="15" t="s">
        <v>795</v>
      </c>
      <c r="F9193" s="42"/>
    </row>
    <row r="9194" spans="1:6" x14ac:dyDescent="0.3">
      <c r="A9194" s="15" t="s">
        <v>40172</v>
      </c>
      <c r="B9194" s="15" t="s">
        <v>795</v>
      </c>
      <c r="C9194" s="15" t="s">
        <v>795</v>
      </c>
      <c r="D9194" s="15" t="s">
        <v>795</v>
      </c>
      <c r="F9194" s="42"/>
    </row>
    <row r="9195" spans="1:6" x14ac:dyDescent="0.3">
      <c r="A9195" s="15" t="s">
        <v>33499</v>
      </c>
      <c r="B9195" s="15" t="s">
        <v>795</v>
      </c>
      <c r="C9195" s="15" t="s">
        <v>795</v>
      </c>
      <c r="D9195" s="15" t="s">
        <v>795</v>
      </c>
      <c r="F9195" s="42"/>
    </row>
    <row r="9196" spans="1:6" x14ac:dyDescent="0.3">
      <c r="A9196" s="15" t="s">
        <v>40315</v>
      </c>
      <c r="B9196" s="15" t="s">
        <v>16657</v>
      </c>
      <c r="C9196" s="15" t="s">
        <v>800</v>
      </c>
      <c r="D9196" s="15" t="s">
        <v>16658</v>
      </c>
      <c r="E9196" s="15">
        <v>11.558999999999999</v>
      </c>
      <c r="F9196" s="42">
        <v>46198</v>
      </c>
    </row>
    <row r="9197" spans="1:6" x14ac:dyDescent="0.3">
      <c r="A9197" s="15" t="s">
        <v>40314</v>
      </c>
      <c r="B9197" s="15" t="s">
        <v>16659</v>
      </c>
      <c r="C9197" s="15" t="s">
        <v>800</v>
      </c>
      <c r="D9197" s="15" t="s">
        <v>16660</v>
      </c>
      <c r="E9197" s="15">
        <v>11.34</v>
      </c>
      <c r="F9197" s="42">
        <v>46198</v>
      </c>
    </row>
    <row r="9198" spans="1:6" x14ac:dyDescent="0.3">
      <c r="A9198" s="15" t="s">
        <v>33499</v>
      </c>
      <c r="B9198" s="15" t="s">
        <v>795</v>
      </c>
      <c r="C9198" s="15" t="s">
        <v>795</v>
      </c>
      <c r="D9198" s="15" t="s">
        <v>795</v>
      </c>
      <c r="F9198" s="42"/>
    </row>
    <row r="9199" spans="1:6" x14ac:dyDescent="0.3">
      <c r="A9199" s="15" t="s">
        <v>40313</v>
      </c>
      <c r="B9199" s="15" t="s">
        <v>795</v>
      </c>
      <c r="C9199" s="15" t="s">
        <v>795</v>
      </c>
      <c r="D9199" s="15" t="s">
        <v>795</v>
      </c>
      <c r="F9199" s="42"/>
    </row>
    <row r="9200" spans="1:6" x14ac:dyDescent="0.3">
      <c r="A9200" s="15" t="s">
        <v>33499</v>
      </c>
      <c r="B9200" s="15" t="s">
        <v>795</v>
      </c>
      <c r="C9200" s="15" t="s">
        <v>795</v>
      </c>
      <c r="D9200" s="15" t="s">
        <v>795</v>
      </c>
      <c r="F9200" s="42"/>
    </row>
    <row r="9201" spans="1:6" x14ac:dyDescent="0.3">
      <c r="A9201" s="15" t="s">
        <v>37954</v>
      </c>
      <c r="B9201" s="15" t="s">
        <v>795</v>
      </c>
      <c r="C9201" s="15" t="s">
        <v>795</v>
      </c>
      <c r="D9201" s="15" t="s">
        <v>795</v>
      </c>
      <c r="F9201" s="42"/>
    </row>
    <row r="9202" spans="1:6" x14ac:dyDescent="0.3">
      <c r="A9202" s="15" t="s">
        <v>33499</v>
      </c>
      <c r="B9202" s="15" t="s">
        <v>795</v>
      </c>
      <c r="C9202" s="15" t="s">
        <v>795</v>
      </c>
      <c r="D9202" s="15" t="s">
        <v>795</v>
      </c>
      <c r="F9202" s="42"/>
    </row>
    <row r="9203" spans="1:6" x14ac:dyDescent="0.3">
      <c r="A9203" s="15" t="s">
        <v>40312</v>
      </c>
      <c r="B9203" s="15" t="s">
        <v>16661</v>
      </c>
      <c r="C9203" s="15" t="s">
        <v>800</v>
      </c>
      <c r="D9203" s="15" t="s">
        <v>16662</v>
      </c>
      <c r="E9203" s="15">
        <v>12.164099999999999</v>
      </c>
      <c r="F9203" s="42">
        <v>46198</v>
      </c>
    </row>
    <row r="9204" spans="1:6" x14ac:dyDescent="0.3">
      <c r="A9204" s="15" t="s">
        <v>40311</v>
      </c>
      <c r="B9204" s="15" t="s">
        <v>16663</v>
      </c>
      <c r="C9204" s="15" t="s">
        <v>16664</v>
      </c>
      <c r="D9204" s="15" t="s">
        <v>16665</v>
      </c>
      <c r="E9204" s="15">
        <v>12.164099999999999</v>
      </c>
      <c r="F9204" s="42">
        <v>46198</v>
      </c>
    </row>
    <row r="9205" spans="1:6" x14ac:dyDescent="0.3">
      <c r="A9205" s="15" t="s">
        <v>40310</v>
      </c>
      <c r="B9205" s="15" t="s">
        <v>16666</v>
      </c>
      <c r="C9205" s="15" t="s">
        <v>800</v>
      </c>
      <c r="D9205" s="15" t="s">
        <v>16667</v>
      </c>
      <c r="E9205" s="15">
        <v>12.0002</v>
      </c>
      <c r="F9205" s="42">
        <v>46198</v>
      </c>
    </row>
    <row r="9206" spans="1:6" x14ac:dyDescent="0.3">
      <c r="A9206" s="15" t="s">
        <v>40309</v>
      </c>
      <c r="B9206" s="15" t="s">
        <v>16668</v>
      </c>
      <c r="C9206" s="15" t="s">
        <v>16669</v>
      </c>
      <c r="D9206" s="15" t="s">
        <v>16670</v>
      </c>
      <c r="E9206" s="15">
        <v>12.0002</v>
      </c>
      <c r="F9206" s="42">
        <v>46198</v>
      </c>
    </row>
    <row r="9207" spans="1:6" x14ac:dyDescent="0.3">
      <c r="A9207" s="15" t="s">
        <v>33499</v>
      </c>
      <c r="B9207" s="15" t="s">
        <v>795</v>
      </c>
      <c r="C9207" s="15" t="s">
        <v>795</v>
      </c>
      <c r="D9207" s="15" t="s">
        <v>795</v>
      </c>
      <c r="F9207" s="42"/>
    </row>
    <row r="9208" spans="1:6" x14ac:dyDescent="0.3">
      <c r="A9208" s="15" t="s">
        <v>37122</v>
      </c>
      <c r="B9208" s="15" t="s">
        <v>795</v>
      </c>
      <c r="C9208" s="15" t="s">
        <v>795</v>
      </c>
      <c r="D9208" s="15" t="s">
        <v>795</v>
      </c>
      <c r="F9208" s="42"/>
    </row>
    <row r="9209" spans="1:6" x14ac:dyDescent="0.3">
      <c r="A9209" s="15" t="s">
        <v>33499</v>
      </c>
      <c r="B9209" s="15" t="s">
        <v>795</v>
      </c>
      <c r="C9209" s="15" t="s">
        <v>795</v>
      </c>
      <c r="D9209" s="15" t="s">
        <v>795</v>
      </c>
      <c r="F9209" s="42"/>
    </row>
    <row r="9210" spans="1:6" x14ac:dyDescent="0.3">
      <c r="A9210" s="15" t="s">
        <v>40308</v>
      </c>
      <c r="B9210" s="15" t="s">
        <v>16671</v>
      </c>
      <c r="C9210" s="15" t="s">
        <v>800</v>
      </c>
      <c r="D9210" s="15" t="s">
        <v>16672</v>
      </c>
      <c r="E9210" s="15">
        <v>17.468699999999998</v>
      </c>
      <c r="F9210" s="42">
        <v>46198</v>
      </c>
    </row>
    <row r="9211" spans="1:6" x14ac:dyDescent="0.3">
      <c r="A9211" s="15" t="s">
        <v>40307</v>
      </c>
      <c r="B9211" s="15" t="s">
        <v>16673</v>
      </c>
      <c r="C9211" s="15" t="s">
        <v>16674</v>
      </c>
      <c r="D9211" s="15" t="s">
        <v>16675</v>
      </c>
      <c r="E9211" s="15">
        <v>15.791700000000001</v>
      </c>
      <c r="F9211" s="42">
        <v>46198</v>
      </c>
    </row>
    <row r="9212" spans="1:6" x14ac:dyDescent="0.3">
      <c r="A9212" s="15" t="s">
        <v>40306</v>
      </c>
      <c r="B9212" s="15" t="s">
        <v>16676</v>
      </c>
      <c r="C9212" s="15" t="s">
        <v>800</v>
      </c>
      <c r="D9212" s="15" t="s">
        <v>16677</v>
      </c>
      <c r="E9212" s="15">
        <v>16.656199999999998</v>
      </c>
      <c r="F9212" s="42">
        <v>46198</v>
      </c>
    </row>
    <row r="9213" spans="1:6" x14ac:dyDescent="0.3">
      <c r="A9213" s="15" t="s">
        <v>40305</v>
      </c>
      <c r="B9213" s="15" t="s">
        <v>16678</v>
      </c>
      <c r="C9213" s="15" t="s">
        <v>16679</v>
      </c>
      <c r="D9213" s="15" t="s">
        <v>16680</v>
      </c>
      <c r="E9213" s="15">
        <v>14.024900000000001</v>
      </c>
      <c r="F9213" s="42">
        <v>46198</v>
      </c>
    </row>
    <row r="9214" spans="1:6" x14ac:dyDescent="0.3">
      <c r="A9214" s="15" t="s">
        <v>33499</v>
      </c>
      <c r="B9214" s="15" t="s">
        <v>795</v>
      </c>
      <c r="C9214" s="15" t="s">
        <v>795</v>
      </c>
      <c r="D9214" s="15" t="s">
        <v>795</v>
      </c>
      <c r="F9214" s="42"/>
    </row>
    <row r="9215" spans="1:6" x14ac:dyDescent="0.3">
      <c r="A9215" s="15" t="s">
        <v>37087</v>
      </c>
      <c r="B9215" s="15" t="s">
        <v>795</v>
      </c>
      <c r="C9215" s="15" t="s">
        <v>795</v>
      </c>
      <c r="D9215" s="15" t="s">
        <v>795</v>
      </c>
      <c r="F9215" s="42"/>
    </row>
    <row r="9216" spans="1:6" x14ac:dyDescent="0.3">
      <c r="A9216" s="15" t="s">
        <v>33499</v>
      </c>
      <c r="B9216" s="15" t="s">
        <v>795</v>
      </c>
      <c r="C9216" s="15" t="s">
        <v>795</v>
      </c>
      <c r="D9216" s="15" t="s">
        <v>795</v>
      </c>
      <c r="F9216" s="42"/>
    </row>
    <row r="9217" spans="1:6" x14ac:dyDescent="0.3">
      <c r="A9217" s="15" t="s">
        <v>40304</v>
      </c>
      <c r="B9217" s="15" t="s">
        <v>16681</v>
      </c>
      <c r="C9217" s="15" t="s">
        <v>800</v>
      </c>
      <c r="D9217" s="15" t="s">
        <v>16682</v>
      </c>
      <c r="E9217" s="15">
        <v>51.607900000000001</v>
      </c>
      <c r="F9217" s="42">
        <v>46198</v>
      </c>
    </row>
    <row r="9218" spans="1:6" x14ac:dyDescent="0.3">
      <c r="A9218" s="15" t="s">
        <v>40303</v>
      </c>
      <c r="B9218" s="15" t="s">
        <v>16683</v>
      </c>
      <c r="C9218" s="15" t="s">
        <v>16684</v>
      </c>
      <c r="D9218" s="15" t="s">
        <v>16685</v>
      </c>
      <c r="E9218" s="15">
        <v>27.182500000000001</v>
      </c>
      <c r="F9218" s="42">
        <v>46198</v>
      </c>
    </row>
    <row r="9219" spans="1:6" x14ac:dyDescent="0.3">
      <c r="A9219" s="15" t="s">
        <v>40302</v>
      </c>
      <c r="B9219" s="15" t="s">
        <v>16686</v>
      </c>
      <c r="C9219" s="15" t="s">
        <v>800</v>
      </c>
      <c r="D9219" s="15" t="s">
        <v>16687</v>
      </c>
      <c r="E9219" s="15">
        <v>44.053199999999997</v>
      </c>
      <c r="F9219" s="42">
        <v>46198</v>
      </c>
    </row>
    <row r="9220" spans="1:6" x14ac:dyDescent="0.3">
      <c r="A9220" s="15" t="s">
        <v>40301</v>
      </c>
      <c r="B9220" s="15" t="s">
        <v>16688</v>
      </c>
      <c r="C9220" s="15" t="s">
        <v>16689</v>
      </c>
      <c r="D9220" s="15" t="s">
        <v>16690</v>
      </c>
      <c r="E9220" s="15">
        <v>19.462</v>
      </c>
      <c r="F9220" s="42">
        <v>46198</v>
      </c>
    </row>
    <row r="9221" spans="1:6" x14ac:dyDescent="0.3">
      <c r="A9221" s="15" t="s">
        <v>33499</v>
      </c>
      <c r="B9221" s="15" t="s">
        <v>795</v>
      </c>
      <c r="C9221" s="15" t="s">
        <v>795</v>
      </c>
      <c r="D9221" s="15" t="s">
        <v>795</v>
      </c>
      <c r="F9221" s="42"/>
    </row>
    <row r="9222" spans="1:6" x14ac:dyDescent="0.3">
      <c r="A9222" s="15" t="s">
        <v>37923</v>
      </c>
      <c r="B9222" s="15" t="s">
        <v>795</v>
      </c>
      <c r="C9222" s="15" t="s">
        <v>795</v>
      </c>
      <c r="D9222" s="15" t="s">
        <v>795</v>
      </c>
      <c r="F9222" s="42"/>
    </row>
    <row r="9223" spans="1:6" x14ac:dyDescent="0.3">
      <c r="A9223" s="15" t="s">
        <v>33499</v>
      </c>
      <c r="B9223" s="15" t="s">
        <v>795</v>
      </c>
      <c r="C9223" s="15" t="s">
        <v>795</v>
      </c>
      <c r="D9223" s="15" t="s">
        <v>795</v>
      </c>
      <c r="F9223" s="42"/>
    </row>
    <row r="9224" spans="1:6" x14ac:dyDescent="0.3">
      <c r="A9224" s="15" t="s">
        <v>40300</v>
      </c>
      <c r="B9224" s="15" t="s">
        <v>16691</v>
      </c>
      <c r="C9224" s="15" t="s">
        <v>800</v>
      </c>
      <c r="D9224" s="15" t="s">
        <v>16692</v>
      </c>
      <c r="E9224" s="15">
        <v>12.3398</v>
      </c>
      <c r="F9224" s="42">
        <v>46198</v>
      </c>
    </row>
    <row r="9225" spans="1:6" x14ac:dyDescent="0.3">
      <c r="A9225" s="15" t="s">
        <v>40299</v>
      </c>
      <c r="B9225" s="15" t="s">
        <v>16693</v>
      </c>
      <c r="C9225" s="15" t="s">
        <v>16694</v>
      </c>
      <c r="D9225" s="15" t="s">
        <v>16695</v>
      </c>
      <c r="E9225" s="15">
        <v>12.3398</v>
      </c>
      <c r="F9225" s="42">
        <v>46198</v>
      </c>
    </row>
    <row r="9226" spans="1:6" x14ac:dyDescent="0.3">
      <c r="A9226" s="15" t="s">
        <v>40298</v>
      </c>
      <c r="B9226" s="15" t="s">
        <v>16696</v>
      </c>
      <c r="C9226" s="15" t="s">
        <v>800</v>
      </c>
      <c r="D9226" s="15" t="s">
        <v>16697</v>
      </c>
      <c r="E9226" s="15">
        <v>11.9627</v>
      </c>
      <c r="F9226" s="42">
        <v>46198</v>
      </c>
    </row>
    <row r="9227" spans="1:6" x14ac:dyDescent="0.3">
      <c r="A9227" s="15" t="s">
        <v>40297</v>
      </c>
      <c r="B9227" s="15" t="s">
        <v>16698</v>
      </c>
      <c r="C9227" s="15" t="s">
        <v>16699</v>
      </c>
      <c r="D9227" s="15" t="s">
        <v>16700</v>
      </c>
      <c r="E9227" s="15">
        <v>11.9627</v>
      </c>
      <c r="F9227" s="42">
        <v>46198</v>
      </c>
    </row>
    <row r="9228" spans="1:6" x14ac:dyDescent="0.3">
      <c r="A9228" s="15" t="s">
        <v>33499</v>
      </c>
      <c r="B9228" s="15" t="s">
        <v>795</v>
      </c>
      <c r="C9228" s="15" t="s">
        <v>795</v>
      </c>
      <c r="D9228" s="15" t="s">
        <v>795</v>
      </c>
      <c r="F9228" s="42"/>
    </row>
    <row r="9229" spans="1:6" x14ac:dyDescent="0.3">
      <c r="A9229" s="15" t="s">
        <v>37073</v>
      </c>
      <c r="B9229" s="15" t="s">
        <v>795</v>
      </c>
      <c r="C9229" s="15" t="s">
        <v>795</v>
      </c>
      <c r="D9229" s="15" t="s">
        <v>795</v>
      </c>
      <c r="F9229" s="42"/>
    </row>
    <row r="9230" spans="1:6" x14ac:dyDescent="0.3">
      <c r="A9230" s="15" t="s">
        <v>33499</v>
      </c>
      <c r="B9230" s="15" t="s">
        <v>795</v>
      </c>
      <c r="C9230" s="15" t="s">
        <v>795</v>
      </c>
      <c r="D9230" s="15" t="s">
        <v>795</v>
      </c>
      <c r="F9230" s="42"/>
    </row>
    <row r="9231" spans="1:6" x14ac:dyDescent="0.3">
      <c r="A9231" s="15" t="s">
        <v>40296</v>
      </c>
      <c r="B9231" s="15" t="s">
        <v>16701</v>
      </c>
      <c r="C9231" s="15" t="s">
        <v>800</v>
      </c>
      <c r="D9231" s="15" t="s">
        <v>16702</v>
      </c>
      <c r="E9231" s="15">
        <v>14.547499999999999</v>
      </c>
      <c r="F9231" s="42">
        <v>46198</v>
      </c>
    </row>
    <row r="9232" spans="1:6" x14ac:dyDescent="0.3">
      <c r="A9232" s="15" t="s">
        <v>40295</v>
      </c>
      <c r="B9232" s="15" t="s">
        <v>16703</v>
      </c>
      <c r="C9232" s="15" t="s">
        <v>16704</v>
      </c>
      <c r="D9232" s="15" t="s">
        <v>16705</v>
      </c>
      <c r="E9232" s="15">
        <v>13.645099999999999</v>
      </c>
      <c r="F9232" s="42">
        <v>46198</v>
      </c>
    </row>
    <row r="9233" spans="1:6" x14ac:dyDescent="0.3">
      <c r="A9233" s="15" t="s">
        <v>40294</v>
      </c>
      <c r="B9233" s="15" t="s">
        <v>16706</v>
      </c>
      <c r="C9233" s="15" t="s">
        <v>800</v>
      </c>
      <c r="D9233" s="15" t="s">
        <v>16707</v>
      </c>
      <c r="E9233" s="15">
        <v>14.0251</v>
      </c>
      <c r="F9233" s="42">
        <v>46198</v>
      </c>
    </row>
    <row r="9234" spans="1:6" x14ac:dyDescent="0.3">
      <c r="A9234" s="15" t="s">
        <v>40293</v>
      </c>
      <c r="B9234" s="15" t="s">
        <v>16708</v>
      </c>
      <c r="C9234" s="15" t="s">
        <v>16709</v>
      </c>
      <c r="D9234" s="15" t="s">
        <v>16710</v>
      </c>
      <c r="E9234" s="15">
        <v>13.154999999999999</v>
      </c>
      <c r="F9234" s="42">
        <v>46198</v>
      </c>
    </row>
    <row r="9235" spans="1:6" x14ac:dyDescent="0.3">
      <c r="A9235" s="15" t="s">
        <v>33499</v>
      </c>
      <c r="B9235" s="15" t="s">
        <v>795</v>
      </c>
      <c r="C9235" s="15" t="s">
        <v>795</v>
      </c>
      <c r="D9235" s="15" t="s">
        <v>795</v>
      </c>
      <c r="F9235" s="42"/>
    </row>
    <row r="9236" spans="1:6" x14ac:dyDescent="0.3">
      <c r="A9236" s="15" t="s">
        <v>37447</v>
      </c>
      <c r="B9236" s="15" t="s">
        <v>795</v>
      </c>
      <c r="C9236" s="15" t="s">
        <v>795</v>
      </c>
      <c r="D9236" s="15" t="s">
        <v>795</v>
      </c>
      <c r="F9236" s="42"/>
    </row>
    <row r="9237" spans="1:6" x14ac:dyDescent="0.3">
      <c r="A9237" s="15" t="s">
        <v>33499</v>
      </c>
      <c r="B9237" s="15" t="s">
        <v>795</v>
      </c>
      <c r="C9237" s="15" t="s">
        <v>795</v>
      </c>
      <c r="D9237" s="15" t="s">
        <v>795</v>
      </c>
      <c r="F9237" s="42"/>
    </row>
    <row r="9238" spans="1:6" x14ac:dyDescent="0.3">
      <c r="A9238" s="15" t="s">
        <v>40292</v>
      </c>
      <c r="B9238" s="15" t="s">
        <v>16711</v>
      </c>
      <c r="C9238" s="15" t="s">
        <v>800</v>
      </c>
      <c r="D9238" s="15" t="s">
        <v>16712</v>
      </c>
      <c r="E9238" s="15">
        <v>12.788399999999999</v>
      </c>
      <c r="F9238" s="42">
        <v>46198</v>
      </c>
    </row>
    <row r="9239" spans="1:6" x14ac:dyDescent="0.3">
      <c r="A9239" s="15" t="s">
        <v>40291</v>
      </c>
      <c r="B9239" s="15" t="s">
        <v>16713</v>
      </c>
      <c r="C9239" s="15" t="s">
        <v>16714</v>
      </c>
      <c r="D9239" s="15" t="s">
        <v>16715</v>
      </c>
      <c r="E9239" s="15">
        <v>12.7836</v>
      </c>
      <c r="F9239" s="42">
        <v>46198</v>
      </c>
    </row>
    <row r="9240" spans="1:6" x14ac:dyDescent="0.3">
      <c r="A9240" s="15" t="s">
        <v>40290</v>
      </c>
      <c r="B9240" s="15" t="s">
        <v>16716</v>
      </c>
      <c r="C9240" s="15" t="s">
        <v>800</v>
      </c>
      <c r="D9240" s="15" t="s">
        <v>16717</v>
      </c>
      <c r="E9240" s="15">
        <v>12.4842</v>
      </c>
      <c r="F9240" s="42">
        <v>46198</v>
      </c>
    </row>
    <row r="9241" spans="1:6" x14ac:dyDescent="0.3">
      <c r="A9241" s="15" t="s">
        <v>40289</v>
      </c>
      <c r="B9241" s="15" t="s">
        <v>16718</v>
      </c>
      <c r="C9241" s="15" t="s">
        <v>16719</v>
      </c>
      <c r="D9241" s="15" t="s">
        <v>16720</v>
      </c>
      <c r="E9241" s="15">
        <v>12.485300000000001</v>
      </c>
      <c r="F9241" s="42">
        <v>46198</v>
      </c>
    </row>
    <row r="9242" spans="1:6" x14ac:dyDescent="0.3">
      <c r="A9242" s="15" t="s">
        <v>33499</v>
      </c>
      <c r="B9242" s="15" t="s">
        <v>795</v>
      </c>
      <c r="C9242" s="15" t="s">
        <v>795</v>
      </c>
      <c r="D9242" s="15" t="s">
        <v>795</v>
      </c>
      <c r="F9242" s="42"/>
    </row>
    <row r="9243" spans="1:6" x14ac:dyDescent="0.3">
      <c r="A9243" s="15" t="s">
        <v>37566</v>
      </c>
      <c r="B9243" s="15" t="s">
        <v>795</v>
      </c>
      <c r="C9243" s="15" t="s">
        <v>795</v>
      </c>
      <c r="D9243" s="15" t="s">
        <v>795</v>
      </c>
      <c r="F9243" s="42"/>
    </row>
    <row r="9244" spans="1:6" x14ac:dyDescent="0.3">
      <c r="A9244" s="15" t="s">
        <v>33499</v>
      </c>
      <c r="B9244" s="15" t="s">
        <v>795</v>
      </c>
      <c r="C9244" s="15" t="s">
        <v>795</v>
      </c>
      <c r="D9244" s="15" t="s">
        <v>795</v>
      </c>
      <c r="F9244" s="42"/>
    </row>
    <row r="9245" spans="1:6" x14ac:dyDescent="0.3">
      <c r="A9245" s="15" t="s">
        <v>40288</v>
      </c>
      <c r="B9245" s="15" t="s">
        <v>16721</v>
      </c>
      <c r="C9245" s="15" t="s">
        <v>800</v>
      </c>
      <c r="D9245" s="15" t="s">
        <v>16722</v>
      </c>
      <c r="E9245" s="15">
        <v>16.738299999999999</v>
      </c>
      <c r="F9245" s="42">
        <v>46198</v>
      </c>
    </row>
    <row r="9246" spans="1:6" x14ac:dyDescent="0.3">
      <c r="A9246" s="15" t="s">
        <v>40287</v>
      </c>
      <c r="B9246" s="15" t="s">
        <v>16723</v>
      </c>
      <c r="C9246" s="15" t="s">
        <v>16724</v>
      </c>
      <c r="D9246" s="15" t="s">
        <v>16725</v>
      </c>
      <c r="E9246" s="15">
        <v>14.8939</v>
      </c>
      <c r="F9246" s="42">
        <v>46198</v>
      </c>
    </row>
    <row r="9247" spans="1:6" x14ac:dyDescent="0.3">
      <c r="A9247" s="15" t="s">
        <v>40286</v>
      </c>
      <c r="B9247" s="15" t="s">
        <v>16726</v>
      </c>
      <c r="C9247" s="15" t="s">
        <v>800</v>
      </c>
      <c r="D9247" s="15" t="s">
        <v>16727</v>
      </c>
      <c r="E9247" s="15">
        <v>15.9518</v>
      </c>
      <c r="F9247" s="42">
        <v>46198</v>
      </c>
    </row>
    <row r="9248" spans="1:6" x14ac:dyDescent="0.3">
      <c r="A9248" s="15" t="s">
        <v>40285</v>
      </c>
      <c r="B9248" s="15" t="s">
        <v>16728</v>
      </c>
      <c r="C9248" s="15" t="s">
        <v>16729</v>
      </c>
      <c r="D9248" s="15" t="s">
        <v>16730</v>
      </c>
      <c r="E9248" s="15">
        <v>13.941599999999999</v>
      </c>
      <c r="F9248" s="42">
        <v>46198</v>
      </c>
    </row>
    <row r="9249" spans="1:6" x14ac:dyDescent="0.3">
      <c r="A9249" s="15" t="s">
        <v>33499</v>
      </c>
      <c r="B9249" s="15" t="s">
        <v>795</v>
      </c>
      <c r="C9249" s="15" t="s">
        <v>795</v>
      </c>
      <c r="D9249" s="15" t="s">
        <v>795</v>
      </c>
      <c r="F9249" s="42"/>
    </row>
    <row r="9250" spans="1:6" x14ac:dyDescent="0.3">
      <c r="A9250" s="15" t="s">
        <v>40284</v>
      </c>
      <c r="B9250" s="15" t="s">
        <v>795</v>
      </c>
      <c r="C9250" s="15" t="s">
        <v>795</v>
      </c>
      <c r="D9250" s="15" t="s">
        <v>795</v>
      </c>
      <c r="F9250" s="42"/>
    </row>
    <row r="9251" spans="1:6" x14ac:dyDescent="0.3">
      <c r="A9251" s="15" t="s">
        <v>33499</v>
      </c>
      <c r="B9251" s="15" t="s">
        <v>795</v>
      </c>
      <c r="C9251" s="15" t="s">
        <v>795</v>
      </c>
      <c r="D9251" s="15" t="s">
        <v>795</v>
      </c>
      <c r="F9251" s="42"/>
    </row>
    <row r="9252" spans="1:6" x14ac:dyDescent="0.3">
      <c r="A9252" s="15" t="s">
        <v>40283</v>
      </c>
      <c r="B9252" s="15" t="s">
        <v>16731</v>
      </c>
      <c r="C9252" s="15" t="s">
        <v>800</v>
      </c>
      <c r="D9252" s="15" t="s">
        <v>16732</v>
      </c>
      <c r="E9252" s="15">
        <v>11.09</v>
      </c>
      <c r="F9252" s="42">
        <v>46198</v>
      </c>
    </row>
    <row r="9253" spans="1:6" x14ac:dyDescent="0.3">
      <c r="A9253" s="15" t="s">
        <v>40282</v>
      </c>
      <c r="B9253" s="15" t="s">
        <v>16733</v>
      </c>
      <c r="C9253" s="15" t="s">
        <v>16734</v>
      </c>
      <c r="D9253" s="15" t="s">
        <v>16735</v>
      </c>
      <c r="E9253" s="15">
        <v>11.09</v>
      </c>
      <c r="F9253" s="42">
        <v>46198</v>
      </c>
    </row>
    <row r="9254" spans="1:6" x14ac:dyDescent="0.3">
      <c r="A9254" s="15" t="s">
        <v>40281</v>
      </c>
      <c r="B9254" s="15" t="s">
        <v>16736</v>
      </c>
      <c r="C9254" s="15" t="s">
        <v>800</v>
      </c>
      <c r="D9254" s="15" t="s">
        <v>16737</v>
      </c>
      <c r="E9254" s="15">
        <v>10.9</v>
      </c>
      <c r="F9254" s="42">
        <v>46198</v>
      </c>
    </row>
    <row r="9255" spans="1:6" x14ac:dyDescent="0.3">
      <c r="A9255" s="15" t="s">
        <v>40280</v>
      </c>
      <c r="B9255" s="15" t="s">
        <v>16738</v>
      </c>
      <c r="C9255" s="15" t="s">
        <v>16739</v>
      </c>
      <c r="D9255" s="15" t="s">
        <v>16740</v>
      </c>
      <c r="E9255" s="15">
        <v>10.9</v>
      </c>
      <c r="F9255" s="42">
        <v>46198</v>
      </c>
    </row>
    <row r="9256" spans="1:6" x14ac:dyDescent="0.3">
      <c r="A9256" s="15" t="s">
        <v>33499</v>
      </c>
      <c r="B9256" s="15" t="s">
        <v>795</v>
      </c>
      <c r="C9256" s="15" t="s">
        <v>795</v>
      </c>
      <c r="D9256" s="15" t="s">
        <v>795</v>
      </c>
      <c r="F9256" s="42"/>
    </row>
    <row r="9257" spans="1:6" x14ac:dyDescent="0.3">
      <c r="A9257" s="15" t="s">
        <v>40279</v>
      </c>
      <c r="B9257" s="15" t="s">
        <v>795</v>
      </c>
      <c r="C9257" s="15" t="s">
        <v>795</v>
      </c>
      <c r="D9257" s="15" t="s">
        <v>795</v>
      </c>
      <c r="F9257" s="42"/>
    </row>
    <row r="9258" spans="1:6" x14ac:dyDescent="0.3">
      <c r="A9258" s="15" t="s">
        <v>33499</v>
      </c>
      <c r="B9258" s="15" t="s">
        <v>795</v>
      </c>
      <c r="C9258" s="15" t="s">
        <v>795</v>
      </c>
      <c r="D9258" s="15" t="s">
        <v>795</v>
      </c>
      <c r="F9258" s="42"/>
    </row>
    <row r="9259" spans="1:6" x14ac:dyDescent="0.3">
      <c r="A9259" s="15" t="s">
        <v>40278</v>
      </c>
      <c r="B9259" s="15" t="s">
        <v>16741</v>
      </c>
      <c r="C9259" s="15" t="s">
        <v>800</v>
      </c>
      <c r="D9259" s="15" t="s">
        <v>16742</v>
      </c>
      <c r="E9259" s="15">
        <v>9.7919</v>
      </c>
      <c r="F9259" s="42">
        <v>46198</v>
      </c>
    </row>
    <row r="9260" spans="1:6" x14ac:dyDescent="0.3">
      <c r="A9260" s="15" t="s">
        <v>40277</v>
      </c>
      <c r="B9260" s="15" t="s">
        <v>16743</v>
      </c>
      <c r="C9260" s="15" t="s">
        <v>16744</v>
      </c>
      <c r="D9260" s="15" t="s">
        <v>16745</v>
      </c>
      <c r="E9260" s="15">
        <v>9.7919</v>
      </c>
      <c r="F9260" s="42">
        <v>46198</v>
      </c>
    </row>
    <row r="9261" spans="1:6" x14ac:dyDescent="0.3">
      <c r="A9261" s="15" t="s">
        <v>40276</v>
      </c>
      <c r="B9261" s="15" t="s">
        <v>16746</v>
      </c>
      <c r="C9261" s="15" t="s">
        <v>800</v>
      </c>
      <c r="D9261" s="15" t="s">
        <v>16747</v>
      </c>
      <c r="E9261" s="15">
        <v>9.7515999999999998</v>
      </c>
      <c r="F9261" s="42">
        <v>46198</v>
      </c>
    </row>
    <row r="9262" spans="1:6" x14ac:dyDescent="0.3">
      <c r="A9262" s="15" t="s">
        <v>40275</v>
      </c>
      <c r="B9262" s="15" t="s">
        <v>16748</v>
      </c>
      <c r="C9262" s="15" t="s">
        <v>16749</v>
      </c>
      <c r="D9262" s="15" t="s">
        <v>16750</v>
      </c>
      <c r="E9262" s="15">
        <v>9.7515999999999998</v>
      </c>
      <c r="F9262" s="42">
        <v>46198</v>
      </c>
    </row>
    <row r="9263" spans="1:6" x14ac:dyDescent="0.3">
      <c r="A9263" s="15" t="s">
        <v>33499</v>
      </c>
      <c r="B9263" s="15" t="s">
        <v>795</v>
      </c>
      <c r="C9263" s="15" t="s">
        <v>795</v>
      </c>
      <c r="D9263" s="15" t="s">
        <v>795</v>
      </c>
      <c r="F9263" s="42"/>
    </row>
    <row r="9264" spans="1:6" x14ac:dyDescent="0.3">
      <c r="A9264" s="15" t="s">
        <v>37061</v>
      </c>
      <c r="B9264" s="15" t="s">
        <v>795</v>
      </c>
      <c r="C9264" s="15" t="s">
        <v>795</v>
      </c>
      <c r="D9264" s="15" t="s">
        <v>795</v>
      </c>
      <c r="F9264" s="42"/>
    </row>
    <row r="9265" spans="1:6" x14ac:dyDescent="0.3">
      <c r="A9265" s="15" t="s">
        <v>33499</v>
      </c>
      <c r="B9265" s="15" t="s">
        <v>795</v>
      </c>
      <c r="C9265" s="15" t="s">
        <v>795</v>
      </c>
      <c r="D9265" s="15" t="s">
        <v>795</v>
      </c>
      <c r="F9265" s="42"/>
    </row>
    <row r="9266" spans="1:6" x14ac:dyDescent="0.3">
      <c r="A9266" s="15" t="s">
        <v>40274</v>
      </c>
      <c r="B9266" s="15" t="s">
        <v>16751</v>
      </c>
      <c r="C9266" s="15" t="s">
        <v>800</v>
      </c>
      <c r="D9266" s="15" t="s">
        <v>16752</v>
      </c>
      <c r="E9266" s="15">
        <v>16.549600000000002</v>
      </c>
      <c r="F9266" s="42">
        <v>46198</v>
      </c>
    </row>
    <row r="9267" spans="1:6" x14ac:dyDescent="0.3">
      <c r="A9267" s="15" t="s">
        <v>40273</v>
      </c>
      <c r="B9267" s="15" t="s">
        <v>16753</v>
      </c>
      <c r="C9267" s="15" t="s">
        <v>16754</v>
      </c>
      <c r="D9267" s="15" t="s">
        <v>16755</v>
      </c>
      <c r="E9267" s="15">
        <v>15.7621</v>
      </c>
      <c r="F9267" s="42">
        <v>46198</v>
      </c>
    </row>
    <row r="9268" spans="1:6" x14ac:dyDescent="0.3">
      <c r="A9268" s="15" t="s">
        <v>40272</v>
      </c>
      <c r="B9268" s="15" t="s">
        <v>16756</v>
      </c>
      <c r="C9268" s="15" t="s">
        <v>800</v>
      </c>
      <c r="D9268" s="15" t="s">
        <v>16757</v>
      </c>
      <c r="E9268" s="15">
        <v>15.9621</v>
      </c>
      <c r="F9268" s="42">
        <v>46198</v>
      </c>
    </row>
    <row r="9269" spans="1:6" x14ac:dyDescent="0.3">
      <c r="A9269" s="15" t="s">
        <v>40271</v>
      </c>
      <c r="B9269" s="15" t="s">
        <v>16758</v>
      </c>
      <c r="C9269" s="15" t="s">
        <v>16759</v>
      </c>
      <c r="D9269" s="15" t="s">
        <v>16760</v>
      </c>
      <c r="E9269" s="15">
        <v>14.383900000000001</v>
      </c>
      <c r="F9269" s="42">
        <v>46198</v>
      </c>
    </row>
    <row r="9270" spans="1:6" x14ac:dyDescent="0.3">
      <c r="A9270" s="15" t="s">
        <v>33499</v>
      </c>
      <c r="B9270" s="15" t="s">
        <v>795</v>
      </c>
      <c r="C9270" s="15" t="s">
        <v>795</v>
      </c>
      <c r="D9270" s="15" t="s">
        <v>795</v>
      </c>
      <c r="F9270" s="42"/>
    </row>
    <row r="9271" spans="1:6" x14ac:dyDescent="0.3">
      <c r="A9271" s="15" t="s">
        <v>37895</v>
      </c>
      <c r="B9271" s="15" t="s">
        <v>795</v>
      </c>
      <c r="C9271" s="15" t="s">
        <v>795</v>
      </c>
      <c r="D9271" s="15" t="s">
        <v>795</v>
      </c>
      <c r="F9271" s="42"/>
    </row>
    <row r="9272" spans="1:6" x14ac:dyDescent="0.3">
      <c r="A9272" s="15" t="s">
        <v>33499</v>
      </c>
      <c r="B9272" s="15" t="s">
        <v>795</v>
      </c>
      <c r="C9272" s="15" t="s">
        <v>795</v>
      </c>
      <c r="D9272" s="15" t="s">
        <v>795</v>
      </c>
      <c r="F9272" s="42"/>
    </row>
    <row r="9273" spans="1:6" x14ac:dyDescent="0.3">
      <c r="A9273" s="15" t="s">
        <v>40270</v>
      </c>
      <c r="B9273" s="15" t="s">
        <v>16761</v>
      </c>
      <c r="C9273" s="15" t="s">
        <v>800</v>
      </c>
      <c r="D9273" s="15" t="s">
        <v>16762</v>
      </c>
      <c r="E9273" s="15">
        <v>12.515599999999999</v>
      </c>
      <c r="F9273" s="42">
        <v>46198</v>
      </c>
    </row>
    <row r="9274" spans="1:6" x14ac:dyDescent="0.3">
      <c r="A9274" s="15" t="s">
        <v>40269</v>
      </c>
      <c r="B9274" s="15" t="s">
        <v>16763</v>
      </c>
      <c r="C9274" s="15" t="s">
        <v>16764</v>
      </c>
      <c r="D9274" s="15" t="s">
        <v>16765</v>
      </c>
      <c r="E9274" s="15">
        <v>12.115500000000001</v>
      </c>
      <c r="F9274" s="42">
        <v>46198</v>
      </c>
    </row>
    <row r="9275" spans="1:6" x14ac:dyDescent="0.3">
      <c r="A9275" s="15" t="s">
        <v>40268</v>
      </c>
      <c r="B9275" s="15" t="s">
        <v>16766</v>
      </c>
      <c r="C9275" s="15" t="s">
        <v>800</v>
      </c>
      <c r="D9275" s="15" t="s">
        <v>16767</v>
      </c>
      <c r="E9275" s="15">
        <v>12.394600000000001</v>
      </c>
      <c r="F9275" s="42">
        <v>46198</v>
      </c>
    </row>
    <row r="9276" spans="1:6" x14ac:dyDescent="0.3">
      <c r="A9276" s="15" t="s">
        <v>40267</v>
      </c>
      <c r="B9276" s="15" t="s">
        <v>16768</v>
      </c>
      <c r="C9276" s="15" t="s">
        <v>16769</v>
      </c>
      <c r="D9276" s="15" t="s">
        <v>16770</v>
      </c>
      <c r="E9276" s="15">
        <v>11.9945</v>
      </c>
      <c r="F9276" s="42">
        <v>46198</v>
      </c>
    </row>
    <row r="9277" spans="1:6" x14ac:dyDescent="0.3">
      <c r="A9277" s="15" t="s">
        <v>33499</v>
      </c>
      <c r="B9277" s="15" t="s">
        <v>795</v>
      </c>
      <c r="C9277" s="15" t="s">
        <v>795</v>
      </c>
      <c r="D9277" s="15" t="s">
        <v>795</v>
      </c>
      <c r="F9277" s="42"/>
    </row>
    <row r="9278" spans="1:6" x14ac:dyDescent="0.3">
      <c r="A9278" s="15" t="s">
        <v>37044</v>
      </c>
      <c r="B9278" s="15" t="s">
        <v>795</v>
      </c>
      <c r="C9278" s="15" t="s">
        <v>795</v>
      </c>
      <c r="D9278" s="15" t="s">
        <v>795</v>
      </c>
      <c r="F9278" s="42"/>
    </row>
    <row r="9279" spans="1:6" x14ac:dyDescent="0.3">
      <c r="A9279" s="15" t="s">
        <v>33499</v>
      </c>
      <c r="B9279" s="15" t="s">
        <v>795</v>
      </c>
      <c r="C9279" s="15" t="s">
        <v>795</v>
      </c>
      <c r="D9279" s="15" t="s">
        <v>795</v>
      </c>
      <c r="F9279" s="42"/>
    </row>
    <row r="9280" spans="1:6" x14ac:dyDescent="0.3">
      <c r="A9280" s="15" t="s">
        <v>40266</v>
      </c>
      <c r="B9280" s="15" t="s">
        <v>16771</v>
      </c>
      <c r="C9280" s="15" t="s">
        <v>16772</v>
      </c>
      <c r="D9280" s="15" t="s">
        <v>16773</v>
      </c>
      <c r="E9280" s="15">
        <v>11.0181</v>
      </c>
      <c r="F9280" s="42">
        <v>46198</v>
      </c>
    </row>
    <row r="9281" spans="1:6" x14ac:dyDescent="0.3">
      <c r="A9281" s="15" t="s">
        <v>40265</v>
      </c>
      <c r="B9281" s="15" t="s">
        <v>16774</v>
      </c>
      <c r="C9281" s="15" t="s">
        <v>800</v>
      </c>
      <c r="D9281" s="15" t="s">
        <v>16775</v>
      </c>
      <c r="E9281" s="15">
        <v>11.0181</v>
      </c>
      <c r="F9281" s="42">
        <v>46198</v>
      </c>
    </row>
    <row r="9282" spans="1:6" x14ac:dyDescent="0.3">
      <c r="A9282" s="15" t="s">
        <v>40264</v>
      </c>
      <c r="B9282" s="15" t="s">
        <v>16776</v>
      </c>
      <c r="C9282" s="15" t="s">
        <v>800</v>
      </c>
      <c r="D9282" s="15" t="s">
        <v>16777</v>
      </c>
      <c r="E9282" s="15">
        <v>10.855700000000001</v>
      </c>
      <c r="F9282" s="42">
        <v>46198</v>
      </c>
    </row>
    <row r="9283" spans="1:6" x14ac:dyDescent="0.3">
      <c r="A9283" s="15" t="s">
        <v>40263</v>
      </c>
      <c r="B9283" s="15" t="s">
        <v>16778</v>
      </c>
      <c r="C9283" s="15" t="s">
        <v>16779</v>
      </c>
      <c r="D9283" s="15" t="s">
        <v>16780</v>
      </c>
      <c r="E9283" s="15">
        <v>10.855700000000001</v>
      </c>
      <c r="F9283" s="42">
        <v>46198</v>
      </c>
    </row>
    <row r="9284" spans="1:6" x14ac:dyDescent="0.3">
      <c r="A9284" s="15" t="s">
        <v>33499</v>
      </c>
      <c r="B9284" s="15" t="s">
        <v>795</v>
      </c>
      <c r="C9284" s="15" t="s">
        <v>795</v>
      </c>
      <c r="D9284" s="15" t="s">
        <v>795</v>
      </c>
      <c r="F9284" s="42"/>
    </row>
    <row r="9285" spans="1:6" x14ac:dyDescent="0.3">
      <c r="A9285" s="15" t="s">
        <v>37881</v>
      </c>
      <c r="B9285" s="15" t="s">
        <v>795</v>
      </c>
      <c r="C9285" s="15" t="s">
        <v>795</v>
      </c>
      <c r="D9285" s="15" t="s">
        <v>795</v>
      </c>
      <c r="F9285" s="42"/>
    </row>
    <row r="9286" spans="1:6" x14ac:dyDescent="0.3">
      <c r="A9286" s="15" t="s">
        <v>33499</v>
      </c>
      <c r="B9286" s="15" t="s">
        <v>795</v>
      </c>
      <c r="C9286" s="15" t="s">
        <v>795</v>
      </c>
      <c r="D9286" s="15" t="s">
        <v>795</v>
      </c>
      <c r="F9286" s="42"/>
    </row>
    <row r="9287" spans="1:6" x14ac:dyDescent="0.3">
      <c r="A9287" s="15" t="s">
        <v>40262</v>
      </c>
      <c r="B9287" s="15" t="s">
        <v>16781</v>
      </c>
      <c r="C9287" s="15" t="s">
        <v>800</v>
      </c>
      <c r="D9287" s="15" t="s">
        <v>16782</v>
      </c>
      <c r="E9287" s="15">
        <v>10.1829</v>
      </c>
      <c r="F9287" s="42">
        <v>46198</v>
      </c>
    </row>
    <row r="9288" spans="1:6" x14ac:dyDescent="0.3">
      <c r="A9288" s="15" t="s">
        <v>40261</v>
      </c>
      <c r="B9288" s="15" t="s">
        <v>16783</v>
      </c>
      <c r="C9288" s="15" t="s">
        <v>16784</v>
      </c>
      <c r="D9288" s="15" t="s">
        <v>16785</v>
      </c>
      <c r="E9288" s="15">
        <v>10.1798</v>
      </c>
      <c r="F9288" s="42">
        <v>46198</v>
      </c>
    </row>
    <row r="9289" spans="1:6" x14ac:dyDescent="0.3">
      <c r="A9289" s="15" t="s">
        <v>40260</v>
      </c>
      <c r="B9289" s="15" t="s">
        <v>16786</v>
      </c>
      <c r="C9289" s="15" t="s">
        <v>800</v>
      </c>
      <c r="D9289" s="15" t="s">
        <v>16787</v>
      </c>
      <c r="E9289" s="15">
        <v>10.0472</v>
      </c>
      <c r="F9289" s="42">
        <v>46198</v>
      </c>
    </row>
    <row r="9290" spans="1:6" x14ac:dyDescent="0.3">
      <c r="A9290" s="15" t="s">
        <v>40259</v>
      </c>
      <c r="B9290" s="15" t="s">
        <v>16788</v>
      </c>
      <c r="C9290" s="15" t="s">
        <v>16789</v>
      </c>
      <c r="D9290" s="15" t="s">
        <v>16790</v>
      </c>
      <c r="E9290" s="15">
        <v>10.0474</v>
      </c>
      <c r="F9290" s="42">
        <v>46198</v>
      </c>
    </row>
    <row r="9291" spans="1:6" x14ac:dyDescent="0.3">
      <c r="A9291" s="15" t="s">
        <v>33499</v>
      </c>
      <c r="B9291" s="15" t="s">
        <v>795</v>
      </c>
      <c r="C9291" s="15" t="s">
        <v>795</v>
      </c>
      <c r="D9291" s="15" t="s">
        <v>795</v>
      </c>
      <c r="F9291" s="42"/>
    </row>
    <row r="9292" spans="1:6" x14ac:dyDescent="0.3">
      <c r="A9292" s="15" t="s">
        <v>37043</v>
      </c>
      <c r="B9292" s="15" t="s">
        <v>795</v>
      </c>
      <c r="C9292" s="15" t="s">
        <v>795</v>
      </c>
      <c r="D9292" s="15" t="s">
        <v>795</v>
      </c>
      <c r="F9292" s="42"/>
    </row>
    <row r="9293" spans="1:6" x14ac:dyDescent="0.3">
      <c r="A9293" s="15" t="s">
        <v>33499</v>
      </c>
      <c r="B9293" s="15" t="s">
        <v>795</v>
      </c>
      <c r="C9293" s="15" t="s">
        <v>795</v>
      </c>
      <c r="D9293" s="15" t="s">
        <v>795</v>
      </c>
      <c r="F9293" s="42"/>
    </row>
    <row r="9294" spans="1:6" x14ac:dyDescent="0.3">
      <c r="A9294" s="15" t="s">
        <v>40258</v>
      </c>
      <c r="B9294" s="15" t="s">
        <v>16791</v>
      </c>
      <c r="C9294" s="15" t="s">
        <v>800</v>
      </c>
      <c r="D9294" s="15" t="s">
        <v>16792</v>
      </c>
      <c r="E9294" s="15">
        <v>73.923000000000002</v>
      </c>
      <c r="F9294" s="42">
        <v>46198</v>
      </c>
    </row>
    <row r="9295" spans="1:6" x14ac:dyDescent="0.3">
      <c r="A9295" s="15" t="s">
        <v>40257</v>
      </c>
      <c r="B9295" s="15" t="s">
        <v>16793</v>
      </c>
      <c r="C9295" s="15" t="s">
        <v>800</v>
      </c>
      <c r="D9295" s="15" t="s">
        <v>16794</v>
      </c>
      <c r="E9295" s="15">
        <v>83.308999999999997</v>
      </c>
      <c r="F9295" s="42">
        <v>46198</v>
      </c>
    </row>
    <row r="9296" spans="1:6" x14ac:dyDescent="0.3">
      <c r="A9296" s="15" t="s">
        <v>40256</v>
      </c>
      <c r="B9296" s="15" t="s">
        <v>16795</v>
      </c>
      <c r="C9296" s="15" t="s">
        <v>16796</v>
      </c>
      <c r="D9296" s="15" t="s">
        <v>16797</v>
      </c>
      <c r="E9296" s="15">
        <v>16.824000000000002</v>
      </c>
      <c r="F9296" s="42">
        <v>46198</v>
      </c>
    </row>
    <row r="9297" spans="1:6" x14ac:dyDescent="0.3">
      <c r="A9297" s="15" t="s">
        <v>40255</v>
      </c>
      <c r="B9297" s="15" t="s">
        <v>16798</v>
      </c>
      <c r="C9297" s="15" t="s">
        <v>16799</v>
      </c>
      <c r="D9297" s="15" t="s">
        <v>16800</v>
      </c>
      <c r="E9297" s="15">
        <v>21.228000000000002</v>
      </c>
      <c r="F9297" s="42">
        <v>46198</v>
      </c>
    </row>
    <row r="9298" spans="1:6" x14ac:dyDescent="0.3">
      <c r="A9298" s="15" t="s">
        <v>33499</v>
      </c>
      <c r="B9298" s="15" t="s">
        <v>795</v>
      </c>
      <c r="C9298" s="15" t="s">
        <v>795</v>
      </c>
      <c r="D9298" s="15" t="s">
        <v>795</v>
      </c>
      <c r="F9298" s="42"/>
    </row>
    <row r="9299" spans="1:6" x14ac:dyDescent="0.3">
      <c r="A9299" s="15" t="s">
        <v>36815</v>
      </c>
      <c r="B9299" s="15" t="s">
        <v>795</v>
      </c>
      <c r="C9299" s="15" t="s">
        <v>795</v>
      </c>
      <c r="D9299" s="15" t="s">
        <v>795</v>
      </c>
      <c r="F9299" s="42"/>
    </row>
    <row r="9300" spans="1:6" x14ac:dyDescent="0.3">
      <c r="A9300" s="15" t="s">
        <v>33499</v>
      </c>
      <c r="B9300" s="15" t="s">
        <v>795</v>
      </c>
      <c r="C9300" s="15" t="s">
        <v>795</v>
      </c>
      <c r="D9300" s="15" t="s">
        <v>795</v>
      </c>
      <c r="F9300" s="42"/>
    </row>
    <row r="9301" spans="1:6" x14ac:dyDescent="0.3">
      <c r="A9301" s="15" t="s">
        <v>40254</v>
      </c>
      <c r="B9301" s="15" t="s">
        <v>16801</v>
      </c>
      <c r="C9301" s="15" t="s">
        <v>800</v>
      </c>
      <c r="D9301" s="15" t="s">
        <v>16802</v>
      </c>
      <c r="E9301" s="15">
        <v>14.1183</v>
      </c>
      <c r="F9301" s="42">
        <v>46198</v>
      </c>
    </row>
    <row r="9302" spans="1:6" x14ac:dyDescent="0.3">
      <c r="A9302" s="15" t="s">
        <v>40253</v>
      </c>
      <c r="B9302" s="15" t="s">
        <v>16803</v>
      </c>
      <c r="C9302" s="15" t="s">
        <v>16804</v>
      </c>
      <c r="D9302" s="15" t="s">
        <v>16805</v>
      </c>
      <c r="E9302" s="15">
        <v>13.7613</v>
      </c>
      <c r="F9302" s="42">
        <v>46198</v>
      </c>
    </row>
    <row r="9303" spans="1:6" x14ac:dyDescent="0.3">
      <c r="A9303" s="15" t="s">
        <v>40252</v>
      </c>
      <c r="B9303" s="15" t="s">
        <v>16806</v>
      </c>
      <c r="C9303" s="15" t="s">
        <v>800</v>
      </c>
      <c r="D9303" s="15" t="s">
        <v>16807</v>
      </c>
      <c r="E9303" s="15">
        <v>13.678900000000001</v>
      </c>
      <c r="F9303" s="42">
        <v>46198</v>
      </c>
    </row>
    <row r="9304" spans="1:6" x14ac:dyDescent="0.3">
      <c r="A9304" s="15" t="s">
        <v>40251</v>
      </c>
      <c r="B9304" s="15" t="s">
        <v>16808</v>
      </c>
      <c r="C9304" s="15" t="s">
        <v>16809</v>
      </c>
      <c r="D9304" s="15" t="s">
        <v>16810</v>
      </c>
      <c r="E9304" s="15">
        <v>12.4878</v>
      </c>
      <c r="F9304" s="42">
        <v>46198</v>
      </c>
    </row>
    <row r="9305" spans="1:6" x14ac:dyDescent="0.3">
      <c r="A9305" s="15" t="s">
        <v>33499</v>
      </c>
      <c r="B9305" s="15" t="s">
        <v>795</v>
      </c>
      <c r="C9305" s="15" t="s">
        <v>795</v>
      </c>
      <c r="D9305" s="15" t="s">
        <v>795</v>
      </c>
      <c r="F9305" s="42"/>
    </row>
    <row r="9306" spans="1:6" x14ac:dyDescent="0.3">
      <c r="A9306" s="15" t="s">
        <v>36764</v>
      </c>
      <c r="B9306" s="15" t="s">
        <v>795</v>
      </c>
      <c r="C9306" s="15" t="s">
        <v>795</v>
      </c>
      <c r="D9306" s="15" t="s">
        <v>795</v>
      </c>
      <c r="F9306" s="42"/>
    </row>
    <row r="9307" spans="1:6" x14ac:dyDescent="0.3">
      <c r="A9307" s="15" t="s">
        <v>33499</v>
      </c>
      <c r="B9307" s="15" t="s">
        <v>795</v>
      </c>
      <c r="C9307" s="15" t="s">
        <v>795</v>
      </c>
      <c r="D9307" s="15" t="s">
        <v>795</v>
      </c>
      <c r="F9307" s="42"/>
    </row>
    <row r="9308" spans="1:6" x14ac:dyDescent="0.3">
      <c r="A9308" s="15" t="s">
        <v>40250</v>
      </c>
      <c r="B9308" s="15" t="s">
        <v>16811</v>
      </c>
      <c r="C9308" s="15" t="s">
        <v>800</v>
      </c>
      <c r="D9308" s="15" t="s">
        <v>16812</v>
      </c>
      <c r="E9308" s="15">
        <v>889.45100000000002</v>
      </c>
      <c r="F9308" s="42">
        <v>46198</v>
      </c>
    </row>
    <row r="9309" spans="1:6" x14ac:dyDescent="0.3">
      <c r="A9309" s="15" t="s">
        <v>40249</v>
      </c>
      <c r="B9309" s="15" t="s">
        <v>16813</v>
      </c>
      <c r="C9309" s="15" t="s">
        <v>16814</v>
      </c>
      <c r="D9309" s="15" t="s">
        <v>16815</v>
      </c>
      <c r="E9309" s="15">
        <v>59.1477</v>
      </c>
      <c r="F9309" s="42">
        <v>46198</v>
      </c>
    </row>
    <row r="9310" spans="1:6" x14ac:dyDescent="0.3">
      <c r="A9310" s="15" t="s">
        <v>40248</v>
      </c>
      <c r="B9310" s="15" t="s">
        <v>16816</v>
      </c>
      <c r="C9310" s="15" t="s">
        <v>800</v>
      </c>
      <c r="D9310" s="15" t="s">
        <v>16817</v>
      </c>
      <c r="E9310" s="15">
        <v>803.25109999999995</v>
      </c>
      <c r="F9310" s="42">
        <v>46198</v>
      </c>
    </row>
    <row r="9311" spans="1:6" x14ac:dyDescent="0.3">
      <c r="A9311" s="15" t="s">
        <v>40247</v>
      </c>
      <c r="B9311" s="15" t="s">
        <v>16818</v>
      </c>
      <c r="C9311" s="15" t="s">
        <v>16819</v>
      </c>
      <c r="D9311" s="15" t="s">
        <v>16820</v>
      </c>
      <c r="E9311" s="15">
        <v>34.500100000000003</v>
      </c>
      <c r="F9311" s="42">
        <v>46198</v>
      </c>
    </row>
    <row r="9312" spans="1:6" x14ac:dyDescent="0.3">
      <c r="A9312" s="15" t="s">
        <v>40246</v>
      </c>
      <c r="B9312" s="15" t="s">
        <v>16821</v>
      </c>
      <c r="C9312" s="15" t="s">
        <v>800</v>
      </c>
      <c r="D9312" s="15" t="s">
        <v>16822</v>
      </c>
      <c r="E9312" s="15">
        <v>22.849</v>
      </c>
      <c r="F9312" s="42">
        <v>43945</v>
      </c>
    </row>
    <row r="9313" spans="1:6" x14ac:dyDescent="0.3">
      <c r="A9313" s="15" t="s">
        <v>40245</v>
      </c>
      <c r="B9313" s="15" t="s">
        <v>16823</v>
      </c>
      <c r="C9313" s="15" t="s">
        <v>800</v>
      </c>
      <c r="D9313" s="15" t="s">
        <v>16824</v>
      </c>
      <c r="E9313" s="15">
        <v>43.012900000000002</v>
      </c>
      <c r="F9313" s="42">
        <v>43269</v>
      </c>
    </row>
    <row r="9314" spans="1:6" x14ac:dyDescent="0.3">
      <c r="A9314" s="15" t="s">
        <v>33499</v>
      </c>
      <c r="B9314" s="15" t="s">
        <v>795</v>
      </c>
      <c r="C9314" s="15" t="s">
        <v>795</v>
      </c>
      <c r="D9314" s="15" t="s">
        <v>795</v>
      </c>
      <c r="F9314" s="42"/>
    </row>
    <row r="9315" spans="1:6" x14ac:dyDescent="0.3">
      <c r="A9315" s="15" t="s">
        <v>37807</v>
      </c>
      <c r="B9315" s="15" t="s">
        <v>795</v>
      </c>
      <c r="C9315" s="15" t="s">
        <v>795</v>
      </c>
      <c r="D9315" s="15" t="s">
        <v>795</v>
      </c>
      <c r="F9315" s="42"/>
    </row>
    <row r="9316" spans="1:6" x14ac:dyDescent="0.3">
      <c r="A9316" s="15" t="s">
        <v>33499</v>
      </c>
      <c r="B9316" s="15" t="s">
        <v>795</v>
      </c>
      <c r="C9316" s="15" t="s">
        <v>795</v>
      </c>
      <c r="D9316" s="15" t="s">
        <v>795</v>
      </c>
      <c r="F9316" s="42"/>
    </row>
    <row r="9317" spans="1:6" x14ac:dyDescent="0.3">
      <c r="A9317" s="15" t="s">
        <v>40244</v>
      </c>
      <c r="B9317" s="15" t="s">
        <v>16825</v>
      </c>
      <c r="C9317" s="15" t="s">
        <v>800</v>
      </c>
      <c r="D9317" s="15" t="s">
        <v>16826</v>
      </c>
      <c r="E9317" s="15">
        <v>12.46</v>
      </c>
      <c r="F9317" s="42">
        <v>46198</v>
      </c>
    </row>
    <row r="9318" spans="1:6" x14ac:dyDescent="0.3">
      <c r="A9318" s="15" t="s">
        <v>40243</v>
      </c>
      <c r="B9318" s="15" t="s">
        <v>16827</v>
      </c>
      <c r="C9318" s="15" t="s">
        <v>16828</v>
      </c>
      <c r="D9318" s="15" t="s">
        <v>16829</v>
      </c>
      <c r="E9318" s="15">
        <v>12.45</v>
      </c>
      <c r="F9318" s="42">
        <v>46198</v>
      </c>
    </row>
    <row r="9319" spans="1:6" x14ac:dyDescent="0.3">
      <c r="A9319" s="15" t="s">
        <v>40242</v>
      </c>
      <c r="B9319" s="15" t="s">
        <v>16830</v>
      </c>
      <c r="C9319" s="15" t="s">
        <v>800</v>
      </c>
      <c r="D9319" s="15" t="s">
        <v>16831</v>
      </c>
      <c r="E9319" s="15">
        <v>12.22</v>
      </c>
      <c r="F9319" s="42">
        <v>46198</v>
      </c>
    </row>
    <row r="9320" spans="1:6" x14ac:dyDescent="0.3">
      <c r="A9320" s="15" t="s">
        <v>40241</v>
      </c>
      <c r="B9320" s="15" t="s">
        <v>16832</v>
      </c>
      <c r="C9320" s="15" t="s">
        <v>16833</v>
      </c>
      <c r="D9320" s="15" t="s">
        <v>16834</v>
      </c>
      <c r="E9320" s="15">
        <v>12.22</v>
      </c>
      <c r="F9320" s="42">
        <v>46198</v>
      </c>
    </row>
    <row r="9321" spans="1:6" x14ac:dyDescent="0.3">
      <c r="A9321" s="15" t="s">
        <v>33499</v>
      </c>
      <c r="B9321" s="15" t="s">
        <v>795</v>
      </c>
      <c r="C9321" s="15" t="s">
        <v>795</v>
      </c>
      <c r="D9321" s="15" t="s">
        <v>795</v>
      </c>
      <c r="F9321" s="42"/>
    </row>
    <row r="9322" spans="1:6" x14ac:dyDescent="0.3">
      <c r="A9322" s="15" t="s">
        <v>139</v>
      </c>
      <c r="B9322" s="15" t="s">
        <v>795</v>
      </c>
      <c r="C9322" s="15" t="s">
        <v>795</v>
      </c>
      <c r="D9322" s="15" t="s">
        <v>795</v>
      </c>
      <c r="F9322" s="42"/>
    </row>
    <row r="9323" spans="1:6" x14ac:dyDescent="0.3">
      <c r="A9323" s="15" t="s">
        <v>33499</v>
      </c>
      <c r="B9323" s="15" t="s">
        <v>795</v>
      </c>
      <c r="C9323" s="15" t="s">
        <v>795</v>
      </c>
      <c r="D9323" s="15" t="s">
        <v>795</v>
      </c>
      <c r="F9323" s="42"/>
    </row>
    <row r="9324" spans="1:6" x14ac:dyDescent="0.3">
      <c r="A9324" s="15" t="s">
        <v>46996</v>
      </c>
      <c r="B9324" s="15" t="s">
        <v>46997</v>
      </c>
      <c r="C9324" s="15" t="s">
        <v>800</v>
      </c>
      <c r="D9324" s="15" t="s">
        <v>46998</v>
      </c>
      <c r="E9324" s="15">
        <v>10.021000000000001</v>
      </c>
      <c r="F9324" s="42">
        <v>46198</v>
      </c>
    </row>
    <row r="9325" spans="1:6" x14ac:dyDescent="0.3">
      <c r="A9325" s="15" t="s">
        <v>46999</v>
      </c>
      <c r="B9325" s="15" t="s">
        <v>47000</v>
      </c>
      <c r="C9325" s="15" t="s">
        <v>47001</v>
      </c>
      <c r="D9325" s="15" t="s">
        <v>47002</v>
      </c>
      <c r="E9325" s="15">
        <v>10.021000000000001</v>
      </c>
      <c r="F9325" s="42">
        <v>46198</v>
      </c>
    </row>
    <row r="9326" spans="1:6" x14ac:dyDescent="0.3">
      <c r="A9326" s="15" t="s">
        <v>47003</v>
      </c>
      <c r="B9326" s="15" t="s">
        <v>47004</v>
      </c>
      <c r="C9326" s="15" t="s">
        <v>800</v>
      </c>
      <c r="D9326" s="15" t="s">
        <v>47005</v>
      </c>
      <c r="E9326" s="15">
        <v>10.009</v>
      </c>
      <c r="F9326" s="42">
        <v>46198</v>
      </c>
    </row>
    <row r="9327" spans="1:6" x14ac:dyDescent="0.3">
      <c r="A9327" s="15" t="s">
        <v>47006</v>
      </c>
      <c r="B9327" s="15" t="s">
        <v>47007</v>
      </c>
      <c r="C9327" s="15" t="s">
        <v>47008</v>
      </c>
      <c r="D9327" s="15" t="s">
        <v>47009</v>
      </c>
      <c r="E9327" s="15">
        <v>10.009</v>
      </c>
      <c r="F9327" s="42">
        <v>46198</v>
      </c>
    </row>
    <row r="9328" spans="1:6" x14ac:dyDescent="0.3">
      <c r="A9328" s="15" t="s">
        <v>40240</v>
      </c>
      <c r="B9328" s="15" t="s">
        <v>16835</v>
      </c>
      <c r="C9328" s="15" t="s">
        <v>800</v>
      </c>
      <c r="D9328" s="15" t="s">
        <v>16836</v>
      </c>
      <c r="E9328" s="15">
        <v>16.28</v>
      </c>
      <c r="F9328" s="42">
        <v>46198</v>
      </c>
    </row>
    <row r="9329" spans="1:6" x14ac:dyDescent="0.3">
      <c r="A9329" s="15" t="s">
        <v>40239</v>
      </c>
      <c r="B9329" s="15" t="s">
        <v>16837</v>
      </c>
      <c r="C9329" s="15" t="s">
        <v>16838</v>
      </c>
      <c r="D9329" s="15" t="s">
        <v>16839</v>
      </c>
      <c r="E9329" s="15">
        <v>15.631</v>
      </c>
      <c r="F9329" s="42">
        <v>46198</v>
      </c>
    </row>
    <row r="9330" spans="1:6" x14ac:dyDescent="0.3">
      <c r="A9330" s="15" t="s">
        <v>40238</v>
      </c>
      <c r="B9330" s="15" t="s">
        <v>16840</v>
      </c>
      <c r="C9330" s="15" t="s">
        <v>800</v>
      </c>
      <c r="D9330" s="15" t="s">
        <v>16841</v>
      </c>
      <c r="E9330" s="15">
        <v>15.683</v>
      </c>
      <c r="F9330" s="42">
        <v>46198</v>
      </c>
    </row>
    <row r="9331" spans="1:6" x14ac:dyDescent="0.3">
      <c r="A9331" s="15" t="s">
        <v>40237</v>
      </c>
      <c r="B9331" s="15" t="s">
        <v>16842</v>
      </c>
      <c r="C9331" s="15" t="s">
        <v>16843</v>
      </c>
      <c r="D9331" s="15" t="s">
        <v>16844</v>
      </c>
      <c r="E9331" s="15">
        <v>15.058999999999999</v>
      </c>
      <c r="F9331" s="42">
        <v>46198</v>
      </c>
    </row>
    <row r="9332" spans="1:6" x14ac:dyDescent="0.3">
      <c r="A9332" s="15" t="s">
        <v>33499</v>
      </c>
      <c r="B9332" s="15" t="s">
        <v>795</v>
      </c>
      <c r="C9332" s="15" t="s">
        <v>795</v>
      </c>
      <c r="D9332" s="15" t="s">
        <v>795</v>
      </c>
      <c r="F9332" s="42"/>
    </row>
    <row r="9333" spans="1:6" x14ac:dyDescent="0.3">
      <c r="A9333" s="15" t="s">
        <v>37618</v>
      </c>
      <c r="B9333" s="15" t="s">
        <v>795</v>
      </c>
      <c r="C9333" s="15" t="s">
        <v>795</v>
      </c>
      <c r="D9333" s="15" t="s">
        <v>795</v>
      </c>
      <c r="F9333" s="42"/>
    </row>
    <row r="9334" spans="1:6" x14ac:dyDescent="0.3">
      <c r="A9334" s="15" t="s">
        <v>33499</v>
      </c>
      <c r="B9334" s="15" t="s">
        <v>795</v>
      </c>
      <c r="C9334" s="15" t="s">
        <v>795</v>
      </c>
      <c r="D9334" s="15" t="s">
        <v>795</v>
      </c>
      <c r="F9334" s="42"/>
    </row>
    <row r="9335" spans="1:6" x14ac:dyDescent="0.3">
      <c r="A9335" s="15" t="s">
        <v>40236</v>
      </c>
      <c r="B9335" s="15" t="s">
        <v>16845</v>
      </c>
      <c r="C9335" s="15" t="s">
        <v>800</v>
      </c>
      <c r="D9335" s="15" t="s">
        <v>16846</v>
      </c>
      <c r="E9335" s="15">
        <v>12.2072</v>
      </c>
      <c r="F9335" s="42">
        <v>46198</v>
      </c>
    </row>
    <row r="9336" spans="1:6" x14ac:dyDescent="0.3">
      <c r="A9336" s="15" t="s">
        <v>40235</v>
      </c>
      <c r="B9336" s="15" t="s">
        <v>16847</v>
      </c>
      <c r="C9336" s="15" t="s">
        <v>16848</v>
      </c>
      <c r="D9336" s="15" t="s">
        <v>16849</v>
      </c>
      <c r="E9336" s="15">
        <v>12.2072</v>
      </c>
      <c r="F9336" s="42">
        <v>46198</v>
      </c>
    </row>
    <row r="9337" spans="1:6" x14ac:dyDescent="0.3">
      <c r="A9337" s="15" t="s">
        <v>40234</v>
      </c>
      <c r="B9337" s="15" t="s">
        <v>16850</v>
      </c>
      <c r="C9337" s="15" t="s">
        <v>800</v>
      </c>
      <c r="D9337" s="15" t="s">
        <v>16851</v>
      </c>
      <c r="E9337" s="15">
        <v>11.953799999999999</v>
      </c>
      <c r="F9337" s="42">
        <v>46198</v>
      </c>
    </row>
    <row r="9338" spans="1:6" x14ac:dyDescent="0.3">
      <c r="A9338" s="15" t="s">
        <v>40233</v>
      </c>
      <c r="B9338" s="15" t="s">
        <v>16852</v>
      </c>
      <c r="C9338" s="15" t="s">
        <v>16853</v>
      </c>
      <c r="D9338" s="15" t="s">
        <v>16854</v>
      </c>
      <c r="E9338" s="15">
        <v>11.953799999999999</v>
      </c>
      <c r="F9338" s="42">
        <v>46198</v>
      </c>
    </row>
    <row r="9339" spans="1:6" x14ac:dyDescent="0.3">
      <c r="A9339" s="15" t="s">
        <v>33499</v>
      </c>
      <c r="B9339" s="15" t="s">
        <v>795</v>
      </c>
      <c r="C9339" s="15" t="s">
        <v>795</v>
      </c>
      <c r="D9339" s="15" t="s">
        <v>795</v>
      </c>
      <c r="F9339" s="42"/>
    </row>
    <row r="9340" spans="1:6" x14ac:dyDescent="0.3">
      <c r="A9340" s="15" t="s">
        <v>39301</v>
      </c>
      <c r="B9340" s="15" t="s">
        <v>795</v>
      </c>
      <c r="C9340" s="15" t="s">
        <v>795</v>
      </c>
      <c r="D9340" s="15" t="s">
        <v>795</v>
      </c>
      <c r="F9340" s="42"/>
    </row>
    <row r="9341" spans="1:6" x14ac:dyDescent="0.3">
      <c r="A9341" s="15" t="s">
        <v>33499</v>
      </c>
      <c r="B9341" s="15" t="s">
        <v>795</v>
      </c>
      <c r="C9341" s="15" t="s">
        <v>795</v>
      </c>
      <c r="D9341" s="15" t="s">
        <v>795</v>
      </c>
      <c r="F9341" s="42"/>
    </row>
    <row r="9342" spans="1:6" x14ac:dyDescent="0.3">
      <c r="A9342" s="15" t="s">
        <v>40232</v>
      </c>
      <c r="B9342" s="15" t="s">
        <v>16855</v>
      </c>
      <c r="C9342" s="15" t="s">
        <v>16856</v>
      </c>
      <c r="D9342" s="15" t="s">
        <v>16857</v>
      </c>
      <c r="E9342" s="15">
        <v>13.277200000000001</v>
      </c>
      <c r="F9342" s="42">
        <v>46198</v>
      </c>
    </row>
    <row r="9343" spans="1:6" x14ac:dyDescent="0.3">
      <c r="A9343" s="15" t="s">
        <v>40231</v>
      </c>
      <c r="B9343" s="15" t="s">
        <v>16858</v>
      </c>
      <c r="C9343" s="15" t="s">
        <v>16859</v>
      </c>
      <c r="D9343" s="15" t="s">
        <v>16860</v>
      </c>
      <c r="E9343" s="15">
        <v>12.774100000000001</v>
      </c>
      <c r="F9343" s="42">
        <v>46198</v>
      </c>
    </row>
    <row r="9344" spans="1:6" x14ac:dyDescent="0.3">
      <c r="A9344" s="15" t="s">
        <v>40230</v>
      </c>
      <c r="B9344" s="15" t="s">
        <v>16861</v>
      </c>
      <c r="C9344" s="15" t="s">
        <v>800</v>
      </c>
      <c r="D9344" s="15" t="s">
        <v>16862</v>
      </c>
      <c r="E9344" s="15">
        <v>14.1112</v>
      </c>
      <c r="F9344" s="42">
        <v>46198</v>
      </c>
    </row>
    <row r="9345" spans="1:6" x14ac:dyDescent="0.3">
      <c r="A9345" s="15" t="s">
        <v>40229</v>
      </c>
      <c r="B9345" s="15" t="s">
        <v>16863</v>
      </c>
      <c r="C9345" s="15" t="s">
        <v>800</v>
      </c>
      <c r="D9345" s="15" t="s">
        <v>16864</v>
      </c>
      <c r="E9345" s="15">
        <v>13.5982</v>
      </c>
      <c r="F9345" s="42">
        <v>46198</v>
      </c>
    </row>
    <row r="9346" spans="1:6" x14ac:dyDescent="0.3">
      <c r="A9346" s="15" t="s">
        <v>33499</v>
      </c>
      <c r="B9346" s="15" t="s">
        <v>795</v>
      </c>
      <c r="C9346" s="15" t="s">
        <v>795</v>
      </c>
      <c r="D9346" s="15" t="s">
        <v>795</v>
      </c>
      <c r="F9346" s="42"/>
    </row>
    <row r="9347" spans="1:6" x14ac:dyDescent="0.3">
      <c r="A9347" s="15" t="s">
        <v>37780</v>
      </c>
      <c r="B9347" s="15" t="s">
        <v>795</v>
      </c>
      <c r="C9347" s="15" t="s">
        <v>795</v>
      </c>
      <c r="D9347" s="15" t="s">
        <v>795</v>
      </c>
      <c r="F9347" s="42"/>
    </row>
    <row r="9348" spans="1:6" x14ac:dyDescent="0.3">
      <c r="A9348" s="15" t="s">
        <v>33499</v>
      </c>
      <c r="B9348" s="15" t="s">
        <v>795</v>
      </c>
      <c r="C9348" s="15" t="s">
        <v>795</v>
      </c>
      <c r="D9348" s="15" t="s">
        <v>795</v>
      </c>
      <c r="F9348" s="42"/>
    </row>
    <row r="9349" spans="1:6" x14ac:dyDescent="0.3">
      <c r="A9349" s="15" t="s">
        <v>40228</v>
      </c>
      <c r="B9349" s="15" t="s">
        <v>16865</v>
      </c>
      <c r="C9349" s="15" t="s">
        <v>800</v>
      </c>
      <c r="D9349" s="15" t="s">
        <v>16866</v>
      </c>
      <c r="E9349" s="15">
        <v>13.795</v>
      </c>
      <c r="F9349" s="42">
        <v>46198</v>
      </c>
    </row>
    <row r="9350" spans="1:6" x14ac:dyDescent="0.3">
      <c r="A9350" s="15" t="s">
        <v>40227</v>
      </c>
      <c r="B9350" s="15" t="s">
        <v>16867</v>
      </c>
      <c r="C9350" s="15" t="s">
        <v>16868</v>
      </c>
      <c r="D9350" s="15" t="s">
        <v>16869</v>
      </c>
      <c r="E9350" s="15">
        <v>13.792999999999999</v>
      </c>
      <c r="F9350" s="42">
        <v>46198</v>
      </c>
    </row>
    <row r="9351" spans="1:6" x14ac:dyDescent="0.3">
      <c r="A9351" s="15" t="s">
        <v>40226</v>
      </c>
      <c r="B9351" s="15" t="s">
        <v>16870</v>
      </c>
      <c r="C9351" s="15" t="s">
        <v>800</v>
      </c>
      <c r="D9351" s="15" t="s">
        <v>16871</v>
      </c>
      <c r="E9351" s="15">
        <v>13.281000000000001</v>
      </c>
      <c r="F9351" s="42">
        <v>46198</v>
      </c>
    </row>
    <row r="9352" spans="1:6" x14ac:dyDescent="0.3">
      <c r="A9352" s="15" t="s">
        <v>40225</v>
      </c>
      <c r="B9352" s="15" t="s">
        <v>16872</v>
      </c>
      <c r="C9352" s="15" t="s">
        <v>16873</v>
      </c>
      <c r="D9352" s="15" t="s">
        <v>16874</v>
      </c>
      <c r="E9352" s="15">
        <v>13.273999999999999</v>
      </c>
      <c r="F9352" s="42">
        <v>46198</v>
      </c>
    </row>
    <row r="9353" spans="1:6" x14ac:dyDescent="0.3">
      <c r="A9353" s="15" t="s">
        <v>33499</v>
      </c>
      <c r="B9353" s="15" t="s">
        <v>795</v>
      </c>
      <c r="C9353" s="15" t="s">
        <v>795</v>
      </c>
      <c r="D9353" s="15" t="s">
        <v>795</v>
      </c>
      <c r="F9353" s="42"/>
    </row>
    <row r="9354" spans="1:6" x14ac:dyDescent="0.3">
      <c r="A9354" s="15" t="s">
        <v>208</v>
      </c>
      <c r="B9354" s="15" t="s">
        <v>795</v>
      </c>
      <c r="C9354" s="15" t="s">
        <v>795</v>
      </c>
      <c r="D9354" s="15" t="s">
        <v>795</v>
      </c>
      <c r="F9354" s="42"/>
    </row>
    <row r="9355" spans="1:6" x14ac:dyDescent="0.3">
      <c r="A9355" s="15" t="s">
        <v>33499</v>
      </c>
      <c r="B9355" s="15" t="s">
        <v>795</v>
      </c>
      <c r="C9355" s="15" t="s">
        <v>795</v>
      </c>
      <c r="D9355" s="15" t="s">
        <v>795</v>
      </c>
      <c r="F9355" s="42"/>
    </row>
    <row r="9356" spans="1:6" x14ac:dyDescent="0.3">
      <c r="A9356" s="15" t="s">
        <v>40224</v>
      </c>
      <c r="B9356" s="15" t="s">
        <v>16875</v>
      </c>
      <c r="C9356" s="15" t="s">
        <v>800</v>
      </c>
      <c r="D9356" s="15" t="s">
        <v>16876</v>
      </c>
      <c r="E9356" s="15">
        <v>26.373899999999999</v>
      </c>
      <c r="F9356" s="42">
        <v>46198</v>
      </c>
    </row>
    <row r="9357" spans="1:6" x14ac:dyDescent="0.3">
      <c r="A9357" s="15" t="s">
        <v>40223</v>
      </c>
      <c r="B9357" s="15" t="s">
        <v>16877</v>
      </c>
      <c r="C9357" s="15" t="s">
        <v>16878</v>
      </c>
      <c r="D9357" s="15" t="s">
        <v>16879</v>
      </c>
      <c r="E9357" s="15">
        <v>25.462599999999998</v>
      </c>
      <c r="F9357" s="42">
        <v>46198</v>
      </c>
    </row>
    <row r="9358" spans="1:6" x14ac:dyDescent="0.3">
      <c r="A9358" s="15" t="s">
        <v>40222</v>
      </c>
      <c r="B9358" s="15" t="s">
        <v>16880</v>
      </c>
      <c r="C9358" s="15" t="s">
        <v>16881</v>
      </c>
      <c r="D9358" s="15" t="s">
        <v>16882</v>
      </c>
      <c r="E9358" s="15">
        <v>23.504300000000001</v>
      </c>
      <c r="F9358" s="42">
        <v>46198</v>
      </c>
    </row>
    <row r="9359" spans="1:6" x14ac:dyDescent="0.3">
      <c r="A9359" s="15" t="s">
        <v>40221</v>
      </c>
      <c r="B9359" s="15" t="s">
        <v>16883</v>
      </c>
      <c r="C9359" s="15" t="s">
        <v>800</v>
      </c>
      <c r="D9359" s="15" t="s">
        <v>16884</v>
      </c>
      <c r="E9359" s="15">
        <v>24.414000000000001</v>
      </c>
      <c r="F9359" s="42">
        <v>46198</v>
      </c>
    </row>
    <row r="9360" spans="1:6" x14ac:dyDescent="0.3">
      <c r="A9360" s="15" t="s">
        <v>33499</v>
      </c>
      <c r="B9360" s="15" t="s">
        <v>795</v>
      </c>
      <c r="C9360" s="15" t="s">
        <v>795</v>
      </c>
      <c r="D9360" s="15" t="s">
        <v>795</v>
      </c>
      <c r="F9360" s="42"/>
    </row>
    <row r="9361" spans="1:6" x14ac:dyDescent="0.3">
      <c r="A9361" s="15" t="s">
        <v>37523</v>
      </c>
      <c r="B9361" s="15" t="s">
        <v>795</v>
      </c>
      <c r="C9361" s="15" t="s">
        <v>795</v>
      </c>
      <c r="D9361" s="15" t="s">
        <v>795</v>
      </c>
      <c r="F9361" s="42"/>
    </row>
    <row r="9362" spans="1:6" x14ac:dyDescent="0.3">
      <c r="A9362" s="15" t="s">
        <v>33499</v>
      </c>
      <c r="B9362" s="15" t="s">
        <v>795</v>
      </c>
      <c r="C9362" s="15" t="s">
        <v>795</v>
      </c>
      <c r="D9362" s="15" t="s">
        <v>795</v>
      </c>
      <c r="F9362" s="42"/>
    </row>
    <row r="9363" spans="1:6" x14ac:dyDescent="0.3">
      <c r="A9363" s="15" t="s">
        <v>40220</v>
      </c>
      <c r="B9363" s="15" t="s">
        <v>16885</v>
      </c>
      <c r="C9363" s="15" t="s">
        <v>800</v>
      </c>
      <c r="D9363" s="15" t="s">
        <v>16886</v>
      </c>
      <c r="E9363" s="15">
        <v>10.34</v>
      </c>
      <c r="F9363" s="42">
        <v>46198</v>
      </c>
    </row>
    <row r="9364" spans="1:6" x14ac:dyDescent="0.3">
      <c r="A9364" s="15" t="s">
        <v>40219</v>
      </c>
      <c r="B9364" s="15" t="s">
        <v>16887</v>
      </c>
      <c r="C9364" s="15" t="s">
        <v>16888</v>
      </c>
      <c r="D9364" s="15" t="s">
        <v>16889</v>
      </c>
      <c r="E9364" s="15">
        <v>10.34</v>
      </c>
      <c r="F9364" s="42">
        <v>46198</v>
      </c>
    </row>
    <row r="9365" spans="1:6" x14ac:dyDescent="0.3">
      <c r="A9365" s="15" t="s">
        <v>40218</v>
      </c>
      <c r="B9365" s="15" t="s">
        <v>16890</v>
      </c>
      <c r="C9365" s="15" t="s">
        <v>800</v>
      </c>
      <c r="D9365" s="15" t="s">
        <v>16891</v>
      </c>
      <c r="E9365" s="15">
        <v>10.24</v>
      </c>
      <c r="F9365" s="42">
        <v>46198</v>
      </c>
    </row>
    <row r="9366" spans="1:6" x14ac:dyDescent="0.3">
      <c r="A9366" s="15" t="s">
        <v>40217</v>
      </c>
      <c r="B9366" s="15" t="s">
        <v>16892</v>
      </c>
      <c r="C9366" s="15" t="s">
        <v>16893</v>
      </c>
      <c r="D9366" s="15" t="s">
        <v>16894</v>
      </c>
      <c r="E9366" s="15">
        <v>10.24</v>
      </c>
      <c r="F9366" s="42">
        <v>46198</v>
      </c>
    </row>
    <row r="9367" spans="1:6" x14ac:dyDescent="0.3">
      <c r="A9367" s="15" t="s">
        <v>33499</v>
      </c>
      <c r="B9367" s="15" t="s">
        <v>795</v>
      </c>
      <c r="C9367" s="15" t="s">
        <v>795</v>
      </c>
      <c r="D9367" s="15" t="s">
        <v>795</v>
      </c>
      <c r="F9367" s="42"/>
    </row>
    <row r="9368" spans="1:6" x14ac:dyDescent="0.3">
      <c r="A9368" s="15" t="s">
        <v>40216</v>
      </c>
      <c r="B9368" s="15" t="s">
        <v>795</v>
      </c>
      <c r="C9368" s="15" t="s">
        <v>795</v>
      </c>
      <c r="D9368" s="15" t="s">
        <v>795</v>
      </c>
      <c r="F9368" s="42"/>
    </row>
    <row r="9369" spans="1:6" x14ac:dyDescent="0.3">
      <c r="A9369" s="15" t="s">
        <v>33499</v>
      </c>
      <c r="B9369" s="15" t="s">
        <v>795</v>
      </c>
      <c r="C9369" s="15" t="s">
        <v>795</v>
      </c>
      <c r="D9369" s="15" t="s">
        <v>795</v>
      </c>
      <c r="F9369" s="42"/>
    </row>
    <row r="9370" spans="1:6" x14ac:dyDescent="0.3">
      <c r="A9370" s="15" t="s">
        <v>40215</v>
      </c>
      <c r="B9370" s="15" t="s">
        <v>16895</v>
      </c>
      <c r="C9370" s="15" t="s">
        <v>16896</v>
      </c>
      <c r="D9370" s="15" t="s">
        <v>16897</v>
      </c>
      <c r="E9370" s="15">
        <v>167.4853</v>
      </c>
      <c r="F9370" s="42">
        <v>46198</v>
      </c>
    </row>
    <row r="9371" spans="1:6" x14ac:dyDescent="0.3">
      <c r="A9371" s="15" t="s">
        <v>40214</v>
      </c>
      <c r="B9371" s="15" t="s">
        <v>16898</v>
      </c>
      <c r="C9371" s="15" t="s">
        <v>16899</v>
      </c>
      <c r="D9371" s="15" t="s">
        <v>16900</v>
      </c>
      <c r="E9371" s="15">
        <v>153.5318</v>
      </c>
      <c r="F9371" s="42">
        <v>46198</v>
      </c>
    </row>
    <row r="9372" spans="1:6" x14ac:dyDescent="0.3">
      <c r="A9372" s="15" t="s">
        <v>40213</v>
      </c>
      <c r="B9372" s="15" t="s">
        <v>16901</v>
      </c>
      <c r="C9372" s="15" t="s">
        <v>800</v>
      </c>
      <c r="D9372" s="15" t="s">
        <v>16902</v>
      </c>
      <c r="E9372" s="15">
        <v>167.4845</v>
      </c>
      <c r="F9372" s="42">
        <v>46198</v>
      </c>
    </row>
    <row r="9373" spans="1:6" x14ac:dyDescent="0.3">
      <c r="A9373" s="15" t="s">
        <v>40212</v>
      </c>
      <c r="B9373" s="15" t="s">
        <v>16903</v>
      </c>
      <c r="C9373" s="15" t="s">
        <v>800</v>
      </c>
      <c r="D9373" s="15" t="s">
        <v>16904</v>
      </c>
      <c r="E9373" s="15">
        <v>181.7346</v>
      </c>
      <c r="F9373" s="42">
        <v>46198</v>
      </c>
    </row>
    <row r="9374" spans="1:6" x14ac:dyDescent="0.3">
      <c r="A9374" s="15" t="s">
        <v>33499</v>
      </c>
      <c r="B9374" s="15" t="s">
        <v>795</v>
      </c>
      <c r="C9374" s="15" t="s">
        <v>795</v>
      </c>
      <c r="D9374" s="15" t="s">
        <v>795</v>
      </c>
      <c r="F9374" s="42"/>
    </row>
    <row r="9375" spans="1:6" x14ac:dyDescent="0.3">
      <c r="A9375" s="15" t="s">
        <v>37684</v>
      </c>
      <c r="B9375" s="15" t="s">
        <v>795</v>
      </c>
      <c r="C9375" s="15" t="s">
        <v>795</v>
      </c>
      <c r="D9375" s="15" t="s">
        <v>795</v>
      </c>
      <c r="F9375" s="42"/>
    </row>
    <row r="9376" spans="1:6" x14ac:dyDescent="0.3">
      <c r="A9376" s="15" t="s">
        <v>33499</v>
      </c>
      <c r="B9376" s="15" t="s">
        <v>795</v>
      </c>
      <c r="C9376" s="15" t="s">
        <v>795</v>
      </c>
      <c r="D9376" s="15" t="s">
        <v>795</v>
      </c>
      <c r="F9376" s="42"/>
    </row>
    <row r="9377" spans="1:6" x14ac:dyDescent="0.3">
      <c r="A9377" s="15" t="s">
        <v>40211</v>
      </c>
      <c r="B9377" s="15" t="s">
        <v>16905</v>
      </c>
      <c r="C9377" s="15" t="s">
        <v>800</v>
      </c>
      <c r="D9377" s="15" t="s">
        <v>16906</v>
      </c>
      <c r="E9377" s="15">
        <v>12.1</v>
      </c>
      <c r="F9377" s="42">
        <v>46198</v>
      </c>
    </row>
    <row r="9378" spans="1:6" x14ac:dyDescent="0.3">
      <c r="A9378" s="15" t="s">
        <v>40210</v>
      </c>
      <c r="B9378" s="15" t="s">
        <v>16907</v>
      </c>
      <c r="C9378" s="15" t="s">
        <v>800</v>
      </c>
      <c r="D9378" s="15" t="s">
        <v>16908</v>
      </c>
      <c r="E9378" s="15">
        <v>11.67</v>
      </c>
      <c r="F9378" s="42">
        <v>46198</v>
      </c>
    </row>
    <row r="9379" spans="1:6" x14ac:dyDescent="0.3">
      <c r="A9379" s="15" t="s">
        <v>33499</v>
      </c>
      <c r="B9379" s="15" t="s">
        <v>795</v>
      </c>
      <c r="C9379" s="15" t="s">
        <v>795</v>
      </c>
      <c r="D9379" s="15" t="s">
        <v>795</v>
      </c>
      <c r="F9379" s="42"/>
    </row>
    <row r="9380" spans="1:6" x14ac:dyDescent="0.3">
      <c r="A9380" s="15" t="s">
        <v>40209</v>
      </c>
      <c r="B9380" s="15" t="s">
        <v>795</v>
      </c>
      <c r="C9380" s="15" t="s">
        <v>795</v>
      </c>
      <c r="D9380" s="15" t="s">
        <v>795</v>
      </c>
      <c r="F9380" s="42"/>
    </row>
    <row r="9381" spans="1:6" x14ac:dyDescent="0.3">
      <c r="A9381" s="15" t="s">
        <v>33499</v>
      </c>
      <c r="B9381" s="15" t="s">
        <v>795</v>
      </c>
      <c r="C9381" s="15" t="s">
        <v>795</v>
      </c>
      <c r="D9381" s="15" t="s">
        <v>795</v>
      </c>
      <c r="F9381" s="42"/>
    </row>
    <row r="9382" spans="1:6" x14ac:dyDescent="0.3">
      <c r="A9382" s="15" t="s">
        <v>40208</v>
      </c>
      <c r="B9382" s="15" t="s">
        <v>16909</v>
      </c>
      <c r="C9382" s="15" t="s">
        <v>800</v>
      </c>
      <c r="D9382" s="15" t="s">
        <v>16910</v>
      </c>
      <c r="E9382" s="15">
        <v>12.43</v>
      </c>
      <c r="F9382" s="42">
        <v>46198</v>
      </c>
    </row>
    <row r="9383" spans="1:6" x14ac:dyDescent="0.3">
      <c r="A9383" s="15" t="s">
        <v>40207</v>
      </c>
      <c r="B9383" s="15" t="s">
        <v>16911</v>
      </c>
      <c r="C9383" s="15" t="s">
        <v>800</v>
      </c>
      <c r="D9383" s="15" t="s">
        <v>16912</v>
      </c>
      <c r="E9383" s="15">
        <v>12.13</v>
      </c>
      <c r="F9383" s="42">
        <v>46198</v>
      </c>
    </row>
    <row r="9384" spans="1:6" x14ac:dyDescent="0.3">
      <c r="A9384" s="15" t="s">
        <v>33499</v>
      </c>
      <c r="B9384" s="15" t="s">
        <v>795</v>
      </c>
      <c r="C9384" s="15" t="s">
        <v>795</v>
      </c>
      <c r="D9384" s="15" t="s">
        <v>795</v>
      </c>
      <c r="F9384" s="42"/>
    </row>
    <row r="9385" spans="1:6" x14ac:dyDescent="0.3">
      <c r="A9385" s="15" t="s">
        <v>33636</v>
      </c>
      <c r="B9385" s="15" t="s">
        <v>795</v>
      </c>
      <c r="C9385" s="15" t="s">
        <v>795</v>
      </c>
      <c r="D9385" s="15" t="s">
        <v>795</v>
      </c>
      <c r="F9385" s="42"/>
    </row>
    <row r="9386" spans="1:6" x14ac:dyDescent="0.3">
      <c r="A9386" s="15" t="s">
        <v>33499</v>
      </c>
      <c r="B9386" s="15" t="s">
        <v>795</v>
      </c>
      <c r="C9386" s="15" t="s">
        <v>795</v>
      </c>
      <c r="D9386" s="15" t="s">
        <v>795</v>
      </c>
      <c r="F9386" s="42"/>
    </row>
    <row r="9387" spans="1:6" x14ac:dyDescent="0.3">
      <c r="A9387" s="15" t="s">
        <v>40206</v>
      </c>
      <c r="B9387" s="15" t="s">
        <v>16913</v>
      </c>
      <c r="C9387" s="15" t="s">
        <v>16914</v>
      </c>
      <c r="D9387" s="15" t="s">
        <v>16915</v>
      </c>
      <c r="E9387" s="15">
        <v>42.120600000000003</v>
      </c>
      <c r="F9387" s="42">
        <v>46198</v>
      </c>
    </row>
    <row r="9388" spans="1:6" x14ac:dyDescent="0.3">
      <c r="A9388" s="15" t="s">
        <v>40205</v>
      </c>
      <c r="B9388" s="15" t="s">
        <v>16916</v>
      </c>
      <c r="C9388" s="15" t="s">
        <v>800</v>
      </c>
      <c r="D9388" s="15" t="s">
        <v>16917</v>
      </c>
      <c r="E9388" s="15">
        <v>73.929900000000004</v>
      </c>
      <c r="F9388" s="42">
        <v>46198</v>
      </c>
    </row>
    <row r="9389" spans="1:6" x14ac:dyDescent="0.3">
      <c r="A9389" s="15" t="s">
        <v>40204</v>
      </c>
      <c r="B9389" s="15" t="s">
        <v>16918</v>
      </c>
      <c r="C9389" s="15" t="s">
        <v>16919</v>
      </c>
      <c r="D9389" s="15" t="s">
        <v>16920</v>
      </c>
      <c r="E9389" s="15">
        <v>33.195500000000003</v>
      </c>
      <c r="F9389" s="42">
        <v>46198</v>
      </c>
    </row>
    <row r="9390" spans="1:6" x14ac:dyDescent="0.3">
      <c r="A9390" s="15" t="s">
        <v>40203</v>
      </c>
      <c r="B9390" s="15" t="s">
        <v>16921</v>
      </c>
      <c r="C9390" s="15" t="s">
        <v>16922</v>
      </c>
      <c r="D9390" s="15" t="s">
        <v>16923</v>
      </c>
      <c r="E9390" s="15">
        <v>35.116100000000003</v>
      </c>
      <c r="F9390" s="42">
        <v>46198</v>
      </c>
    </row>
    <row r="9391" spans="1:6" x14ac:dyDescent="0.3">
      <c r="A9391" s="15" t="s">
        <v>40202</v>
      </c>
      <c r="B9391" s="15" t="s">
        <v>16924</v>
      </c>
      <c r="C9391" s="15" t="s">
        <v>16925</v>
      </c>
      <c r="D9391" s="15" t="s">
        <v>16926</v>
      </c>
      <c r="E9391" s="15">
        <v>37.4238</v>
      </c>
      <c r="F9391" s="42">
        <v>46198</v>
      </c>
    </row>
    <row r="9392" spans="1:6" x14ac:dyDescent="0.3">
      <c r="A9392" s="15" t="s">
        <v>40201</v>
      </c>
      <c r="B9392" s="15" t="s">
        <v>16927</v>
      </c>
      <c r="C9392" s="15" t="s">
        <v>800</v>
      </c>
      <c r="D9392" s="15" t="s">
        <v>16928</v>
      </c>
      <c r="E9392" s="15">
        <v>66.180400000000006</v>
      </c>
      <c r="F9392" s="42">
        <v>46198</v>
      </c>
    </row>
    <row r="9393" spans="1:6" x14ac:dyDescent="0.3">
      <c r="A9393" s="15" t="s">
        <v>40200</v>
      </c>
      <c r="B9393" s="15" t="s">
        <v>16929</v>
      </c>
      <c r="C9393" s="15" t="s">
        <v>16930</v>
      </c>
      <c r="D9393" s="15" t="s">
        <v>16931</v>
      </c>
      <c r="E9393" s="15">
        <v>29.5932</v>
      </c>
      <c r="F9393" s="42">
        <v>46198</v>
      </c>
    </row>
    <row r="9394" spans="1:6" x14ac:dyDescent="0.3">
      <c r="A9394" s="15" t="s">
        <v>40199</v>
      </c>
      <c r="B9394" s="15" t="s">
        <v>16932</v>
      </c>
      <c r="C9394" s="15" t="s">
        <v>16933</v>
      </c>
      <c r="D9394" s="15" t="s">
        <v>16934</v>
      </c>
      <c r="E9394" s="15">
        <v>29.564399999999999</v>
      </c>
      <c r="F9394" s="42">
        <v>46198</v>
      </c>
    </row>
    <row r="9395" spans="1:6" x14ac:dyDescent="0.3">
      <c r="A9395" s="15" t="s">
        <v>33499</v>
      </c>
      <c r="B9395" s="15" t="s">
        <v>795</v>
      </c>
      <c r="C9395" s="15" t="s">
        <v>795</v>
      </c>
      <c r="D9395" s="15" t="s">
        <v>795</v>
      </c>
      <c r="F9395" s="42"/>
    </row>
    <row r="9396" spans="1:6" x14ac:dyDescent="0.3">
      <c r="A9396" s="15" t="s">
        <v>37664</v>
      </c>
      <c r="B9396" s="15" t="s">
        <v>795</v>
      </c>
      <c r="C9396" s="15" t="s">
        <v>795</v>
      </c>
      <c r="D9396" s="15" t="s">
        <v>795</v>
      </c>
      <c r="F9396" s="42"/>
    </row>
    <row r="9397" spans="1:6" x14ac:dyDescent="0.3">
      <c r="A9397" s="15" t="s">
        <v>33499</v>
      </c>
      <c r="B9397" s="15" t="s">
        <v>795</v>
      </c>
      <c r="C9397" s="15" t="s">
        <v>795</v>
      </c>
      <c r="D9397" s="15" t="s">
        <v>795</v>
      </c>
      <c r="F9397" s="42"/>
    </row>
    <row r="9398" spans="1:6" x14ac:dyDescent="0.3">
      <c r="A9398" s="15" t="s">
        <v>40198</v>
      </c>
      <c r="B9398" s="15" t="s">
        <v>16935</v>
      </c>
      <c r="C9398" s="15" t="s">
        <v>800</v>
      </c>
      <c r="D9398" s="15" t="s">
        <v>16936</v>
      </c>
      <c r="E9398" s="15">
        <v>13.651300000000001</v>
      </c>
      <c r="F9398" s="42">
        <v>46198</v>
      </c>
    </row>
    <row r="9399" spans="1:6" x14ac:dyDescent="0.3">
      <c r="A9399" s="15" t="s">
        <v>40197</v>
      </c>
      <c r="B9399" s="15" t="s">
        <v>16937</v>
      </c>
      <c r="C9399" s="15" t="s">
        <v>800</v>
      </c>
      <c r="D9399" s="15" t="s">
        <v>16938</v>
      </c>
      <c r="E9399" s="15">
        <v>12.9825</v>
      </c>
      <c r="F9399" s="42">
        <v>46198</v>
      </c>
    </row>
    <row r="9400" spans="1:6" x14ac:dyDescent="0.3">
      <c r="A9400" s="15" t="s">
        <v>33499</v>
      </c>
      <c r="B9400" s="15" t="s">
        <v>795</v>
      </c>
      <c r="C9400" s="15" t="s">
        <v>795</v>
      </c>
      <c r="D9400" s="15" t="s">
        <v>795</v>
      </c>
      <c r="F9400" s="42"/>
    </row>
    <row r="9401" spans="1:6" x14ac:dyDescent="0.3">
      <c r="A9401" s="15" t="s">
        <v>37414</v>
      </c>
      <c r="B9401" s="15" t="s">
        <v>795</v>
      </c>
      <c r="C9401" s="15" t="s">
        <v>795</v>
      </c>
      <c r="D9401" s="15" t="s">
        <v>795</v>
      </c>
      <c r="F9401" s="42"/>
    </row>
    <row r="9402" spans="1:6" x14ac:dyDescent="0.3">
      <c r="A9402" s="15" t="s">
        <v>33499</v>
      </c>
      <c r="B9402" s="15" t="s">
        <v>795</v>
      </c>
      <c r="C9402" s="15" t="s">
        <v>795</v>
      </c>
      <c r="D9402" s="15" t="s">
        <v>795</v>
      </c>
      <c r="F9402" s="42"/>
    </row>
    <row r="9403" spans="1:6" x14ac:dyDescent="0.3">
      <c r="A9403" s="15" t="s">
        <v>40196</v>
      </c>
      <c r="B9403" s="15" t="s">
        <v>16939</v>
      </c>
      <c r="C9403" s="15" t="s">
        <v>800</v>
      </c>
      <c r="D9403" s="15" t="s">
        <v>16940</v>
      </c>
      <c r="E9403" s="15">
        <v>13.466900000000001</v>
      </c>
      <c r="F9403" s="42">
        <v>46198</v>
      </c>
    </row>
    <row r="9404" spans="1:6" x14ac:dyDescent="0.3">
      <c r="A9404" s="15" t="s">
        <v>40195</v>
      </c>
      <c r="B9404" s="15" t="s">
        <v>16941</v>
      </c>
      <c r="C9404" s="15" t="s">
        <v>800</v>
      </c>
      <c r="D9404" s="15" t="s">
        <v>16942</v>
      </c>
      <c r="E9404" s="15">
        <v>13.466900000000001</v>
      </c>
      <c r="F9404" s="42">
        <v>46198</v>
      </c>
    </row>
    <row r="9405" spans="1:6" x14ac:dyDescent="0.3">
      <c r="A9405" s="15" t="s">
        <v>40194</v>
      </c>
      <c r="B9405" s="15" t="s">
        <v>800</v>
      </c>
      <c r="C9405" s="15" t="s">
        <v>16943</v>
      </c>
      <c r="D9405" s="15" t="s">
        <v>16944</v>
      </c>
      <c r="E9405" s="15">
        <v>13.466900000000001</v>
      </c>
      <c r="F9405" s="42">
        <v>46198</v>
      </c>
    </row>
    <row r="9406" spans="1:6" x14ac:dyDescent="0.3">
      <c r="A9406" s="15" t="s">
        <v>40193</v>
      </c>
      <c r="B9406" s="15" t="s">
        <v>16945</v>
      </c>
      <c r="C9406" s="15" t="s">
        <v>800</v>
      </c>
      <c r="D9406" s="15" t="s">
        <v>16946</v>
      </c>
      <c r="E9406" s="15">
        <v>12.9825</v>
      </c>
      <c r="F9406" s="42">
        <v>46198</v>
      </c>
    </row>
    <row r="9407" spans="1:6" x14ac:dyDescent="0.3">
      <c r="A9407" s="15" t="s">
        <v>40192</v>
      </c>
      <c r="B9407" s="15" t="s">
        <v>16947</v>
      </c>
      <c r="C9407" s="15" t="s">
        <v>800</v>
      </c>
      <c r="D9407" s="15" t="s">
        <v>16948</v>
      </c>
      <c r="E9407" s="15">
        <v>12.9825</v>
      </c>
      <c r="F9407" s="42">
        <v>46198</v>
      </c>
    </row>
    <row r="9408" spans="1:6" x14ac:dyDescent="0.3">
      <c r="A9408" s="15" t="s">
        <v>40191</v>
      </c>
      <c r="B9408" s="15" t="s">
        <v>800</v>
      </c>
      <c r="C9408" s="15" t="s">
        <v>16949</v>
      </c>
      <c r="D9408" s="15" t="s">
        <v>16950</v>
      </c>
      <c r="E9408" s="15">
        <v>12.9825</v>
      </c>
      <c r="F9408" s="42">
        <v>46198</v>
      </c>
    </row>
    <row r="9409" spans="1:6" x14ac:dyDescent="0.3">
      <c r="A9409" s="15" t="s">
        <v>33499</v>
      </c>
      <c r="B9409" s="15" t="s">
        <v>795</v>
      </c>
      <c r="C9409" s="15" t="s">
        <v>795</v>
      </c>
      <c r="D9409" s="15" t="s">
        <v>795</v>
      </c>
      <c r="F9409" s="42"/>
    </row>
    <row r="9410" spans="1:6" x14ac:dyDescent="0.3">
      <c r="A9410" s="15" t="s">
        <v>33519</v>
      </c>
      <c r="B9410" s="15" t="s">
        <v>795</v>
      </c>
      <c r="C9410" s="15" t="s">
        <v>795</v>
      </c>
      <c r="D9410" s="15" t="s">
        <v>795</v>
      </c>
      <c r="F9410" s="42"/>
    </row>
    <row r="9411" spans="1:6" x14ac:dyDescent="0.3">
      <c r="A9411" s="15" t="s">
        <v>33499</v>
      </c>
      <c r="B9411" s="15" t="s">
        <v>795</v>
      </c>
      <c r="C9411" s="15" t="s">
        <v>795</v>
      </c>
      <c r="D9411" s="15" t="s">
        <v>795</v>
      </c>
      <c r="F9411" s="42"/>
    </row>
    <row r="9412" spans="1:6" x14ac:dyDescent="0.3">
      <c r="A9412" s="15" t="s">
        <v>40190</v>
      </c>
      <c r="B9412" s="15" t="s">
        <v>16951</v>
      </c>
      <c r="C9412" s="15" t="s">
        <v>800</v>
      </c>
      <c r="D9412" s="15" t="s">
        <v>16952</v>
      </c>
      <c r="E9412" s="15">
        <v>28.003499999999999</v>
      </c>
      <c r="F9412" s="42">
        <v>46198</v>
      </c>
    </row>
    <row r="9413" spans="1:6" x14ac:dyDescent="0.3">
      <c r="A9413" s="15" t="s">
        <v>40189</v>
      </c>
      <c r="B9413" s="15" t="s">
        <v>800</v>
      </c>
      <c r="C9413" s="15" t="s">
        <v>16953</v>
      </c>
      <c r="D9413" s="15" t="s">
        <v>16954</v>
      </c>
      <c r="E9413" s="15">
        <v>28.003499999999999</v>
      </c>
      <c r="F9413" s="42">
        <v>46198</v>
      </c>
    </row>
    <row r="9414" spans="1:6" x14ac:dyDescent="0.3">
      <c r="A9414" s="15" t="s">
        <v>40188</v>
      </c>
      <c r="B9414" s="15" t="s">
        <v>16955</v>
      </c>
      <c r="C9414" s="15" t="s">
        <v>800</v>
      </c>
      <c r="D9414" s="15" t="s">
        <v>16956</v>
      </c>
      <c r="E9414" s="15">
        <v>28.003499999999999</v>
      </c>
      <c r="F9414" s="42">
        <v>46198</v>
      </c>
    </row>
    <row r="9415" spans="1:6" x14ac:dyDescent="0.3">
      <c r="A9415" s="15" t="s">
        <v>40187</v>
      </c>
      <c r="B9415" s="15" t="s">
        <v>16957</v>
      </c>
      <c r="C9415" s="15" t="s">
        <v>800</v>
      </c>
      <c r="D9415" s="15" t="s">
        <v>16958</v>
      </c>
      <c r="E9415" s="15">
        <v>25.243400000000001</v>
      </c>
      <c r="F9415" s="42">
        <v>46198</v>
      </c>
    </row>
    <row r="9416" spans="1:6" x14ac:dyDescent="0.3">
      <c r="A9416" s="15" t="s">
        <v>40186</v>
      </c>
      <c r="B9416" s="15" t="s">
        <v>800</v>
      </c>
      <c r="C9416" s="15" t="s">
        <v>16959</v>
      </c>
      <c r="D9416" s="15" t="s">
        <v>16960</v>
      </c>
      <c r="E9416" s="15">
        <v>25.243400000000001</v>
      </c>
      <c r="F9416" s="42">
        <v>46198</v>
      </c>
    </row>
    <row r="9417" spans="1:6" x14ac:dyDescent="0.3">
      <c r="A9417" s="15" t="s">
        <v>40185</v>
      </c>
      <c r="B9417" s="15" t="s">
        <v>16961</v>
      </c>
      <c r="C9417" s="15" t="s">
        <v>800</v>
      </c>
      <c r="D9417" s="15" t="s">
        <v>16962</v>
      </c>
      <c r="E9417" s="15">
        <v>25.243400000000001</v>
      </c>
      <c r="F9417" s="42">
        <v>46198</v>
      </c>
    </row>
    <row r="9418" spans="1:6" x14ac:dyDescent="0.3">
      <c r="A9418" s="15" t="s">
        <v>33499</v>
      </c>
      <c r="B9418" s="15" t="s">
        <v>795</v>
      </c>
      <c r="C9418" s="15" t="s">
        <v>795</v>
      </c>
      <c r="D9418" s="15" t="s">
        <v>795</v>
      </c>
      <c r="F9418" s="42"/>
    </row>
    <row r="9419" spans="1:6" x14ac:dyDescent="0.3">
      <c r="A9419" s="15" t="s">
        <v>39242</v>
      </c>
      <c r="B9419" s="15" t="s">
        <v>795</v>
      </c>
      <c r="C9419" s="15" t="s">
        <v>795</v>
      </c>
      <c r="D9419" s="15" t="s">
        <v>795</v>
      </c>
      <c r="F9419" s="42"/>
    </row>
    <row r="9420" spans="1:6" x14ac:dyDescent="0.3">
      <c r="A9420" s="15" t="s">
        <v>33499</v>
      </c>
      <c r="B9420" s="15" t="s">
        <v>795</v>
      </c>
      <c r="C9420" s="15" t="s">
        <v>795</v>
      </c>
      <c r="D9420" s="15" t="s">
        <v>795</v>
      </c>
      <c r="F9420" s="42"/>
    </row>
    <row r="9421" spans="1:6" x14ac:dyDescent="0.3">
      <c r="A9421" s="15" t="s">
        <v>40184</v>
      </c>
      <c r="B9421" s="15" t="s">
        <v>16963</v>
      </c>
      <c r="C9421" s="15" t="s">
        <v>800</v>
      </c>
      <c r="D9421" s="15" t="s">
        <v>16964</v>
      </c>
      <c r="E9421" s="15">
        <v>10.755699999999999</v>
      </c>
      <c r="F9421" s="42">
        <v>46198</v>
      </c>
    </row>
    <row r="9422" spans="1:6" x14ac:dyDescent="0.3">
      <c r="A9422" s="15" t="s">
        <v>40183</v>
      </c>
      <c r="B9422" s="15" t="s">
        <v>16965</v>
      </c>
      <c r="C9422" s="15" t="s">
        <v>16966</v>
      </c>
      <c r="D9422" s="15" t="s">
        <v>16967</v>
      </c>
      <c r="E9422" s="15">
        <v>10.7544</v>
      </c>
      <c r="F9422" s="42">
        <v>46198</v>
      </c>
    </row>
    <row r="9423" spans="1:6" x14ac:dyDescent="0.3">
      <c r="A9423" s="15" t="s">
        <v>40182</v>
      </c>
      <c r="B9423" s="15" t="s">
        <v>16968</v>
      </c>
      <c r="C9423" s="15" t="s">
        <v>800</v>
      </c>
      <c r="D9423" s="15" t="s">
        <v>16969</v>
      </c>
      <c r="E9423" s="15">
        <v>10.661</v>
      </c>
      <c r="F9423" s="42">
        <v>46198</v>
      </c>
    </row>
    <row r="9424" spans="1:6" x14ac:dyDescent="0.3">
      <c r="A9424" s="15" t="s">
        <v>40181</v>
      </c>
      <c r="B9424" s="15" t="s">
        <v>16970</v>
      </c>
      <c r="C9424" s="15" t="s">
        <v>16971</v>
      </c>
      <c r="D9424" s="15" t="s">
        <v>16972</v>
      </c>
      <c r="E9424" s="15">
        <v>10.652200000000001</v>
      </c>
      <c r="F9424" s="42">
        <v>46198</v>
      </c>
    </row>
    <row r="9425" spans="1:6" x14ac:dyDescent="0.3">
      <c r="A9425" s="15" t="s">
        <v>33499</v>
      </c>
      <c r="B9425" s="15" t="s">
        <v>795</v>
      </c>
      <c r="C9425" s="15" t="s">
        <v>795</v>
      </c>
      <c r="D9425" s="15" t="s">
        <v>795</v>
      </c>
      <c r="F9425" s="42"/>
    </row>
    <row r="9426" spans="1:6" x14ac:dyDescent="0.3">
      <c r="A9426" s="15" t="s">
        <v>33504</v>
      </c>
      <c r="B9426" s="15" t="s">
        <v>795</v>
      </c>
      <c r="C9426" s="15" t="s">
        <v>795</v>
      </c>
      <c r="D9426" s="15" t="s">
        <v>795</v>
      </c>
      <c r="F9426" s="42"/>
    </row>
    <row r="9427" spans="1:6" x14ac:dyDescent="0.3">
      <c r="A9427" s="15" t="s">
        <v>33499</v>
      </c>
      <c r="B9427" s="15" t="s">
        <v>795</v>
      </c>
      <c r="C9427" s="15" t="s">
        <v>795</v>
      </c>
      <c r="D9427" s="15" t="s">
        <v>795</v>
      </c>
      <c r="F9427" s="42"/>
    </row>
    <row r="9428" spans="1:6" x14ac:dyDescent="0.3">
      <c r="A9428" s="15" t="s">
        <v>40180</v>
      </c>
      <c r="B9428" s="15" t="s">
        <v>16973</v>
      </c>
      <c r="C9428" s="15" t="s">
        <v>800</v>
      </c>
      <c r="D9428" s="15" t="s">
        <v>16974</v>
      </c>
      <c r="E9428" s="15">
        <v>12.29</v>
      </c>
      <c r="F9428" s="42">
        <v>46198</v>
      </c>
    </row>
    <row r="9429" spans="1:6" x14ac:dyDescent="0.3">
      <c r="A9429" s="15" t="s">
        <v>40179</v>
      </c>
      <c r="B9429" s="15" t="s">
        <v>16975</v>
      </c>
      <c r="C9429" s="15" t="s">
        <v>16976</v>
      </c>
      <c r="D9429" s="15" t="s">
        <v>16977</v>
      </c>
      <c r="E9429" s="15">
        <v>12.29</v>
      </c>
      <c r="F9429" s="42">
        <v>46198</v>
      </c>
    </row>
    <row r="9430" spans="1:6" x14ac:dyDescent="0.3">
      <c r="A9430" s="15" t="s">
        <v>40178</v>
      </c>
      <c r="B9430" s="15" t="s">
        <v>16978</v>
      </c>
      <c r="C9430" s="15" t="s">
        <v>800</v>
      </c>
      <c r="D9430" s="15" t="s">
        <v>16979</v>
      </c>
      <c r="E9430" s="15">
        <v>12.03</v>
      </c>
      <c r="F9430" s="42">
        <v>46198</v>
      </c>
    </row>
    <row r="9431" spans="1:6" x14ac:dyDescent="0.3">
      <c r="A9431" s="15" t="s">
        <v>40177</v>
      </c>
      <c r="B9431" s="15" t="s">
        <v>16980</v>
      </c>
      <c r="C9431" s="15" t="s">
        <v>16981</v>
      </c>
      <c r="D9431" s="15" t="s">
        <v>16982</v>
      </c>
      <c r="E9431" s="15">
        <v>12.03</v>
      </c>
      <c r="F9431" s="42">
        <v>46198</v>
      </c>
    </row>
    <row r="9432" spans="1:6" x14ac:dyDescent="0.3">
      <c r="A9432" s="15" t="s">
        <v>33499</v>
      </c>
      <c r="B9432" s="15" t="s">
        <v>795</v>
      </c>
      <c r="C9432" s="15" t="s">
        <v>795</v>
      </c>
      <c r="D9432" s="15" t="s">
        <v>795</v>
      </c>
      <c r="F9432" s="42"/>
    </row>
    <row r="9433" spans="1:6" x14ac:dyDescent="0.3">
      <c r="A9433" s="15" t="s">
        <v>33500</v>
      </c>
      <c r="B9433" s="15" t="s">
        <v>795</v>
      </c>
      <c r="C9433" s="15" t="s">
        <v>795</v>
      </c>
      <c r="D9433" s="15" t="s">
        <v>795</v>
      </c>
      <c r="F9433" s="42"/>
    </row>
    <row r="9434" spans="1:6" x14ac:dyDescent="0.3">
      <c r="A9434" s="15" t="s">
        <v>33499</v>
      </c>
      <c r="B9434" s="15" t="s">
        <v>795</v>
      </c>
      <c r="C9434" s="15" t="s">
        <v>795</v>
      </c>
      <c r="D9434" s="15" t="s">
        <v>795</v>
      </c>
      <c r="F9434" s="42"/>
    </row>
    <row r="9435" spans="1:6" x14ac:dyDescent="0.3">
      <c r="A9435" s="15" t="s">
        <v>40176</v>
      </c>
      <c r="B9435" s="15" t="s">
        <v>16983</v>
      </c>
      <c r="C9435" s="15" t="s">
        <v>800</v>
      </c>
      <c r="D9435" s="15" t="s">
        <v>16984</v>
      </c>
      <c r="E9435" s="15">
        <v>86.928200000000004</v>
      </c>
      <c r="F9435" s="42">
        <v>46198</v>
      </c>
    </row>
    <row r="9436" spans="1:6" x14ac:dyDescent="0.3">
      <c r="A9436" s="15" t="s">
        <v>40175</v>
      </c>
      <c r="B9436" s="15" t="s">
        <v>16985</v>
      </c>
      <c r="C9436" s="15" t="s">
        <v>16986</v>
      </c>
      <c r="D9436" s="15" t="s">
        <v>16987</v>
      </c>
      <c r="E9436" s="15">
        <v>34.374899999999997</v>
      </c>
      <c r="F9436" s="42">
        <v>46198</v>
      </c>
    </row>
    <row r="9437" spans="1:6" x14ac:dyDescent="0.3">
      <c r="A9437" s="15" t="s">
        <v>40174</v>
      </c>
      <c r="B9437" s="15" t="s">
        <v>16988</v>
      </c>
      <c r="C9437" s="15" t="s">
        <v>800</v>
      </c>
      <c r="D9437" s="15" t="s">
        <v>16989</v>
      </c>
      <c r="E9437" s="15">
        <v>77.592100000000002</v>
      </c>
      <c r="F9437" s="42">
        <v>46198</v>
      </c>
    </row>
    <row r="9438" spans="1:6" x14ac:dyDescent="0.3">
      <c r="A9438" s="15" t="s">
        <v>40173</v>
      </c>
      <c r="B9438" s="15" t="s">
        <v>16990</v>
      </c>
      <c r="C9438" s="15" t="s">
        <v>16991</v>
      </c>
      <c r="D9438" s="15" t="s">
        <v>16992</v>
      </c>
      <c r="E9438" s="15">
        <v>29.2776</v>
      </c>
      <c r="F9438" s="42">
        <v>46198</v>
      </c>
    </row>
    <row r="9439" spans="1:6" x14ac:dyDescent="0.3">
      <c r="A9439" s="15" t="s">
        <v>33499</v>
      </c>
      <c r="B9439" s="15" t="s">
        <v>795</v>
      </c>
      <c r="C9439" s="15" t="s">
        <v>795</v>
      </c>
      <c r="D9439" s="15" t="s">
        <v>795</v>
      </c>
      <c r="F9439" s="42"/>
    </row>
    <row r="9440" spans="1:6" x14ac:dyDescent="0.3">
      <c r="A9440" s="15" t="s">
        <v>40172</v>
      </c>
      <c r="B9440" s="15" t="s">
        <v>795</v>
      </c>
      <c r="C9440" s="15" t="s">
        <v>795</v>
      </c>
      <c r="D9440" s="15" t="s">
        <v>795</v>
      </c>
      <c r="F9440" s="42"/>
    </row>
    <row r="9441" spans="1:6" x14ac:dyDescent="0.3">
      <c r="A9441" s="15" t="s">
        <v>33499</v>
      </c>
      <c r="B9441" s="15" t="s">
        <v>795</v>
      </c>
      <c r="C9441" s="15" t="s">
        <v>795</v>
      </c>
      <c r="D9441" s="15" t="s">
        <v>795</v>
      </c>
      <c r="F9441" s="42"/>
    </row>
    <row r="9442" spans="1:6" x14ac:dyDescent="0.3">
      <c r="A9442" s="15" t="s">
        <v>40171</v>
      </c>
      <c r="B9442" s="15" t="s">
        <v>16993</v>
      </c>
      <c r="C9442" s="15" t="s">
        <v>800</v>
      </c>
      <c r="D9442" s="15" t="s">
        <v>16994</v>
      </c>
      <c r="E9442" s="15">
        <v>16.187999999999999</v>
      </c>
      <c r="F9442" s="42">
        <v>46198</v>
      </c>
    </row>
    <row r="9443" spans="1:6" x14ac:dyDescent="0.3">
      <c r="A9443" s="15" t="s">
        <v>40170</v>
      </c>
      <c r="B9443" s="15" t="s">
        <v>16995</v>
      </c>
      <c r="C9443" s="15" t="s">
        <v>800</v>
      </c>
      <c r="D9443" s="15" t="s">
        <v>16996</v>
      </c>
      <c r="E9443" s="15">
        <v>15.602</v>
      </c>
      <c r="F9443" s="42">
        <v>46198</v>
      </c>
    </row>
    <row r="9444" spans="1:6" x14ac:dyDescent="0.3">
      <c r="A9444" s="15" t="s">
        <v>33499</v>
      </c>
      <c r="B9444" s="15" t="s">
        <v>795</v>
      </c>
      <c r="C9444" s="15" t="s">
        <v>795</v>
      </c>
      <c r="D9444" s="15" t="s">
        <v>795</v>
      </c>
      <c r="F9444" s="42"/>
    </row>
    <row r="9445" spans="1:6" x14ac:dyDescent="0.3">
      <c r="A9445" s="15" t="s">
        <v>40169</v>
      </c>
      <c r="B9445" s="15" t="s">
        <v>795</v>
      </c>
      <c r="C9445" s="15" t="s">
        <v>795</v>
      </c>
      <c r="D9445" s="15" t="s">
        <v>795</v>
      </c>
      <c r="F9445" s="42"/>
    </row>
    <row r="9446" spans="1:6" x14ac:dyDescent="0.3">
      <c r="A9446" s="15" t="s">
        <v>33499</v>
      </c>
      <c r="B9446" s="15" t="s">
        <v>795</v>
      </c>
      <c r="C9446" s="15" t="s">
        <v>795</v>
      </c>
      <c r="D9446" s="15" t="s">
        <v>795</v>
      </c>
      <c r="F9446" s="42"/>
    </row>
    <row r="9447" spans="1:6" x14ac:dyDescent="0.3">
      <c r="A9447" s="15" t="s">
        <v>36764</v>
      </c>
      <c r="B9447" s="15" t="s">
        <v>795</v>
      </c>
      <c r="C9447" s="15" t="s">
        <v>795</v>
      </c>
      <c r="D9447" s="15" t="s">
        <v>795</v>
      </c>
      <c r="F9447" s="42"/>
    </row>
    <row r="9448" spans="1:6" x14ac:dyDescent="0.3">
      <c r="A9448" s="15" t="s">
        <v>33499</v>
      </c>
      <c r="B9448" s="15" t="s">
        <v>795</v>
      </c>
      <c r="C9448" s="15" t="s">
        <v>795</v>
      </c>
      <c r="D9448" s="15" t="s">
        <v>795</v>
      </c>
      <c r="F9448" s="42"/>
    </row>
    <row r="9449" spans="1:6" x14ac:dyDescent="0.3">
      <c r="A9449" s="15" t="s">
        <v>40168</v>
      </c>
      <c r="B9449" s="15" t="s">
        <v>16997</v>
      </c>
      <c r="C9449" s="15" t="s">
        <v>16998</v>
      </c>
      <c r="D9449" s="15" t="s">
        <v>16999</v>
      </c>
      <c r="E9449" s="15">
        <v>15.0425</v>
      </c>
      <c r="F9449" s="42">
        <v>42650</v>
      </c>
    </row>
    <row r="9450" spans="1:6" x14ac:dyDescent="0.3">
      <c r="A9450" s="15" t="s">
        <v>40167</v>
      </c>
      <c r="B9450" s="15" t="s">
        <v>17000</v>
      </c>
      <c r="C9450" s="15" t="s">
        <v>800</v>
      </c>
      <c r="D9450" s="15" t="s">
        <v>17001</v>
      </c>
      <c r="E9450" s="15">
        <v>23.963100000000001</v>
      </c>
      <c r="F9450" s="42">
        <v>42650</v>
      </c>
    </row>
    <row r="9451" spans="1:6" x14ac:dyDescent="0.3">
      <c r="A9451" s="15" t="s">
        <v>40166</v>
      </c>
      <c r="B9451" s="15" t="s">
        <v>17002</v>
      </c>
      <c r="C9451" s="15" t="s">
        <v>17003</v>
      </c>
      <c r="D9451" s="15" t="s">
        <v>17004</v>
      </c>
      <c r="E9451" s="15">
        <v>10.266</v>
      </c>
      <c r="F9451" s="42">
        <v>42650</v>
      </c>
    </row>
    <row r="9452" spans="1:6" x14ac:dyDescent="0.3">
      <c r="A9452" s="15" t="s">
        <v>40165</v>
      </c>
      <c r="B9452" s="15" t="s">
        <v>17005</v>
      </c>
      <c r="C9452" s="15" t="s">
        <v>800</v>
      </c>
      <c r="D9452" s="15" t="s">
        <v>17006</v>
      </c>
      <c r="E9452" s="15">
        <v>12.492599999999999</v>
      </c>
      <c r="F9452" s="42">
        <v>42650</v>
      </c>
    </row>
    <row r="9453" spans="1:6" x14ac:dyDescent="0.3">
      <c r="A9453" s="15" t="s">
        <v>40164</v>
      </c>
      <c r="B9453" s="15" t="s">
        <v>17007</v>
      </c>
      <c r="C9453" s="15" t="s">
        <v>17008</v>
      </c>
      <c r="D9453" s="15" t="s">
        <v>17009</v>
      </c>
      <c r="E9453" s="15">
        <v>17.7362</v>
      </c>
      <c r="F9453" s="42">
        <v>42650</v>
      </c>
    </row>
    <row r="9454" spans="1:6" x14ac:dyDescent="0.3">
      <c r="A9454" s="15" t="s">
        <v>40163</v>
      </c>
      <c r="B9454" s="15" t="s">
        <v>17010</v>
      </c>
      <c r="C9454" s="15" t="s">
        <v>800</v>
      </c>
      <c r="D9454" s="15" t="s">
        <v>17011</v>
      </c>
      <c r="E9454" s="15">
        <v>24.0808</v>
      </c>
      <c r="F9454" s="42">
        <v>42650</v>
      </c>
    </row>
    <row r="9455" spans="1:6" x14ac:dyDescent="0.3">
      <c r="A9455" s="15" t="s">
        <v>40162</v>
      </c>
      <c r="B9455" s="15" t="s">
        <v>17012</v>
      </c>
      <c r="C9455" s="15" t="s">
        <v>17013</v>
      </c>
      <c r="D9455" s="15" t="s">
        <v>17014</v>
      </c>
      <c r="E9455" s="15">
        <v>10.3063</v>
      </c>
      <c r="F9455" s="42">
        <v>42650</v>
      </c>
    </row>
    <row r="9456" spans="1:6" x14ac:dyDescent="0.3">
      <c r="A9456" s="15" t="s">
        <v>40161</v>
      </c>
      <c r="B9456" s="15" t="s">
        <v>17015</v>
      </c>
      <c r="C9456" s="15" t="s">
        <v>17016</v>
      </c>
      <c r="D9456" s="15" t="s">
        <v>17017</v>
      </c>
      <c r="E9456" s="15">
        <v>10.0227</v>
      </c>
      <c r="F9456" s="42">
        <v>41908</v>
      </c>
    </row>
    <row r="9457" spans="1:6" x14ac:dyDescent="0.3">
      <c r="A9457" s="15" t="s">
        <v>40160</v>
      </c>
      <c r="B9457" s="15" t="s">
        <v>17018</v>
      </c>
      <c r="C9457" s="15" t="s">
        <v>17019</v>
      </c>
      <c r="D9457" s="15" t="s">
        <v>17020</v>
      </c>
      <c r="E9457" s="15">
        <v>10.7</v>
      </c>
      <c r="F9457" s="42">
        <v>42650</v>
      </c>
    </row>
    <row r="9458" spans="1:6" x14ac:dyDescent="0.3">
      <c r="A9458" s="15" t="s">
        <v>40159</v>
      </c>
      <c r="B9458" s="15" t="s">
        <v>17021</v>
      </c>
      <c r="C9458" s="15" t="s">
        <v>17022</v>
      </c>
      <c r="D9458" s="15" t="s">
        <v>17023</v>
      </c>
      <c r="E9458" s="15">
        <v>10.366099999999999</v>
      </c>
      <c r="F9458" s="42">
        <v>42650</v>
      </c>
    </row>
    <row r="9459" spans="1:6" x14ac:dyDescent="0.3">
      <c r="A9459" s="15" t="s">
        <v>40158</v>
      </c>
      <c r="B9459" s="15" t="s">
        <v>17024</v>
      </c>
      <c r="C9459" s="15" t="s">
        <v>800</v>
      </c>
      <c r="D9459" s="15" t="s">
        <v>17025</v>
      </c>
      <c r="E9459" s="15">
        <v>11.9703</v>
      </c>
      <c r="F9459" s="42">
        <v>42650</v>
      </c>
    </row>
    <row r="9460" spans="1:6" x14ac:dyDescent="0.3">
      <c r="A9460" s="15" t="s">
        <v>40157</v>
      </c>
      <c r="B9460" s="15" t="s">
        <v>17026</v>
      </c>
      <c r="C9460" s="15" t="s">
        <v>800</v>
      </c>
      <c r="D9460" s="15" t="s">
        <v>17027</v>
      </c>
      <c r="E9460" s="15">
        <v>12.032</v>
      </c>
      <c r="F9460" s="42">
        <v>42650</v>
      </c>
    </row>
    <row r="9461" spans="1:6" x14ac:dyDescent="0.3">
      <c r="A9461" s="15" t="s">
        <v>40156</v>
      </c>
      <c r="B9461" s="15" t="s">
        <v>17028</v>
      </c>
      <c r="C9461" s="15" t="s">
        <v>800</v>
      </c>
      <c r="D9461" s="15" t="s">
        <v>17029</v>
      </c>
      <c r="E9461" s="15">
        <v>69.612200000000001</v>
      </c>
      <c r="F9461" s="42">
        <v>43245</v>
      </c>
    </row>
    <row r="9462" spans="1:6" x14ac:dyDescent="0.3">
      <c r="A9462" s="15" t="s">
        <v>40155</v>
      </c>
      <c r="B9462" s="15" t="s">
        <v>17030</v>
      </c>
      <c r="C9462" s="15" t="s">
        <v>800</v>
      </c>
      <c r="D9462" s="15" t="s">
        <v>17031</v>
      </c>
      <c r="E9462" s="15">
        <v>72.424300000000002</v>
      </c>
      <c r="F9462" s="42">
        <v>43245</v>
      </c>
    </row>
    <row r="9463" spans="1:6" x14ac:dyDescent="0.3">
      <c r="A9463" s="15" t="s">
        <v>40154</v>
      </c>
      <c r="B9463" s="15" t="s">
        <v>17032</v>
      </c>
      <c r="C9463" s="15" t="s">
        <v>17033</v>
      </c>
      <c r="D9463" s="15" t="s">
        <v>17034</v>
      </c>
      <c r="E9463" s="15">
        <v>10.648400000000001</v>
      </c>
      <c r="F9463" s="42">
        <v>43245</v>
      </c>
    </row>
    <row r="9464" spans="1:6" x14ac:dyDescent="0.3">
      <c r="A9464" s="15" t="s">
        <v>40153</v>
      </c>
      <c r="B9464" s="15" t="s">
        <v>17035</v>
      </c>
      <c r="C9464" s="15" t="s">
        <v>800</v>
      </c>
      <c r="D9464" s="15" t="s">
        <v>17036</v>
      </c>
      <c r="E9464" s="15">
        <v>19.698399999999999</v>
      </c>
      <c r="F9464" s="42">
        <v>43245</v>
      </c>
    </row>
    <row r="9465" spans="1:6" x14ac:dyDescent="0.3">
      <c r="A9465" s="15" t="s">
        <v>40152</v>
      </c>
      <c r="B9465" s="15" t="s">
        <v>17037</v>
      </c>
      <c r="C9465" s="15" t="s">
        <v>800</v>
      </c>
      <c r="D9465" s="15" t="s">
        <v>17038</v>
      </c>
      <c r="E9465" s="15">
        <v>10.017099999999999</v>
      </c>
      <c r="F9465" s="42">
        <v>43245</v>
      </c>
    </row>
    <row r="9466" spans="1:6" x14ac:dyDescent="0.3">
      <c r="A9466" s="15" t="s">
        <v>40151</v>
      </c>
      <c r="B9466" s="15" t="s">
        <v>17039</v>
      </c>
      <c r="C9466" s="15" t="s">
        <v>800</v>
      </c>
      <c r="D9466" s="15" t="s">
        <v>17040</v>
      </c>
      <c r="E9466" s="15">
        <v>10.5669</v>
      </c>
      <c r="F9466" s="42">
        <v>43245</v>
      </c>
    </row>
    <row r="9467" spans="1:6" x14ac:dyDescent="0.3">
      <c r="A9467" s="15" t="s">
        <v>40150</v>
      </c>
      <c r="B9467" s="15" t="s">
        <v>17041</v>
      </c>
      <c r="C9467" s="15" t="s">
        <v>800</v>
      </c>
      <c r="D9467" s="15" t="s">
        <v>17042</v>
      </c>
      <c r="E9467" s="15">
        <v>20.425000000000001</v>
      </c>
      <c r="F9467" s="42">
        <v>43245</v>
      </c>
    </row>
    <row r="9468" spans="1:6" x14ac:dyDescent="0.3">
      <c r="A9468" s="15" t="s">
        <v>40149</v>
      </c>
      <c r="B9468" s="15" t="s">
        <v>17043</v>
      </c>
      <c r="C9468" s="15" t="s">
        <v>17044</v>
      </c>
      <c r="D9468" s="15" t="s">
        <v>17045</v>
      </c>
      <c r="E9468" s="15">
        <v>10.212899999999999</v>
      </c>
      <c r="F9468" s="42">
        <v>43245</v>
      </c>
    </row>
    <row r="9469" spans="1:6" x14ac:dyDescent="0.3">
      <c r="A9469" s="15" t="s">
        <v>40148</v>
      </c>
      <c r="B9469" s="15" t="s">
        <v>17046</v>
      </c>
      <c r="C9469" s="15" t="s">
        <v>17047</v>
      </c>
      <c r="D9469" s="15" t="s">
        <v>17048</v>
      </c>
      <c r="E9469" s="15">
        <v>10.4618</v>
      </c>
      <c r="F9469" s="42">
        <v>43245</v>
      </c>
    </row>
    <row r="9470" spans="1:6" x14ac:dyDescent="0.3">
      <c r="A9470" s="15" t="s">
        <v>40147</v>
      </c>
      <c r="B9470" s="15" t="s">
        <v>17049</v>
      </c>
      <c r="C9470" s="15" t="s">
        <v>17050</v>
      </c>
      <c r="D9470" s="15" t="s">
        <v>17051</v>
      </c>
      <c r="E9470" s="15">
        <v>10.616400000000001</v>
      </c>
      <c r="F9470" s="42">
        <v>43245</v>
      </c>
    </row>
    <row r="9471" spans="1:6" x14ac:dyDescent="0.3">
      <c r="A9471" s="15" t="s">
        <v>40146</v>
      </c>
      <c r="B9471" s="15" t="s">
        <v>17052</v>
      </c>
      <c r="C9471" s="15" t="s">
        <v>800</v>
      </c>
      <c r="D9471" s="15" t="s">
        <v>17053</v>
      </c>
      <c r="E9471" s="15">
        <v>20.23</v>
      </c>
      <c r="F9471" s="42">
        <v>43245</v>
      </c>
    </row>
    <row r="9472" spans="1:6" x14ac:dyDescent="0.3">
      <c r="A9472" s="15" t="s">
        <v>40145</v>
      </c>
      <c r="B9472" s="15" t="s">
        <v>17054</v>
      </c>
      <c r="C9472" s="15" t="s">
        <v>17055</v>
      </c>
      <c r="D9472" s="15" t="s">
        <v>17056</v>
      </c>
      <c r="E9472" s="15">
        <v>10.4779</v>
      </c>
      <c r="F9472" s="42">
        <v>43245</v>
      </c>
    </row>
    <row r="9473" spans="1:6" x14ac:dyDescent="0.3">
      <c r="A9473" s="15" t="s">
        <v>40144</v>
      </c>
      <c r="B9473" s="15" t="s">
        <v>17057</v>
      </c>
      <c r="C9473" s="15" t="s">
        <v>800</v>
      </c>
      <c r="D9473" s="15" t="s">
        <v>17058</v>
      </c>
      <c r="E9473" s="15">
        <v>19.698499999999999</v>
      </c>
      <c r="F9473" s="42">
        <v>43245</v>
      </c>
    </row>
    <row r="9474" spans="1:6" x14ac:dyDescent="0.3">
      <c r="A9474" s="15" t="s">
        <v>40143</v>
      </c>
      <c r="B9474" s="15" t="s">
        <v>17059</v>
      </c>
      <c r="C9474" s="15" t="s">
        <v>17060</v>
      </c>
      <c r="D9474" s="15" t="s">
        <v>17061</v>
      </c>
      <c r="E9474" s="15">
        <v>10.238799999999999</v>
      </c>
      <c r="F9474" s="42">
        <v>43245</v>
      </c>
    </row>
    <row r="9475" spans="1:6" x14ac:dyDescent="0.3">
      <c r="A9475" s="15" t="s">
        <v>40142</v>
      </c>
      <c r="B9475" s="15" t="s">
        <v>17062</v>
      </c>
      <c r="C9475" s="15" t="s">
        <v>17063</v>
      </c>
      <c r="D9475" s="15" t="s">
        <v>17064</v>
      </c>
      <c r="E9475" s="15">
        <v>10.9656</v>
      </c>
      <c r="F9475" s="42">
        <v>43245</v>
      </c>
    </row>
    <row r="9476" spans="1:6" x14ac:dyDescent="0.3">
      <c r="A9476" s="15" t="s">
        <v>40141</v>
      </c>
      <c r="B9476" s="15" t="s">
        <v>17065</v>
      </c>
      <c r="C9476" s="15" t="s">
        <v>800</v>
      </c>
      <c r="D9476" s="15" t="s">
        <v>17066</v>
      </c>
      <c r="E9476" s="15">
        <v>20.763200000000001</v>
      </c>
      <c r="F9476" s="42">
        <v>43245</v>
      </c>
    </row>
    <row r="9477" spans="1:6" x14ac:dyDescent="0.3">
      <c r="A9477" s="15" t="s">
        <v>40140</v>
      </c>
      <c r="B9477" s="15" t="s">
        <v>17067</v>
      </c>
      <c r="C9477" s="15" t="s">
        <v>17068</v>
      </c>
      <c r="D9477" s="15" t="s">
        <v>17069</v>
      </c>
      <c r="E9477" s="15">
        <v>10.407999999999999</v>
      </c>
      <c r="F9477" s="42">
        <v>43245</v>
      </c>
    </row>
    <row r="9478" spans="1:6" x14ac:dyDescent="0.3">
      <c r="A9478" s="15" t="s">
        <v>40139</v>
      </c>
      <c r="B9478" s="15" t="s">
        <v>17070</v>
      </c>
      <c r="C9478" s="15" t="s">
        <v>800</v>
      </c>
      <c r="D9478" s="15" t="s">
        <v>17071</v>
      </c>
      <c r="E9478" s="15">
        <v>10.789400000000001</v>
      </c>
      <c r="F9478" s="42">
        <v>43004</v>
      </c>
    </row>
    <row r="9479" spans="1:6" x14ac:dyDescent="0.3">
      <c r="A9479" s="15" t="s">
        <v>40138</v>
      </c>
      <c r="B9479" s="15" t="s">
        <v>17072</v>
      </c>
      <c r="C9479" s="15" t="s">
        <v>800</v>
      </c>
      <c r="D9479" s="15" t="s">
        <v>17073</v>
      </c>
      <c r="E9479" s="15">
        <v>22.503499999999999</v>
      </c>
      <c r="F9479" s="42">
        <v>43004</v>
      </c>
    </row>
    <row r="9480" spans="1:6" x14ac:dyDescent="0.3">
      <c r="A9480" s="15" t="s">
        <v>40137</v>
      </c>
      <c r="B9480" s="15" t="s">
        <v>17074</v>
      </c>
      <c r="C9480" s="15" t="s">
        <v>800</v>
      </c>
      <c r="D9480" s="15" t="s">
        <v>17075</v>
      </c>
      <c r="E9480" s="15">
        <v>12.628</v>
      </c>
      <c r="F9480" s="42">
        <v>43004</v>
      </c>
    </row>
    <row r="9481" spans="1:6" x14ac:dyDescent="0.3">
      <c r="A9481" s="15" t="s">
        <v>40136</v>
      </c>
      <c r="B9481" s="15" t="s">
        <v>17076</v>
      </c>
      <c r="C9481" s="15" t="s">
        <v>800</v>
      </c>
      <c r="D9481" s="15" t="s">
        <v>17077</v>
      </c>
      <c r="E9481" s="15">
        <v>17.983000000000001</v>
      </c>
      <c r="F9481" s="42">
        <v>43004</v>
      </c>
    </row>
    <row r="9482" spans="1:6" x14ac:dyDescent="0.3">
      <c r="A9482" s="15" t="s">
        <v>40135</v>
      </c>
      <c r="B9482" s="15" t="s">
        <v>17078</v>
      </c>
      <c r="C9482" s="15" t="s">
        <v>800</v>
      </c>
      <c r="D9482" s="15" t="s">
        <v>17079</v>
      </c>
      <c r="E9482" s="15">
        <v>18.013100000000001</v>
      </c>
      <c r="F9482" s="42">
        <v>43004</v>
      </c>
    </row>
    <row r="9483" spans="1:6" x14ac:dyDescent="0.3">
      <c r="A9483" s="15" t="s">
        <v>40134</v>
      </c>
      <c r="B9483" s="15" t="s">
        <v>17080</v>
      </c>
      <c r="C9483" s="15" t="s">
        <v>800</v>
      </c>
      <c r="D9483" s="15" t="s">
        <v>17081</v>
      </c>
      <c r="E9483" s="15">
        <v>10.8172</v>
      </c>
      <c r="F9483" s="42">
        <v>43004</v>
      </c>
    </row>
    <row r="9484" spans="1:6" x14ac:dyDescent="0.3">
      <c r="A9484" s="15" t="s">
        <v>40133</v>
      </c>
      <c r="B9484" s="15" t="s">
        <v>17082</v>
      </c>
      <c r="C9484" s="15" t="s">
        <v>800</v>
      </c>
      <c r="D9484" s="15" t="s">
        <v>17083</v>
      </c>
      <c r="E9484" s="15">
        <v>11.988300000000001</v>
      </c>
      <c r="F9484" s="42">
        <v>43053</v>
      </c>
    </row>
    <row r="9485" spans="1:6" x14ac:dyDescent="0.3">
      <c r="A9485" s="15" t="s">
        <v>40132</v>
      </c>
      <c r="B9485" s="15" t="s">
        <v>17084</v>
      </c>
      <c r="C9485" s="15" t="s">
        <v>800</v>
      </c>
      <c r="D9485" s="15" t="s">
        <v>17085</v>
      </c>
      <c r="E9485" s="15">
        <v>22.649699999999999</v>
      </c>
      <c r="F9485" s="42">
        <v>43053</v>
      </c>
    </row>
    <row r="9486" spans="1:6" x14ac:dyDescent="0.3">
      <c r="A9486" s="15" t="s">
        <v>40131</v>
      </c>
      <c r="B9486" s="15" t="s">
        <v>17086</v>
      </c>
      <c r="C9486" s="15" t="s">
        <v>800</v>
      </c>
      <c r="D9486" s="15" t="s">
        <v>17087</v>
      </c>
      <c r="E9486" s="15">
        <v>23.444900000000001</v>
      </c>
      <c r="F9486" s="42">
        <v>43053</v>
      </c>
    </row>
    <row r="9487" spans="1:6" x14ac:dyDescent="0.3">
      <c r="A9487" s="15" t="s">
        <v>40130</v>
      </c>
      <c r="B9487" s="15" t="s">
        <v>17088</v>
      </c>
      <c r="C9487" s="15" t="s">
        <v>800</v>
      </c>
      <c r="D9487" s="15" t="s">
        <v>17089</v>
      </c>
      <c r="E9487" s="15">
        <v>11.854900000000001</v>
      </c>
      <c r="F9487" s="42">
        <v>41568</v>
      </c>
    </row>
    <row r="9488" spans="1:6" x14ac:dyDescent="0.3">
      <c r="A9488" s="15" t="s">
        <v>40129</v>
      </c>
      <c r="B9488" s="15" t="s">
        <v>17090</v>
      </c>
      <c r="C9488" s="15" t="s">
        <v>800</v>
      </c>
      <c r="D9488" s="15" t="s">
        <v>17091</v>
      </c>
      <c r="E9488" s="15">
        <v>23.362200000000001</v>
      </c>
      <c r="F9488" s="42">
        <v>43053</v>
      </c>
    </row>
    <row r="9489" spans="1:6" x14ac:dyDescent="0.3">
      <c r="A9489" s="15" t="s">
        <v>40128</v>
      </c>
      <c r="B9489" s="15" t="s">
        <v>17092</v>
      </c>
      <c r="C9489" s="15" t="s">
        <v>800</v>
      </c>
      <c r="D9489" s="15" t="s">
        <v>17093</v>
      </c>
      <c r="E9489" s="15">
        <v>11.7874</v>
      </c>
      <c r="F9489" s="42">
        <v>43060</v>
      </c>
    </row>
    <row r="9490" spans="1:6" x14ac:dyDescent="0.3">
      <c r="A9490" s="15" t="s">
        <v>40127</v>
      </c>
      <c r="B9490" s="15" t="s">
        <v>17094</v>
      </c>
      <c r="C9490" s="15" t="s">
        <v>800</v>
      </c>
      <c r="D9490" s="15" t="s">
        <v>17095</v>
      </c>
      <c r="E9490" s="15">
        <v>21.8977</v>
      </c>
      <c r="F9490" s="42">
        <v>43060</v>
      </c>
    </row>
    <row r="9491" spans="1:6" x14ac:dyDescent="0.3">
      <c r="A9491" s="15" t="s">
        <v>40126</v>
      </c>
      <c r="B9491" s="15" t="s">
        <v>17096</v>
      </c>
      <c r="C9491" s="15" t="s">
        <v>800</v>
      </c>
      <c r="D9491" s="15" t="s">
        <v>17097</v>
      </c>
      <c r="E9491" s="15">
        <v>17.797799999999999</v>
      </c>
      <c r="F9491" s="42">
        <v>43060</v>
      </c>
    </row>
    <row r="9492" spans="1:6" x14ac:dyDescent="0.3">
      <c r="A9492" s="15" t="s">
        <v>40125</v>
      </c>
      <c r="B9492" s="15" t="s">
        <v>17098</v>
      </c>
      <c r="C9492" s="15" t="s">
        <v>800</v>
      </c>
      <c r="D9492" s="15" t="s">
        <v>17099</v>
      </c>
      <c r="E9492" s="15">
        <v>10.8352</v>
      </c>
      <c r="F9492" s="42">
        <v>41576</v>
      </c>
    </row>
    <row r="9493" spans="1:6" x14ac:dyDescent="0.3">
      <c r="A9493" s="15" t="s">
        <v>40124</v>
      </c>
      <c r="B9493" s="15" t="s">
        <v>17100</v>
      </c>
      <c r="C9493" s="15" t="s">
        <v>800</v>
      </c>
      <c r="D9493" s="15" t="s">
        <v>17101</v>
      </c>
      <c r="E9493" s="15">
        <v>17.749500000000001</v>
      </c>
      <c r="F9493" s="42">
        <v>43060</v>
      </c>
    </row>
    <row r="9494" spans="1:6" x14ac:dyDescent="0.3">
      <c r="A9494" s="15" t="s">
        <v>40123</v>
      </c>
      <c r="B9494" s="15" t="s">
        <v>17102</v>
      </c>
      <c r="C9494" s="15" t="s">
        <v>800</v>
      </c>
      <c r="D9494" s="15" t="s">
        <v>17103</v>
      </c>
      <c r="E9494" s="15">
        <v>11.6845</v>
      </c>
      <c r="F9494" s="42">
        <v>43074</v>
      </c>
    </row>
    <row r="9495" spans="1:6" x14ac:dyDescent="0.3">
      <c r="A9495" s="15" t="s">
        <v>40122</v>
      </c>
      <c r="B9495" s="15" t="s">
        <v>17104</v>
      </c>
      <c r="C9495" s="15" t="s">
        <v>800</v>
      </c>
      <c r="D9495" s="15" t="s">
        <v>17105</v>
      </c>
      <c r="E9495" s="15">
        <v>21.7637</v>
      </c>
      <c r="F9495" s="42">
        <v>43074</v>
      </c>
    </row>
    <row r="9496" spans="1:6" x14ac:dyDescent="0.3">
      <c r="A9496" s="15" t="s">
        <v>40121</v>
      </c>
      <c r="B9496" s="15" t="s">
        <v>17106</v>
      </c>
      <c r="C9496" s="15" t="s">
        <v>800</v>
      </c>
      <c r="D9496" s="15" t="s">
        <v>17107</v>
      </c>
      <c r="E9496" s="15">
        <v>11.770799999999999</v>
      </c>
      <c r="F9496" s="42">
        <v>41960</v>
      </c>
    </row>
    <row r="9497" spans="1:6" x14ac:dyDescent="0.3">
      <c r="A9497" s="15" t="s">
        <v>40120</v>
      </c>
      <c r="B9497" s="15" t="s">
        <v>17108</v>
      </c>
      <c r="C9497" s="15" t="s">
        <v>800</v>
      </c>
      <c r="D9497" s="15" t="s">
        <v>17109</v>
      </c>
      <c r="E9497" s="15">
        <v>20.4818</v>
      </c>
      <c r="F9497" s="42">
        <v>43074</v>
      </c>
    </row>
    <row r="9498" spans="1:6" x14ac:dyDescent="0.3">
      <c r="A9498" s="15" t="s">
        <v>40119</v>
      </c>
      <c r="B9498" s="15" t="s">
        <v>17110</v>
      </c>
      <c r="C9498" s="15" t="s">
        <v>800</v>
      </c>
      <c r="D9498" s="15" t="s">
        <v>17111</v>
      </c>
      <c r="E9498" s="15">
        <v>20.408799999999999</v>
      </c>
      <c r="F9498" s="42">
        <v>43074</v>
      </c>
    </row>
    <row r="9499" spans="1:6" x14ac:dyDescent="0.3">
      <c r="A9499" s="15" t="s">
        <v>40118</v>
      </c>
      <c r="B9499" s="15" t="s">
        <v>17112</v>
      </c>
      <c r="C9499" s="15" t="s">
        <v>800</v>
      </c>
      <c r="D9499" s="15" t="s">
        <v>17113</v>
      </c>
      <c r="E9499" s="15">
        <v>10.0016</v>
      </c>
      <c r="F9499" s="42">
        <v>42976</v>
      </c>
    </row>
    <row r="9500" spans="1:6" x14ac:dyDescent="0.3">
      <c r="A9500" s="15" t="s">
        <v>40117</v>
      </c>
      <c r="B9500" s="15" t="s">
        <v>17114</v>
      </c>
      <c r="C9500" s="15" t="s">
        <v>800</v>
      </c>
      <c r="D9500" s="15" t="s">
        <v>17115</v>
      </c>
      <c r="E9500" s="15">
        <v>21.1844</v>
      </c>
      <c r="F9500" s="42">
        <v>42976</v>
      </c>
    </row>
    <row r="9501" spans="1:6" x14ac:dyDescent="0.3">
      <c r="A9501" s="15" t="s">
        <v>40116</v>
      </c>
      <c r="B9501" s="15" t="s">
        <v>17116</v>
      </c>
      <c r="C9501" s="15" t="s">
        <v>800</v>
      </c>
      <c r="D9501" s="15" t="s">
        <v>17117</v>
      </c>
      <c r="E9501" s="15">
        <v>10.0692</v>
      </c>
      <c r="F9501" s="42">
        <v>41820</v>
      </c>
    </row>
    <row r="9502" spans="1:6" x14ac:dyDescent="0.3">
      <c r="A9502" s="15" t="s">
        <v>40115</v>
      </c>
      <c r="B9502" s="15" t="s">
        <v>17118</v>
      </c>
      <c r="C9502" s="15" t="s">
        <v>800</v>
      </c>
      <c r="D9502" s="15" t="s">
        <v>17119</v>
      </c>
      <c r="E9502" s="15">
        <v>13.4735</v>
      </c>
      <c r="F9502" s="42">
        <v>42976</v>
      </c>
    </row>
    <row r="9503" spans="1:6" x14ac:dyDescent="0.3">
      <c r="A9503" s="15" t="s">
        <v>40114</v>
      </c>
      <c r="B9503" s="15" t="s">
        <v>17120</v>
      </c>
      <c r="C9503" s="15" t="s">
        <v>17121</v>
      </c>
      <c r="D9503" s="15" t="s">
        <v>17122</v>
      </c>
      <c r="E9503" s="15">
        <v>10.0015</v>
      </c>
      <c r="F9503" s="42">
        <v>42976</v>
      </c>
    </row>
    <row r="9504" spans="1:6" x14ac:dyDescent="0.3">
      <c r="A9504" s="15" t="s">
        <v>40113</v>
      </c>
      <c r="B9504" s="15" t="s">
        <v>17123</v>
      </c>
      <c r="C9504" s="15" t="s">
        <v>800</v>
      </c>
      <c r="D9504" s="15" t="s">
        <v>17124</v>
      </c>
      <c r="E9504" s="15">
        <v>13.463699999999999</v>
      </c>
      <c r="F9504" s="42">
        <v>42976</v>
      </c>
    </row>
    <row r="9505" spans="1:6" x14ac:dyDescent="0.3">
      <c r="A9505" s="15" t="s">
        <v>40112</v>
      </c>
      <c r="B9505" s="15" t="s">
        <v>17125</v>
      </c>
      <c r="C9505" s="15" t="s">
        <v>800</v>
      </c>
      <c r="D9505" s="15" t="s">
        <v>17126</v>
      </c>
      <c r="E9505" s="15">
        <v>10.0025</v>
      </c>
      <c r="F9505" s="42">
        <v>42998</v>
      </c>
    </row>
    <row r="9506" spans="1:6" x14ac:dyDescent="0.3">
      <c r="A9506" s="15" t="s">
        <v>40111</v>
      </c>
      <c r="B9506" s="15" t="s">
        <v>17127</v>
      </c>
      <c r="C9506" s="15" t="s">
        <v>800</v>
      </c>
      <c r="D9506" s="15" t="s">
        <v>17128</v>
      </c>
      <c r="E9506" s="15">
        <v>21.9999</v>
      </c>
      <c r="F9506" s="42">
        <v>42998</v>
      </c>
    </row>
    <row r="9507" spans="1:6" x14ac:dyDescent="0.3">
      <c r="A9507" s="15" t="s">
        <v>40110</v>
      </c>
      <c r="B9507" s="15" t="s">
        <v>17129</v>
      </c>
      <c r="C9507" s="15" t="s">
        <v>800</v>
      </c>
      <c r="D9507" s="15" t="s">
        <v>17130</v>
      </c>
      <c r="E9507" s="15">
        <v>10.0022</v>
      </c>
      <c r="F9507" s="42">
        <v>41886</v>
      </c>
    </row>
    <row r="9508" spans="1:6" x14ac:dyDescent="0.3">
      <c r="A9508" s="15" t="s">
        <v>40109</v>
      </c>
      <c r="B9508" s="15" t="s">
        <v>17131</v>
      </c>
      <c r="C9508" s="15" t="s">
        <v>800</v>
      </c>
      <c r="D9508" s="15" t="s">
        <v>17132</v>
      </c>
      <c r="E9508" s="15">
        <v>17.621099999999998</v>
      </c>
      <c r="F9508" s="42">
        <v>42998</v>
      </c>
    </row>
    <row r="9509" spans="1:6" x14ac:dyDescent="0.3">
      <c r="A9509" s="15" t="s">
        <v>40108</v>
      </c>
      <c r="B9509" s="15" t="s">
        <v>17133</v>
      </c>
      <c r="C9509" s="15" t="s">
        <v>800</v>
      </c>
      <c r="D9509" s="15" t="s">
        <v>17134</v>
      </c>
      <c r="E9509" s="15">
        <v>10.0017</v>
      </c>
      <c r="F9509" s="42">
        <v>42998</v>
      </c>
    </row>
    <row r="9510" spans="1:6" x14ac:dyDescent="0.3">
      <c r="A9510" s="15" t="s">
        <v>40107</v>
      </c>
      <c r="B9510" s="15" t="s">
        <v>17135</v>
      </c>
      <c r="C9510" s="15" t="s">
        <v>800</v>
      </c>
      <c r="D9510" s="15" t="s">
        <v>17136</v>
      </c>
      <c r="E9510" s="15">
        <v>17.5944</v>
      </c>
      <c r="F9510" s="42">
        <v>42998</v>
      </c>
    </row>
    <row r="9511" spans="1:6" x14ac:dyDescent="0.3">
      <c r="A9511" s="15" t="s">
        <v>40106</v>
      </c>
      <c r="B9511" s="15" t="s">
        <v>17137</v>
      </c>
      <c r="C9511" s="15" t="s">
        <v>17138</v>
      </c>
      <c r="D9511" s="15" t="s">
        <v>17139</v>
      </c>
      <c r="E9511" s="15">
        <v>10.0017</v>
      </c>
      <c r="F9511" s="42">
        <v>42998</v>
      </c>
    </row>
    <row r="9512" spans="1:6" x14ac:dyDescent="0.3">
      <c r="A9512" s="15" t="s">
        <v>40105</v>
      </c>
      <c r="B9512" s="15" t="s">
        <v>17140</v>
      </c>
      <c r="C9512" s="15" t="s">
        <v>800</v>
      </c>
      <c r="D9512" s="15" t="s">
        <v>17141</v>
      </c>
      <c r="E9512" s="15">
        <v>10.0023</v>
      </c>
      <c r="F9512" s="42">
        <v>41794</v>
      </c>
    </row>
    <row r="9513" spans="1:6" x14ac:dyDescent="0.3">
      <c r="A9513" s="15" t="s">
        <v>40104</v>
      </c>
      <c r="B9513" s="15" t="s">
        <v>17142</v>
      </c>
      <c r="C9513" s="15" t="s">
        <v>800</v>
      </c>
      <c r="D9513" s="15" t="s">
        <v>17143</v>
      </c>
      <c r="E9513" s="15">
        <v>10.027100000000001</v>
      </c>
      <c r="F9513" s="42">
        <v>43032</v>
      </c>
    </row>
    <row r="9514" spans="1:6" x14ac:dyDescent="0.3">
      <c r="A9514" s="15" t="s">
        <v>40103</v>
      </c>
      <c r="B9514" s="15" t="s">
        <v>17144</v>
      </c>
      <c r="C9514" s="15" t="s">
        <v>800</v>
      </c>
      <c r="D9514" s="15" t="s">
        <v>17145</v>
      </c>
      <c r="E9514" s="15">
        <v>22.029599999999999</v>
      </c>
      <c r="F9514" s="42">
        <v>43032</v>
      </c>
    </row>
    <row r="9515" spans="1:6" x14ac:dyDescent="0.3">
      <c r="A9515" s="15" t="s">
        <v>40102</v>
      </c>
      <c r="B9515" s="15" t="s">
        <v>17146</v>
      </c>
      <c r="C9515" s="15" t="s">
        <v>800</v>
      </c>
      <c r="D9515" s="15" t="s">
        <v>17147</v>
      </c>
      <c r="E9515" s="15">
        <v>20.051300000000001</v>
      </c>
      <c r="F9515" s="42">
        <v>43032</v>
      </c>
    </row>
    <row r="9516" spans="1:6" x14ac:dyDescent="0.3">
      <c r="A9516" s="15" t="s">
        <v>40101</v>
      </c>
      <c r="B9516" s="15" t="s">
        <v>17148</v>
      </c>
      <c r="C9516" s="15" t="s">
        <v>17149</v>
      </c>
      <c r="D9516" s="15" t="s">
        <v>17150</v>
      </c>
      <c r="E9516" s="15">
        <v>10.001300000000001</v>
      </c>
      <c r="F9516" s="42">
        <v>43032</v>
      </c>
    </row>
    <row r="9517" spans="1:6" x14ac:dyDescent="0.3">
      <c r="A9517" s="15" t="s">
        <v>40100</v>
      </c>
      <c r="B9517" s="15" t="s">
        <v>17151</v>
      </c>
      <c r="C9517" s="15" t="s">
        <v>800</v>
      </c>
      <c r="D9517" s="15" t="s">
        <v>17152</v>
      </c>
      <c r="E9517" s="15">
        <v>19.9985</v>
      </c>
      <c r="F9517" s="42">
        <v>43032</v>
      </c>
    </row>
    <row r="9518" spans="1:6" x14ac:dyDescent="0.3">
      <c r="A9518" s="15" t="s">
        <v>40099</v>
      </c>
      <c r="B9518" s="15" t="s">
        <v>17153</v>
      </c>
      <c r="C9518" s="15" t="s">
        <v>800</v>
      </c>
      <c r="D9518" s="15" t="s">
        <v>17154</v>
      </c>
      <c r="E9518" s="15">
        <v>10.0085</v>
      </c>
      <c r="F9518" s="42">
        <v>42975</v>
      </c>
    </row>
    <row r="9519" spans="1:6" x14ac:dyDescent="0.3">
      <c r="A9519" s="15" t="s">
        <v>40098</v>
      </c>
      <c r="B9519" s="15" t="s">
        <v>17155</v>
      </c>
      <c r="C9519" s="15" t="s">
        <v>800</v>
      </c>
      <c r="D9519" s="15" t="s">
        <v>17156</v>
      </c>
      <c r="E9519" s="15">
        <v>10.0083</v>
      </c>
      <c r="F9519" s="42">
        <v>42975</v>
      </c>
    </row>
    <row r="9520" spans="1:6" x14ac:dyDescent="0.3">
      <c r="A9520" s="15" t="s">
        <v>40097</v>
      </c>
      <c r="B9520" s="15" t="s">
        <v>17157</v>
      </c>
      <c r="C9520" s="15" t="s">
        <v>800</v>
      </c>
      <c r="D9520" s="15" t="s">
        <v>17158</v>
      </c>
      <c r="E9520" s="15">
        <v>20.7912</v>
      </c>
      <c r="F9520" s="42">
        <v>42975</v>
      </c>
    </row>
    <row r="9521" spans="1:6" x14ac:dyDescent="0.3">
      <c r="A9521" s="15" t="s">
        <v>40096</v>
      </c>
      <c r="B9521" s="15" t="s">
        <v>17159</v>
      </c>
      <c r="C9521" s="15" t="s">
        <v>800</v>
      </c>
      <c r="D9521" s="15" t="s">
        <v>17160</v>
      </c>
      <c r="E9521" s="15">
        <v>10.1854</v>
      </c>
      <c r="F9521" s="42">
        <v>42975</v>
      </c>
    </row>
    <row r="9522" spans="1:6" x14ac:dyDescent="0.3">
      <c r="A9522" s="15" t="s">
        <v>40095</v>
      </c>
      <c r="B9522" s="15" t="s">
        <v>17161</v>
      </c>
      <c r="C9522" s="15" t="s">
        <v>800</v>
      </c>
      <c r="D9522" s="15" t="s">
        <v>17162</v>
      </c>
      <c r="E9522" s="15">
        <v>17.5014</v>
      </c>
      <c r="F9522" s="42">
        <v>42975</v>
      </c>
    </row>
    <row r="9523" spans="1:6" x14ac:dyDescent="0.3">
      <c r="A9523" s="15" t="s">
        <v>40094</v>
      </c>
      <c r="B9523" s="15" t="s">
        <v>17163</v>
      </c>
      <c r="C9523" s="15" t="s">
        <v>17164</v>
      </c>
      <c r="D9523" s="15" t="s">
        <v>17165</v>
      </c>
      <c r="E9523" s="15">
        <v>10.0061</v>
      </c>
      <c r="F9523" s="42">
        <v>42788</v>
      </c>
    </row>
    <row r="9524" spans="1:6" x14ac:dyDescent="0.3">
      <c r="A9524" s="15" t="s">
        <v>40093</v>
      </c>
      <c r="B9524" s="15" t="s">
        <v>17166</v>
      </c>
      <c r="C9524" s="15" t="s">
        <v>800</v>
      </c>
      <c r="D9524" s="15" t="s">
        <v>17167</v>
      </c>
      <c r="E9524" s="15">
        <v>17.4312</v>
      </c>
      <c r="F9524" s="42">
        <v>42975</v>
      </c>
    </row>
    <row r="9525" spans="1:6" x14ac:dyDescent="0.3">
      <c r="A9525" s="15" t="s">
        <v>40092</v>
      </c>
      <c r="B9525" s="15" t="s">
        <v>17168</v>
      </c>
      <c r="C9525" s="15" t="s">
        <v>800</v>
      </c>
      <c r="D9525" s="15" t="s">
        <v>17169</v>
      </c>
      <c r="E9525" s="15">
        <v>13.9619</v>
      </c>
      <c r="F9525" s="42">
        <v>42809</v>
      </c>
    </row>
    <row r="9526" spans="1:6" x14ac:dyDescent="0.3">
      <c r="A9526" s="15" t="s">
        <v>40091</v>
      </c>
      <c r="B9526" s="15" t="s">
        <v>17170</v>
      </c>
      <c r="C9526" s="15" t="s">
        <v>800</v>
      </c>
      <c r="D9526" s="15" t="s">
        <v>17171</v>
      </c>
      <c r="E9526" s="15">
        <v>13.9796</v>
      </c>
      <c r="F9526" s="42">
        <v>42809</v>
      </c>
    </row>
    <row r="9527" spans="1:6" x14ac:dyDescent="0.3">
      <c r="A9527" s="15" t="s">
        <v>40090</v>
      </c>
      <c r="B9527" s="15" t="s">
        <v>17172</v>
      </c>
      <c r="C9527" s="15" t="s">
        <v>800</v>
      </c>
      <c r="D9527" s="15" t="s">
        <v>17173</v>
      </c>
      <c r="E9527" s="15">
        <v>10.9291</v>
      </c>
      <c r="F9527" s="42">
        <v>41695</v>
      </c>
    </row>
    <row r="9528" spans="1:6" x14ac:dyDescent="0.3">
      <c r="A9528" s="15" t="s">
        <v>40089</v>
      </c>
      <c r="B9528" s="15" t="s">
        <v>17174</v>
      </c>
      <c r="C9528" s="15" t="s">
        <v>800</v>
      </c>
      <c r="D9528" s="15" t="s">
        <v>17175</v>
      </c>
      <c r="E9528" s="15">
        <v>14.942299999999999</v>
      </c>
      <c r="F9528" s="42">
        <v>43199</v>
      </c>
    </row>
    <row r="9529" spans="1:6" x14ac:dyDescent="0.3">
      <c r="A9529" s="15" t="s">
        <v>40088</v>
      </c>
      <c r="B9529" s="15" t="s">
        <v>17176</v>
      </c>
      <c r="C9529" s="15" t="s">
        <v>800</v>
      </c>
      <c r="D9529" s="15" t="s">
        <v>17177</v>
      </c>
      <c r="E9529" s="15">
        <v>14.983499999999999</v>
      </c>
      <c r="F9529" s="42">
        <v>43199</v>
      </c>
    </row>
    <row r="9530" spans="1:6" x14ac:dyDescent="0.3">
      <c r="A9530" s="15" t="s">
        <v>40087</v>
      </c>
      <c r="B9530" s="15" t="s">
        <v>17178</v>
      </c>
      <c r="C9530" s="15" t="s">
        <v>800</v>
      </c>
      <c r="D9530" s="15" t="s">
        <v>17179</v>
      </c>
      <c r="E9530" s="15">
        <v>14.9023</v>
      </c>
      <c r="F9530" s="42">
        <v>43200</v>
      </c>
    </row>
    <row r="9531" spans="1:6" x14ac:dyDescent="0.3">
      <c r="A9531" s="15" t="s">
        <v>40086</v>
      </c>
      <c r="B9531" s="15" t="s">
        <v>17180</v>
      </c>
      <c r="C9531" s="15" t="s">
        <v>800</v>
      </c>
      <c r="D9531" s="15" t="s">
        <v>17181</v>
      </c>
      <c r="E9531" s="15">
        <v>14.945399999999999</v>
      </c>
      <c r="F9531" s="42">
        <v>43200</v>
      </c>
    </row>
    <row r="9532" spans="1:6" x14ac:dyDescent="0.3">
      <c r="A9532" s="15" t="s">
        <v>40085</v>
      </c>
      <c r="B9532" s="15" t="s">
        <v>17182</v>
      </c>
      <c r="C9532" s="15" t="s">
        <v>800</v>
      </c>
      <c r="D9532" s="15" t="s">
        <v>17183</v>
      </c>
      <c r="E9532" s="15">
        <v>10.441000000000001</v>
      </c>
      <c r="F9532" s="42">
        <v>42086</v>
      </c>
    </row>
    <row r="9533" spans="1:6" x14ac:dyDescent="0.3">
      <c r="A9533" s="15" t="s">
        <v>40084</v>
      </c>
      <c r="B9533" s="15" t="s">
        <v>17184</v>
      </c>
      <c r="C9533" s="15" t="s">
        <v>800</v>
      </c>
      <c r="D9533" s="15" t="s">
        <v>17185</v>
      </c>
      <c r="E9533" s="15">
        <v>13.773999999999999</v>
      </c>
      <c r="F9533" s="42">
        <v>43172</v>
      </c>
    </row>
    <row r="9534" spans="1:6" x14ac:dyDescent="0.3">
      <c r="A9534" s="15" t="s">
        <v>40083</v>
      </c>
      <c r="B9534" s="15" t="s">
        <v>17186</v>
      </c>
      <c r="C9534" s="15" t="s">
        <v>800</v>
      </c>
      <c r="D9534" s="15" t="s">
        <v>17187</v>
      </c>
      <c r="E9534" s="15">
        <v>13.7979</v>
      </c>
      <c r="F9534" s="42">
        <v>43172</v>
      </c>
    </row>
    <row r="9535" spans="1:6" x14ac:dyDescent="0.3">
      <c r="A9535" s="15" t="s">
        <v>40082</v>
      </c>
      <c r="B9535" s="15" t="s">
        <v>17188</v>
      </c>
      <c r="C9535" s="15" t="s">
        <v>800</v>
      </c>
      <c r="D9535" s="15" t="s">
        <v>17189</v>
      </c>
      <c r="E9535" s="15">
        <v>10.865399999999999</v>
      </c>
      <c r="F9535" s="42">
        <v>42429</v>
      </c>
    </row>
    <row r="9536" spans="1:6" x14ac:dyDescent="0.3">
      <c r="A9536" s="15" t="s">
        <v>40081</v>
      </c>
      <c r="B9536" s="15" t="s">
        <v>17190</v>
      </c>
      <c r="C9536" s="15" t="s">
        <v>800</v>
      </c>
      <c r="D9536" s="15" t="s">
        <v>17191</v>
      </c>
      <c r="E9536" s="15">
        <v>10.2479</v>
      </c>
      <c r="F9536" s="42">
        <v>41774</v>
      </c>
    </row>
    <row r="9537" spans="1:6" x14ac:dyDescent="0.3">
      <c r="A9537" s="15" t="s">
        <v>40080</v>
      </c>
      <c r="B9537" s="15" t="s">
        <v>17192</v>
      </c>
      <c r="C9537" s="15" t="s">
        <v>800</v>
      </c>
      <c r="D9537" s="15" t="s">
        <v>17193</v>
      </c>
      <c r="E9537" s="15">
        <v>10.0016</v>
      </c>
      <c r="F9537" s="42">
        <v>42983</v>
      </c>
    </row>
    <row r="9538" spans="1:6" x14ac:dyDescent="0.3">
      <c r="A9538" s="15" t="s">
        <v>40079</v>
      </c>
      <c r="B9538" s="15" t="s">
        <v>17194</v>
      </c>
      <c r="C9538" s="15" t="s">
        <v>800</v>
      </c>
      <c r="D9538" s="15" t="s">
        <v>17195</v>
      </c>
      <c r="E9538" s="15">
        <v>21.191700000000001</v>
      </c>
      <c r="F9538" s="42">
        <v>42983</v>
      </c>
    </row>
    <row r="9539" spans="1:6" x14ac:dyDescent="0.3">
      <c r="A9539" s="15" t="s">
        <v>40078</v>
      </c>
      <c r="B9539" s="15" t="s">
        <v>17196</v>
      </c>
      <c r="C9539" s="15" t="s">
        <v>800</v>
      </c>
      <c r="D9539" s="15" t="s">
        <v>17197</v>
      </c>
      <c r="E9539" s="15">
        <v>10.0015</v>
      </c>
      <c r="F9539" s="42">
        <v>42983</v>
      </c>
    </row>
    <row r="9540" spans="1:6" x14ac:dyDescent="0.3">
      <c r="A9540" s="15" t="s">
        <v>40077</v>
      </c>
      <c r="B9540" s="15" t="s">
        <v>17198</v>
      </c>
      <c r="C9540" s="15" t="s">
        <v>800</v>
      </c>
      <c r="D9540" s="15" t="s">
        <v>17199</v>
      </c>
      <c r="E9540" s="15">
        <v>10.0016</v>
      </c>
      <c r="F9540" s="42">
        <v>42983</v>
      </c>
    </row>
    <row r="9541" spans="1:6" x14ac:dyDescent="0.3">
      <c r="A9541" s="15" t="s">
        <v>40076</v>
      </c>
      <c r="B9541" s="15" t="s">
        <v>17200</v>
      </c>
      <c r="C9541" s="15" t="s">
        <v>800</v>
      </c>
      <c r="D9541" s="15" t="s">
        <v>17201</v>
      </c>
      <c r="E9541" s="15">
        <v>13.6172</v>
      </c>
      <c r="F9541" s="42">
        <v>42983</v>
      </c>
    </row>
    <row r="9542" spans="1:6" x14ac:dyDescent="0.3">
      <c r="A9542" s="15" t="s">
        <v>40075</v>
      </c>
      <c r="B9542" s="15" t="s">
        <v>17202</v>
      </c>
      <c r="C9542" s="15" t="s">
        <v>17203</v>
      </c>
      <c r="D9542" s="15" t="s">
        <v>17204</v>
      </c>
      <c r="E9542" s="15">
        <v>10.0017</v>
      </c>
      <c r="F9542" s="42">
        <v>42983</v>
      </c>
    </row>
    <row r="9543" spans="1:6" x14ac:dyDescent="0.3">
      <c r="A9543" s="15" t="s">
        <v>40074</v>
      </c>
      <c r="B9543" s="15" t="s">
        <v>17205</v>
      </c>
      <c r="C9543" s="15" t="s">
        <v>800</v>
      </c>
      <c r="D9543" s="15" t="s">
        <v>17206</v>
      </c>
      <c r="E9543" s="15">
        <v>13.6425</v>
      </c>
      <c r="F9543" s="42">
        <v>42983</v>
      </c>
    </row>
    <row r="9544" spans="1:6" x14ac:dyDescent="0.3">
      <c r="A9544" s="15" t="s">
        <v>40073</v>
      </c>
      <c r="B9544" s="15" t="s">
        <v>17207</v>
      </c>
      <c r="C9544" s="15" t="s">
        <v>800</v>
      </c>
      <c r="D9544" s="15" t="s">
        <v>17208</v>
      </c>
      <c r="E9544" s="15">
        <v>10.224</v>
      </c>
      <c r="F9544" s="42">
        <v>41870</v>
      </c>
    </row>
    <row r="9545" spans="1:6" x14ac:dyDescent="0.3">
      <c r="A9545" s="15" t="s">
        <v>40072</v>
      </c>
      <c r="B9545" s="15" t="s">
        <v>17209</v>
      </c>
      <c r="C9545" s="15" t="s">
        <v>800</v>
      </c>
      <c r="D9545" s="15" t="s">
        <v>17210</v>
      </c>
      <c r="E9545" s="15">
        <v>10.0124</v>
      </c>
      <c r="F9545" s="42">
        <v>42992</v>
      </c>
    </row>
    <row r="9546" spans="1:6" x14ac:dyDescent="0.3">
      <c r="A9546" s="15" t="s">
        <v>40071</v>
      </c>
      <c r="B9546" s="15" t="s">
        <v>17211</v>
      </c>
      <c r="C9546" s="15" t="s">
        <v>800</v>
      </c>
      <c r="D9546" s="15" t="s">
        <v>17212</v>
      </c>
      <c r="E9546" s="15">
        <v>20.9682</v>
      </c>
      <c r="F9546" s="42">
        <v>42992</v>
      </c>
    </row>
    <row r="9547" spans="1:6" x14ac:dyDescent="0.3">
      <c r="A9547" s="15" t="s">
        <v>40070</v>
      </c>
      <c r="B9547" s="15" t="s">
        <v>17213</v>
      </c>
      <c r="C9547" s="15" t="s">
        <v>800</v>
      </c>
      <c r="D9547" s="15" t="s">
        <v>17214</v>
      </c>
      <c r="E9547" s="15">
        <v>10.005100000000001</v>
      </c>
      <c r="F9547" s="42">
        <v>42992</v>
      </c>
    </row>
    <row r="9548" spans="1:6" x14ac:dyDescent="0.3">
      <c r="A9548" s="15" t="s">
        <v>40069</v>
      </c>
      <c r="B9548" s="15" t="s">
        <v>17215</v>
      </c>
      <c r="C9548" s="15" t="s">
        <v>800</v>
      </c>
      <c r="D9548" s="15" t="s">
        <v>17216</v>
      </c>
      <c r="E9548" s="15">
        <v>14.181900000000001</v>
      </c>
      <c r="F9548" s="42">
        <v>42992</v>
      </c>
    </row>
    <row r="9549" spans="1:6" x14ac:dyDescent="0.3">
      <c r="A9549" s="15" t="s">
        <v>40068</v>
      </c>
      <c r="B9549" s="15" t="s">
        <v>17217</v>
      </c>
      <c r="C9549" s="15" t="s">
        <v>17218</v>
      </c>
      <c r="D9549" s="15" t="s">
        <v>17219</v>
      </c>
      <c r="E9549" s="15">
        <v>10.0016</v>
      </c>
      <c r="F9549" s="42">
        <v>42992</v>
      </c>
    </row>
    <row r="9550" spans="1:6" x14ac:dyDescent="0.3">
      <c r="A9550" s="15" t="s">
        <v>40067</v>
      </c>
      <c r="B9550" s="15" t="s">
        <v>17220</v>
      </c>
      <c r="C9550" s="15" t="s">
        <v>800</v>
      </c>
      <c r="D9550" s="15" t="s">
        <v>17221</v>
      </c>
      <c r="E9550" s="15">
        <v>14.2363</v>
      </c>
      <c r="F9550" s="42">
        <v>42992</v>
      </c>
    </row>
    <row r="9551" spans="1:6" x14ac:dyDescent="0.3">
      <c r="A9551" s="15" t="s">
        <v>40066</v>
      </c>
      <c r="B9551" s="15" t="s">
        <v>17222</v>
      </c>
      <c r="C9551" s="15" t="s">
        <v>800</v>
      </c>
      <c r="D9551" s="15" t="s">
        <v>17223</v>
      </c>
      <c r="E9551" s="15">
        <v>10.0016</v>
      </c>
      <c r="F9551" s="42">
        <v>42992</v>
      </c>
    </row>
    <row r="9552" spans="1:6" x14ac:dyDescent="0.3">
      <c r="A9552" s="15" t="s">
        <v>40065</v>
      </c>
      <c r="B9552" s="15" t="s">
        <v>17224</v>
      </c>
      <c r="C9552" s="15" t="s">
        <v>800</v>
      </c>
      <c r="D9552" s="15" t="s">
        <v>17225</v>
      </c>
      <c r="E9552" s="15">
        <v>10.0038</v>
      </c>
      <c r="F9552" s="42">
        <v>43003</v>
      </c>
    </row>
    <row r="9553" spans="1:6" x14ac:dyDescent="0.3">
      <c r="A9553" s="15" t="s">
        <v>40064</v>
      </c>
      <c r="B9553" s="15" t="s">
        <v>17226</v>
      </c>
      <c r="C9553" s="15" t="s">
        <v>800</v>
      </c>
      <c r="D9553" s="15" t="s">
        <v>17227</v>
      </c>
      <c r="E9553" s="15">
        <v>22.175899999999999</v>
      </c>
      <c r="F9553" s="42">
        <v>43003</v>
      </c>
    </row>
    <row r="9554" spans="1:6" x14ac:dyDescent="0.3">
      <c r="A9554" s="15" t="s">
        <v>40063</v>
      </c>
      <c r="B9554" s="15" t="s">
        <v>17228</v>
      </c>
      <c r="C9554" s="15" t="s">
        <v>800</v>
      </c>
      <c r="D9554" s="15" t="s">
        <v>17229</v>
      </c>
      <c r="E9554" s="15">
        <v>10.0016</v>
      </c>
      <c r="F9554" s="42">
        <v>42817</v>
      </c>
    </row>
    <row r="9555" spans="1:6" x14ac:dyDescent="0.3">
      <c r="A9555" s="15" t="s">
        <v>40062</v>
      </c>
      <c r="B9555" s="15" t="s">
        <v>17230</v>
      </c>
      <c r="C9555" s="15" t="s">
        <v>800</v>
      </c>
      <c r="D9555" s="15" t="s">
        <v>17231</v>
      </c>
      <c r="E9555" s="15">
        <v>14.032299999999999</v>
      </c>
      <c r="F9555" s="42">
        <v>43003</v>
      </c>
    </row>
    <row r="9556" spans="1:6" x14ac:dyDescent="0.3">
      <c r="A9556" s="15" t="s">
        <v>40061</v>
      </c>
      <c r="B9556" s="15" t="s">
        <v>17232</v>
      </c>
      <c r="C9556" s="15" t="s">
        <v>800</v>
      </c>
      <c r="D9556" s="15" t="s">
        <v>17233</v>
      </c>
      <c r="E9556" s="15">
        <v>10.2204</v>
      </c>
      <c r="F9556" s="42">
        <v>41984</v>
      </c>
    </row>
    <row r="9557" spans="1:6" x14ac:dyDescent="0.3">
      <c r="A9557" s="15" t="s">
        <v>40060</v>
      </c>
      <c r="B9557" s="15" t="s">
        <v>17234</v>
      </c>
      <c r="C9557" s="15" t="s">
        <v>17235</v>
      </c>
      <c r="D9557" s="15" t="s">
        <v>17236</v>
      </c>
      <c r="E9557" s="15">
        <v>10.0039</v>
      </c>
      <c r="F9557" s="42">
        <v>43003</v>
      </c>
    </row>
    <row r="9558" spans="1:6" x14ac:dyDescent="0.3">
      <c r="A9558" s="15" t="s">
        <v>40059</v>
      </c>
      <c r="B9558" s="15" t="s">
        <v>17237</v>
      </c>
      <c r="C9558" s="15" t="s">
        <v>800</v>
      </c>
      <c r="D9558" s="15" t="s">
        <v>17238</v>
      </c>
      <c r="E9558" s="15">
        <v>13.9772</v>
      </c>
      <c r="F9558" s="42">
        <v>43003</v>
      </c>
    </row>
    <row r="9559" spans="1:6" x14ac:dyDescent="0.3">
      <c r="A9559" s="15" t="s">
        <v>40058</v>
      </c>
      <c r="B9559" s="15" t="s">
        <v>17239</v>
      </c>
      <c r="C9559" s="15" t="s">
        <v>800</v>
      </c>
      <c r="D9559" s="15" t="s">
        <v>17240</v>
      </c>
      <c r="E9559" s="15">
        <v>10.206099999999999</v>
      </c>
      <c r="F9559" s="42">
        <v>41337</v>
      </c>
    </row>
    <row r="9560" spans="1:6" x14ac:dyDescent="0.3">
      <c r="A9560" s="15" t="s">
        <v>40057</v>
      </c>
      <c r="B9560" s="15" t="s">
        <v>17241</v>
      </c>
      <c r="C9560" s="15" t="s">
        <v>800</v>
      </c>
      <c r="D9560" s="15" t="s">
        <v>17242</v>
      </c>
      <c r="E9560" s="15">
        <v>10.0799</v>
      </c>
      <c r="F9560" s="42">
        <v>43017</v>
      </c>
    </row>
    <row r="9561" spans="1:6" x14ac:dyDescent="0.3">
      <c r="A9561" s="15" t="s">
        <v>40056</v>
      </c>
      <c r="B9561" s="15" t="s">
        <v>17243</v>
      </c>
      <c r="C9561" s="15" t="s">
        <v>800</v>
      </c>
      <c r="D9561" s="15" t="s">
        <v>17244</v>
      </c>
      <c r="E9561" s="15">
        <v>22.795000000000002</v>
      </c>
      <c r="F9561" s="42">
        <v>43017</v>
      </c>
    </row>
    <row r="9562" spans="1:6" x14ac:dyDescent="0.3">
      <c r="A9562" s="15" t="s">
        <v>40055</v>
      </c>
      <c r="B9562" s="15" t="s">
        <v>17245</v>
      </c>
      <c r="C9562" s="15" t="s">
        <v>800</v>
      </c>
      <c r="D9562" s="15" t="s">
        <v>17246</v>
      </c>
      <c r="E9562" s="15">
        <v>10.005100000000001</v>
      </c>
      <c r="F9562" s="42">
        <v>43017</v>
      </c>
    </row>
    <row r="9563" spans="1:6" x14ac:dyDescent="0.3">
      <c r="A9563" s="15" t="s">
        <v>40054</v>
      </c>
      <c r="B9563" s="15" t="s">
        <v>17247</v>
      </c>
      <c r="C9563" s="15" t="s">
        <v>800</v>
      </c>
      <c r="D9563" s="15" t="s">
        <v>17248</v>
      </c>
      <c r="E9563" s="15">
        <v>10.153499999999999</v>
      </c>
      <c r="F9563" s="42">
        <v>42646</v>
      </c>
    </row>
    <row r="9564" spans="1:6" x14ac:dyDescent="0.3">
      <c r="A9564" s="15" t="s">
        <v>40053</v>
      </c>
      <c r="B9564" s="15" t="s">
        <v>17249</v>
      </c>
      <c r="C9564" s="15" t="s">
        <v>800</v>
      </c>
      <c r="D9564" s="15" t="s">
        <v>17250</v>
      </c>
      <c r="E9564" s="15">
        <v>17.7073</v>
      </c>
      <c r="F9564" s="42">
        <v>43017</v>
      </c>
    </row>
    <row r="9565" spans="1:6" x14ac:dyDescent="0.3">
      <c r="A9565" s="15" t="s">
        <v>40052</v>
      </c>
      <c r="B9565" s="15" t="s">
        <v>17251</v>
      </c>
      <c r="C9565" s="15" t="s">
        <v>17252</v>
      </c>
      <c r="D9565" s="15" t="s">
        <v>17253</v>
      </c>
      <c r="E9565" s="15">
        <v>10.005000000000001</v>
      </c>
      <c r="F9565" s="42">
        <v>43017</v>
      </c>
    </row>
    <row r="9566" spans="1:6" x14ac:dyDescent="0.3">
      <c r="A9566" s="15" t="s">
        <v>40051</v>
      </c>
      <c r="B9566" s="15" t="s">
        <v>17254</v>
      </c>
      <c r="C9566" s="15" t="s">
        <v>800</v>
      </c>
      <c r="D9566" s="15" t="s">
        <v>17255</v>
      </c>
      <c r="E9566" s="15">
        <v>13.468999999999999</v>
      </c>
      <c r="F9566" s="42">
        <v>43017</v>
      </c>
    </row>
    <row r="9567" spans="1:6" x14ac:dyDescent="0.3">
      <c r="A9567" s="15" t="s">
        <v>40050</v>
      </c>
      <c r="B9567" s="15" t="s">
        <v>17256</v>
      </c>
      <c r="C9567" s="15" t="s">
        <v>800</v>
      </c>
      <c r="D9567" s="15" t="s">
        <v>17257</v>
      </c>
      <c r="E9567" s="15">
        <v>10.2309</v>
      </c>
      <c r="F9567" s="42">
        <v>41163</v>
      </c>
    </row>
    <row r="9568" spans="1:6" x14ac:dyDescent="0.3">
      <c r="A9568" s="15" t="s">
        <v>40049</v>
      </c>
      <c r="B9568" s="15" t="s">
        <v>17258</v>
      </c>
      <c r="C9568" s="15" t="s">
        <v>800</v>
      </c>
      <c r="D9568" s="15" t="s">
        <v>17259</v>
      </c>
      <c r="E9568" s="15">
        <v>10.074199999999999</v>
      </c>
      <c r="F9568" s="42">
        <v>42963</v>
      </c>
    </row>
    <row r="9569" spans="1:6" x14ac:dyDescent="0.3">
      <c r="A9569" s="15" t="s">
        <v>40048</v>
      </c>
      <c r="B9569" s="15" t="s">
        <v>17260</v>
      </c>
      <c r="C9569" s="15" t="s">
        <v>800</v>
      </c>
      <c r="D9569" s="15" t="s">
        <v>17261</v>
      </c>
      <c r="E9569" s="15">
        <v>20.25</v>
      </c>
      <c r="F9569" s="42">
        <v>42963</v>
      </c>
    </row>
    <row r="9570" spans="1:6" x14ac:dyDescent="0.3">
      <c r="A9570" s="15" t="s">
        <v>40047</v>
      </c>
      <c r="B9570" s="15" t="s">
        <v>17262</v>
      </c>
      <c r="C9570" s="15" t="s">
        <v>800</v>
      </c>
      <c r="D9570" s="15" t="s">
        <v>17263</v>
      </c>
      <c r="E9570" s="15">
        <v>10.0168</v>
      </c>
      <c r="F9570" s="42">
        <v>41851</v>
      </c>
    </row>
    <row r="9571" spans="1:6" x14ac:dyDescent="0.3">
      <c r="A9571" s="15" t="s">
        <v>40046</v>
      </c>
      <c r="B9571" s="15" t="s">
        <v>17264</v>
      </c>
      <c r="C9571" s="15" t="s">
        <v>800</v>
      </c>
      <c r="D9571" s="15" t="s">
        <v>17265</v>
      </c>
      <c r="E9571" s="15">
        <v>17.713799999999999</v>
      </c>
      <c r="F9571" s="42">
        <v>42963</v>
      </c>
    </row>
    <row r="9572" spans="1:6" x14ac:dyDescent="0.3">
      <c r="A9572" s="15" t="s">
        <v>40045</v>
      </c>
      <c r="B9572" s="15" t="s">
        <v>17266</v>
      </c>
      <c r="C9572" s="15" t="s">
        <v>800</v>
      </c>
      <c r="D9572" s="15" t="s">
        <v>17267</v>
      </c>
      <c r="E9572" s="15">
        <v>10.009499999999999</v>
      </c>
      <c r="F9572" s="42">
        <v>41659</v>
      </c>
    </row>
    <row r="9573" spans="1:6" x14ac:dyDescent="0.3">
      <c r="A9573" s="15" t="s">
        <v>40044</v>
      </c>
      <c r="B9573" s="15" t="s">
        <v>17268</v>
      </c>
      <c r="C9573" s="15" t="s">
        <v>17269</v>
      </c>
      <c r="D9573" s="15" t="s">
        <v>17270</v>
      </c>
      <c r="E9573" s="15">
        <v>10.182499999999999</v>
      </c>
      <c r="F9573" s="42">
        <v>42775</v>
      </c>
    </row>
    <row r="9574" spans="1:6" x14ac:dyDescent="0.3">
      <c r="A9574" s="15" t="s">
        <v>40043</v>
      </c>
      <c r="B9574" s="15" t="s">
        <v>17271</v>
      </c>
      <c r="C9574" s="15" t="s">
        <v>800</v>
      </c>
      <c r="D9574" s="15" t="s">
        <v>17272</v>
      </c>
      <c r="E9574" s="15">
        <v>17.716000000000001</v>
      </c>
      <c r="F9574" s="42">
        <v>42963</v>
      </c>
    </row>
    <row r="9575" spans="1:6" x14ac:dyDescent="0.3">
      <c r="A9575" s="15" t="s">
        <v>40042</v>
      </c>
      <c r="B9575" s="15" t="s">
        <v>17273</v>
      </c>
      <c r="C9575" s="15" t="s">
        <v>800</v>
      </c>
      <c r="D9575" s="15" t="s">
        <v>17274</v>
      </c>
      <c r="E9575" s="15">
        <v>10.0046</v>
      </c>
      <c r="F9575" s="42">
        <v>42963</v>
      </c>
    </row>
    <row r="9576" spans="1:6" x14ac:dyDescent="0.3">
      <c r="A9576" s="15" t="s">
        <v>40041</v>
      </c>
      <c r="B9576" s="15" t="s">
        <v>17275</v>
      </c>
      <c r="C9576" s="15" t="s">
        <v>800</v>
      </c>
      <c r="D9576" s="15" t="s">
        <v>17276</v>
      </c>
      <c r="E9576" s="15">
        <v>10.0009</v>
      </c>
      <c r="F9576" s="42">
        <v>43035</v>
      </c>
    </row>
    <row r="9577" spans="1:6" x14ac:dyDescent="0.3">
      <c r="A9577" s="15" t="s">
        <v>40040</v>
      </c>
      <c r="B9577" s="15" t="s">
        <v>17277</v>
      </c>
      <c r="C9577" s="15" t="s">
        <v>800</v>
      </c>
      <c r="D9577" s="15" t="s">
        <v>17278</v>
      </c>
      <c r="E9577" s="15">
        <v>19.7164</v>
      </c>
      <c r="F9577" s="42">
        <v>43035</v>
      </c>
    </row>
    <row r="9578" spans="1:6" x14ac:dyDescent="0.3">
      <c r="A9578" s="15" t="s">
        <v>40039</v>
      </c>
      <c r="B9578" s="15" t="s">
        <v>17279</v>
      </c>
      <c r="C9578" s="15" t="s">
        <v>800</v>
      </c>
      <c r="D9578" s="15" t="s">
        <v>17280</v>
      </c>
      <c r="E9578" s="15">
        <v>10.000999999999999</v>
      </c>
      <c r="F9578" s="42">
        <v>43035</v>
      </c>
    </row>
    <row r="9579" spans="1:6" x14ac:dyDescent="0.3">
      <c r="A9579" s="15" t="s">
        <v>40038</v>
      </c>
      <c r="B9579" s="15" t="s">
        <v>17281</v>
      </c>
      <c r="C9579" s="15" t="s">
        <v>800</v>
      </c>
      <c r="D9579" s="15" t="s">
        <v>17282</v>
      </c>
      <c r="E9579" s="15">
        <v>18.179400000000001</v>
      </c>
      <c r="F9579" s="42">
        <v>43035</v>
      </c>
    </row>
    <row r="9580" spans="1:6" x14ac:dyDescent="0.3">
      <c r="A9580" s="15" t="s">
        <v>40037</v>
      </c>
      <c r="B9580" s="15" t="s">
        <v>17283</v>
      </c>
      <c r="C9580" s="15" t="s">
        <v>800</v>
      </c>
      <c r="D9580" s="15" t="s">
        <v>17284</v>
      </c>
      <c r="E9580" s="15">
        <v>10.208399999999999</v>
      </c>
      <c r="F9580" s="42">
        <v>42109</v>
      </c>
    </row>
    <row r="9581" spans="1:6" x14ac:dyDescent="0.3">
      <c r="A9581" s="15" t="s">
        <v>40036</v>
      </c>
      <c r="B9581" s="15" t="s">
        <v>17285</v>
      </c>
      <c r="C9581" s="15" t="s">
        <v>800</v>
      </c>
      <c r="D9581" s="15" t="s">
        <v>17286</v>
      </c>
      <c r="E9581" s="15">
        <v>18.101199999999999</v>
      </c>
      <c r="F9581" s="42">
        <v>43035</v>
      </c>
    </row>
    <row r="9582" spans="1:6" x14ac:dyDescent="0.3">
      <c r="A9582" s="15" t="s">
        <v>40035</v>
      </c>
      <c r="B9582" s="15" t="s">
        <v>17287</v>
      </c>
      <c r="C9582" s="15" t="s">
        <v>17288</v>
      </c>
      <c r="D9582" s="15" t="s">
        <v>17289</v>
      </c>
      <c r="E9582" s="15">
        <v>10.168799999999999</v>
      </c>
      <c r="F9582" s="42">
        <v>42480</v>
      </c>
    </row>
    <row r="9583" spans="1:6" x14ac:dyDescent="0.3">
      <c r="A9583" s="15" t="s">
        <v>40034</v>
      </c>
      <c r="B9583" s="15" t="s">
        <v>17290</v>
      </c>
      <c r="C9583" s="15" t="s">
        <v>800</v>
      </c>
      <c r="D9583" s="15" t="s">
        <v>17291</v>
      </c>
      <c r="E9583" s="15">
        <v>10.234</v>
      </c>
      <c r="F9583" s="42">
        <v>41172</v>
      </c>
    </row>
    <row r="9584" spans="1:6" x14ac:dyDescent="0.3">
      <c r="A9584" s="15" t="s">
        <v>40033</v>
      </c>
      <c r="B9584" s="15" t="s">
        <v>17292</v>
      </c>
      <c r="C9584" s="15" t="s">
        <v>800</v>
      </c>
      <c r="D9584" s="15" t="s">
        <v>17293</v>
      </c>
      <c r="E9584" s="15">
        <v>10.003299999999999</v>
      </c>
      <c r="F9584" s="42">
        <v>42963</v>
      </c>
    </row>
    <row r="9585" spans="1:6" x14ac:dyDescent="0.3">
      <c r="A9585" s="15" t="s">
        <v>40032</v>
      </c>
      <c r="B9585" s="15" t="s">
        <v>17294</v>
      </c>
      <c r="C9585" s="15" t="s">
        <v>800</v>
      </c>
      <c r="D9585" s="15" t="s">
        <v>17295</v>
      </c>
      <c r="E9585" s="15">
        <v>20.000800000000002</v>
      </c>
      <c r="F9585" s="42">
        <v>42963</v>
      </c>
    </row>
    <row r="9586" spans="1:6" x14ac:dyDescent="0.3">
      <c r="A9586" s="15" t="s">
        <v>40031</v>
      </c>
      <c r="B9586" s="15" t="s">
        <v>17296</v>
      </c>
      <c r="C9586" s="15" t="s">
        <v>800</v>
      </c>
      <c r="D9586" s="15" t="s">
        <v>17297</v>
      </c>
      <c r="E9586" s="15">
        <v>10.003299999999999</v>
      </c>
      <c r="F9586" s="42">
        <v>42963</v>
      </c>
    </row>
    <row r="9587" spans="1:6" x14ac:dyDescent="0.3">
      <c r="A9587" s="15" t="s">
        <v>40030</v>
      </c>
      <c r="B9587" s="15" t="s">
        <v>17298</v>
      </c>
      <c r="C9587" s="15" t="s">
        <v>800</v>
      </c>
      <c r="D9587" s="15" t="s">
        <v>17299</v>
      </c>
      <c r="E9587" s="15">
        <v>13.9183</v>
      </c>
      <c r="F9587" s="42">
        <v>42963</v>
      </c>
    </row>
    <row r="9588" spans="1:6" x14ac:dyDescent="0.3">
      <c r="A9588" s="15" t="s">
        <v>40029</v>
      </c>
      <c r="B9588" s="15" t="s">
        <v>17300</v>
      </c>
      <c r="C9588" s="15" t="s">
        <v>17301</v>
      </c>
      <c r="D9588" s="15" t="s">
        <v>17302</v>
      </c>
      <c r="E9588" s="15">
        <v>10.003299999999999</v>
      </c>
      <c r="F9588" s="42">
        <v>42963</v>
      </c>
    </row>
    <row r="9589" spans="1:6" x14ac:dyDescent="0.3">
      <c r="A9589" s="15" t="s">
        <v>40028</v>
      </c>
      <c r="B9589" s="15" t="s">
        <v>17303</v>
      </c>
      <c r="C9589" s="15" t="s">
        <v>800</v>
      </c>
      <c r="D9589" s="15" t="s">
        <v>17304</v>
      </c>
      <c r="E9589" s="15">
        <v>13.8735</v>
      </c>
      <c r="F9589" s="42">
        <v>42963</v>
      </c>
    </row>
    <row r="9590" spans="1:6" x14ac:dyDescent="0.3">
      <c r="A9590" s="15" t="s">
        <v>40027</v>
      </c>
      <c r="B9590" s="15" t="s">
        <v>17305</v>
      </c>
      <c r="C9590" s="15" t="s">
        <v>17306</v>
      </c>
      <c r="D9590" s="15" t="s">
        <v>17307</v>
      </c>
      <c r="E9590" s="15">
        <v>13.6318</v>
      </c>
      <c r="F9590" s="42">
        <v>43245</v>
      </c>
    </row>
    <row r="9591" spans="1:6" x14ac:dyDescent="0.3">
      <c r="A9591" s="15" t="s">
        <v>40026</v>
      </c>
      <c r="B9591" s="15" t="s">
        <v>17308</v>
      </c>
      <c r="C9591" s="15" t="s">
        <v>17309</v>
      </c>
      <c r="D9591" s="15" t="s">
        <v>17310</v>
      </c>
      <c r="E9591" s="15">
        <v>12.791399999999999</v>
      </c>
      <c r="F9591" s="42">
        <v>43245</v>
      </c>
    </row>
    <row r="9592" spans="1:6" x14ac:dyDescent="0.3">
      <c r="A9592" s="15" t="s">
        <v>40025</v>
      </c>
      <c r="B9592" s="15" t="s">
        <v>17311</v>
      </c>
      <c r="C9592" s="15" t="s">
        <v>17312</v>
      </c>
      <c r="D9592" s="15" t="s">
        <v>17313</v>
      </c>
      <c r="E9592" s="15">
        <v>13.856199999999999</v>
      </c>
      <c r="F9592" s="42">
        <v>43245</v>
      </c>
    </row>
    <row r="9593" spans="1:6" x14ac:dyDescent="0.3">
      <c r="A9593" s="15" t="s">
        <v>40024</v>
      </c>
      <c r="B9593" s="15" t="s">
        <v>17314</v>
      </c>
      <c r="C9593" s="15" t="s">
        <v>800</v>
      </c>
      <c r="D9593" s="15" t="s">
        <v>17315</v>
      </c>
      <c r="E9593" s="15">
        <v>49.782899999999998</v>
      </c>
      <c r="F9593" s="42">
        <v>43245</v>
      </c>
    </row>
    <row r="9594" spans="1:6" x14ac:dyDescent="0.3">
      <c r="A9594" s="15" t="s">
        <v>40023</v>
      </c>
      <c r="B9594" s="15" t="s">
        <v>17316</v>
      </c>
      <c r="C9594" s="15" t="s">
        <v>800</v>
      </c>
      <c r="D9594" s="15" t="s">
        <v>17317</v>
      </c>
      <c r="E9594" s="15">
        <v>13.7171</v>
      </c>
      <c r="F9594" s="42">
        <v>43245</v>
      </c>
    </row>
    <row r="9595" spans="1:6" x14ac:dyDescent="0.3">
      <c r="A9595" s="15" t="s">
        <v>40022</v>
      </c>
      <c r="B9595" s="15" t="s">
        <v>17318</v>
      </c>
      <c r="C9595" s="15" t="s">
        <v>17319</v>
      </c>
      <c r="D9595" s="15" t="s">
        <v>17320</v>
      </c>
      <c r="E9595" s="15">
        <v>12.8248</v>
      </c>
      <c r="F9595" s="42">
        <v>43245</v>
      </c>
    </row>
    <row r="9596" spans="1:6" x14ac:dyDescent="0.3">
      <c r="A9596" s="15" t="s">
        <v>40021</v>
      </c>
      <c r="B9596" s="15" t="s">
        <v>17321</v>
      </c>
      <c r="C9596" s="15" t="s">
        <v>17322</v>
      </c>
      <c r="D9596" s="15" t="s">
        <v>17323</v>
      </c>
      <c r="E9596" s="15">
        <v>12.360200000000001</v>
      </c>
      <c r="F9596" s="42">
        <v>43245</v>
      </c>
    </row>
    <row r="9597" spans="1:6" x14ac:dyDescent="0.3">
      <c r="A9597" s="15" t="s">
        <v>40020</v>
      </c>
      <c r="B9597" s="15" t="s">
        <v>17324</v>
      </c>
      <c r="C9597" s="15" t="s">
        <v>17325</v>
      </c>
      <c r="D9597" s="15" t="s">
        <v>17326</v>
      </c>
      <c r="E9597" s="15">
        <v>13.522600000000001</v>
      </c>
      <c r="F9597" s="42">
        <v>43245</v>
      </c>
    </row>
    <row r="9598" spans="1:6" x14ac:dyDescent="0.3">
      <c r="A9598" s="15" t="s">
        <v>40019</v>
      </c>
      <c r="B9598" s="15" t="s">
        <v>17327</v>
      </c>
      <c r="C9598" s="15" t="s">
        <v>800</v>
      </c>
      <c r="D9598" s="15" t="s">
        <v>17328</v>
      </c>
      <c r="E9598" s="15">
        <v>48.136600000000001</v>
      </c>
      <c r="F9598" s="42">
        <v>43245</v>
      </c>
    </row>
    <row r="9599" spans="1:6" x14ac:dyDescent="0.3">
      <c r="A9599" s="15" t="s">
        <v>33499</v>
      </c>
      <c r="B9599" s="15" t="s">
        <v>795</v>
      </c>
      <c r="C9599" s="15" t="s">
        <v>795</v>
      </c>
      <c r="D9599" s="15" t="s">
        <v>795</v>
      </c>
      <c r="F9599" s="42"/>
    </row>
    <row r="9600" spans="1:6" x14ac:dyDescent="0.3">
      <c r="A9600" s="15" t="s">
        <v>208</v>
      </c>
      <c r="B9600" s="15" t="s">
        <v>795</v>
      </c>
      <c r="C9600" s="15" t="s">
        <v>795</v>
      </c>
      <c r="D9600" s="15" t="s">
        <v>795</v>
      </c>
      <c r="F9600" s="42"/>
    </row>
    <row r="9601" spans="1:6" x14ac:dyDescent="0.3">
      <c r="A9601" s="15" t="s">
        <v>33499</v>
      </c>
      <c r="B9601" s="15" t="s">
        <v>795</v>
      </c>
      <c r="C9601" s="15" t="s">
        <v>795</v>
      </c>
      <c r="D9601" s="15" t="s">
        <v>795</v>
      </c>
      <c r="F9601" s="42"/>
    </row>
    <row r="9602" spans="1:6" x14ac:dyDescent="0.3">
      <c r="A9602" s="15" t="s">
        <v>40018</v>
      </c>
      <c r="B9602" s="15" t="s">
        <v>17329</v>
      </c>
      <c r="C9602" s="15" t="s">
        <v>800</v>
      </c>
      <c r="D9602" s="15" t="s">
        <v>17330</v>
      </c>
      <c r="E9602" s="15">
        <v>12.842000000000001</v>
      </c>
      <c r="F9602" s="42">
        <v>42660</v>
      </c>
    </row>
    <row r="9603" spans="1:6" x14ac:dyDescent="0.3">
      <c r="A9603" s="15" t="s">
        <v>40017</v>
      </c>
      <c r="B9603" s="15" t="s">
        <v>17331</v>
      </c>
      <c r="C9603" s="15" t="s">
        <v>17332</v>
      </c>
      <c r="D9603" s="15" t="s">
        <v>17333</v>
      </c>
      <c r="E9603" s="15">
        <v>10</v>
      </c>
      <c r="F9603" s="42">
        <v>42660</v>
      </c>
    </row>
    <row r="9604" spans="1:6" x14ac:dyDescent="0.3">
      <c r="A9604" s="15" t="s">
        <v>40016</v>
      </c>
      <c r="B9604" s="15" t="s">
        <v>17334</v>
      </c>
      <c r="C9604" s="15" t="s">
        <v>800</v>
      </c>
      <c r="D9604" s="15" t="s">
        <v>17335</v>
      </c>
      <c r="E9604" s="15">
        <v>12.809799999999999</v>
      </c>
      <c r="F9604" s="42">
        <v>42660</v>
      </c>
    </row>
    <row r="9605" spans="1:6" x14ac:dyDescent="0.3">
      <c r="A9605" s="15" t="s">
        <v>40015</v>
      </c>
      <c r="B9605" s="15" t="s">
        <v>17336</v>
      </c>
      <c r="C9605" s="15" t="s">
        <v>17337</v>
      </c>
      <c r="D9605" s="15" t="s">
        <v>17338</v>
      </c>
      <c r="E9605" s="15">
        <v>10</v>
      </c>
      <c r="F9605" s="42">
        <v>42670</v>
      </c>
    </row>
    <row r="9606" spans="1:6" x14ac:dyDescent="0.3">
      <c r="A9606" s="15" t="s">
        <v>40014</v>
      </c>
      <c r="B9606" s="15" t="s">
        <v>17339</v>
      </c>
      <c r="C9606" s="15" t="s">
        <v>800</v>
      </c>
      <c r="D9606" s="15" t="s">
        <v>17340</v>
      </c>
      <c r="E9606" s="15">
        <v>12.9862</v>
      </c>
      <c r="F9606" s="42">
        <v>42670</v>
      </c>
    </row>
    <row r="9607" spans="1:6" x14ac:dyDescent="0.3">
      <c r="A9607" s="15" t="s">
        <v>40013</v>
      </c>
      <c r="B9607" s="15" t="s">
        <v>17341</v>
      </c>
      <c r="C9607" s="15" t="s">
        <v>17342</v>
      </c>
      <c r="D9607" s="15" t="s">
        <v>17343</v>
      </c>
      <c r="E9607" s="15">
        <v>10</v>
      </c>
      <c r="F9607" s="42">
        <v>42670</v>
      </c>
    </row>
    <row r="9608" spans="1:6" x14ac:dyDescent="0.3">
      <c r="A9608" s="15" t="s">
        <v>40012</v>
      </c>
      <c r="B9608" s="15" t="s">
        <v>17344</v>
      </c>
      <c r="C9608" s="15" t="s">
        <v>800</v>
      </c>
      <c r="D9608" s="15" t="s">
        <v>17345</v>
      </c>
      <c r="E9608" s="15">
        <v>12.793799999999999</v>
      </c>
      <c r="F9608" s="42">
        <v>42670</v>
      </c>
    </row>
    <row r="9609" spans="1:6" x14ac:dyDescent="0.3">
      <c r="A9609" s="15" t="s">
        <v>40011</v>
      </c>
      <c r="B9609" s="15" t="s">
        <v>17346</v>
      </c>
      <c r="C9609" s="15" t="s">
        <v>17347</v>
      </c>
      <c r="D9609" s="15" t="s">
        <v>17348</v>
      </c>
      <c r="E9609" s="15">
        <v>10</v>
      </c>
      <c r="F9609" s="42">
        <v>42675</v>
      </c>
    </row>
    <row r="9610" spans="1:6" x14ac:dyDescent="0.3">
      <c r="A9610" s="15" t="s">
        <v>40010</v>
      </c>
      <c r="B9610" s="15" t="s">
        <v>17349</v>
      </c>
      <c r="C9610" s="15" t="s">
        <v>800</v>
      </c>
      <c r="D9610" s="15" t="s">
        <v>17350</v>
      </c>
      <c r="E9610" s="15">
        <v>12.8033</v>
      </c>
      <c r="F9610" s="42">
        <v>42675</v>
      </c>
    </row>
    <row r="9611" spans="1:6" x14ac:dyDescent="0.3">
      <c r="A9611" s="15" t="s">
        <v>40009</v>
      </c>
      <c r="B9611" s="15" t="s">
        <v>17351</v>
      </c>
      <c r="C9611" s="15" t="s">
        <v>17352</v>
      </c>
      <c r="D9611" s="15" t="s">
        <v>17353</v>
      </c>
      <c r="E9611" s="15">
        <v>10</v>
      </c>
      <c r="F9611" s="42">
        <v>42675</v>
      </c>
    </row>
    <row r="9612" spans="1:6" x14ac:dyDescent="0.3">
      <c r="A9612" s="15" t="s">
        <v>40008</v>
      </c>
      <c r="B9612" s="15" t="s">
        <v>17354</v>
      </c>
      <c r="C9612" s="15" t="s">
        <v>800</v>
      </c>
      <c r="D9612" s="15" t="s">
        <v>17355</v>
      </c>
      <c r="E9612" s="15">
        <v>12.751899999999999</v>
      </c>
      <c r="F9612" s="42">
        <v>42675</v>
      </c>
    </row>
    <row r="9613" spans="1:6" x14ac:dyDescent="0.3">
      <c r="A9613" s="15" t="s">
        <v>40007</v>
      </c>
      <c r="B9613" s="15" t="s">
        <v>17356</v>
      </c>
      <c r="C9613" s="15" t="s">
        <v>800</v>
      </c>
      <c r="D9613" s="15" t="s">
        <v>17357</v>
      </c>
      <c r="E9613" s="15">
        <v>13.632199999999999</v>
      </c>
      <c r="F9613" s="42">
        <v>43049</v>
      </c>
    </row>
    <row r="9614" spans="1:6" x14ac:dyDescent="0.3">
      <c r="A9614" s="15" t="s">
        <v>40006</v>
      </c>
      <c r="B9614" s="15" t="s">
        <v>17358</v>
      </c>
      <c r="C9614" s="15" t="s">
        <v>17359</v>
      </c>
      <c r="D9614" s="15" t="s">
        <v>17360</v>
      </c>
      <c r="E9614" s="15">
        <v>10</v>
      </c>
      <c r="F9614" s="42">
        <v>43049</v>
      </c>
    </row>
    <row r="9615" spans="1:6" x14ac:dyDescent="0.3">
      <c r="A9615" s="15" t="s">
        <v>40005</v>
      </c>
      <c r="B9615" s="15" t="s">
        <v>17361</v>
      </c>
      <c r="C9615" s="15" t="s">
        <v>800</v>
      </c>
      <c r="D9615" s="15" t="s">
        <v>17362</v>
      </c>
      <c r="E9615" s="15">
        <v>13.596</v>
      </c>
      <c r="F9615" s="42">
        <v>43049</v>
      </c>
    </row>
    <row r="9616" spans="1:6" x14ac:dyDescent="0.3">
      <c r="A9616" s="15" t="s">
        <v>40004</v>
      </c>
      <c r="B9616" s="15" t="s">
        <v>17363</v>
      </c>
      <c r="C9616" s="15" t="s">
        <v>800</v>
      </c>
      <c r="D9616" s="15" t="s">
        <v>17364</v>
      </c>
      <c r="E9616" s="15">
        <v>13.8817</v>
      </c>
      <c r="F9616" s="42">
        <v>42832</v>
      </c>
    </row>
    <row r="9617" spans="1:6" x14ac:dyDescent="0.3">
      <c r="A9617" s="15" t="s">
        <v>40003</v>
      </c>
      <c r="B9617" s="15" t="s">
        <v>17365</v>
      </c>
      <c r="C9617" s="15" t="s">
        <v>800</v>
      </c>
      <c r="D9617" s="15" t="s">
        <v>17366</v>
      </c>
      <c r="E9617" s="15">
        <v>13.838800000000001</v>
      </c>
      <c r="F9617" s="42">
        <v>42832</v>
      </c>
    </row>
    <row r="9618" spans="1:6" x14ac:dyDescent="0.3">
      <c r="A9618" s="15" t="s">
        <v>40002</v>
      </c>
      <c r="B9618" s="15" t="s">
        <v>17367</v>
      </c>
      <c r="C9618" s="15" t="s">
        <v>17368</v>
      </c>
      <c r="D9618" s="15" t="s">
        <v>17369</v>
      </c>
      <c r="E9618" s="15">
        <v>10</v>
      </c>
      <c r="F9618" s="42">
        <v>41807</v>
      </c>
    </row>
    <row r="9619" spans="1:6" x14ac:dyDescent="0.3">
      <c r="A9619" s="15" t="s">
        <v>40001</v>
      </c>
      <c r="B9619" s="15" t="s">
        <v>17370</v>
      </c>
      <c r="C9619" s="15" t="s">
        <v>800</v>
      </c>
      <c r="D9619" s="15" t="s">
        <v>17371</v>
      </c>
      <c r="E9619" s="15">
        <v>13.784700000000001</v>
      </c>
      <c r="F9619" s="42">
        <v>42914</v>
      </c>
    </row>
    <row r="9620" spans="1:6" x14ac:dyDescent="0.3">
      <c r="A9620" s="15" t="s">
        <v>40000</v>
      </c>
      <c r="B9620" s="15" t="s">
        <v>17372</v>
      </c>
      <c r="C9620" s="15" t="s">
        <v>17373</v>
      </c>
      <c r="D9620" s="15" t="s">
        <v>17374</v>
      </c>
      <c r="E9620" s="15">
        <v>10.000500000000001</v>
      </c>
      <c r="F9620" s="42">
        <v>42914</v>
      </c>
    </row>
    <row r="9621" spans="1:6" x14ac:dyDescent="0.3">
      <c r="A9621" s="15" t="s">
        <v>39999</v>
      </c>
      <c r="B9621" s="15" t="s">
        <v>17375</v>
      </c>
      <c r="C9621" s="15" t="s">
        <v>800</v>
      </c>
      <c r="D9621" s="15" t="s">
        <v>17376</v>
      </c>
      <c r="E9621" s="15">
        <v>13.743600000000001</v>
      </c>
      <c r="F9621" s="42">
        <v>42914</v>
      </c>
    </row>
    <row r="9622" spans="1:6" x14ac:dyDescent="0.3">
      <c r="A9622" s="15" t="s">
        <v>39998</v>
      </c>
      <c r="B9622" s="15" t="s">
        <v>17377</v>
      </c>
      <c r="C9622" s="15" t="s">
        <v>800</v>
      </c>
      <c r="D9622" s="15" t="s">
        <v>17378</v>
      </c>
      <c r="E9622" s="15">
        <v>13.763999999999999</v>
      </c>
      <c r="F9622" s="42">
        <v>42930</v>
      </c>
    </row>
    <row r="9623" spans="1:6" x14ac:dyDescent="0.3">
      <c r="A9623" s="15" t="s">
        <v>39997</v>
      </c>
      <c r="B9623" s="15" t="s">
        <v>17379</v>
      </c>
      <c r="C9623" s="15" t="s">
        <v>17380</v>
      </c>
      <c r="D9623" s="15" t="s">
        <v>17381</v>
      </c>
      <c r="E9623" s="15">
        <v>10.0001</v>
      </c>
      <c r="F9623" s="42">
        <v>42930</v>
      </c>
    </row>
    <row r="9624" spans="1:6" x14ac:dyDescent="0.3">
      <c r="A9624" s="15" t="s">
        <v>39996</v>
      </c>
      <c r="B9624" s="15" t="s">
        <v>17382</v>
      </c>
      <c r="C9624" s="15" t="s">
        <v>800</v>
      </c>
      <c r="D9624" s="15" t="s">
        <v>17383</v>
      </c>
      <c r="E9624" s="15">
        <v>13.7202</v>
      </c>
      <c r="F9624" s="42">
        <v>42930</v>
      </c>
    </row>
    <row r="9625" spans="1:6" x14ac:dyDescent="0.3">
      <c r="A9625" s="15" t="s">
        <v>33499</v>
      </c>
      <c r="B9625" s="15" t="s">
        <v>795</v>
      </c>
      <c r="C9625" s="15" t="s">
        <v>795</v>
      </c>
      <c r="D9625" s="15" t="s">
        <v>795</v>
      </c>
      <c r="F9625" s="42"/>
    </row>
    <row r="9626" spans="1:6" x14ac:dyDescent="0.3">
      <c r="A9626" s="15" t="s">
        <v>39995</v>
      </c>
      <c r="B9626" s="15" t="s">
        <v>795</v>
      </c>
      <c r="C9626" s="15" t="s">
        <v>795</v>
      </c>
      <c r="D9626" s="15" t="s">
        <v>795</v>
      </c>
      <c r="F9626" s="42"/>
    </row>
    <row r="9627" spans="1:6" x14ac:dyDescent="0.3">
      <c r="A9627" s="15" t="s">
        <v>33499</v>
      </c>
      <c r="B9627" s="15" t="s">
        <v>795</v>
      </c>
      <c r="C9627" s="15" t="s">
        <v>795</v>
      </c>
      <c r="D9627" s="15" t="s">
        <v>795</v>
      </c>
      <c r="F9627" s="42"/>
    </row>
    <row r="9628" spans="1:6" x14ac:dyDescent="0.3">
      <c r="A9628" s="15" t="s">
        <v>38009</v>
      </c>
      <c r="B9628" s="15" t="s">
        <v>795</v>
      </c>
      <c r="C9628" s="15" t="s">
        <v>795</v>
      </c>
      <c r="D9628" s="15" t="s">
        <v>795</v>
      </c>
      <c r="F9628" s="42"/>
    </row>
    <row r="9629" spans="1:6" x14ac:dyDescent="0.3">
      <c r="A9629" s="15" t="s">
        <v>33499</v>
      </c>
      <c r="B9629" s="15" t="s">
        <v>795</v>
      </c>
      <c r="C9629" s="15" t="s">
        <v>795</v>
      </c>
      <c r="D9629" s="15" t="s">
        <v>795</v>
      </c>
      <c r="F9629" s="42"/>
    </row>
    <row r="9630" spans="1:6" x14ac:dyDescent="0.3">
      <c r="A9630" s="15" t="s">
        <v>39994</v>
      </c>
      <c r="B9630" s="15" t="s">
        <v>800</v>
      </c>
      <c r="C9630" s="15" t="s">
        <v>800</v>
      </c>
      <c r="D9630" s="15" t="s">
        <v>17384</v>
      </c>
      <c r="E9630" s="15">
        <v>10</v>
      </c>
      <c r="F9630" s="42">
        <v>46198</v>
      </c>
    </row>
    <row r="9631" spans="1:6" x14ac:dyDescent="0.3">
      <c r="A9631" s="15" t="s">
        <v>39993</v>
      </c>
      <c r="B9631" s="15" t="s">
        <v>800</v>
      </c>
      <c r="C9631" s="15" t="s">
        <v>800</v>
      </c>
      <c r="D9631" s="15" t="s">
        <v>17385</v>
      </c>
      <c r="E9631" s="15">
        <v>10</v>
      </c>
      <c r="F9631" s="42">
        <v>46198</v>
      </c>
    </row>
    <row r="9632" spans="1:6" x14ac:dyDescent="0.3">
      <c r="A9632" s="15" t="s">
        <v>39992</v>
      </c>
      <c r="B9632" s="15" t="s">
        <v>800</v>
      </c>
      <c r="C9632" s="15" t="s">
        <v>800</v>
      </c>
      <c r="D9632" s="15" t="s">
        <v>17386</v>
      </c>
      <c r="E9632" s="15">
        <v>17.6662</v>
      </c>
      <c r="F9632" s="42">
        <v>46198</v>
      </c>
    </row>
    <row r="9633" spans="1:6" x14ac:dyDescent="0.3">
      <c r="A9633" s="15" t="s">
        <v>33499</v>
      </c>
      <c r="B9633" s="15" t="s">
        <v>795</v>
      </c>
      <c r="C9633" s="15" t="s">
        <v>795</v>
      </c>
      <c r="D9633" s="15" t="s">
        <v>795</v>
      </c>
      <c r="F9633" s="42"/>
    </row>
    <row r="9634" spans="1:6" x14ac:dyDescent="0.3">
      <c r="A9634" s="15" t="s">
        <v>39991</v>
      </c>
      <c r="B9634" s="15" t="s">
        <v>795</v>
      </c>
      <c r="C9634" s="15" t="s">
        <v>795</v>
      </c>
      <c r="D9634" s="15" t="s">
        <v>795</v>
      </c>
      <c r="F9634" s="42"/>
    </row>
    <row r="9635" spans="1:6" x14ac:dyDescent="0.3">
      <c r="A9635" s="15" t="s">
        <v>33499</v>
      </c>
      <c r="B9635" s="15" t="s">
        <v>795</v>
      </c>
      <c r="C9635" s="15" t="s">
        <v>795</v>
      </c>
      <c r="D9635" s="15" t="s">
        <v>795</v>
      </c>
      <c r="F9635" s="42"/>
    </row>
    <row r="9636" spans="1:6" x14ac:dyDescent="0.3">
      <c r="A9636" s="15" t="s">
        <v>37122</v>
      </c>
      <c r="B9636" s="15" t="s">
        <v>795</v>
      </c>
      <c r="C9636" s="15" t="s">
        <v>795</v>
      </c>
      <c r="D9636" s="15" t="s">
        <v>795</v>
      </c>
      <c r="F9636" s="42"/>
    </row>
    <row r="9637" spans="1:6" x14ac:dyDescent="0.3">
      <c r="A9637" s="15" t="s">
        <v>33499</v>
      </c>
      <c r="B9637" s="15" t="s">
        <v>795</v>
      </c>
      <c r="C9637" s="15" t="s">
        <v>795</v>
      </c>
      <c r="D9637" s="15" t="s">
        <v>795</v>
      </c>
      <c r="F9637" s="42"/>
    </row>
    <row r="9638" spans="1:6" x14ac:dyDescent="0.3">
      <c r="A9638" s="15" t="s">
        <v>39990</v>
      </c>
      <c r="B9638" s="15" t="s">
        <v>17387</v>
      </c>
      <c r="C9638" s="15" t="s">
        <v>17388</v>
      </c>
      <c r="D9638" s="15" t="s">
        <v>17389</v>
      </c>
      <c r="E9638" s="15">
        <v>38.8215</v>
      </c>
      <c r="F9638" s="42">
        <v>46198</v>
      </c>
    </row>
    <row r="9639" spans="1:6" x14ac:dyDescent="0.3">
      <c r="A9639" s="15" t="s">
        <v>39989</v>
      </c>
      <c r="B9639" s="15" t="s">
        <v>17390</v>
      </c>
      <c r="C9639" s="15" t="s">
        <v>17391</v>
      </c>
      <c r="D9639" s="15" t="s">
        <v>17392</v>
      </c>
      <c r="E9639" s="15">
        <v>42.247999999999998</v>
      </c>
      <c r="F9639" s="42">
        <v>46198</v>
      </c>
    </row>
    <row r="9640" spans="1:6" x14ac:dyDescent="0.3">
      <c r="A9640" s="15" t="s">
        <v>39988</v>
      </c>
      <c r="B9640" s="15" t="s">
        <v>17393</v>
      </c>
      <c r="C9640" s="15" t="s">
        <v>800</v>
      </c>
      <c r="D9640" s="15" t="s">
        <v>17394</v>
      </c>
      <c r="E9640" s="15">
        <v>46.515900000000002</v>
      </c>
      <c r="F9640" s="42">
        <v>46198</v>
      </c>
    </row>
    <row r="9641" spans="1:6" x14ac:dyDescent="0.3">
      <c r="A9641" s="15" t="s">
        <v>39987</v>
      </c>
      <c r="B9641" s="15" t="s">
        <v>17395</v>
      </c>
      <c r="C9641" s="15" t="s">
        <v>800</v>
      </c>
      <c r="D9641" s="15" t="s">
        <v>17396</v>
      </c>
      <c r="E9641" s="15">
        <v>43.282699999999998</v>
      </c>
      <c r="F9641" s="42">
        <v>46198</v>
      </c>
    </row>
    <row r="9642" spans="1:6" x14ac:dyDescent="0.3">
      <c r="A9642" s="15" t="s">
        <v>39986</v>
      </c>
      <c r="B9642" s="15" t="s">
        <v>17397</v>
      </c>
      <c r="C9642" s="15" t="s">
        <v>17398</v>
      </c>
      <c r="D9642" s="15" t="s">
        <v>17399</v>
      </c>
      <c r="E9642" s="15">
        <v>32.143700000000003</v>
      </c>
      <c r="F9642" s="42">
        <v>46198</v>
      </c>
    </row>
    <row r="9643" spans="1:6" x14ac:dyDescent="0.3">
      <c r="A9643" s="15" t="s">
        <v>39985</v>
      </c>
      <c r="B9643" s="15" t="s">
        <v>17400</v>
      </c>
      <c r="C9643" s="15" t="s">
        <v>800</v>
      </c>
      <c r="D9643" s="15" t="s">
        <v>17401</v>
      </c>
      <c r="E9643" s="15">
        <v>37.702300000000001</v>
      </c>
      <c r="F9643" s="42">
        <v>46198</v>
      </c>
    </row>
    <row r="9644" spans="1:6" x14ac:dyDescent="0.3">
      <c r="A9644" s="15" t="s">
        <v>39984</v>
      </c>
      <c r="B9644" s="15" t="s">
        <v>17402</v>
      </c>
      <c r="C9644" s="15" t="s">
        <v>800</v>
      </c>
      <c r="D9644" s="15" t="s">
        <v>17403</v>
      </c>
      <c r="E9644" s="15">
        <v>35.330800000000004</v>
      </c>
      <c r="F9644" s="42">
        <v>46198</v>
      </c>
    </row>
    <row r="9645" spans="1:6" x14ac:dyDescent="0.3">
      <c r="A9645" s="15" t="s">
        <v>39983</v>
      </c>
      <c r="B9645" s="15" t="s">
        <v>17404</v>
      </c>
      <c r="C9645" s="15" t="s">
        <v>17405</v>
      </c>
      <c r="D9645" s="15" t="s">
        <v>17406</v>
      </c>
      <c r="E9645" s="15">
        <v>25.5991</v>
      </c>
      <c r="F9645" s="42">
        <v>46198</v>
      </c>
    </row>
    <row r="9646" spans="1:6" x14ac:dyDescent="0.3">
      <c r="A9646" s="15" t="s">
        <v>39982</v>
      </c>
      <c r="B9646" s="15" t="s">
        <v>17407</v>
      </c>
      <c r="C9646" s="15" t="s">
        <v>17408</v>
      </c>
      <c r="D9646" s="15" t="s">
        <v>17409</v>
      </c>
      <c r="E9646" s="15">
        <v>56.217100000000002</v>
      </c>
      <c r="F9646" s="42">
        <v>46198</v>
      </c>
    </row>
    <row r="9647" spans="1:6" x14ac:dyDescent="0.3">
      <c r="A9647" s="15" t="s">
        <v>39981</v>
      </c>
      <c r="B9647" s="15" t="s">
        <v>17410</v>
      </c>
      <c r="C9647" s="15" t="s">
        <v>800</v>
      </c>
      <c r="D9647" s="15" t="s">
        <v>17411</v>
      </c>
      <c r="E9647" s="15">
        <v>61.384700000000002</v>
      </c>
      <c r="F9647" s="42">
        <v>46198</v>
      </c>
    </row>
    <row r="9648" spans="1:6" x14ac:dyDescent="0.3">
      <c r="A9648" s="15" t="s">
        <v>39980</v>
      </c>
      <c r="B9648" s="15" t="s">
        <v>17412</v>
      </c>
      <c r="C9648" s="15" t="s">
        <v>800</v>
      </c>
      <c r="D9648" s="15" t="s">
        <v>17413</v>
      </c>
      <c r="E9648" s="15">
        <v>55.468400000000003</v>
      </c>
      <c r="F9648" s="42">
        <v>46198</v>
      </c>
    </row>
    <row r="9649" spans="1:6" x14ac:dyDescent="0.3">
      <c r="A9649" s="15" t="s">
        <v>39979</v>
      </c>
      <c r="B9649" s="15" t="s">
        <v>17414</v>
      </c>
      <c r="C9649" s="15" t="s">
        <v>17415</v>
      </c>
      <c r="D9649" s="15" t="s">
        <v>17416</v>
      </c>
      <c r="E9649" s="15">
        <v>50.773200000000003</v>
      </c>
      <c r="F9649" s="42">
        <v>46198</v>
      </c>
    </row>
    <row r="9650" spans="1:6" x14ac:dyDescent="0.3">
      <c r="A9650" s="15" t="s">
        <v>39978</v>
      </c>
      <c r="B9650" s="15" t="s">
        <v>17417</v>
      </c>
      <c r="C9650" s="15" t="s">
        <v>800</v>
      </c>
      <c r="D9650" s="15" t="s">
        <v>17418</v>
      </c>
      <c r="E9650" s="15">
        <v>41.881799999999998</v>
      </c>
      <c r="F9650" s="42">
        <v>46198</v>
      </c>
    </row>
    <row r="9651" spans="1:6" x14ac:dyDescent="0.3">
      <c r="A9651" s="15" t="s">
        <v>39977</v>
      </c>
      <c r="B9651" s="15" t="s">
        <v>17419</v>
      </c>
      <c r="C9651" s="15" t="s">
        <v>800</v>
      </c>
      <c r="D9651" s="15" t="s">
        <v>17420</v>
      </c>
      <c r="E9651" s="15">
        <v>41.880400000000002</v>
      </c>
      <c r="F9651" s="42">
        <v>46198</v>
      </c>
    </row>
    <row r="9652" spans="1:6" x14ac:dyDescent="0.3">
      <c r="A9652" s="15" t="s">
        <v>39976</v>
      </c>
      <c r="B9652" s="15" t="s">
        <v>17421</v>
      </c>
      <c r="C9652" s="15" t="s">
        <v>800</v>
      </c>
      <c r="D9652" s="15" t="s">
        <v>17422</v>
      </c>
      <c r="E9652" s="15">
        <v>40.174999999999997</v>
      </c>
      <c r="F9652" s="42">
        <v>46198</v>
      </c>
    </row>
    <row r="9653" spans="1:6" x14ac:dyDescent="0.3">
      <c r="A9653" s="15" t="s">
        <v>39975</v>
      </c>
      <c r="B9653" s="15" t="s">
        <v>17423</v>
      </c>
      <c r="C9653" s="15" t="s">
        <v>17424</v>
      </c>
      <c r="D9653" s="15" t="s">
        <v>17425</v>
      </c>
      <c r="E9653" s="15">
        <v>40.173099999999998</v>
      </c>
      <c r="F9653" s="42">
        <v>46198</v>
      </c>
    </row>
    <row r="9654" spans="1:6" x14ac:dyDescent="0.3">
      <c r="A9654" s="15" t="s">
        <v>39974</v>
      </c>
      <c r="B9654" s="15" t="s">
        <v>17426</v>
      </c>
      <c r="C9654" s="15" t="s">
        <v>17427</v>
      </c>
      <c r="D9654" s="15" t="s">
        <v>17428</v>
      </c>
      <c r="E9654" s="15">
        <v>26.177499999999998</v>
      </c>
      <c r="F9654" s="42">
        <v>46198</v>
      </c>
    </row>
    <row r="9655" spans="1:6" x14ac:dyDescent="0.3">
      <c r="A9655" s="15" t="s">
        <v>39973</v>
      </c>
      <c r="B9655" s="15" t="s">
        <v>17429</v>
      </c>
      <c r="C9655" s="15" t="s">
        <v>800</v>
      </c>
      <c r="D9655" s="15" t="s">
        <v>17430</v>
      </c>
      <c r="E9655" s="15">
        <v>41.805999999999997</v>
      </c>
      <c r="F9655" s="42">
        <v>46198</v>
      </c>
    </row>
    <row r="9656" spans="1:6" x14ac:dyDescent="0.3">
      <c r="A9656" s="15" t="s">
        <v>39972</v>
      </c>
      <c r="B9656" s="15" t="s">
        <v>17431</v>
      </c>
      <c r="C9656" s="15" t="s">
        <v>17432</v>
      </c>
      <c r="D9656" s="15" t="s">
        <v>17433</v>
      </c>
      <c r="E9656" s="15">
        <v>24.7422</v>
      </c>
      <c r="F9656" s="42">
        <v>46198</v>
      </c>
    </row>
    <row r="9657" spans="1:6" x14ac:dyDescent="0.3">
      <c r="A9657" s="15" t="s">
        <v>39971</v>
      </c>
      <c r="B9657" s="15" t="s">
        <v>17434</v>
      </c>
      <c r="C9657" s="15" t="s">
        <v>800</v>
      </c>
      <c r="D9657" s="15" t="s">
        <v>17435</v>
      </c>
      <c r="E9657" s="15">
        <v>39.4529</v>
      </c>
      <c r="F9657" s="42">
        <v>46198</v>
      </c>
    </row>
    <row r="9658" spans="1:6" x14ac:dyDescent="0.3">
      <c r="A9658" s="15" t="s">
        <v>39970</v>
      </c>
      <c r="B9658" s="15" t="s">
        <v>17436</v>
      </c>
      <c r="C9658" s="15" t="s">
        <v>800</v>
      </c>
      <c r="D9658" s="15" t="s">
        <v>17437</v>
      </c>
      <c r="E9658" s="15">
        <v>39.608199999999997</v>
      </c>
      <c r="F9658" s="42">
        <v>46198</v>
      </c>
    </row>
    <row r="9659" spans="1:6" x14ac:dyDescent="0.3">
      <c r="A9659" s="15" t="s">
        <v>39969</v>
      </c>
      <c r="B9659" s="15" t="s">
        <v>17438</v>
      </c>
      <c r="C9659" s="15" t="s">
        <v>800</v>
      </c>
      <c r="D9659" s="15" t="s">
        <v>17439</v>
      </c>
      <c r="E9659" s="15">
        <v>74.381600000000006</v>
      </c>
      <c r="F9659" s="42">
        <v>46198</v>
      </c>
    </row>
    <row r="9660" spans="1:6" x14ac:dyDescent="0.3">
      <c r="A9660" s="15" t="s">
        <v>39968</v>
      </c>
      <c r="B9660" s="15" t="s">
        <v>17440</v>
      </c>
      <c r="C9660" s="15" t="s">
        <v>17441</v>
      </c>
      <c r="D9660" s="15" t="s">
        <v>17442</v>
      </c>
      <c r="E9660" s="15">
        <v>37.742199999999997</v>
      </c>
      <c r="F9660" s="42">
        <v>46198</v>
      </c>
    </row>
    <row r="9661" spans="1:6" x14ac:dyDescent="0.3">
      <c r="A9661" s="15" t="s">
        <v>39967</v>
      </c>
      <c r="B9661" s="15" t="s">
        <v>17443</v>
      </c>
      <c r="C9661" s="15" t="s">
        <v>17444</v>
      </c>
      <c r="D9661" s="15" t="s">
        <v>17445</v>
      </c>
      <c r="E9661" s="15">
        <v>68.494200000000006</v>
      </c>
      <c r="F9661" s="42">
        <v>46198</v>
      </c>
    </row>
    <row r="9662" spans="1:6" x14ac:dyDescent="0.3">
      <c r="A9662" s="15" t="s">
        <v>39966</v>
      </c>
      <c r="B9662" s="15" t="s">
        <v>17446</v>
      </c>
      <c r="C9662" s="15" t="s">
        <v>800</v>
      </c>
      <c r="D9662" s="15" t="s">
        <v>17447</v>
      </c>
      <c r="E9662" s="15">
        <v>17.337499999999999</v>
      </c>
      <c r="F9662" s="42">
        <v>46198</v>
      </c>
    </row>
    <row r="9663" spans="1:6" x14ac:dyDescent="0.3">
      <c r="A9663" s="15" t="s">
        <v>39965</v>
      </c>
      <c r="B9663" s="15" t="s">
        <v>17448</v>
      </c>
      <c r="C9663" s="15" t="s">
        <v>17449</v>
      </c>
      <c r="D9663" s="15" t="s">
        <v>17450</v>
      </c>
      <c r="E9663" s="15">
        <v>17.3383</v>
      </c>
      <c r="F9663" s="42">
        <v>46198</v>
      </c>
    </row>
    <row r="9664" spans="1:6" x14ac:dyDescent="0.3">
      <c r="A9664" s="15" t="s">
        <v>39964</v>
      </c>
      <c r="B9664" s="15" t="s">
        <v>17451</v>
      </c>
      <c r="C9664" s="15" t="s">
        <v>800</v>
      </c>
      <c r="D9664" s="15" t="s">
        <v>17452</v>
      </c>
      <c r="E9664" s="15">
        <v>17.130600000000001</v>
      </c>
      <c r="F9664" s="42">
        <v>46198</v>
      </c>
    </row>
    <row r="9665" spans="1:6" x14ac:dyDescent="0.3">
      <c r="A9665" s="15" t="s">
        <v>39963</v>
      </c>
      <c r="B9665" s="15" t="s">
        <v>17453</v>
      </c>
      <c r="C9665" s="15" t="s">
        <v>17454</v>
      </c>
      <c r="D9665" s="15" t="s">
        <v>17455</v>
      </c>
      <c r="E9665" s="15">
        <v>17.130800000000001</v>
      </c>
      <c r="F9665" s="42">
        <v>46198</v>
      </c>
    </row>
    <row r="9666" spans="1:6" x14ac:dyDescent="0.3">
      <c r="A9666" s="15" t="s">
        <v>39962</v>
      </c>
      <c r="B9666" s="15" t="s">
        <v>17456</v>
      </c>
      <c r="C9666" s="15" t="s">
        <v>800</v>
      </c>
      <c r="D9666" s="15" t="s">
        <v>17457</v>
      </c>
      <c r="E9666" s="15">
        <v>33.683599999999998</v>
      </c>
      <c r="F9666" s="42">
        <v>46198</v>
      </c>
    </row>
    <row r="9667" spans="1:6" x14ac:dyDescent="0.3">
      <c r="A9667" s="15" t="s">
        <v>39961</v>
      </c>
      <c r="B9667" s="15" t="s">
        <v>17458</v>
      </c>
      <c r="C9667" s="15" t="s">
        <v>17459</v>
      </c>
      <c r="D9667" s="15" t="s">
        <v>17460</v>
      </c>
      <c r="E9667" s="15">
        <v>33.671399999999998</v>
      </c>
      <c r="F9667" s="42">
        <v>46198</v>
      </c>
    </row>
    <row r="9668" spans="1:6" x14ac:dyDescent="0.3">
      <c r="A9668" s="15" t="s">
        <v>39960</v>
      </c>
      <c r="B9668" s="15" t="s">
        <v>17461</v>
      </c>
      <c r="C9668" s="15" t="s">
        <v>800</v>
      </c>
      <c r="D9668" s="15" t="s">
        <v>17462</v>
      </c>
      <c r="E9668" s="15">
        <v>33.019500000000001</v>
      </c>
      <c r="F9668" s="42">
        <v>46198</v>
      </c>
    </row>
    <row r="9669" spans="1:6" x14ac:dyDescent="0.3">
      <c r="A9669" s="15" t="s">
        <v>39959</v>
      </c>
      <c r="B9669" s="15" t="s">
        <v>17463</v>
      </c>
      <c r="C9669" s="15" t="s">
        <v>17464</v>
      </c>
      <c r="D9669" s="15" t="s">
        <v>17465</v>
      </c>
      <c r="E9669" s="15">
        <v>33.013199999999998</v>
      </c>
      <c r="F9669" s="42">
        <v>46198</v>
      </c>
    </row>
    <row r="9670" spans="1:6" x14ac:dyDescent="0.3">
      <c r="A9670" s="15" t="s">
        <v>33499</v>
      </c>
      <c r="B9670" s="15" t="s">
        <v>795</v>
      </c>
      <c r="C9670" s="15" t="s">
        <v>795</v>
      </c>
      <c r="D9670" s="15" t="s">
        <v>795</v>
      </c>
      <c r="F9670" s="42"/>
    </row>
    <row r="9671" spans="1:6" x14ac:dyDescent="0.3">
      <c r="A9671" s="15" t="s">
        <v>37937</v>
      </c>
      <c r="B9671" s="15" t="s">
        <v>795</v>
      </c>
      <c r="C9671" s="15" t="s">
        <v>795</v>
      </c>
      <c r="D9671" s="15" t="s">
        <v>795</v>
      </c>
      <c r="F9671" s="42"/>
    </row>
    <row r="9672" spans="1:6" x14ac:dyDescent="0.3">
      <c r="A9672" s="15" t="s">
        <v>33499</v>
      </c>
      <c r="B9672" s="15" t="s">
        <v>795</v>
      </c>
      <c r="C9672" s="15" t="s">
        <v>795</v>
      </c>
      <c r="D9672" s="15" t="s">
        <v>795</v>
      </c>
      <c r="F9672" s="42"/>
    </row>
    <row r="9673" spans="1:6" x14ac:dyDescent="0.3">
      <c r="A9673" s="15" t="s">
        <v>39958</v>
      </c>
      <c r="B9673" s="15" t="s">
        <v>17466</v>
      </c>
      <c r="C9673" s="15" t="s">
        <v>800</v>
      </c>
      <c r="D9673" s="15" t="s">
        <v>17467</v>
      </c>
      <c r="E9673" s="15">
        <v>12.6654</v>
      </c>
      <c r="F9673" s="42">
        <v>46198</v>
      </c>
    </row>
    <row r="9674" spans="1:6" x14ac:dyDescent="0.3">
      <c r="A9674" s="15" t="s">
        <v>39957</v>
      </c>
      <c r="B9674" s="15" t="s">
        <v>17468</v>
      </c>
      <c r="C9674" s="15" t="s">
        <v>800</v>
      </c>
      <c r="D9674" s="15" t="s">
        <v>17469</v>
      </c>
      <c r="E9674" s="15">
        <v>12.7155</v>
      </c>
      <c r="F9674" s="42">
        <v>46198</v>
      </c>
    </row>
    <row r="9675" spans="1:6" x14ac:dyDescent="0.3">
      <c r="A9675" s="15" t="s">
        <v>39956</v>
      </c>
      <c r="B9675" s="15" t="s">
        <v>17470</v>
      </c>
      <c r="C9675" s="15" t="s">
        <v>800</v>
      </c>
      <c r="D9675" s="15" t="s">
        <v>17471</v>
      </c>
      <c r="E9675" s="15">
        <v>7.5284000000000004</v>
      </c>
      <c r="F9675" s="42">
        <v>46198</v>
      </c>
    </row>
    <row r="9676" spans="1:6" x14ac:dyDescent="0.3">
      <c r="A9676" s="15" t="s">
        <v>39955</v>
      </c>
      <c r="B9676" s="15" t="s">
        <v>17472</v>
      </c>
      <c r="C9676" s="15" t="s">
        <v>800</v>
      </c>
      <c r="D9676" s="15" t="s">
        <v>17473</v>
      </c>
      <c r="E9676" s="15">
        <v>7.5163000000000002</v>
      </c>
      <c r="F9676" s="42">
        <v>46198</v>
      </c>
    </row>
    <row r="9677" spans="1:6" x14ac:dyDescent="0.3">
      <c r="A9677" s="15" t="s">
        <v>33499</v>
      </c>
      <c r="B9677" s="15" t="s">
        <v>795</v>
      </c>
      <c r="C9677" s="15" t="s">
        <v>795</v>
      </c>
      <c r="D9677" s="15" t="s">
        <v>795</v>
      </c>
      <c r="F9677" s="42"/>
    </row>
    <row r="9678" spans="1:6" x14ac:dyDescent="0.3">
      <c r="A9678" s="15" t="s">
        <v>37087</v>
      </c>
      <c r="B9678" s="15" t="s">
        <v>795</v>
      </c>
      <c r="C9678" s="15" t="s">
        <v>795</v>
      </c>
      <c r="D9678" s="15" t="s">
        <v>795</v>
      </c>
      <c r="F9678" s="42"/>
    </row>
    <row r="9679" spans="1:6" x14ac:dyDescent="0.3">
      <c r="A9679" s="15" t="s">
        <v>33499</v>
      </c>
      <c r="B9679" s="15" t="s">
        <v>795</v>
      </c>
      <c r="C9679" s="15" t="s">
        <v>795</v>
      </c>
      <c r="D9679" s="15" t="s">
        <v>795</v>
      </c>
      <c r="F9679" s="42"/>
    </row>
    <row r="9680" spans="1:6" x14ac:dyDescent="0.3">
      <c r="A9680" s="15" t="s">
        <v>39954</v>
      </c>
      <c r="B9680" s="15" t="s">
        <v>17474</v>
      </c>
      <c r="C9680" s="15" t="s">
        <v>800</v>
      </c>
      <c r="D9680" s="15" t="s">
        <v>17475</v>
      </c>
      <c r="E9680" s="15">
        <v>10.170299999999999</v>
      </c>
      <c r="F9680" s="42">
        <v>46198</v>
      </c>
    </row>
    <row r="9681" spans="1:6" x14ac:dyDescent="0.3">
      <c r="A9681" s="15" t="s">
        <v>39953</v>
      </c>
      <c r="B9681" s="15" t="s">
        <v>17476</v>
      </c>
      <c r="C9681" s="15" t="s">
        <v>800</v>
      </c>
      <c r="D9681" s="15" t="s">
        <v>17477</v>
      </c>
      <c r="E9681" s="15">
        <v>10.149800000000001</v>
      </c>
      <c r="F9681" s="42">
        <v>46198</v>
      </c>
    </row>
    <row r="9682" spans="1:6" x14ac:dyDescent="0.3">
      <c r="A9682" s="15" t="s">
        <v>39952</v>
      </c>
      <c r="B9682" s="15" t="s">
        <v>17478</v>
      </c>
      <c r="C9682" s="15" t="s">
        <v>800</v>
      </c>
      <c r="D9682" s="15" t="s">
        <v>17479</v>
      </c>
      <c r="E9682" s="15">
        <v>43.652999999999999</v>
      </c>
      <c r="F9682" s="42">
        <v>46198</v>
      </c>
    </row>
    <row r="9683" spans="1:6" x14ac:dyDescent="0.3">
      <c r="A9683" s="15" t="s">
        <v>39951</v>
      </c>
      <c r="B9683" s="15" t="s">
        <v>17480</v>
      </c>
      <c r="C9683" s="15" t="s">
        <v>17481</v>
      </c>
      <c r="D9683" s="15" t="s">
        <v>17482</v>
      </c>
      <c r="E9683" s="15">
        <v>43.6937</v>
      </c>
      <c r="F9683" s="42">
        <v>46198</v>
      </c>
    </row>
    <row r="9684" spans="1:6" x14ac:dyDescent="0.3">
      <c r="A9684" s="15" t="s">
        <v>39950</v>
      </c>
      <c r="B9684" s="15" t="s">
        <v>17483</v>
      </c>
      <c r="C9684" s="15" t="s">
        <v>800</v>
      </c>
      <c r="D9684" s="15" t="s">
        <v>17484</v>
      </c>
      <c r="E9684" s="15">
        <v>40.031399999999998</v>
      </c>
      <c r="F9684" s="42">
        <v>46198</v>
      </c>
    </row>
    <row r="9685" spans="1:6" x14ac:dyDescent="0.3">
      <c r="A9685" s="15" t="s">
        <v>39949</v>
      </c>
      <c r="B9685" s="15" t="s">
        <v>17485</v>
      </c>
      <c r="C9685" s="15" t="s">
        <v>17486</v>
      </c>
      <c r="D9685" s="15" t="s">
        <v>17487</v>
      </c>
      <c r="E9685" s="15">
        <v>40.081299999999999</v>
      </c>
      <c r="F9685" s="42">
        <v>46198</v>
      </c>
    </row>
    <row r="9686" spans="1:6" x14ac:dyDescent="0.3">
      <c r="A9686" s="15" t="s">
        <v>39948</v>
      </c>
      <c r="B9686" s="15" t="s">
        <v>17488</v>
      </c>
      <c r="C9686" s="15" t="s">
        <v>17489</v>
      </c>
      <c r="D9686" s="15" t="s">
        <v>17490</v>
      </c>
      <c r="E9686" s="15">
        <v>14.107200000000001</v>
      </c>
      <c r="F9686" s="42">
        <v>46198</v>
      </c>
    </row>
    <row r="9687" spans="1:6" x14ac:dyDescent="0.3">
      <c r="A9687" s="15" t="s">
        <v>39947</v>
      </c>
      <c r="B9687" s="15" t="s">
        <v>17491</v>
      </c>
      <c r="C9687" s="15" t="s">
        <v>800</v>
      </c>
      <c r="D9687" s="15" t="s">
        <v>17492</v>
      </c>
      <c r="E9687" s="15">
        <v>15.576000000000001</v>
      </c>
      <c r="F9687" s="42">
        <v>46198</v>
      </c>
    </row>
    <row r="9688" spans="1:6" x14ac:dyDescent="0.3">
      <c r="A9688" s="15" t="s">
        <v>39946</v>
      </c>
      <c r="B9688" s="15" t="s">
        <v>17493</v>
      </c>
      <c r="C9688" s="15" t="s">
        <v>17494</v>
      </c>
      <c r="D9688" s="15" t="s">
        <v>17495</v>
      </c>
      <c r="E9688" s="15">
        <v>11.614699999999999</v>
      </c>
      <c r="F9688" s="42">
        <v>46198</v>
      </c>
    </row>
    <row r="9689" spans="1:6" x14ac:dyDescent="0.3">
      <c r="A9689" s="15" t="s">
        <v>39945</v>
      </c>
      <c r="B9689" s="15" t="s">
        <v>17496</v>
      </c>
      <c r="C9689" s="15" t="s">
        <v>17497</v>
      </c>
      <c r="D9689" s="15" t="s">
        <v>17498</v>
      </c>
      <c r="E9689" s="15">
        <v>15.5891</v>
      </c>
      <c r="F9689" s="42">
        <v>46198</v>
      </c>
    </row>
    <row r="9690" spans="1:6" x14ac:dyDescent="0.3">
      <c r="A9690" s="15" t="s">
        <v>39944</v>
      </c>
      <c r="B9690" s="15" t="s">
        <v>17499</v>
      </c>
      <c r="C9690" s="15" t="s">
        <v>17500</v>
      </c>
      <c r="D9690" s="15" t="s">
        <v>17501</v>
      </c>
      <c r="E9690" s="15">
        <v>15.589</v>
      </c>
      <c r="F9690" s="42">
        <v>46198</v>
      </c>
    </row>
    <row r="9691" spans="1:6" x14ac:dyDescent="0.3">
      <c r="A9691" s="15" t="s">
        <v>39943</v>
      </c>
      <c r="B9691" s="15" t="s">
        <v>17502</v>
      </c>
      <c r="C9691" s="15" t="s">
        <v>17503</v>
      </c>
      <c r="D9691" s="15" t="s">
        <v>17504</v>
      </c>
      <c r="E9691" s="15">
        <v>12.3226</v>
      </c>
      <c r="F9691" s="42">
        <v>46198</v>
      </c>
    </row>
    <row r="9692" spans="1:6" x14ac:dyDescent="0.3">
      <c r="A9692" s="15" t="s">
        <v>39942</v>
      </c>
      <c r="B9692" s="15" t="s">
        <v>17505</v>
      </c>
      <c r="C9692" s="15" t="s">
        <v>17506</v>
      </c>
      <c r="D9692" s="15" t="s">
        <v>17507</v>
      </c>
      <c r="E9692" s="15">
        <v>13.823499999999999</v>
      </c>
      <c r="F9692" s="42">
        <v>46198</v>
      </c>
    </row>
    <row r="9693" spans="1:6" x14ac:dyDescent="0.3">
      <c r="A9693" s="15" t="s">
        <v>39941</v>
      </c>
      <c r="B9693" s="15" t="s">
        <v>17508</v>
      </c>
      <c r="C9693" s="15" t="s">
        <v>800</v>
      </c>
      <c r="D9693" s="15" t="s">
        <v>17509</v>
      </c>
      <c r="E9693" s="15">
        <v>15.254300000000001</v>
      </c>
      <c r="F9693" s="42">
        <v>46198</v>
      </c>
    </row>
    <row r="9694" spans="1:6" x14ac:dyDescent="0.3">
      <c r="A9694" s="15" t="s">
        <v>39940</v>
      </c>
      <c r="B9694" s="15" t="s">
        <v>17510</v>
      </c>
      <c r="C9694" s="15" t="s">
        <v>17511</v>
      </c>
      <c r="D9694" s="15" t="s">
        <v>17512</v>
      </c>
      <c r="E9694" s="15">
        <v>12.1561</v>
      </c>
      <c r="F9694" s="42">
        <v>46198</v>
      </c>
    </row>
    <row r="9695" spans="1:6" x14ac:dyDescent="0.3">
      <c r="A9695" s="15" t="s">
        <v>39939</v>
      </c>
      <c r="B9695" s="15" t="s">
        <v>17513</v>
      </c>
      <c r="C9695" s="15" t="s">
        <v>17514</v>
      </c>
      <c r="D9695" s="15" t="s">
        <v>17515</v>
      </c>
      <c r="E9695" s="15">
        <v>15.258599999999999</v>
      </c>
      <c r="F9695" s="42">
        <v>46198</v>
      </c>
    </row>
    <row r="9696" spans="1:6" x14ac:dyDescent="0.3">
      <c r="A9696" s="15" t="s">
        <v>39938</v>
      </c>
      <c r="B9696" s="15" t="s">
        <v>17516</v>
      </c>
      <c r="C9696" s="15" t="s">
        <v>17517</v>
      </c>
      <c r="D9696" s="15" t="s">
        <v>17518</v>
      </c>
      <c r="E9696" s="15">
        <v>15.253500000000001</v>
      </c>
      <c r="F9696" s="42">
        <v>46198</v>
      </c>
    </row>
    <row r="9697" spans="1:6" x14ac:dyDescent="0.3">
      <c r="A9697" s="15" t="s">
        <v>39937</v>
      </c>
      <c r="B9697" s="15" t="s">
        <v>17519</v>
      </c>
      <c r="C9697" s="15" t="s">
        <v>17520</v>
      </c>
      <c r="D9697" s="15" t="s">
        <v>17521</v>
      </c>
      <c r="E9697" s="15">
        <v>11.4856</v>
      </c>
      <c r="F9697" s="42">
        <v>46198</v>
      </c>
    </row>
    <row r="9698" spans="1:6" x14ac:dyDescent="0.3">
      <c r="A9698" s="15" t="s">
        <v>39936</v>
      </c>
      <c r="B9698" s="15" t="s">
        <v>17522</v>
      </c>
      <c r="C9698" s="15" t="s">
        <v>800</v>
      </c>
      <c r="D9698" s="15" t="s">
        <v>17523</v>
      </c>
      <c r="E9698" s="15">
        <v>10.3825</v>
      </c>
      <c r="F9698" s="42">
        <v>46198</v>
      </c>
    </row>
    <row r="9699" spans="1:6" x14ac:dyDescent="0.3">
      <c r="A9699" s="15" t="s">
        <v>39935</v>
      </c>
      <c r="B9699" s="15" t="s">
        <v>17524</v>
      </c>
      <c r="C9699" s="15" t="s">
        <v>17525</v>
      </c>
      <c r="D9699" s="15" t="s">
        <v>17526</v>
      </c>
      <c r="E9699" s="15">
        <v>10.3826</v>
      </c>
      <c r="F9699" s="42">
        <v>46198</v>
      </c>
    </row>
    <row r="9700" spans="1:6" x14ac:dyDescent="0.3">
      <c r="A9700" s="15" t="s">
        <v>39934</v>
      </c>
      <c r="B9700" s="15" t="s">
        <v>17527</v>
      </c>
      <c r="C9700" s="15" t="s">
        <v>800</v>
      </c>
      <c r="D9700" s="15" t="s">
        <v>17528</v>
      </c>
      <c r="E9700" s="15">
        <v>10.364699999999999</v>
      </c>
      <c r="F9700" s="42">
        <v>46198</v>
      </c>
    </row>
    <row r="9701" spans="1:6" x14ac:dyDescent="0.3">
      <c r="A9701" s="15" t="s">
        <v>39933</v>
      </c>
      <c r="B9701" s="15" t="s">
        <v>17529</v>
      </c>
      <c r="C9701" s="15" t="s">
        <v>17530</v>
      </c>
      <c r="D9701" s="15" t="s">
        <v>17531</v>
      </c>
      <c r="E9701" s="15">
        <v>10.360900000000001</v>
      </c>
      <c r="F9701" s="42">
        <v>46198</v>
      </c>
    </row>
    <row r="9702" spans="1:6" x14ac:dyDescent="0.3">
      <c r="A9702" s="15" t="s">
        <v>39932</v>
      </c>
      <c r="B9702" s="15" t="s">
        <v>17532</v>
      </c>
      <c r="C9702" s="15" t="s">
        <v>800</v>
      </c>
      <c r="D9702" s="15" t="s">
        <v>17533</v>
      </c>
      <c r="E9702" s="15">
        <v>15.589399999999999</v>
      </c>
      <c r="F9702" s="42">
        <v>46198</v>
      </c>
    </row>
    <row r="9703" spans="1:6" x14ac:dyDescent="0.3">
      <c r="A9703" s="15" t="s">
        <v>39931</v>
      </c>
      <c r="B9703" s="15" t="s">
        <v>17534</v>
      </c>
      <c r="C9703" s="15" t="s">
        <v>17535</v>
      </c>
      <c r="D9703" s="15" t="s">
        <v>17536</v>
      </c>
      <c r="E9703" s="15">
        <v>15.5891</v>
      </c>
      <c r="F9703" s="42">
        <v>46198</v>
      </c>
    </row>
    <row r="9704" spans="1:6" x14ac:dyDescent="0.3">
      <c r="A9704" s="15" t="s">
        <v>39930</v>
      </c>
      <c r="B9704" s="15" t="s">
        <v>17537</v>
      </c>
      <c r="C9704" s="15" t="s">
        <v>800</v>
      </c>
      <c r="D9704" s="15" t="s">
        <v>17538</v>
      </c>
      <c r="E9704" s="15">
        <v>15.3835</v>
      </c>
      <c r="F9704" s="42">
        <v>46198</v>
      </c>
    </row>
    <row r="9705" spans="1:6" x14ac:dyDescent="0.3">
      <c r="A9705" s="15" t="s">
        <v>39929</v>
      </c>
      <c r="B9705" s="15" t="s">
        <v>17539</v>
      </c>
      <c r="C9705" s="15" t="s">
        <v>17540</v>
      </c>
      <c r="D9705" s="15" t="s">
        <v>17541</v>
      </c>
      <c r="E9705" s="15">
        <v>15.3843</v>
      </c>
      <c r="F9705" s="42">
        <v>46198</v>
      </c>
    </row>
    <row r="9706" spans="1:6" x14ac:dyDescent="0.3">
      <c r="A9706" s="15" t="s">
        <v>39928</v>
      </c>
      <c r="B9706" s="15" t="s">
        <v>17542</v>
      </c>
      <c r="C9706" s="15" t="s">
        <v>800</v>
      </c>
      <c r="D9706" s="15" t="s">
        <v>17543</v>
      </c>
      <c r="E9706" s="15">
        <v>10.5181</v>
      </c>
      <c r="F9706" s="42">
        <v>46198</v>
      </c>
    </row>
    <row r="9707" spans="1:6" x14ac:dyDescent="0.3">
      <c r="A9707" s="15" t="s">
        <v>39927</v>
      </c>
      <c r="B9707" s="15" t="s">
        <v>17544</v>
      </c>
      <c r="C9707" s="15" t="s">
        <v>17545</v>
      </c>
      <c r="D9707" s="15" t="s">
        <v>17546</v>
      </c>
      <c r="E9707" s="15">
        <v>10.5181</v>
      </c>
      <c r="F9707" s="42">
        <v>46198</v>
      </c>
    </row>
    <row r="9708" spans="1:6" x14ac:dyDescent="0.3">
      <c r="A9708" s="15" t="s">
        <v>39926</v>
      </c>
      <c r="B9708" s="15" t="s">
        <v>17547</v>
      </c>
      <c r="C9708" s="15" t="s">
        <v>800</v>
      </c>
      <c r="D9708" s="15" t="s">
        <v>17548</v>
      </c>
      <c r="E9708" s="15">
        <v>10.454800000000001</v>
      </c>
      <c r="F9708" s="42">
        <v>46198</v>
      </c>
    </row>
    <row r="9709" spans="1:6" x14ac:dyDescent="0.3">
      <c r="A9709" s="15" t="s">
        <v>39925</v>
      </c>
      <c r="B9709" s="15" t="s">
        <v>17549</v>
      </c>
      <c r="C9709" s="15" t="s">
        <v>17550</v>
      </c>
      <c r="D9709" s="15" t="s">
        <v>17551</v>
      </c>
      <c r="E9709" s="15">
        <v>10.454800000000001</v>
      </c>
      <c r="F9709" s="42">
        <v>46198</v>
      </c>
    </row>
    <row r="9710" spans="1:6" x14ac:dyDescent="0.3">
      <c r="A9710" s="15" t="s">
        <v>39924</v>
      </c>
      <c r="B9710" s="15" t="s">
        <v>17552</v>
      </c>
      <c r="C9710" s="15" t="s">
        <v>17553</v>
      </c>
      <c r="D9710" s="15" t="s">
        <v>17554</v>
      </c>
      <c r="E9710" s="15">
        <v>36.5351</v>
      </c>
      <c r="F9710" s="42">
        <v>46198</v>
      </c>
    </row>
    <row r="9711" spans="1:6" x14ac:dyDescent="0.3">
      <c r="A9711" s="15" t="s">
        <v>39923</v>
      </c>
      <c r="B9711" s="15" t="s">
        <v>17555</v>
      </c>
      <c r="C9711" s="15" t="s">
        <v>800</v>
      </c>
      <c r="D9711" s="15" t="s">
        <v>17556</v>
      </c>
      <c r="E9711" s="15">
        <v>36.5364</v>
      </c>
      <c r="F9711" s="42">
        <v>46198</v>
      </c>
    </row>
    <row r="9712" spans="1:6" x14ac:dyDescent="0.3">
      <c r="A9712" s="15" t="s">
        <v>39922</v>
      </c>
      <c r="B9712" s="15" t="s">
        <v>17557</v>
      </c>
      <c r="C9712" s="15" t="s">
        <v>17558</v>
      </c>
      <c r="D9712" s="15" t="s">
        <v>17559</v>
      </c>
      <c r="E9712" s="15">
        <v>37.2502</v>
      </c>
      <c r="F9712" s="42">
        <v>46198</v>
      </c>
    </row>
    <row r="9713" spans="1:6" x14ac:dyDescent="0.3">
      <c r="A9713" s="15" t="s">
        <v>39921</v>
      </c>
      <c r="B9713" s="15" t="s">
        <v>17560</v>
      </c>
      <c r="C9713" s="15" t="s">
        <v>800</v>
      </c>
      <c r="D9713" s="15" t="s">
        <v>17561</v>
      </c>
      <c r="E9713" s="15">
        <v>37.250599999999999</v>
      </c>
      <c r="F9713" s="42">
        <v>46198</v>
      </c>
    </row>
    <row r="9714" spans="1:6" x14ac:dyDescent="0.3">
      <c r="A9714" s="15" t="s">
        <v>33499</v>
      </c>
      <c r="B9714" s="15" t="s">
        <v>795</v>
      </c>
      <c r="C9714" s="15" t="s">
        <v>795</v>
      </c>
      <c r="D9714" s="15" t="s">
        <v>795</v>
      </c>
      <c r="F9714" s="42"/>
    </row>
    <row r="9715" spans="1:6" x14ac:dyDescent="0.3">
      <c r="A9715" s="15" t="s">
        <v>37073</v>
      </c>
      <c r="B9715" s="15" t="s">
        <v>795</v>
      </c>
      <c r="C9715" s="15" t="s">
        <v>795</v>
      </c>
      <c r="D9715" s="15" t="s">
        <v>795</v>
      </c>
      <c r="F9715" s="42"/>
    </row>
    <row r="9716" spans="1:6" x14ac:dyDescent="0.3">
      <c r="A9716" s="15" t="s">
        <v>33499</v>
      </c>
      <c r="B9716" s="15" t="s">
        <v>795</v>
      </c>
      <c r="C9716" s="15" t="s">
        <v>795</v>
      </c>
      <c r="D9716" s="15" t="s">
        <v>795</v>
      </c>
      <c r="F9716" s="42"/>
    </row>
    <row r="9717" spans="1:6" x14ac:dyDescent="0.3">
      <c r="A9717" s="15" t="s">
        <v>39920</v>
      </c>
      <c r="B9717" s="15" t="s">
        <v>17562</v>
      </c>
      <c r="C9717" s="15" t="s">
        <v>800</v>
      </c>
      <c r="D9717" s="15" t="s">
        <v>17563</v>
      </c>
      <c r="E9717" s="15">
        <v>53.224600000000002</v>
      </c>
      <c r="F9717" s="42">
        <v>46198</v>
      </c>
    </row>
    <row r="9718" spans="1:6" x14ac:dyDescent="0.3">
      <c r="A9718" s="15" t="s">
        <v>39919</v>
      </c>
      <c r="B9718" s="15" t="s">
        <v>17564</v>
      </c>
      <c r="C9718" s="15" t="s">
        <v>17565</v>
      </c>
      <c r="D9718" s="15" t="s">
        <v>17566</v>
      </c>
      <c r="E9718" s="15">
        <v>36.640099999999997</v>
      </c>
      <c r="F9718" s="42">
        <v>46198</v>
      </c>
    </row>
    <row r="9719" spans="1:6" x14ac:dyDescent="0.3">
      <c r="A9719" s="15" t="s">
        <v>39918</v>
      </c>
      <c r="B9719" s="15" t="s">
        <v>17567</v>
      </c>
      <c r="C9719" s="15" t="s">
        <v>800</v>
      </c>
      <c r="D9719" s="15" t="s">
        <v>17568</v>
      </c>
      <c r="E9719" s="15">
        <v>48.988300000000002</v>
      </c>
      <c r="F9719" s="42">
        <v>46198</v>
      </c>
    </row>
    <row r="9720" spans="1:6" x14ac:dyDescent="0.3">
      <c r="A9720" s="15" t="s">
        <v>39917</v>
      </c>
      <c r="B9720" s="15" t="s">
        <v>17569</v>
      </c>
      <c r="C9720" s="15" t="s">
        <v>17570</v>
      </c>
      <c r="D9720" s="15" t="s">
        <v>17571</v>
      </c>
      <c r="E9720" s="15">
        <v>26.734999999999999</v>
      </c>
      <c r="F9720" s="42">
        <v>46198</v>
      </c>
    </row>
    <row r="9721" spans="1:6" x14ac:dyDescent="0.3">
      <c r="A9721" s="15" t="s">
        <v>39916</v>
      </c>
      <c r="B9721" s="15" t="s">
        <v>17572</v>
      </c>
      <c r="C9721" s="15" t="s">
        <v>800</v>
      </c>
      <c r="D9721" s="15" t="s">
        <v>17573</v>
      </c>
      <c r="E9721" s="15">
        <v>37.1907</v>
      </c>
      <c r="F9721" s="42">
        <v>46198</v>
      </c>
    </row>
    <row r="9722" spans="1:6" x14ac:dyDescent="0.3">
      <c r="A9722" s="15" t="s">
        <v>39915</v>
      </c>
      <c r="B9722" s="15" t="s">
        <v>17574</v>
      </c>
      <c r="C9722" s="15" t="s">
        <v>17575</v>
      </c>
      <c r="D9722" s="15" t="s">
        <v>17576</v>
      </c>
      <c r="E9722" s="15">
        <v>17.575399999999998</v>
      </c>
      <c r="F9722" s="42">
        <v>46198</v>
      </c>
    </row>
    <row r="9723" spans="1:6" x14ac:dyDescent="0.3">
      <c r="A9723" s="15" t="s">
        <v>39914</v>
      </c>
      <c r="B9723" s="15" t="s">
        <v>17577</v>
      </c>
      <c r="C9723" s="15" t="s">
        <v>800</v>
      </c>
      <c r="D9723" s="15" t="s">
        <v>17578</v>
      </c>
      <c r="E9723" s="15">
        <v>34.581899999999997</v>
      </c>
      <c r="F9723" s="42">
        <v>46198</v>
      </c>
    </row>
    <row r="9724" spans="1:6" x14ac:dyDescent="0.3">
      <c r="A9724" s="15" t="s">
        <v>39913</v>
      </c>
      <c r="B9724" s="15" t="s">
        <v>17579</v>
      </c>
      <c r="C9724" s="15" t="s">
        <v>17580</v>
      </c>
      <c r="D9724" s="15" t="s">
        <v>17581</v>
      </c>
      <c r="E9724" s="15">
        <v>16.7699</v>
      </c>
      <c r="F9724" s="42">
        <v>46198</v>
      </c>
    </row>
    <row r="9725" spans="1:6" x14ac:dyDescent="0.3">
      <c r="A9725" s="15" t="s">
        <v>39912</v>
      </c>
      <c r="B9725" s="15" t="s">
        <v>17582</v>
      </c>
      <c r="C9725" s="15" t="s">
        <v>800</v>
      </c>
      <c r="D9725" s="15" t="s">
        <v>17583</v>
      </c>
      <c r="E9725" s="15">
        <v>9.0714000000000006</v>
      </c>
      <c r="F9725" s="42">
        <v>46198</v>
      </c>
    </row>
    <row r="9726" spans="1:6" x14ac:dyDescent="0.3">
      <c r="A9726" s="15" t="s">
        <v>39911</v>
      </c>
      <c r="B9726" s="15" t="s">
        <v>17584</v>
      </c>
      <c r="C9726" s="15" t="s">
        <v>800</v>
      </c>
      <c r="D9726" s="15" t="s">
        <v>17585</v>
      </c>
      <c r="E9726" s="15">
        <v>9.0531000000000006</v>
      </c>
      <c r="F9726" s="42">
        <v>46198</v>
      </c>
    </row>
    <row r="9727" spans="1:6" x14ac:dyDescent="0.3">
      <c r="A9727" s="15" t="s">
        <v>39910</v>
      </c>
      <c r="B9727" s="15" t="s">
        <v>17586</v>
      </c>
      <c r="C9727" s="15" t="s">
        <v>17587</v>
      </c>
      <c r="D9727" s="15" t="s">
        <v>17588</v>
      </c>
      <c r="E9727" s="15">
        <v>14.9907</v>
      </c>
      <c r="F9727" s="42">
        <v>46198</v>
      </c>
    </row>
    <row r="9728" spans="1:6" x14ac:dyDescent="0.3">
      <c r="A9728" s="15" t="s">
        <v>39909</v>
      </c>
      <c r="B9728" s="15" t="s">
        <v>800</v>
      </c>
      <c r="C9728" s="15" t="s">
        <v>17589</v>
      </c>
      <c r="D9728" s="15" t="s">
        <v>17590</v>
      </c>
      <c r="E9728" s="15">
        <v>12.4404</v>
      </c>
      <c r="F9728" s="42">
        <v>46198</v>
      </c>
    </row>
    <row r="9729" spans="1:6" x14ac:dyDescent="0.3">
      <c r="A9729" s="15" t="s">
        <v>39908</v>
      </c>
      <c r="B9729" s="15" t="s">
        <v>17591</v>
      </c>
      <c r="C9729" s="15" t="s">
        <v>17592</v>
      </c>
      <c r="D9729" s="15" t="s">
        <v>17593</v>
      </c>
      <c r="E9729" s="15">
        <v>12.4222</v>
      </c>
      <c r="F9729" s="42">
        <v>46198</v>
      </c>
    </row>
    <row r="9730" spans="1:6" x14ac:dyDescent="0.3">
      <c r="A9730" s="15" t="s">
        <v>39907</v>
      </c>
      <c r="B9730" s="15" t="s">
        <v>17594</v>
      </c>
      <c r="C9730" s="15" t="s">
        <v>800</v>
      </c>
      <c r="D9730" s="15" t="s">
        <v>17595</v>
      </c>
      <c r="E9730" s="15">
        <v>48.815600000000003</v>
      </c>
      <c r="F9730" s="42">
        <v>46198</v>
      </c>
    </row>
    <row r="9731" spans="1:6" x14ac:dyDescent="0.3">
      <c r="A9731" s="15" t="s">
        <v>39906</v>
      </c>
      <c r="B9731" s="15" t="s">
        <v>17596</v>
      </c>
      <c r="C9731" s="15" t="s">
        <v>17597</v>
      </c>
      <c r="D9731" s="15" t="s">
        <v>17598</v>
      </c>
      <c r="E9731" s="15">
        <v>16.204000000000001</v>
      </c>
      <c r="F9731" s="42">
        <v>46198</v>
      </c>
    </row>
    <row r="9732" spans="1:6" x14ac:dyDescent="0.3">
      <c r="A9732" s="15" t="s">
        <v>39905</v>
      </c>
      <c r="B9732" s="15" t="s">
        <v>17599</v>
      </c>
      <c r="C9732" s="15" t="s">
        <v>17600</v>
      </c>
      <c r="D9732" s="15" t="s">
        <v>17601</v>
      </c>
      <c r="E9732" s="15">
        <v>16.7788</v>
      </c>
      <c r="F9732" s="42">
        <v>46198</v>
      </c>
    </row>
    <row r="9733" spans="1:6" x14ac:dyDescent="0.3">
      <c r="A9733" s="15" t="s">
        <v>39904</v>
      </c>
      <c r="B9733" s="15" t="s">
        <v>17602</v>
      </c>
      <c r="C9733" s="15" t="s">
        <v>17603</v>
      </c>
      <c r="D9733" s="15" t="s">
        <v>17604</v>
      </c>
      <c r="E9733" s="15">
        <v>13.125400000000001</v>
      </c>
      <c r="F9733" s="42">
        <v>46198</v>
      </c>
    </row>
    <row r="9734" spans="1:6" x14ac:dyDescent="0.3">
      <c r="A9734" s="15" t="s">
        <v>39903</v>
      </c>
      <c r="B9734" s="15" t="s">
        <v>800</v>
      </c>
      <c r="C9734" s="15" t="s">
        <v>17605</v>
      </c>
      <c r="D9734" s="15" t="s">
        <v>17606</v>
      </c>
      <c r="E9734" s="15">
        <v>12.478899999999999</v>
      </c>
      <c r="F9734" s="42">
        <v>46198</v>
      </c>
    </row>
    <row r="9735" spans="1:6" x14ac:dyDescent="0.3">
      <c r="A9735" s="15" t="s">
        <v>39902</v>
      </c>
      <c r="B9735" s="15" t="s">
        <v>17607</v>
      </c>
      <c r="C9735" s="15" t="s">
        <v>17608</v>
      </c>
      <c r="D9735" s="15" t="s">
        <v>17609</v>
      </c>
      <c r="E9735" s="15">
        <v>14.7006</v>
      </c>
      <c r="F9735" s="42">
        <v>46198</v>
      </c>
    </row>
    <row r="9736" spans="1:6" x14ac:dyDescent="0.3">
      <c r="A9736" s="15" t="s">
        <v>39901</v>
      </c>
      <c r="B9736" s="15" t="s">
        <v>800</v>
      </c>
      <c r="C9736" s="15" t="s">
        <v>17610</v>
      </c>
      <c r="D9736" s="15" t="s">
        <v>17611</v>
      </c>
      <c r="E9736" s="15">
        <v>12.3727</v>
      </c>
      <c r="F9736" s="42">
        <v>46198</v>
      </c>
    </row>
    <row r="9737" spans="1:6" x14ac:dyDescent="0.3">
      <c r="A9737" s="15" t="s">
        <v>39900</v>
      </c>
      <c r="B9737" s="15" t="s">
        <v>17612</v>
      </c>
      <c r="C9737" s="15" t="s">
        <v>17613</v>
      </c>
      <c r="D9737" s="15" t="s">
        <v>17614</v>
      </c>
      <c r="E9737" s="15">
        <v>12.1829</v>
      </c>
      <c r="F9737" s="42">
        <v>46198</v>
      </c>
    </row>
    <row r="9738" spans="1:6" x14ac:dyDescent="0.3">
      <c r="A9738" s="15" t="s">
        <v>39899</v>
      </c>
      <c r="B9738" s="15" t="s">
        <v>17615</v>
      </c>
      <c r="C9738" s="15" t="s">
        <v>800</v>
      </c>
      <c r="D9738" s="15" t="s">
        <v>17616</v>
      </c>
      <c r="E9738" s="15">
        <v>46.3123</v>
      </c>
      <c r="F9738" s="42">
        <v>46198</v>
      </c>
    </row>
    <row r="9739" spans="1:6" x14ac:dyDescent="0.3">
      <c r="A9739" s="15" t="s">
        <v>39898</v>
      </c>
      <c r="B9739" s="15" t="s">
        <v>17617</v>
      </c>
      <c r="C9739" s="15" t="s">
        <v>17618</v>
      </c>
      <c r="D9739" s="15" t="s">
        <v>17619</v>
      </c>
      <c r="E9739" s="15">
        <v>13.119</v>
      </c>
      <c r="F9739" s="42">
        <v>46198</v>
      </c>
    </row>
    <row r="9740" spans="1:6" x14ac:dyDescent="0.3">
      <c r="A9740" s="15" t="s">
        <v>39897</v>
      </c>
      <c r="B9740" s="15" t="s">
        <v>17620</v>
      </c>
      <c r="C9740" s="15" t="s">
        <v>17621</v>
      </c>
      <c r="D9740" s="15" t="s">
        <v>17622</v>
      </c>
      <c r="E9740" s="15">
        <v>16.195499999999999</v>
      </c>
      <c r="F9740" s="42">
        <v>46198</v>
      </c>
    </row>
    <row r="9741" spans="1:6" x14ac:dyDescent="0.3">
      <c r="A9741" s="15" t="s">
        <v>39896</v>
      </c>
      <c r="B9741" s="15" t="s">
        <v>17623</v>
      </c>
      <c r="C9741" s="15" t="s">
        <v>17624</v>
      </c>
      <c r="D9741" s="15" t="s">
        <v>17625</v>
      </c>
      <c r="E9741" s="15">
        <v>13.015700000000001</v>
      </c>
      <c r="F9741" s="42">
        <v>46198</v>
      </c>
    </row>
    <row r="9742" spans="1:6" x14ac:dyDescent="0.3">
      <c r="A9742" s="15" t="s">
        <v>39895</v>
      </c>
      <c r="B9742" s="15" t="s">
        <v>800</v>
      </c>
      <c r="C9742" s="15" t="s">
        <v>17626</v>
      </c>
      <c r="D9742" s="15" t="s">
        <v>17627</v>
      </c>
      <c r="E9742" s="15">
        <v>12.413</v>
      </c>
      <c r="F9742" s="42">
        <v>46198</v>
      </c>
    </row>
    <row r="9743" spans="1:6" x14ac:dyDescent="0.3">
      <c r="A9743" s="15" t="s">
        <v>39894</v>
      </c>
      <c r="B9743" s="15" t="s">
        <v>17628</v>
      </c>
      <c r="C9743" s="15" t="s">
        <v>800</v>
      </c>
      <c r="D9743" s="15" t="s">
        <v>17629</v>
      </c>
      <c r="E9743" s="15">
        <v>44.212600000000002</v>
      </c>
      <c r="F9743" s="42">
        <v>46198</v>
      </c>
    </row>
    <row r="9744" spans="1:6" x14ac:dyDescent="0.3">
      <c r="A9744" s="15" t="s">
        <v>39893</v>
      </c>
      <c r="B9744" s="15" t="s">
        <v>17630</v>
      </c>
      <c r="C9744" s="15" t="s">
        <v>17631</v>
      </c>
      <c r="D9744" s="15" t="s">
        <v>17632</v>
      </c>
      <c r="E9744" s="15">
        <v>21.237500000000001</v>
      </c>
      <c r="F9744" s="42">
        <v>46198</v>
      </c>
    </row>
    <row r="9745" spans="1:6" x14ac:dyDescent="0.3">
      <c r="A9745" s="15" t="s">
        <v>39892</v>
      </c>
      <c r="B9745" s="15" t="s">
        <v>17633</v>
      </c>
      <c r="C9745" s="15" t="s">
        <v>800</v>
      </c>
      <c r="D9745" s="15" t="s">
        <v>17634</v>
      </c>
      <c r="E9745" s="15">
        <v>41.1434</v>
      </c>
      <c r="F9745" s="42">
        <v>46198</v>
      </c>
    </row>
    <row r="9746" spans="1:6" x14ac:dyDescent="0.3">
      <c r="A9746" s="15" t="s">
        <v>39891</v>
      </c>
      <c r="B9746" s="15" t="s">
        <v>17635</v>
      </c>
      <c r="C9746" s="15" t="s">
        <v>17636</v>
      </c>
      <c r="D9746" s="15" t="s">
        <v>17637</v>
      </c>
      <c r="E9746" s="15">
        <v>20.160599999999999</v>
      </c>
      <c r="F9746" s="42">
        <v>46198</v>
      </c>
    </row>
    <row r="9747" spans="1:6" x14ac:dyDescent="0.3">
      <c r="A9747" s="15" t="s">
        <v>39890</v>
      </c>
      <c r="B9747" s="15" t="s">
        <v>17638</v>
      </c>
      <c r="C9747" s="15" t="s">
        <v>800</v>
      </c>
      <c r="D9747" s="15" t="s">
        <v>17639</v>
      </c>
      <c r="E9747" s="15">
        <v>7.101</v>
      </c>
      <c r="F9747" s="42">
        <v>46198</v>
      </c>
    </row>
    <row r="9748" spans="1:6" x14ac:dyDescent="0.3">
      <c r="A9748" s="15" t="s">
        <v>39889</v>
      </c>
      <c r="B9748" s="15" t="s">
        <v>17640</v>
      </c>
      <c r="C9748" s="15" t="s">
        <v>800</v>
      </c>
      <c r="D9748" s="15" t="s">
        <v>17641</v>
      </c>
      <c r="E9748" s="15">
        <v>7.0867000000000004</v>
      </c>
      <c r="F9748" s="42">
        <v>46198</v>
      </c>
    </row>
    <row r="9749" spans="1:6" x14ac:dyDescent="0.3">
      <c r="A9749" s="15" t="s">
        <v>33499</v>
      </c>
      <c r="B9749" s="15" t="s">
        <v>795</v>
      </c>
      <c r="C9749" s="15" t="s">
        <v>795</v>
      </c>
      <c r="D9749" s="15" t="s">
        <v>795</v>
      </c>
      <c r="F9749" s="42"/>
    </row>
    <row r="9750" spans="1:6" x14ac:dyDescent="0.3">
      <c r="A9750" s="15" t="s">
        <v>37566</v>
      </c>
      <c r="B9750" s="15" t="s">
        <v>795</v>
      </c>
      <c r="C9750" s="15" t="s">
        <v>795</v>
      </c>
      <c r="D9750" s="15" t="s">
        <v>795</v>
      </c>
      <c r="F9750" s="42"/>
    </row>
    <row r="9751" spans="1:6" x14ac:dyDescent="0.3">
      <c r="A9751" s="15" t="s">
        <v>33499</v>
      </c>
      <c r="B9751" s="15" t="s">
        <v>795</v>
      </c>
      <c r="C9751" s="15" t="s">
        <v>795</v>
      </c>
      <c r="D9751" s="15" t="s">
        <v>795</v>
      </c>
      <c r="F9751" s="42"/>
    </row>
    <row r="9752" spans="1:6" x14ac:dyDescent="0.3">
      <c r="A9752" s="15" t="s">
        <v>39888</v>
      </c>
      <c r="B9752" s="15" t="s">
        <v>17642</v>
      </c>
      <c r="C9752" s="15" t="s">
        <v>800</v>
      </c>
      <c r="D9752" s="15" t="s">
        <v>17643</v>
      </c>
      <c r="E9752" s="15">
        <v>13.9351</v>
      </c>
      <c r="F9752" s="42">
        <v>46198</v>
      </c>
    </row>
    <row r="9753" spans="1:6" x14ac:dyDescent="0.3">
      <c r="A9753" s="15" t="s">
        <v>39887</v>
      </c>
      <c r="B9753" s="15" t="s">
        <v>17644</v>
      </c>
      <c r="C9753" s="15" t="s">
        <v>800</v>
      </c>
      <c r="D9753" s="15" t="s">
        <v>17645</v>
      </c>
      <c r="E9753" s="15">
        <v>13.9024</v>
      </c>
      <c r="F9753" s="42">
        <v>46198</v>
      </c>
    </row>
    <row r="9754" spans="1:6" x14ac:dyDescent="0.3">
      <c r="A9754" s="15" t="s">
        <v>39886</v>
      </c>
      <c r="B9754" s="15" t="s">
        <v>17646</v>
      </c>
      <c r="C9754" s="15" t="s">
        <v>800</v>
      </c>
      <c r="D9754" s="15" t="s">
        <v>17647</v>
      </c>
      <c r="E9754" s="15">
        <v>10.650700000000001</v>
      </c>
      <c r="F9754" s="42">
        <v>46198</v>
      </c>
    </row>
    <row r="9755" spans="1:6" x14ac:dyDescent="0.3">
      <c r="A9755" s="15" t="s">
        <v>39885</v>
      </c>
      <c r="B9755" s="15" t="s">
        <v>17648</v>
      </c>
      <c r="C9755" s="15" t="s">
        <v>17649</v>
      </c>
      <c r="D9755" s="15" t="s">
        <v>17650</v>
      </c>
      <c r="E9755" s="15">
        <v>10.650700000000001</v>
      </c>
      <c r="F9755" s="42">
        <v>46198</v>
      </c>
    </row>
    <row r="9756" spans="1:6" x14ac:dyDescent="0.3">
      <c r="A9756" s="15" t="s">
        <v>39884</v>
      </c>
      <c r="B9756" s="15" t="s">
        <v>17651</v>
      </c>
      <c r="C9756" s="15" t="s">
        <v>800</v>
      </c>
      <c r="D9756" s="15" t="s">
        <v>17652</v>
      </c>
      <c r="E9756" s="15">
        <v>10.6282</v>
      </c>
      <c r="F9756" s="42">
        <v>46198</v>
      </c>
    </row>
    <row r="9757" spans="1:6" x14ac:dyDescent="0.3">
      <c r="A9757" s="15" t="s">
        <v>39883</v>
      </c>
      <c r="B9757" s="15" t="s">
        <v>17653</v>
      </c>
      <c r="C9757" s="15" t="s">
        <v>17654</v>
      </c>
      <c r="D9757" s="15" t="s">
        <v>17655</v>
      </c>
      <c r="E9757" s="15">
        <v>10.6282</v>
      </c>
      <c r="F9757" s="42">
        <v>46198</v>
      </c>
    </row>
    <row r="9758" spans="1:6" x14ac:dyDescent="0.3">
      <c r="A9758" s="15" t="s">
        <v>39882</v>
      </c>
      <c r="B9758" s="15" t="s">
        <v>17656</v>
      </c>
      <c r="C9758" s="15" t="s">
        <v>800</v>
      </c>
      <c r="D9758" s="15" t="s">
        <v>17657</v>
      </c>
      <c r="E9758" s="15">
        <v>11.2226</v>
      </c>
      <c r="F9758" s="42">
        <v>46198</v>
      </c>
    </row>
    <row r="9759" spans="1:6" x14ac:dyDescent="0.3">
      <c r="A9759" s="15" t="s">
        <v>39881</v>
      </c>
      <c r="B9759" s="15" t="s">
        <v>17658</v>
      </c>
      <c r="C9759" s="15" t="s">
        <v>17659</v>
      </c>
      <c r="D9759" s="15" t="s">
        <v>17660</v>
      </c>
      <c r="E9759" s="15">
        <v>11.2226</v>
      </c>
      <c r="F9759" s="42">
        <v>46198</v>
      </c>
    </row>
    <row r="9760" spans="1:6" x14ac:dyDescent="0.3">
      <c r="A9760" s="15" t="s">
        <v>39880</v>
      </c>
      <c r="B9760" s="15" t="s">
        <v>17661</v>
      </c>
      <c r="C9760" s="15" t="s">
        <v>800</v>
      </c>
      <c r="D9760" s="15" t="s">
        <v>17662</v>
      </c>
      <c r="E9760" s="15">
        <v>11.1174</v>
      </c>
      <c r="F9760" s="42">
        <v>46198</v>
      </c>
    </row>
    <row r="9761" spans="1:6" x14ac:dyDescent="0.3">
      <c r="A9761" s="15" t="s">
        <v>39879</v>
      </c>
      <c r="B9761" s="15" t="s">
        <v>17663</v>
      </c>
      <c r="C9761" s="15" t="s">
        <v>17664</v>
      </c>
      <c r="D9761" s="15" t="s">
        <v>17665</v>
      </c>
      <c r="E9761" s="15">
        <v>11.1174</v>
      </c>
      <c r="F9761" s="42">
        <v>46198</v>
      </c>
    </row>
    <row r="9762" spans="1:6" x14ac:dyDescent="0.3">
      <c r="A9762" s="15" t="s">
        <v>33499</v>
      </c>
      <c r="B9762" s="15" t="s">
        <v>795</v>
      </c>
      <c r="C9762" s="15" t="s">
        <v>795</v>
      </c>
      <c r="D9762" s="15" t="s">
        <v>795</v>
      </c>
      <c r="F9762" s="42"/>
    </row>
    <row r="9763" spans="1:6" x14ac:dyDescent="0.3">
      <c r="A9763" s="15" t="s">
        <v>37061</v>
      </c>
      <c r="B9763" s="15" t="s">
        <v>795</v>
      </c>
      <c r="C9763" s="15" t="s">
        <v>795</v>
      </c>
      <c r="D9763" s="15" t="s">
        <v>795</v>
      </c>
      <c r="F9763" s="42"/>
    </row>
    <row r="9764" spans="1:6" x14ac:dyDescent="0.3">
      <c r="A9764" s="15" t="s">
        <v>33499</v>
      </c>
      <c r="B9764" s="15" t="s">
        <v>795</v>
      </c>
      <c r="C9764" s="15" t="s">
        <v>795</v>
      </c>
      <c r="D9764" s="15" t="s">
        <v>795</v>
      </c>
      <c r="F9764" s="42"/>
    </row>
    <row r="9765" spans="1:6" x14ac:dyDescent="0.3">
      <c r="A9765" s="15" t="s">
        <v>39878</v>
      </c>
      <c r="B9765" s="15" t="s">
        <v>17666</v>
      </c>
      <c r="C9765" s="15" t="s">
        <v>800</v>
      </c>
      <c r="D9765" s="15" t="s">
        <v>17667</v>
      </c>
      <c r="E9765" s="15">
        <v>21.8248</v>
      </c>
      <c r="F9765" s="42">
        <v>46198</v>
      </c>
    </row>
    <row r="9766" spans="1:6" x14ac:dyDescent="0.3">
      <c r="A9766" s="15" t="s">
        <v>39877</v>
      </c>
      <c r="B9766" s="15" t="s">
        <v>17668</v>
      </c>
      <c r="C9766" s="15" t="s">
        <v>17669</v>
      </c>
      <c r="D9766" s="15" t="s">
        <v>17670</v>
      </c>
      <c r="E9766" s="15">
        <v>21.8248</v>
      </c>
      <c r="F9766" s="42">
        <v>46198</v>
      </c>
    </row>
    <row r="9767" spans="1:6" x14ac:dyDescent="0.3">
      <c r="A9767" s="15" t="s">
        <v>39876</v>
      </c>
      <c r="B9767" s="15" t="s">
        <v>17671</v>
      </c>
      <c r="C9767" s="15" t="s">
        <v>800</v>
      </c>
      <c r="D9767" s="15" t="s">
        <v>17672</v>
      </c>
      <c r="E9767" s="15">
        <v>21.6143</v>
      </c>
      <c r="F9767" s="42">
        <v>46198</v>
      </c>
    </row>
    <row r="9768" spans="1:6" x14ac:dyDescent="0.3">
      <c r="A9768" s="15" t="s">
        <v>39875</v>
      </c>
      <c r="B9768" s="15" t="s">
        <v>17673</v>
      </c>
      <c r="C9768" s="15" t="s">
        <v>17674</v>
      </c>
      <c r="D9768" s="15" t="s">
        <v>17675</v>
      </c>
      <c r="E9768" s="15">
        <v>21.6143</v>
      </c>
      <c r="F9768" s="42">
        <v>46198</v>
      </c>
    </row>
    <row r="9769" spans="1:6" x14ac:dyDescent="0.3">
      <c r="A9769" s="15" t="s">
        <v>39874</v>
      </c>
      <c r="B9769" s="15" t="s">
        <v>17676</v>
      </c>
      <c r="C9769" s="15" t="s">
        <v>800</v>
      </c>
      <c r="D9769" s="15" t="s">
        <v>17677</v>
      </c>
      <c r="E9769" s="15">
        <v>23.711600000000001</v>
      </c>
      <c r="F9769" s="42">
        <v>46198</v>
      </c>
    </row>
    <row r="9770" spans="1:6" x14ac:dyDescent="0.3">
      <c r="A9770" s="15" t="s">
        <v>39873</v>
      </c>
      <c r="B9770" s="15" t="s">
        <v>17678</v>
      </c>
      <c r="C9770" s="15" t="s">
        <v>17679</v>
      </c>
      <c r="D9770" s="15" t="s">
        <v>17680</v>
      </c>
      <c r="E9770" s="15">
        <v>18.389399999999998</v>
      </c>
      <c r="F9770" s="42">
        <v>46198</v>
      </c>
    </row>
    <row r="9771" spans="1:6" x14ac:dyDescent="0.3">
      <c r="A9771" s="15" t="s">
        <v>39872</v>
      </c>
      <c r="B9771" s="15" t="s">
        <v>17681</v>
      </c>
      <c r="C9771" s="15" t="s">
        <v>800</v>
      </c>
      <c r="D9771" s="15" t="s">
        <v>17682</v>
      </c>
      <c r="E9771" s="15">
        <v>22.318200000000001</v>
      </c>
      <c r="F9771" s="42">
        <v>46198</v>
      </c>
    </row>
    <row r="9772" spans="1:6" x14ac:dyDescent="0.3">
      <c r="A9772" s="15" t="s">
        <v>39871</v>
      </c>
      <c r="B9772" s="15" t="s">
        <v>17683</v>
      </c>
      <c r="C9772" s="15" t="s">
        <v>17684</v>
      </c>
      <c r="D9772" s="15" t="s">
        <v>17685</v>
      </c>
      <c r="E9772" s="15">
        <v>16.488099999999999</v>
      </c>
      <c r="F9772" s="42">
        <v>46198</v>
      </c>
    </row>
    <row r="9773" spans="1:6" x14ac:dyDescent="0.3">
      <c r="A9773" s="15" t="s">
        <v>39870</v>
      </c>
      <c r="B9773" s="15" t="s">
        <v>17686</v>
      </c>
      <c r="C9773" s="15" t="s">
        <v>800</v>
      </c>
      <c r="D9773" s="15" t="s">
        <v>17687</v>
      </c>
      <c r="E9773" s="15">
        <v>9.9114000000000004</v>
      </c>
      <c r="F9773" s="42">
        <v>46198</v>
      </c>
    </row>
    <row r="9774" spans="1:6" x14ac:dyDescent="0.3">
      <c r="A9774" s="15" t="s">
        <v>39869</v>
      </c>
      <c r="B9774" s="15" t="s">
        <v>17688</v>
      </c>
      <c r="C9774" s="15" t="s">
        <v>17689</v>
      </c>
      <c r="D9774" s="15" t="s">
        <v>17690</v>
      </c>
      <c r="E9774" s="15">
        <v>9.9114000000000004</v>
      </c>
      <c r="F9774" s="42">
        <v>46198</v>
      </c>
    </row>
    <row r="9775" spans="1:6" x14ac:dyDescent="0.3">
      <c r="A9775" s="15" t="s">
        <v>39868</v>
      </c>
      <c r="B9775" s="15" t="s">
        <v>17691</v>
      </c>
      <c r="C9775" s="15" t="s">
        <v>800</v>
      </c>
      <c r="D9775" s="15" t="s">
        <v>17692</v>
      </c>
      <c r="E9775" s="15">
        <v>9.8856000000000002</v>
      </c>
      <c r="F9775" s="42">
        <v>46198</v>
      </c>
    </row>
    <row r="9776" spans="1:6" x14ac:dyDescent="0.3">
      <c r="A9776" s="15" t="s">
        <v>39867</v>
      </c>
      <c r="B9776" s="15" t="s">
        <v>17693</v>
      </c>
      <c r="C9776" s="15" t="s">
        <v>17694</v>
      </c>
      <c r="D9776" s="15" t="s">
        <v>17695</v>
      </c>
      <c r="E9776" s="15">
        <v>9.8856000000000002</v>
      </c>
      <c r="F9776" s="42">
        <v>46198</v>
      </c>
    </row>
    <row r="9777" spans="1:6" x14ac:dyDescent="0.3">
      <c r="A9777" s="15" t="s">
        <v>39866</v>
      </c>
      <c r="B9777" s="15" t="s">
        <v>17696</v>
      </c>
      <c r="C9777" s="15" t="s">
        <v>800</v>
      </c>
      <c r="D9777" s="15" t="s">
        <v>17697</v>
      </c>
      <c r="E9777" s="15">
        <v>22.6677</v>
      </c>
      <c r="F9777" s="42">
        <v>46198</v>
      </c>
    </row>
    <row r="9778" spans="1:6" x14ac:dyDescent="0.3">
      <c r="A9778" s="15" t="s">
        <v>39865</v>
      </c>
      <c r="B9778" s="15" t="s">
        <v>17698</v>
      </c>
      <c r="C9778" s="15" t="s">
        <v>17699</v>
      </c>
      <c r="D9778" s="15" t="s">
        <v>17700</v>
      </c>
      <c r="E9778" s="15">
        <v>22.6677</v>
      </c>
      <c r="F9778" s="42">
        <v>46198</v>
      </c>
    </row>
    <row r="9779" spans="1:6" x14ac:dyDescent="0.3">
      <c r="A9779" s="15" t="s">
        <v>39864</v>
      </c>
      <c r="B9779" s="15" t="s">
        <v>17701</v>
      </c>
      <c r="C9779" s="15" t="s">
        <v>800</v>
      </c>
      <c r="D9779" s="15" t="s">
        <v>17702</v>
      </c>
      <c r="E9779" s="15">
        <v>22.557300000000001</v>
      </c>
      <c r="F9779" s="42">
        <v>46198</v>
      </c>
    </row>
    <row r="9780" spans="1:6" x14ac:dyDescent="0.3">
      <c r="A9780" s="15" t="s">
        <v>39863</v>
      </c>
      <c r="B9780" s="15" t="s">
        <v>17703</v>
      </c>
      <c r="C9780" s="15" t="s">
        <v>17704</v>
      </c>
      <c r="D9780" s="15" t="s">
        <v>17705</v>
      </c>
      <c r="E9780" s="15">
        <v>22.557300000000001</v>
      </c>
      <c r="F9780" s="42">
        <v>46198</v>
      </c>
    </row>
    <row r="9781" spans="1:6" x14ac:dyDescent="0.3">
      <c r="A9781" s="15" t="s">
        <v>33499</v>
      </c>
      <c r="B9781" s="15" t="s">
        <v>795</v>
      </c>
      <c r="C9781" s="15" t="s">
        <v>795</v>
      </c>
      <c r="D9781" s="15" t="s">
        <v>795</v>
      </c>
      <c r="F9781" s="42"/>
    </row>
    <row r="9782" spans="1:6" x14ac:dyDescent="0.3">
      <c r="A9782" s="15" t="s">
        <v>37895</v>
      </c>
      <c r="B9782" s="15" t="s">
        <v>795</v>
      </c>
      <c r="C9782" s="15" t="s">
        <v>795</v>
      </c>
      <c r="D9782" s="15" t="s">
        <v>795</v>
      </c>
      <c r="F9782" s="42"/>
    </row>
    <row r="9783" spans="1:6" x14ac:dyDescent="0.3">
      <c r="A9783" s="15" t="s">
        <v>33499</v>
      </c>
      <c r="B9783" s="15" t="s">
        <v>795</v>
      </c>
      <c r="C9783" s="15" t="s">
        <v>795</v>
      </c>
      <c r="D9783" s="15" t="s">
        <v>795</v>
      </c>
      <c r="F9783" s="42"/>
    </row>
    <row r="9784" spans="1:6" x14ac:dyDescent="0.3">
      <c r="A9784" s="15" t="s">
        <v>39862</v>
      </c>
      <c r="B9784" s="15" t="s">
        <v>17706</v>
      </c>
      <c r="C9784" s="15" t="s">
        <v>800</v>
      </c>
      <c r="D9784" s="15" t="s">
        <v>17707</v>
      </c>
      <c r="E9784" s="15">
        <v>13.3948</v>
      </c>
      <c r="F9784" s="42">
        <v>46198</v>
      </c>
    </row>
    <row r="9785" spans="1:6" x14ac:dyDescent="0.3">
      <c r="A9785" s="15" t="s">
        <v>39861</v>
      </c>
      <c r="B9785" s="15" t="s">
        <v>17708</v>
      </c>
      <c r="C9785" s="15" t="s">
        <v>17709</v>
      </c>
      <c r="D9785" s="15" t="s">
        <v>17710</v>
      </c>
      <c r="E9785" s="15">
        <v>13.3948</v>
      </c>
      <c r="F9785" s="42">
        <v>46198</v>
      </c>
    </row>
    <row r="9786" spans="1:6" x14ac:dyDescent="0.3">
      <c r="A9786" s="15" t="s">
        <v>39860</v>
      </c>
      <c r="B9786" s="15" t="s">
        <v>17711</v>
      </c>
      <c r="C9786" s="15" t="s">
        <v>17712</v>
      </c>
      <c r="D9786" s="15" t="s">
        <v>17713</v>
      </c>
      <c r="E9786" s="15">
        <v>13.3948</v>
      </c>
      <c r="F9786" s="42">
        <v>46198</v>
      </c>
    </row>
    <row r="9787" spans="1:6" x14ac:dyDescent="0.3">
      <c r="A9787" s="15" t="s">
        <v>39859</v>
      </c>
      <c r="B9787" s="15" t="s">
        <v>17714</v>
      </c>
      <c r="C9787" s="15" t="s">
        <v>800</v>
      </c>
      <c r="D9787" s="15" t="s">
        <v>17715</v>
      </c>
      <c r="E9787" s="15">
        <v>13.3948</v>
      </c>
      <c r="F9787" s="42">
        <v>46198</v>
      </c>
    </row>
    <row r="9788" spans="1:6" x14ac:dyDescent="0.3">
      <c r="A9788" s="15" t="s">
        <v>39858</v>
      </c>
      <c r="B9788" s="15" t="s">
        <v>17716</v>
      </c>
      <c r="C9788" s="15" t="s">
        <v>800</v>
      </c>
      <c r="D9788" s="15" t="s">
        <v>17717</v>
      </c>
      <c r="E9788" s="15">
        <v>13.0608</v>
      </c>
      <c r="F9788" s="42">
        <v>46198</v>
      </c>
    </row>
    <row r="9789" spans="1:6" x14ac:dyDescent="0.3">
      <c r="A9789" s="15" t="s">
        <v>39857</v>
      </c>
      <c r="B9789" s="15" t="s">
        <v>17718</v>
      </c>
      <c r="C9789" s="15" t="s">
        <v>17719</v>
      </c>
      <c r="D9789" s="15" t="s">
        <v>17720</v>
      </c>
      <c r="E9789" s="15">
        <v>13.0608</v>
      </c>
      <c r="F9789" s="42">
        <v>46198</v>
      </c>
    </row>
    <row r="9790" spans="1:6" x14ac:dyDescent="0.3">
      <c r="A9790" s="15" t="s">
        <v>39856</v>
      </c>
      <c r="B9790" s="15" t="s">
        <v>17721</v>
      </c>
      <c r="C9790" s="15" t="s">
        <v>800</v>
      </c>
      <c r="D9790" s="15" t="s">
        <v>17722</v>
      </c>
      <c r="E9790" s="15">
        <v>13.0608</v>
      </c>
      <c r="F9790" s="42">
        <v>46198</v>
      </c>
    </row>
    <row r="9791" spans="1:6" x14ac:dyDescent="0.3">
      <c r="A9791" s="15" t="s">
        <v>39855</v>
      </c>
      <c r="B9791" s="15" t="s">
        <v>17723</v>
      </c>
      <c r="C9791" s="15" t="s">
        <v>17724</v>
      </c>
      <c r="D9791" s="15" t="s">
        <v>17725</v>
      </c>
      <c r="E9791" s="15">
        <v>13.0608</v>
      </c>
      <c r="F9791" s="42">
        <v>46198</v>
      </c>
    </row>
    <row r="9792" spans="1:6" x14ac:dyDescent="0.3">
      <c r="A9792" s="15" t="s">
        <v>39854</v>
      </c>
      <c r="B9792" s="15" t="s">
        <v>17726</v>
      </c>
      <c r="C9792" s="15" t="s">
        <v>800</v>
      </c>
      <c r="D9792" s="15" t="s">
        <v>17727</v>
      </c>
      <c r="E9792" s="15">
        <v>15.925800000000001</v>
      </c>
      <c r="F9792" s="42">
        <v>46198</v>
      </c>
    </row>
    <row r="9793" spans="1:6" x14ac:dyDescent="0.3">
      <c r="A9793" s="15" t="s">
        <v>39853</v>
      </c>
      <c r="B9793" s="15" t="s">
        <v>17728</v>
      </c>
      <c r="C9793" s="15" t="s">
        <v>17729</v>
      </c>
      <c r="D9793" s="15" t="s">
        <v>17730</v>
      </c>
      <c r="E9793" s="15">
        <v>15.925800000000001</v>
      </c>
      <c r="F9793" s="42">
        <v>46198</v>
      </c>
    </row>
    <row r="9794" spans="1:6" x14ac:dyDescent="0.3">
      <c r="A9794" s="15" t="s">
        <v>39852</v>
      </c>
      <c r="B9794" s="15" t="s">
        <v>17731</v>
      </c>
      <c r="C9794" s="15" t="s">
        <v>800</v>
      </c>
      <c r="D9794" s="15" t="s">
        <v>17732</v>
      </c>
      <c r="E9794" s="15">
        <v>15.925800000000001</v>
      </c>
      <c r="F9794" s="42">
        <v>46198</v>
      </c>
    </row>
    <row r="9795" spans="1:6" x14ac:dyDescent="0.3">
      <c r="A9795" s="15" t="s">
        <v>39851</v>
      </c>
      <c r="B9795" s="15" t="s">
        <v>17733</v>
      </c>
      <c r="C9795" s="15" t="s">
        <v>17734</v>
      </c>
      <c r="D9795" s="15" t="s">
        <v>17735</v>
      </c>
      <c r="E9795" s="15">
        <v>15.925800000000001</v>
      </c>
      <c r="F9795" s="42">
        <v>46198</v>
      </c>
    </row>
    <row r="9796" spans="1:6" x14ac:dyDescent="0.3">
      <c r="A9796" s="15" t="s">
        <v>39850</v>
      </c>
      <c r="B9796" s="15" t="s">
        <v>17736</v>
      </c>
      <c r="C9796" s="15" t="s">
        <v>17737</v>
      </c>
      <c r="D9796" s="15" t="s">
        <v>17738</v>
      </c>
      <c r="E9796" s="15">
        <v>12.8931</v>
      </c>
      <c r="F9796" s="42">
        <v>45763</v>
      </c>
    </row>
    <row r="9797" spans="1:6" x14ac:dyDescent="0.3">
      <c r="A9797" s="15" t="s">
        <v>39849</v>
      </c>
      <c r="B9797" s="15" t="s">
        <v>17739</v>
      </c>
      <c r="C9797" s="15" t="s">
        <v>17740</v>
      </c>
      <c r="D9797" s="15" t="s">
        <v>17741</v>
      </c>
      <c r="E9797" s="15">
        <v>12.8931</v>
      </c>
      <c r="F9797" s="42">
        <v>45763</v>
      </c>
    </row>
    <row r="9798" spans="1:6" x14ac:dyDescent="0.3">
      <c r="A9798" s="15" t="s">
        <v>39848</v>
      </c>
      <c r="B9798" s="15" t="s">
        <v>17742</v>
      </c>
      <c r="C9798" s="15" t="s">
        <v>800</v>
      </c>
      <c r="D9798" s="15" t="s">
        <v>17743</v>
      </c>
      <c r="E9798" s="15">
        <v>12.8931</v>
      </c>
      <c r="F9798" s="42">
        <v>45763</v>
      </c>
    </row>
    <row r="9799" spans="1:6" x14ac:dyDescent="0.3">
      <c r="A9799" s="15" t="s">
        <v>39847</v>
      </c>
      <c r="B9799" s="15" t="s">
        <v>17744</v>
      </c>
      <c r="C9799" s="15" t="s">
        <v>800</v>
      </c>
      <c r="D9799" s="15" t="s">
        <v>17745</v>
      </c>
      <c r="E9799" s="15">
        <v>12.8931</v>
      </c>
      <c r="F9799" s="42">
        <v>45763</v>
      </c>
    </row>
    <row r="9800" spans="1:6" x14ac:dyDescent="0.3">
      <c r="A9800" s="15" t="s">
        <v>39846</v>
      </c>
      <c r="B9800" s="15" t="s">
        <v>17746</v>
      </c>
      <c r="C9800" s="15" t="s">
        <v>17747</v>
      </c>
      <c r="D9800" s="15" t="s">
        <v>17748</v>
      </c>
      <c r="E9800" s="15">
        <v>14.2714</v>
      </c>
      <c r="F9800" s="42">
        <v>46198</v>
      </c>
    </row>
    <row r="9801" spans="1:6" x14ac:dyDescent="0.3">
      <c r="A9801" s="15" t="s">
        <v>39845</v>
      </c>
      <c r="B9801" s="15" t="s">
        <v>17749</v>
      </c>
      <c r="C9801" s="15" t="s">
        <v>17750</v>
      </c>
      <c r="D9801" s="15" t="s">
        <v>17751</v>
      </c>
      <c r="E9801" s="15">
        <v>14.2714</v>
      </c>
      <c r="F9801" s="42">
        <v>46198</v>
      </c>
    </row>
    <row r="9802" spans="1:6" x14ac:dyDescent="0.3">
      <c r="A9802" s="15" t="s">
        <v>39844</v>
      </c>
      <c r="B9802" s="15" t="s">
        <v>17752</v>
      </c>
      <c r="C9802" s="15" t="s">
        <v>800</v>
      </c>
      <c r="D9802" s="15" t="s">
        <v>17753</v>
      </c>
      <c r="E9802" s="15">
        <v>14.2714</v>
      </c>
      <c r="F9802" s="42">
        <v>46198</v>
      </c>
    </row>
    <row r="9803" spans="1:6" x14ac:dyDescent="0.3">
      <c r="A9803" s="15" t="s">
        <v>39843</v>
      </c>
      <c r="B9803" s="15" t="s">
        <v>17754</v>
      </c>
      <c r="C9803" s="15" t="s">
        <v>800</v>
      </c>
      <c r="D9803" s="15" t="s">
        <v>17755</v>
      </c>
      <c r="E9803" s="15">
        <v>14.2714</v>
      </c>
      <c r="F9803" s="42">
        <v>46198</v>
      </c>
    </row>
    <row r="9804" spans="1:6" x14ac:dyDescent="0.3">
      <c r="A9804" s="15" t="s">
        <v>39842</v>
      </c>
      <c r="B9804" s="15" t="s">
        <v>17756</v>
      </c>
      <c r="C9804" s="15" t="s">
        <v>800</v>
      </c>
      <c r="D9804" s="15" t="s">
        <v>17757</v>
      </c>
      <c r="E9804" s="15">
        <v>31.864000000000001</v>
      </c>
      <c r="F9804" s="42">
        <v>46198</v>
      </c>
    </row>
    <row r="9805" spans="1:6" x14ac:dyDescent="0.3">
      <c r="A9805" s="15" t="s">
        <v>39841</v>
      </c>
      <c r="B9805" s="15" t="s">
        <v>17758</v>
      </c>
      <c r="C9805" s="15" t="s">
        <v>17759</v>
      </c>
      <c r="D9805" s="15" t="s">
        <v>17760</v>
      </c>
      <c r="E9805" s="15">
        <v>31.864000000000001</v>
      </c>
      <c r="F9805" s="42">
        <v>46198</v>
      </c>
    </row>
    <row r="9806" spans="1:6" x14ac:dyDescent="0.3">
      <c r="A9806" s="15" t="s">
        <v>39840</v>
      </c>
      <c r="B9806" s="15" t="s">
        <v>17761</v>
      </c>
      <c r="C9806" s="15" t="s">
        <v>800</v>
      </c>
      <c r="D9806" s="15" t="s">
        <v>17762</v>
      </c>
      <c r="E9806" s="15">
        <v>31.385999999999999</v>
      </c>
      <c r="F9806" s="42">
        <v>46198</v>
      </c>
    </row>
    <row r="9807" spans="1:6" x14ac:dyDescent="0.3">
      <c r="A9807" s="15" t="s">
        <v>39839</v>
      </c>
      <c r="B9807" s="15" t="s">
        <v>17763</v>
      </c>
      <c r="C9807" s="15" t="s">
        <v>17764</v>
      </c>
      <c r="D9807" s="15" t="s">
        <v>17765</v>
      </c>
      <c r="E9807" s="15">
        <v>31.385999999999999</v>
      </c>
      <c r="F9807" s="42">
        <v>46198</v>
      </c>
    </row>
    <row r="9808" spans="1:6" x14ac:dyDescent="0.3">
      <c r="A9808" s="15" t="s">
        <v>39838</v>
      </c>
      <c r="B9808" s="15" t="s">
        <v>17766</v>
      </c>
      <c r="C9808" s="15" t="s">
        <v>800</v>
      </c>
      <c r="D9808" s="15" t="s">
        <v>17767</v>
      </c>
      <c r="E9808" s="15">
        <v>8.6499000000000006</v>
      </c>
      <c r="F9808" s="42">
        <v>46198</v>
      </c>
    </row>
    <row r="9809" spans="1:6" x14ac:dyDescent="0.3">
      <c r="A9809" s="15" t="s">
        <v>39837</v>
      </c>
      <c r="B9809" s="15" t="s">
        <v>17768</v>
      </c>
      <c r="C9809" s="15" t="s">
        <v>800</v>
      </c>
      <c r="D9809" s="15" t="s">
        <v>17769</v>
      </c>
      <c r="E9809" s="15">
        <v>8.6365999999999996</v>
      </c>
      <c r="F9809" s="42">
        <v>46198</v>
      </c>
    </row>
    <row r="9810" spans="1:6" x14ac:dyDescent="0.3">
      <c r="A9810" s="15" t="s">
        <v>39836</v>
      </c>
      <c r="B9810" s="15" t="s">
        <v>17770</v>
      </c>
      <c r="C9810" s="15" t="s">
        <v>17771</v>
      </c>
      <c r="D9810" s="15" t="s">
        <v>17772</v>
      </c>
      <c r="E9810" s="15">
        <v>10.4894</v>
      </c>
      <c r="F9810" s="42">
        <v>46198</v>
      </c>
    </row>
    <row r="9811" spans="1:6" x14ac:dyDescent="0.3">
      <c r="A9811" s="15" t="s">
        <v>39835</v>
      </c>
      <c r="B9811" s="15" t="s">
        <v>17773</v>
      </c>
      <c r="C9811" s="15" t="s">
        <v>800</v>
      </c>
      <c r="D9811" s="15" t="s">
        <v>17774</v>
      </c>
      <c r="E9811" s="15">
        <v>10.514200000000001</v>
      </c>
      <c r="F9811" s="42">
        <v>46198</v>
      </c>
    </row>
    <row r="9812" spans="1:6" x14ac:dyDescent="0.3">
      <c r="A9812" s="15" t="s">
        <v>39834</v>
      </c>
      <c r="B9812" s="15" t="s">
        <v>17775</v>
      </c>
      <c r="C9812" s="15" t="s">
        <v>17776</v>
      </c>
      <c r="D9812" s="15" t="s">
        <v>17777</v>
      </c>
      <c r="E9812" s="15">
        <v>10.514200000000001</v>
      </c>
      <c r="F9812" s="42">
        <v>46198</v>
      </c>
    </row>
    <row r="9813" spans="1:6" x14ac:dyDescent="0.3">
      <c r="A9813" s="15" t="s">
        <v>39833</v>
      </c>
      <c r="B9813" s="15" t="s">
        <v>17778</v>
      </c>
      <c r="C9813" s="15" t="s">
        <v>800</v>
      </c>
      <c r="D9813" s="15" t="s">
        <v>17779</v>
      </c>
      <c r="E9813" s="15">
        <v>10.4894</v>
      </c>
      <c r="F9813" s="42">
        <v>46198</v>
      </c>
    </row>
    <row r="9814" spans="1:6" x14ac:dyDescent="0.3">
      <c r="A9814" s="15" t="s">
        <v>39832</v>
      </c>
      <c r="B9814" s="15" t="s">
        <v>17780</v>
      </c>
      <c r="C9814" s="15" t="s">
        <v>800</v>
      </c>
      <c r="D9814" s="15" t="s">
        <v>17781</v>
      </c>
      <c r="E9814" s="15">
        <v>11.311299999999999</v>
      </c>
      <c r="F9814" s="42">
        <v>46198</v>
      </c>
    </row>
    <row r="9815" spans="1:6" x14ac:dyDescent="0.3">
      <c r="A9815" s="15" t="s">
        <v>39831</v>
      </c>
      <c r="B9815" s="15" t="s">
        <v>17782</v>
      </c>
      <c r="C9815" s="15" t="s">
        <v>17783</v>
      </c>
      <c r="D9815" s="15" t="s">
        <v>17784</v>
      </c>
      <c r="E9815" s="15">
        <v>11.311299999999999</v>
      </c>
      <c r="F9815" s="42">
        <v>46198</v>
      </c>
    </row>
    <row r="9816" spans="1:6" x14ac:dyDescent="0.3">
      <c r="A9816" s="15" t="s">
        <v>39830</v>
      </c>
      <c r="B9816" s="15" t="s">
        <v>17785</v>
      </c>
      <c r="C9816" s="15" t="s">
        <v>800</v>
      </c>
      <c r="D9816" s="15" t="s">
        <v>17786</v>
      </c>
      <c r="E9816" s="15">
        <v>11.191000000000001</v>
      </c>
      <c r="F9816" s="42">
        <v>46198</v>
      </c>
    </row>
    <row r="9817" spans="1:6" x14ac:dyDescent="0.3">
      <c r="A9817" s="15" t="s">
        <v>39829</v>
      </c>
      <c r="B9817" s="15" t="s">
        <v>17787</v>
      </c>
      <c r="C9817" s="15" t="s">
        <v>17788</v>
      </c>
      <c r="D9817" s="15" t="s">
        <v>17789</v>
      </c>
      <c r="E9817" s="15">
        <v>11.191000000000001</v>
      </c>
      <c r="F9817" s="42">
        <v>46198</v>
      </c>
    </row>
    <row r="9818" spans="1:6" x14ac:dyDescent="0.3">
      <c r="A9818" s="15" t="s">
        <v>39828</v>
      </c>
      <c r="B9818" s="15" t="s">
        <v>17790</v>
      </c>
      <c r="C9818" s="15" t="s">
        <v>800</v>
      </c>
      <c r="D9818" s="15" t="s">
        <v>17791</v>
      </c>
      <c r="E9818" s="15">
        <v>9.4551999999999996</v>
      </c>
      <c r="F9818" s="42">
        <v>46198</v>
      </c>
    </row>
    <row r="9819" spans="1:6" x14ac:dyDescent="0.3">
      <c r="A9819" s="15" t="s">
        <v>39827</v>
      </c>
      <c r="B9819" s="15" t="s">
        <v>17792</v>
      </c>
      <c r="C9819" s="15" t="s">
        <v>800</v>
      </c>
      <c r="D9819" s="15" t="s">
        <v>17793</v>
      </c>
      <c r="E9819" s="15">
        <v>9.4338999999999995</v>
      </c>
      <c r="F9819" s="42">
        <v>46198</v>
      </c>
    </row>
    <row r="9820" spans="1:6" x14ac:dyDescent="0.3">
      <c r="A9820" s="15" t="s">
        <v>33499</v>
      </c>
      <c r="B9820" s="15" t="s">
        <v>795</v>
      </c>
      <c r="C9820" s="15" t="s">
        <v>795</v>
      </c>
      <c r="D9820" s="15" t="s">
        <v>795</v>
      </c>
      <c r="F9820" s="42"/>
    </row>
    <row r="9821" spans="1:6" x14ac:dyDescent="0.3">
      <c r="A9821" s="15" t="s">
        <v>37044</v>
      </c>
      <c r="B9821" s="15" t="s">
        <v>795</v>
      </c>
      <c r="C9821" s="15" t="s">
        <v>795</v>
      </c>
      <c r="D9821" s="15" t="s">
        <v>795</v>
      </c>
      <c r="F9821" s="42"/>
    </row>
    <row r="9822" spans="1:6" x14ac:dyDescent="0.3">
      <c r="A9822" s="15" t="s">
        <v>33499</v>
      </c>
      <c r="B9822" s="15" t="s">
        <v>795</v>
      </c>
      <c r="C9822" s="15" t="s">
        <v>795</v>
      </c>
      <c r="D9822" s="15" t="s">
        <v>795</v>
      </c>
      <c r="F9822" s="42"/>
    </row>
    <row r="9823" spans="1:6" x14ac:dyDescent="0.3">
      <c r="A9823" s="15" t="s">
        <v>39826</v>
      </c>
      <c r="B9823" s="15" t="s">
        <v>17794</v>
      </c>
      <c r="C9823" s="15" t="s">
        <v>800</v>
      </c>
      <c r="D9823" s="15" t="s">
        <v>17795</v>
      </c>
      <c r="E9823" s="15">
        <v>189.71879999999999</v>
      </c>
      <c r="F9823" s="42">
        <v>46198</v>
      </c>
    </row>
    <row r="9824" spans="1:6" x14ac:dyDescent="0.3">
      <c r="A9824" s="15" t="s">
        <v>39825</v>
      </c>
      <c r="B9824" s="15" t="s">
        <v>17796</v>
      </c>
      <c r="C9824" s="15" t="s">
        <v>17797</v>
      </c>
      <c r="D9824" s="15" t="s">
        <v>17798</v>
      </c>
      <c r="E9824" s="15">
        <v>48.728299999999997</v>
      </c>
      <c r="F9824" s="42">
        <v>46198</v>
      </c>
    </row>
    <row r="9825" spans="1:6" x14ac:dyDescent="0.3">
      <c r="A9825" s="15" t="s">
        <v>39824</v>
      </c>
      <c r="B9825" s="15" t="s">
        <v>17799</v>
      </c>
      <c r="C9825" s="15" t="s">
        <v>17800</v>
      </c>
      <c r="D9825" s="15" t="s">
        <v>17801</v>
      </c>
      <c r="E9825" s="15">
        <v>40.986699999999999</v>
      </c>
      <c r="F9825" s="42">
        <v>46198</v>
      </c>
    </row>
    <row r="9826" spans="1:6" x14ac:dyDescent="0.3">
      <c r="A9826" s="15" t="s">
        <v>39823</v>
      </c>
      <c r="B9826" s="15" t="s">
        <v>17802</v>
      </c>
      <c r="C9826" s="15" t="s">
        <v>800</v>
      </c>
      <c r="D9826" s="15" t="s">
        <v>17803</v>
      </c>
      <c r="E9826" s="15">
        <v>166.42660000000001</v>
      </c>
      <c r="F9826" s="42">
        <v>46198</v>
      </c>
    </row>
    <row r="9827" spans="1:6" x14ac:dyDescent="0.3">
      <c r="A9827" s="15" t="s">
        <v>39822</v>
      </c>
      <c r="B9827" s="15" t="s">
        <v>17804</v>
      </c>
      <c r="C9827" s="15" t="s">
        <v>17805</v>
      </c>
      <c r="D9827" s="15" t="s">
        <v>17806</v>
      </c>
      <c r="E9827" s="15">
        <v>25.078099999999999</v>
      </c>
      <c r="F9827" s="42">
        <v>46198</v>
      </c>
    </row>
    <row r="9828" spans="1:6" x14ac:dyDescent="0.3">
      <c r="A9828" s="15" t="s">
        <v>39821</v>
      </c>
      <c r="B9828" s="15" t="s">
        <v>17807</v>
      </c>
      <c r="C9828" s="15" t="s">
        <v>800</v>
      </c>
      <c r="D9828" s="15" t="s">
        <v>17808</v>
      </c>
      <c r="E9828" s="15">
        <v>22.1676</v>
      </c>
      <c r="F9828" s="42">
        <v>46198</v>
      </c>
    </row>
    <row r="9829" spans="1:6" x14ac:dyDescent="0.3">
      <c r="A9829" s="15" t="s">
        <v>39820</v>
      </c>
      <c r="B9829" s="15" t="s">
        <v>17809</v>
      </c>
      <c r="C9829" s="15" t="s">
        <v>800</v>
      </c>
      <c r="D9829" s="15" t="s">
        <v>17810</v>
      </c>
      <c r="E9829" s="15">
        <v>25.078099999999999</v>
      </c>
      <c r="F9829" s="42">
        <v>46198</v>
      </c>
    </row>
    <row r="9830" spans="1:6" x14ac:dyDescent="0.3">
      <c r="A9830" s="15" t="s">
        <v>39819</v>
      </c>
      <c r="B9830" s="15" t="s">
        <v>17811</v>
      </c>
      <c r="C9830" s="15" t="s">
        <v>17812</v>
      </c>
      <c r="D9830" s="15" t="s">
        <v>17813</v>
      </c>
      <c r="E9830" s="15">
        <v>22.1676</v>
      </c>
      <c r="F9830" s="42">
        <v>46198</v>
      </c>
    </row>
    <row r="9831" spans="1:6" x14ac:dyDescent="0.3">
      <c r="A9831" s="15" t="s">
        <v>33499</v>
      </c>
      <c r="B9831" s="15" t="s">
        <v>795</v>
      </c>
      <c r="C9831" s="15" t="s">
        <v>795</v>
      </c>
      <c r="D9831" s="15" t="s">
        <v>795</v>
      </c>
      <c r="F9831" s="42"/>
    </row>
    <row r="9832" spans="1:6" x14ac:dyDescent="0.3">
      <c r="A9832" s="15" t="s">
        <v>37881</v>
      </c>
      <c r="B9832" s="15" t="s">
        <v>795</v>
      </c>
      <c r="C9832" s="15" t="s">
        <v>795</v>
      </c>
      <c r="D9832" s="15" t="s">
        <v>795</v>
      </c>
      <c r="F9832" s="42"/>
    </row>
    <row r="9833" spans="1:6" x14ac:dyDescent="0.3">
      <c r="A9833" s="15" t="s">
        <v>33499</v>
      </c>
      <c r="B9833" s="15" t="s">
        <v>795</v>
      </c>
      <c r="C9833" s="15" t="s">
        <v>795</v>
      </c>
      <c r="D9833" s="15" t="s">
        <v>795</v>
      </c>
      <c r="F9833" s="42"/>
    </row>
    <row r="9834" spans="1:6" x14ac:dyDescent="0.3">
      <c r="A9834" s="15" t="s">
        <v>39818</v>
      </c>
      <c r="B9834" s="15" t="s">
        <v>17814</v>
      </c>
      <c r="C9834" s="15" t="s">
        <v>800</v>
      </c>
      <c r="D9834" s="15" t="s">
        <v>17815</v>
      </c>
      <c r="E9834" s="15">
        <v>11.0815</v>
      </c>
      <c r="F9834" s="42">
        <v>46198</v>
      </c>
    </row>
    <row r="9835" spans="1:6" x14ac:dyDescent="0.3">
      <c r="A9835" s="15" t="s">
        <v>39817</v>
      </c>
      <c r="B9835" s="15" t="s">
        <v>17816</v>
      </c>
      <c r="C9835" s="15" t="s">
        <v>17817</v>
      </c>
      <c r="D9835" s="15" t="s">
        <v>17818</v>
      </c>
      <c r="E9835" s="15">
        <v>11.0817</v>
      </c>
      <c r="F9835" s="42">
        <v>46198</v>
      </c>
    </row>
    <row r="9836" spans="1:6" x14ac:dyDescent="0.3">
      <c r="A9836" s="15" t="s">
        <v>39816</v>
      </c>
      <c r="B9836" s="15" t="s">
        <v>17819</v>
      </c>
      <c r="C9836" s="15" t="s">
        <v>800</v>
      </c>
      <c r="D9836" s="15" t="s">
        <v>17820</v>
      </c>
      <c r="E9836" s="15">
        <v>11.068099999999999</v>
      </c>
      <c r="F9836" s="42">
        <v>46198</v>
      </c>
    </row>
    <row r="9837" spans="1:6" x14ac:dyDescent="0.3">
      <c r="A9837" s="15" t="s">
        <v>39815</v>
      </c>
      <c r="B9837" s="15" t="s">
        <v>17821</v>
      </c>
      <c r="C9837" s="15" t="s">
        <v>17822</v>
      </c>
      <c r="D9837" s="15" t="s">
        <v>17823</v>
      </c>
      <c r="E9837" s="15">
        <v>11.068099999999999</v>
      </c>
      <c r="F9837" s="42">
        <v>46198</v>
      </c>
    </row>
    <row r="9838" spans="1:6" x14ac:dyDescent="0.3">
      <c r="A9838" s="15" t="s">
        <v>39814</v>
      </c>
      <c r="B9838" s="15" t="s">
        <v>17824</v>
      </c>
      <c r="C9838" s="15" t="s">
        <v>800</v>
      </c>
      <c r="D9838" s="15" t="s">
        <v>17825</v>
      </c>
      <c r="E9838" s="15">
        <v>12.351100000000001</v>
      </c>
      <c r="F9838" s="42">
        <v>46198</v>
      </c>
    </row>
    <row r="9839" spans="1:6" x14ac:dyDescent="0.3">
      <c r="A9839" s="15" t="s">
        <v>39813</v>
      </c>
      <c r="B9839" s="15" t="s">
        <v>17826</v>
      </c>
      <c r="C9839" s="15" t="s">
        <v>17827</v>
      </c>
      <c r="D9839" s="15" t="s">
        <v>17828</v>
      </c>
      <c r="E9839" s="15">
        <v>12.3512</v>
      </c>
      <c r="F9839" s="42">
        <v>46198</v>
      </c>
    </row>
    <row r="9840" spans="1:6" x14ac:dyDescent="0.3">
      <c r="A9840" s="15" t="s">
        <v>39812</v>
      </c>
      <c r="B9840" s="15" t="s">
        <v>17829</v>
      </c>
      <c r="C9840" s="15" t="s">
        <v>800</v>
      </c>
      <c r="D9840" s="15" t="s">
        <v>17830</v>
      </c>
      <c r="E9840" s="15">
        <v>12.3024</v>
      </c>
      <c r="F9840" s="42">
        <v>46198</v>
      </c>
    </row>
    <row r="9841" spans="1:6" x14ac:dyDescent="0.3">
      <c r="A9841" s="15" t="s">
        <v>39811</v>
      </c>
      <c r="B9841" s="15" t="s">
        <v>17831</v>
      </c>
      <c r="C9841" s="15" t="s">
        <v>17832</v>
      </c>
      <c r="D9841" s="15" t="s">
        <v>17833</v>
      </c>
      <c r="E9841" s="15">
        <v>12.3025</v>
      </c>
      <c r="F9841" s="42">
        <v>46198</v>
      </c>
    </row>
    <row r="9842" spans="1:6" x14ac:dyDescent="0.3">
      <c r="A9842" s="15" t="s">
        <v>39810</v>
      </c>
      <c r="B9842" s="15" t="s">
        <v>17834</v>
      </c>
      <c r="C9842" s="15" t="s">
        <v>800</v>
      </c>
      <c r="D9842" s="15" t="s">
        <v>17835</v>
      </c>
      <c r="E9842" s="15">
        <v>17.253399999999999</v>
      </c>
      <c r="F9842" s="42">
        <v>46198</v>
      </c>
    </row>
    <row r="9843" spans="1:6" x14ac:dyDescent="0.3">
      <c r="A9843" s="15" t="s">
        <v>39809</v>
      </c>
      <c r="B9843" s="15" t="s">
        <v>17836</v>
      </c>
      <c r="C9843" s="15" t="s">
        <v>17837</v>
      </c>
      <c r="D9843" s="15" t="s">
        <v>17838</v>
      </c>
      <c r="E9843" s="15">
        <v>17.253399999999999</v>
      </c>
      <c r="F9843" s="42">
        <v>46198</v>
      </c>
    </row>
    <row r="9844" spans="1:6" x14ac:dyDescent="0.3">
      <c r="A9844" s="15" t="s">
        <v>39808</v>
      </c>
      <c r="B9844" s="15" t="s">
        <v>17839</v>
      </c>
      <c r="C9844" s="15" t="s">
        <v>800</v>
      </c>
      <c r="D9844" s="15" t="s">
        <v>17840</v>
      </c>
      <c r="E9844" s="15">
        <v>17.165400000000002</v>
      </c>
      <c r="F9844" s="42">
        <v>46198</v>
      </c>
    </row>
    <row r="9845" spans="1:6" x14ac:dyDescent="0.3">
      <c r="A9845" s="15" t="s">
        <v>39807</v>
      </c>
      <c r="B9845" s="15" t="s">
        <v>17841</v>
      </c>
      <c r="C9845" s="15" t="s">
        <v>17842</v>
      </c>
      <c r="D9845" s="15" t="s">
        <v>17843</v>
      </c>
      <c r="E9845" s="15">
        <v>17.165800000000001</v>
      </c>
      <c r="F9845" s="42">
        <v>46198</v>
      </c>
    </row>
    <row r="9846" spans="1:6" x14ac:dyDescent="0.3">
      <c r="A9846" s="15" t="s">
        <v>39806</v>
      </c>
      <c r="B9846" s="15" t="s">
        <v>17844</v>
      </c>
      <c r="C9846" s="15" t="s">
        <v>800</v>
      </c>
      <c r="D9846" s="15" t="s">
        <v>17845</v>
      </c>
      <c r="E9846" s="15">
        <v>10.240600000000001</v>
      </c>
      <c r="F9846" s="42">
        <v>46198</v>
      </c>
    </row>
    <row r="9847" spans="1:6" x14ac:dyDescent="0.3">
      <c r="A9847" s="15" t="s">
        <v>39805</v>
      </c>
      <c r="B9847" s="15" t="s">
        <v>17846</v>
      </c>
      <c r="C9847" s="15" t="s">
        <v>17847</v>
      </c>
      <c r="D9847" s="15" t="s">
        <v>17848</v>
      </c>
      <c r="E9847" s="15">
        <v>10.240600000000001</v>
      </c>
      <c r="F9847" s="42">
        <v>46198</v>
      </c>
    </row>
    <row r="9848" spans="1:6" x14ac:dyDescent="0.3">
      <c r="A9848" s="15" t="s">
        <v>39804</v>
      </c>
      <c r="B9848" s="15" t="s">
        <v>17849</v>
      </c>
      <c r="C9848" s="15" t="s">
        <v>800</v>
      </c>
      <c r="D9848" s="15" t="s">
        <v>17850</v>
      </c>
      <c r="E9848" s="15">
        <v>10.1823</v>
      </c>
      <c r="F9848" s="42">
        <v>46198</v>
      </c>
    </row>
    <row r="9849" spans="1:6" x14ac:dyDescent="0.3">
      <c r="A9849" s="15" t="s">
        <v>39803</v>
      </c>
      <c r="B9849" s="15" t="s">
        <v>17851</v>
      </c>
      <c r="C9849" s="15" t="s">
        <v>17852</v>
      </c>
      <c r="D9849" s="15" t="s">
        <v>17853</v>
      </c>
      <c r="E9849" s="15">
        <v>10.1823</v>
      </c>
      <c r="F9849" s="42">
        <v>46198</v>
      </c>
    </row>
    <row r="9850" spans="1:6" x14ac:dyDescent="0.3">
      <c r="A9850" s="15" t="s">
        <v>39802</v>
      </c>
      <c r="B9850" s="15" t="s">
        <v>17854</v>
      </c>
      <c r="C9850" s="15" t="s">
        <v>800</v>
      </c>
      <c r="D9850" s="15" t="s">
        <v>17855</v>
      </c>
      <c r="E9850" s="15">
        <v>11.5548</v>
      </c>
      <c r="F9850" s="42">
        <v>46198</v>
      </c>
    </row>
    <row r="9851" spans="1:6" x14ac:dyDescent="0.3">
      <c r="A9851" s="15" t="s">
        <v>39801</v>
      </c>
      <c r="B9851" s="15" t="s">
        <v>17856</v>
      </c>
      <c r="C9851" s="15" t="s">
        <v>17857</v>
      </c>
      <c r="D9851" s="15" t="s">
        <v>17858</v>
      </c>
      <c r="E9851" s="15">
        <v>11.5547</v>
      </c>
      <c r="F9851" s="42">
        <v>46198</v>
      </c>
    </row>
    <row r="9852" spans="1:6" x14ac:dyDescent="0.3">
      <c r="A9852" s="15" t="s">
        <v>39800</v>
      </c>
      <c r="B9852" s="15" t="s">
        <v>17859</v>
      </c>
      <c r="C9852" s="15" t="s">
        <v>800</v>
      </c>
      <c r="D9852" s="15" t="s">
        <v>17860</v>
      </c>
      <c r="E9852" s="15">
        <v>11.4726</v>
      </c>
      <c r="F9852" s="42">
        <v>46198</v>
      </c>
    </row>
    <row r="9853" spans="1:6" x14ac:dyDescent="0.3">
      <c r="A9853" s="15" t="s">
        <v>39799</v>
      </c>
      <c r="B9853" s="15" t="s">
        <v>17861</v>
      </c>
      <c r="C9853" s="15" t="s">
        <v>17862</v>
      </c>
      <c r="D9853" s="15" t="s">
        <v>17863</v>
      </c>
      <c r="E9853" s="15">
        <v>11.4726</v>
      </c>
      <c r="F9853" s="42">
        <v>46198</v>
      </c>
    </row>
    <row r="9854" spans="1:6" x14ac:dyDescent="0.3">
      <c r="A9854" s="15" t="s">
        <v>39798</v>
      </c>
      <c r="B9854" s="15" t="s">
        <v>17864</v>
      </c>
      <c r="C9854" s="15" t="s">
        <v>800</v>
      </c>
      <c r="D9854" s="15" t="s">
        <v>17865</v>
      </c>
      <c r="E9854" s="15">
        <v>10.7646</v>
      </c>
      <c r="F9854" s="42">
        <v>46198</v>
      </c>
    </row>
    <row r="9855" spans="1:6" x14ac:dyDescent="0.3">
      <c r="A9855" s="15" t="s">
        <v>39797</v>
      </c>
      <c r="B9855" s="15" t="s">
        <v>17866</v>
      </c>
      <c r="C9855" s="15" t="s">
        <v>17867</v>
      </c>
      <c r="D9855" s="15" t="s">
        <v>17868</v>
      </c>
      <c r="E9855" s="15">
        <v>10.776400000000001</v>
      </c>
      <c r="F9855" s="42">
        <v>46198</v>
      </c>
    </row>
    <row r="9856" spans="1:6" x14ac:dyDescent="0.3">
      <c r="A9856" s="15" t="s">
        <v>39796</v>
      </c>
      <c r="B9856" s="15" t="s">
        <v>17869</v>
      </c>
      <c r="C9856" s="15" t="s">
        <v>17870</v>
      </c>
      <c r="D9856" s="15" t="s">
        <v>17871</v>
      </c>
      <c r="E9856" s="15">
        <v>10.708399999999999</v>
      </c>
      <c r="F9856" s="42">
        <v>46198</v>
      </c>
    </row>
    <row r="9857" spans="1:6" x14ac:dyDescent="0.3">
      <c r="A9857" s="15" t="s">
        <v>39795</v>
      </c>
      <c r="B9857" s="15" t="s">
        <v>17872</v>
      </c>
      <c r="C9857" s="15" t="s">
        <v>800</v>
      </c>
      <c r="D9857" s="15" t="s">
        <v>17873</v>
      </c>
      <c r="E9857" s="15">
        <v>10.708500000000001</v>
      </c>
      <c r="F9857" s="42">
        <v>46198</v>
      </c>
    </row>
    <row r="9858" spans="1:6" x14ac:dyDescent="0.3">
      <c r="A9858" s="15" t="s">
        <v>39794</v>
      </c>
      <c r="B9858" s="15" t="s">
        <v>17874</v>
      </c>
      <c r="C9858" s="15" t="s">
        <v>800</v>
      </c>
      <c r="D9858" s="15" t="s">
        <v>17875</v>
      </c>
      <c r="E9858" s="15">
        <v>11.6563</v>
      </c>
      <c r="F9858" s="42">
        <v>46198</v>
      </c>
    </row>
    <row r="9859" spans="1:6" x14ac:dyDescent="0.3">
      <c r="A9859" s="15" t="s">
        <v>39793</v>
      </c>
      <c r="B9859" s="15" t="s">
        <v>17876</v>
      </c>
      <c r="C9859" s="15" t="s">
        <v>17877</v>
      </c>
      <c r="D9859" s="15" t="s">
        <v>17878</v>
      </c>
      <c r="E9859" s="15">
        <v>11.6563</v>
      </c>
      <c r="F9859" s="42">
        <v>46198</v>
      </c>
    </row>
    <row r="9860" spans="1:6" x14ac:dyDescent="0.3">
      <c r="A9860" s="15" t="s">
        <v>39792</v>
      </c>
      <c r="B9860" s="15" t="s">
        <v>17879</v>
      </c>
      <c r="C9860" s="15" t="s">
        <v>800</v>
      </c>
      <c r="D9860" s="15" t="s">
        <v>17880</v>
      </c>
      <c r="E9860" s="15">
        <v>11.6244</v>
      </c>
      <c r="F9860" s="42">
        <v>46198</v>
      </c>
    </row>
    <row r="9861" spans="1:6" x14ac:dyDescent="0.3">
      <c r="A9861" s="15" t="s">
        <v>39791</v>
      </c>
      <c r="B9861" s="15" t="s">
        <v>17881</v>
      </c>
      <c r="C9861" s="15" t="s">
        <v>17882</v>
      </c>
      <c r="D9861" s="15" t="s">
        <v>17883</v>
      </c>
      <c r="E9861" s="15">
        <v>11.624499999999999</v>
      </c>
      <c r="F9861" s="42">
        <v>46198</v>
      </c>
    </row>
    <row r="9862" spans="1:6" x14ac:dyDescent="0.3">
      <c r="A9862" s="15" t="s">
        <v>39790</v>
      </c>
      <c r="B9862" s="15" t="s">
        <v>17884</v>
      </c>
      <c r="C9862" s="15" t="s">
        <v>17885</v>
      </c>
      <c r="D9862" s="15" t="s">
        <v>17886</v>
      </c>
      <c r="E9862" s="15">
        <v>9.6771999999999991</v>
      </c>
      <c r="F9862" s="42">
        <v>46198</v>
      </c>
    </row>
    <row r="9863" spans="1:6" x14ac:dyDescent="0.3">
      <c r="A9863" s="15" t="s">
        <v>39789</v>
      </c>
      <c r="B9863" s="15" t="s">
        <v>17887</v>
      </c>
      <c r="C9863" s="15" t="s">
        <v>800</v>
      </c>
      <c r="D9863" s="15" t="s">
        <v>17888</v>
      </c>
      <c r="E9863" s="15">
        <v>9.6021000000000001</v>
      </c>
      <c r="F9863" s="42">
        <v>46198</v>
      </c>
    </row>
    <row r="9864" spans="1:6" x14ac:dyDescent="0.3">
      <c r="A9864" s="15" t="s">
        <v>39788</v>
      </c>
      <c r="B9864" s="15" t="s">
        <v>17889</v>
      </c>
      <c r="C9864" s="15" t="s">
        <v>17890</v>
      </c>
      <c r="D9864" s="15" t="s">
        <v>17891</v>
      </c>
      <c r="E9864" s="15">
        <v>9.6021999999999998</v>
      </c>
      <c r="F9864" s="42">
        <v>46198</v>
      </c>
    </row>
    <row r="9865" spans="1:6" x14ac:dyDescent="0.3">
      <c r="A9865" s="15" t="s">
        <v>39787</v>
      </c>
      <c r="B9865" s="15" t="s">
        <v>17892</v>
      </c>
      <c r="C9865" s="15" t="s">
        <v>800</v>
      </c>
      <c r="D9865" s="15" t="s">
        <v>17893</v>
      </c>
      <c r="E9865" s="15">
        <v>9.6768000000000001</v>
      </c>
      <c r="F9865" s="42">
        <v>46198</v>
      </c>
    </row>
    <row r="9866" spans="1:6" x14ac:dyDescent="0.3">
      <c r="A9866" s="15" t="s">
        <v>39786</v>
      </c>
      <c r="B9866" s="15" t="s">
        <v>17894</v>
      </c>
      <c r="C9866" s="15" t="s">
        <v>17895</v>
      </c>
      <c r="D9866" s="15" t="s">
        <v>17896</v>
      </c>
      <c r="E9866" s="15">
        <v>13.839399999999999</v>
      </c>
      <c r="F9866" s="42">
        <v>46198</v>
      </c>
    </row>
    <row r="9867" spans="1:6" x14ac:dyDescent="0.3">
      <c r="A9867" s="15" t="s">
        <v>39785</v>
      </c>
      <c r="B9867" s="15" t="s">
        <v>17897</v>
      </c>
      <c r="C9867" s="15" t="s">
        <v>800</v>
      </c>
      <c r="D9867" s="15" t="s">
        <v>17898</v>
      </c>
      <c r="E9867" s="15">
        <v>13.8392</v>
      </c>
      <c r="F9867" s="42">
        <v>46198</v>
      </c>
    </row>
    <row r="9868" spans="1:6" x14ac:dyDescent="0.3">
      <c r="A9868" s="15" t="s">
        <v>39784</v>
      </c>
      <c r="B9868" s="15" t="s">
        <v>17899</v>
      </c>
      <c r="C9868" s="15" t="s">
        <v>800</v>
      </c>
      <c r="D9868" s="15" t="s">
        <v>17900</v>
      </c>
      <c r="E9868" s="15">
        <v>13.744999999999999</v>
      </c>
      <c r="F9868" s="42">
        <v>46198</v>
      </c>
    </row>
    <row r="9869" spans="1:6" x14ac:dyDescent="0.3">
      <c r="A9869" s="15" t="s">
        <v>39783</v>
      </c>
      <c r="B9869" s="15" t="s">
        <v>17901</v>
      </c>
      <c r="C9869" s="15" t="s">
        <v>17902</v>
      </c>
      <c r="D9869" s="15" t="s">
        <v>17903</v>
      </c>
      <c r="E9869" s="15">
        <v>13.743399999999999</v>
      </c>
      <c r="F9869" s="42">
        <v>46198</v>
      </c>
    </row>
    <row r="9870" spans="1:6" x14ac:dyDescent="0.3">
      <c r="A9870" s="15" t="s">
        <v>39782</v>
      </c>
      <c r="B9870" s="15" t="s">
        <v>17904</v>
      </c>
      <c r="C9870" s="15" t="s">
        <v>800</v>
      </c>
      <c r="D9870" s="15" t="s">
        <v>17905</v>
      </c>
      <c r="E9870" s="15">
        <v>9.2035999999999998</v>
      </c>
      <c r="F9870" s="42">
        <v>46198</v>
      </c>
    </row>
    <row r="9871" spans="1:6" x14ac:dyDescent="0.3">
      <c r="A9871" s="15" t="s">
        <v>39781</v>
      </c>
      <c r="B9871" s="15" t="s">
        <v>17906</v>
      </c>
      <c r="C9871" s="15" t="s">
        <v>17907</v>
      </c>
      <c r="D9871" s="15" t="s">
        <v>17908</v>
      </c>
      <c r="E9871" s="15">
        <v>9.2036999999999995</v>
      </c>
      <c r="F9871" s="42">
        <v>46198</v>
      </c>
    </row>
    <row r="9872" spans="1:6" x14ac:dyDescent="0.3">
      <c r="A9872" s="15" t="s">
        <v>39780</v>
      </c>
      <c r="B9872" s="15" t="s">
        <v>17909</v>
      </c>
      <c r="C9872" s="15" t="s">
        <v>800</v>
      </c>
      <c r="D9872" s="15" t="s">
        <v>17910</v>
      </c>
      <c r="E9872" s="15">
        <v>9.1625999999999994</v>
      </c>
      <c r="F9872" s="42">
        <v>46198</v>
      </c>
    </row>
    <row r="9873" spans="1:6" x14ac:dyDescent="0.3">
      <c r="A9873" s="15" t="s">
        <v>39779</v>
      </c>
      <c r="B9873" s="15" t="s">
        <v>17911</v>
      </c>
      <c r="C9873" s="15" t="s">
        <v>17912</v>
      </c>
      <c r="D9873" s="15" t="s">
        <v>17913</v>
      </c>
      <c r="E9873" s="15">
        <v>9.1625999999999994</v>
      </c>
      <c r="F9873" s="42">
        <v>46198</v>
      </c>
    </row>
    <row r="9874" spans="1:6" x14ac:dyDescent="0.3">
      <c r="A9874" s="15" t="s">
        <v>39778</v>
      </c>
      <c r="B9874" s="15" t="s">
        <v>17914</v>
      </c>
      <c r="C9874" s="15" t="s">
        <v>800</v>
      </c>
      <c r="D9874" s="15" t="s">
        <v>17915</v>
      </c>
      <c r="E9874" s="15">
        <v>9.6480999999999995</v>
      </c>
      <c r="F9874" s="42">
        <v>46198</v>
      </c>
    </row>
    <row r="9875" spans="1:6" x14ac:dyDescent="0.3">
      <c r="A9875" s="15" t="s">
        <v>39777</v>
      </c>
      <c r="B9875" s="15" t="s">
        <v>17916</v>
      </c>
      <c r="C9875" s="15" t="s">
        <v>17917</v>
      </c>
      <c r="D9875" s="15" t="s">
        <v>17918</v>
      </c>
      <c r="E9875" s="15">
        <v>9.6480999999999995</v>
      </c>
      <c r="F9875" s="42">
        <v>46198</v>
      </c>
    </row>
    <row r="9876" spans="1:6" x14ac:dyDescent="0.3">
      <c r="A9876" s="15" t="s">
        <v>39776</v>
      </c>
      <c r="B9876" s="15" t="s">
        <v>17919</v>
      </c>
      <c r="C9876" s="15" t="s">
        <v>800</v>
      </c>
      <c r="D9876" s="15" t="s">
        <v>17920</v>
      </c>
      <c r="E9876" s="15">
        <v>9.6378000000000004</v>
      </c>
      <c r="F9876" s="42">
        <v>46198</v>
      </c>
    </row>
    <row r="9877" spans="1:6" x14ac:dyDescent="0.3">
      <c r="A9877" s="15" t="s">
        <v>39775</v>
      </c>
      <c r="B9877" s="15" t="s">
        <v>17921</v>
      </c>
      <c r="C9877" s="15" t="s">
        <v>17922</v>
      </c>
      <c r="D9877" s="15" t="s">
        <v>17923</v>
      </c>
      <c r="E9877" s="15">
        <v>9.6378000000000004</v>
      </c>
      <c r="F9877" s="42">
        <v>46198</v>
      </c>
    </row>
    <row r="9878" spans="1:6" x14ac:dyDescent="0.3">
      <c r="A9878" s="15" t="s">
        <v>39774</v>
      </c>
      <c r="B9878" s="15" t="s">
        <v>17924</v>
      </c>
      <c r="C9878" s="15" t="s">
        <v>800</v>
      </c>
      <c r="D9878" s="15" t="s">
        <v>17925</v>
      </c>
      <c r="E9878" s="15">
        <v>21.025500000000001</v>
      </c>
      <c r="F9878" s="42">
        <v>46198</v>
      </c>
    </row>
    <row r="9879" spans="1:6" x14ac:dyDescent="0.3">
      <c r="A9879" s="15" t="s">
        <v>39773</v>
      </c>
      <c r="B9879" s="15" t="s">
        <v>17926</v>
      </c>
      <c r="C9879" s="15" t="s">
        <v>17927</v>
      </c>
      <c r="D9879" s="15" t="s">
        <v>17928</v>
      </c>
      <c r="E9879" s="15">
        <v>21.029900000000001</v>
      </c>
      <c r="F9879" s="42">
        <v>46198</v>
      </c>
    </row>
    <row r="9880" spans="1:6" x14ac:dyDescent="0.3">
      <c r="A9880" s="15" t="s">
        <v>39772</v>
      </c>
      <c r="B9880" s="15" t="s">
        <v>17929</v>
      </c>
      <c r="C9880" s="15" t="s">
        <v>800</v>
      </c>
      <c r="D9880" s="15" t="s">
        <v>17930</v>
      </c>
      <c r="E9880" s="15">
        <v>20.9312</v>
      </c>
      <c r="F9880" s="42">
        <v>46198</v>
      </c>
    </row>
    <row r="9881" spans="1:6" x14ac:dyDescent="0.3">
      <c r="A9881" s="15" t="s">
        <v>39771</v>
      </c>
      <c r="B9881" s="15" t="s">
        <v>17931</v>
      </c>
      <c r="C9881" s="15" t="s">
        <v>17932</v>
      </c>
      <c r="D9881" s="15" t="s">
        <v>17933</v>
      </c>
      <c r="E9881" s="15">
        <v>20.931100000000001</v>
      </c>
      <c r="F9881" s="42">
        <v>46198</v>
      </c>
    </row>
    <row r="9882" spans="1:6" x14ac:dyDescent="0.3">
      <c r="A9882" s="15" t="s">
        <v>33499</v>
      </c>
      <c r="B9882" s="15" t="s">
        <v>795</v>
      </c>
      <c r="C9882" s="15" t="s">
        <v>795</v>
      </c>
      <c r="D9882" s="15" t="s">
        <v>795</v>
      </c>
      <c r="F9882" s="42"/>
    </row>
    <row r="9883" spans="1:6" x14ac:dyDescent="0.3">
      <c r="A9883" s="15" t="s">
        <v>37043</v>
      </c>
      <c r="B9883" s="15" t="s">
        <v>795</v>
      </c>
      <c r="C9883" s="15" t="s">
        <v>795</v>
      </c>
      <c r="D9883" s="15" t="s">
        <v>795</v>
      </c>
      <c r="F9883" s="42"/>
    </row>
    <row r="9884" spans="1:6" x14ac:dyDescent="0.3">
      <c r="A9884" s="15" t="s">
        <v>33499</v>
      </c>
      <c r="B9884" s="15" t="s">
        <v>795</v>
      </c>
      <c r="C9884" s="15" t="s">
        <v>795</v>
      </c>
      <c r="D9884" s="15" t="s">
        <v>795</v>
      </c>
      <c r="F9884" s="42"/>
    </row>
    <row r="9885" spans="1:6" x14ac:dyDescent="0.3">
      <c r="A9885" s="15" t="s">
        <v>39770</v>
      </c>
      <c r="B9885" s="15" t="s">
        <v>17934</v>
      </c>
      <c r="C9885" s="15" t="s">
        <v>800</v>
      </c>
      <c r="D9885" s="15" t="s">
        <v>17935</v>
      </c>
      <c r="E9885" s="15">
        <v>10.062799999999999</v>
      </c>
      <c r="F9885" s="42">
        <v>46198</v>
      </c>
    </row>
    <row r="9886" spans="1:6" x14ac:dyDescent="0.3">
      <c r="A9886" s="15" t="s">
        <v>39769</v>
      </c>
      <c r="B9886" s="15" t="s">
        <v>17936</v>
      </c>
      <c r="C9886" s="15" t="s">
        <v>17937</v>
      </c>
      <c r="D9886" s="15" t="s">
        <v>17938</v>
      </c>
      <c r="E9886" s="15">
        <v>10.062799999999999</v>
      </c>
      <c r="F9886" s="42">
        <v>46198</v>
      </c>
    </row>
    <row r="9887" spans="1:6" x14ac:dyDescent="0.3">
      <c r="A9887" s="15" t="s">
        <v>39768</v>
      </c>
      <c r="B9887" s="15" t="s">
        <v>17939</v>
      </c>
      <c r="C9887" s="15" t="s">
        <v>17940</v>
      </c>
      <c r="D9887" s="15" t="s">
        <v>17941</v>
      </c>
      <c r="E9887" s="15">
        <v>9.9869000000000003</v>
      </c>
      <c r="F9887" s="42">
        <v>46198</v>
      </c>
    </row>
    <row r="9888" spans="1:6" x14ac:dyDescent="0.3">
      <c r="A9888" s="15" t="s">
        <v>39767</v>
      </c>
      <c r="B9888" s="15" t="s">
        <v>17942</v>
      </c>
      <c r="C9888" s="15" t="s">
        <v>800</v>
      </c>
      <c r="D9888" s="15" t="s">
        <v>17943</v>
      </c>
      <c r="E9888" s="15">
        <v>9.9869000000000003</v>
      </c>
      <c r="F9888" s="42">
        <v>46198</v>
      </c>
    </row>
    <row r="9889" spans="1:6" x14ac:dyDescent="0.3">
      <c r="A9889" s="15" t="s">
        <v>39766</v>
      </c>
      <c r="B9889" s="15" t="s">
        <v>762</v>
      </c>
      <c r="C9889" s="15" t="s">
        <v>800</v>
      </c>
      <c r="D9889" s="15" t="s">
        <v>17944</v>
      </c>
      <c r="E9889" s="15">
        <v>43.279000000000003</v>
      </c>
      <c r="F9889" s="42">
        <v>46198</v>
      </c>
    </row>
    <row r="9890" spans="1:6" x14ac:dyDescent="0.3">
      <c r="A9890" s="15" t="s">
        <v>39765</v>
      </c>
      <c r="B9890" s="15" t="s">
        <v>17945</v>
      </c>
      <c r="C9890" s="15" t="s">
        <v>800</v>
      </c>
      <c r="D9890" s="15" t="s">
        <v>17946</v>
      </c>
      <c r="E9890" s="15">
        <v>41.216299999999997</v>
      </c>
      <c r="F9890" s="42">
        <v>46198</v>
      </c>
    </row>
    <row r="9891" spans="1:6" x14ac:dyDescent="0.3">
      <c r="A9891" s="15" t="s">
        <v>39764</v>
      </c>
      <c r="B9891" s="15" t="s">
        <v>17947</v>
      </c>
      <c r="C9891" s="15" t="s">
        <v>800</v>
      </c>
      <c r="D9891" s="15" t="s">
        <v>17948</v>
      </c>
      <c r="E9891" s="15">
        <v>40.992899999999999</v>
      </c>
      <c r="F9891" s="42">
        <v>46198</v>
      </c>
    </row>
    <row r="9892" spans="1:6" x14ac:dyDescent="0.3">
      <c r="A9892" s="15" t="s">
        <v>39763</v>
      </c>
      <c r="B9892" s="15" t="s">
        <v>17949</v>
      </c>
      <c r="C9892" s="15" t="s">
        <v>800</v>
      </c>
      <c r="D9892" s="15" t="s">
        <v>17950</v>
      </c>
      <c r="E9892" s="15">
        <v>45.329099999999997</v>
      </c>
      <c r="F9892" s="42">
        <v>46198</v>
      </c>
    </row>
    <row r="9893" spans="1:6" x14ac:dyDescent="0.3">
      <c r="A9893" s="15" t="s">
        <v>39762</v>
      </c>
      <c r="B9893" s="15" t="s">
        <v>17951</v>
      </c>
      <c r="C9893" s="15" t="s">
        <v>800</v>
      </c>
      <c r="D9893" s="15" t="s">
        <v>17952</v>
      </c>
      <c r="E9893" s="15">
        <v>35.921300000000002</v>
      </c>
      <c r="F9893" s="42">
        <v>46198</v>
      </c>
    </row>
    <row r="9894" spans="1:6" x14ac:dyDescent="0.3">
      <c r="A9894" s="15" t="s">
        <v>39761</v>
      </c>
      <c r="B9894" s="15" t="s">
        <v>17953</v>
      </c>
      <c r="C9894" s="15" t="s">
        <v>800</v>
      </c>
      <c r="D9894" s="15" t="s">
        <v>17954</v>
      </c>
      <c r="E9894" s="15">
        <v>39.817300000000003</v>
      </c>
      <c r="F9894" s="42">
        <v>46198</v>
      </c>
    </row>
    <row r="9895" spans="1:6" x14ac:dyDescent="0.3">
      <c r="A9895" s="15" t="s">
        <v>39760</v>
      </c>
      <c r="B9895" s="15" t="s">
        <v>17955</v>
      </c>
      <c r="C9895" s="15" t="s">
        <v>800</v>
      </c>
      <c r="D9895" s="15" t="s">
        <v>17956</v>
      </c>
      <c r="E9895" s="15">
        <v>10.2417</v>
      </c>
      <c r="F9895" s="42">
        <v>46198</v>
      </c>
    </row>
    <row r="9896" spans="1:6" x14ac:dyDescent="0.3">
      <c r="A9896" s="15" t="s">
        <v>39759</v>
      </c>
      <c r="B9896" s="15" t="s">
        <v>17957</v>
      </c>
      <c r="C9896" s="15" t="s">
        <v>800</v>
      </c>
      <c r="D9896" s="15" t="s">
        <v>17958</v>
      </c>
      <c r="E9896" s="15">
        <v>10.229900000000001</v>
      </c>
      <c r="F9896" s="42">
        <v>46198</v>
      </c>
    </row>
    <row r="9897" spans="1:6" x14ac:dyDescent="0.3">
      <c r="A9897" s="15" t="s">
        <v>39758</v>
      </c>
      <c r="B9897" s="15" t="s">
        <v>17959</v>
      </c>
      <c r="C9897" s="15" t="s">
        <v>17960</v>
      </c>
      <c r="D9897" s="15" t="s">
        <v>17961</v>
      </c>
      <c r="E9897" s="15">
        <v>10.2417</v>
      </c>
      <c r="F9897" s="42">
        <v>46198</v>
      </c>
    </row>
    <row r="9898" spans="1:6" x14ac:dyDescent="0.3">
      <c r="A9898" s="15" t="s">
        <v>39757</v>
      </c>
      <c r="B9898" s="15" t="s">
        <v>17962</v>
      </c>
      <c r="C9898" s="15" t="s">
        <v>17963</v>
      </c>
      <c r="D9898" s="15" t="s">
        <v>17964</v>
      </c>
      <c r="E9898" s="15">
        <v>10.229900000000001</v>
      </c>
      <c r="F9898" s="42">
        <v>46198</v>
      </c>
    </row>
    <row r="9899" spans="1:6" x14ac:dyDescent="0.3">
      <c r="A9899" s="15" t="s">
        <v>39756</v>
      </c>
      <c r="B9899" s="15" t="s">
        <v>17965</v>
      </c>
      <c r="C9899" s="15" t="s">
        <v>800</v>
      </c>
      <c r="D9899" s="15" t="s">
        <v>17966</v>
      </c>
      <c r="E9899" s="15">
        <v>19.216999999999999</v>
      </c>
      <c r="F9899" s="42">
        <v>46198</v>
      </c>
    </row>
    <row r="9900" spans="1:6" x14ac:dyDescent="0.3">
      <c r="A9900" s="15" t="s">
        <v>39755</v>
      </c>
      <c r="B9900" s="15" t="s">
        <v>17967</v>
      </c>
      <c r="C9900" s="15" t="s">
        <v>800</v>
      </c>
      <c r="D9900" s="15" t="s">
        <v>17968</v>
      </c>
      <c r="E9900" s="15">
        <v>20.385000000000002</v>
      </c>
      <c r="F9900" s="42">
        <v>46198</v>
      </c>
    </row>
    <row r="9901" spans="1:6" x14ac:dyDescent="0.3">
      <c r="A9901" s="15" t="s">
        <v>39754</v>
      </c>
      <c r="B9901" s="15" t="s">
        <v>17969</v>
      </c>
      <c r="C9901" s="15" t="s">
        <v>800</v>
      </c>
      <c r="D9901" s="15" t="s">
        <v>17970</v>
      </c>
      <c r="E9901" s="15">
        <v>19.216999999999999</v>
      </c>
      <c r="F9901" s="42">
        <v>46198</v>
      </c>
    </row>
    <row r="9902" spans="1:6" x14ac:dyDescent="0.3">
      <c r="A9902" s="15" t="s">
        <v>39753</v>
      </c>
      <c r="B9902" s="15" t="s">
        <v>17971</v>
      </c>
      <c r="C9902" s="15" t="s">
        <v>800</v>
      </c>
      <c r="D9902" s="15" t="s">
        <v>17972</v>
      </c>
      <c r="E9902" s="15">
        <v>20.385000000000002</v>
      </c>
      <c r="F9902" s="42">
        <v>46198</v>
      </c>
    </row>
    <row r="9903" spans="1:6" x14ac:dyDescent="0.3">
      <c r="A9903" s="15" t="s">
        <v>39752</v>
      </c>
      <c r="B9903" s="15" t="s">
        <v>17973</v>
      </c>
      <c r="C9903" s="15" t="s">
        <v>800</v>
      </c>
      <c r="D9903" s="15" t="s">
        <v>17974</v>
      </c>
      <c r="E9903" s="15">
        <v>35.170299999999997</v>
      </c>
      <c r="F9903" s="42">
        <v>46198</v>
      </c>
    </row>
    <row r="9904" spans="1:6" x14ac:dyDescent="0.3">
      <c r="A9904" s="15" t="s">
        <v>39751</v>
      </c>
      <c r="B9904" s="15" t="s">
        <v>777</v>
      </c>
      <c r="C9904" s="15" t="s">
        <v>800</v>
      </c>
      <c r="D9904" s="15" t="s">
        <v>17975</v>
      </c>
      <c r="E9904" s="15">
        <v>35.653700000000001</v>
      </c>
      <c r="F9904" s="42">
        <v>46198</v>
      </c>
    </row>
    <row r="9905" spans="1:6" x14ac:dyDescent="0.3">
      <c r="A9905" s="15" t="s">
        <v>33499</v>
      </c>
      <c r="B9905" s="15" t="s">
        <v>795</v>
      </c>
      <c r="C9905" s="15" t="s">
        <v>795</v>
      </c>
      <c r="D9905" s="15" t="s">
        <v>795</v>
      </c>
      <c r="F9905" s="42"/>
    </row>
    <row r="9906" spans="1:6" x14ac:dyDescent="0.3">
      <c r="A9906" s="15" t="s">
        <v>36815</v>
      </c>
      <c r="B9906" s="15" t="s">
        <v>795</v>
      </c>
      <c r="C9906" s="15" t="s">
        <v>795</v>
      </c>
      <c r="D9906" s="15" t="s">
        <v>795</v>
      </c>
      <c r="F9906" s="42"/>
    </row>
    <row r="9907" spans="1:6" x14ac:dyDescent="0.3">
      <c r="A9907" s="15" t="s">
        <v>33499</v>
      </c>
      <c r="B9907" s="15" t="s">
        <v>795</v>
      </c>
      <c r="C9907" s="15" t="s">
        <v>795</v>
      </c>
      <c r="D9907" s="15" t="s">
        <v>795</v>
      </c>
      <c r="F9907" s="42"/>
    </row>
    <row r="9908" spans="1:6" x14ac:dyDescent="0.3">
      <c r="A9908" s="15" t="s">
        <v>39750</v>
      </c>
      <c r="B9908" s="15" t="s">
        <v>17976</v>
      </c>
      <c r="C9908" s="15" t="s">
        <v>17977</v>
      </c>
      <c r="D9908" s="15" t="s">
        <v>17978</v>
      </c>
      <c r="E9908" s="15">
        <v>29.748000000000001</v>
      </c>
      <c r="F9908" s="42">
        <v>46198</v>
      </c>
    </row>
    <row r="9909" spans="1:6" x14ac:dyDescent="0.3">
      <c r="A9909" s="15" t="s">
        <v>39749</v>
      </c>
      <c r="B9909" s="15" t="s">
        <v>17979</v>
      </c>
      <c r="C9909" s="15" t="s">
        <v>17980</v>
      </c>
      <c r="D9909" s="15" t="s">
        <v>17981</v>
      </c>
      <c r="E9909" s="15">
        <v>32.135899999999999</v>
      </c>
      <c r="F9909" s="42">
        <v>46198</v>
      </c>
    </row>
    <row r="9910" spans="1:6" x14ac:dyDescent="0.3">
      <c r="A9910" s="15" t="s">
        <v>39748</v>
      </c>
      <c r="B9910" s="15" t="s">
        <v>17982</v>
      </c>
      <c r="C9910" s="15" t="s">
        <v>800</v>
      </c>
      <c r="D9910" s="15" t="s">
        <v>17983</v>
      </c>
      <c r="E9910" s="15">
        <v>42.160200000000003</v>
      </c>
      <c r="F9910" s="42">
        <v>46198</v>
      </c>
    </row>
    <row r="9911" spans="1:6" x14ac:dyDescent="0.3">
      <c r="A9911" s="15" t="s">
        <v>39747</v>
      </c>
      <c r="B9911" s="15" t="s">
        <v>17984</v>
      </c>
      <c r="C9911" s="15" t="s">
        <v>800</v>
      </c>
      <c r="D9911" s="15" t="s">
        <v>17985</v>
      </c>
      <c r="E9911" s="15">
        <v>44.844700000000003</v>
      </c>
      <c r="F9911" s="42">
        <v>46198</v>
      </c>
    </row>
    <row r="9912" spans="1:6" x14ac:dyDescent="0.3">
      <c r="A9912" s="15" t="s">
        <v>39746</v>
      </c>
      <c r="B9912" s="15" t="s">
        <v>17986</v>
      </c>
      <c r="C9912" s="15" t="s">
        <v>800</v>
      </c>
      <c r="D9912" s="15" t="s">
        <v>17987</v>
      </c>
      <c r="E9912" s="15">
        <v>9.6464999999999996</v>
      </c>
      <c r="F9912" s="42">
        <v>46198</v>
      </c>
    </row>
    <row r="9913" spans="1:6" x14ac:dyDescent="0.3">
      <c r="A9913" s="15" t="s">
        <v>39745</v>
      </c>
      <c r="B9913" s="15" t="s">
        <v>17988</v>
      </c>
      <c r="C9913" s="15" t="s">
        <v>17989</v>
      </c>
      <c r="D9913" s="15" t="s">
        <v>17990</v>
      </c>
      <c r="E9913" s="15">
        <v>9.6464999999999996</v>
      </c>
      <c r="F9913" s="42">
        <v>46198</v>
      </c>
    </row>
    <row r="9914" spans="1:6" x14ac:dyDescent="0.3">
      <c r="A9914" s="15" t="s">
        <v>39744</v>
      </c>
      <c r="B9914" s="15" t="s">
        <v>17991</v>
      </c>
      <c r="C9914" s="15" t="s">
        <v>800</v>
      </c>
      <c r="D9914" s="15" t="s">
        <v>17992</v>
      </c>
      <c r="E9914" s="15">
        <v>9.6372999999999998</v>
      </c>
      <c r="F9914" s="42">
        <v>46198</v>
      </c>
    </row>
    <row r="9915" spans="1:6" x14ac:dyDescent="0.3">
      <c r="A9915" s="15" t="s">
        <v>39743</v>
      </c>
      <c r="B9915" s="15" t="s">
        <v>17993</v>
      </c>
      <c r="C9915" s="15" t="s">
        <v>17994</v>
      </c>
      <c r="D9915" s="15" t="s">
        <v>17995</v>
      </c>
      <c r="E9915" s="15">
        <v>9.6372999999999998</v>
      </c>
      <c r="F9915" s="42">
        <v>46198</v>
      </c>
    </row>
    <row r="9916" spans="1:6" x14ac:dyDescent="0.3">
      <c r="A9916" s="15" t="s">
        <v>39742</v>
      </c>
      <c r="B9916" s="15" t="s">
        <v>17996</v>
      </c>
      <c r="C9916" s="15" t="s">
        <v>800</v>
      </c>
      <c r="D9916" s="15" t="s">
        <v>17997</v>
      </c>
      <c r="E9916" s="15">
        <v>22.521699999999999</v>
      </c>
      <c r="F9916" s="42">
        <v>46198</v>
      </c>
    </row>
    <row r="9917" spans="1:6" x14ac:dyDescent="0.3">
      <c r="A9917" s="15" t="s">
        <v>39741</v>
      </c>
      <c r="B9917" s="15" t="s">
        <v>17998</v>
      </c>
      <c r="C9917" s="15" t="s">
        <v>800</v>
      </c>
      <c r="D9917" s="15" t="s">
        <v>17999</v>
      </c>
      <c r="E9917" s="15">
        <v>23.952100000000002</v>
      </c>
      <c r="F9917" s="42">
        <v>46198</v>
      </c>
    </row>
    <row r="9918" spans="1:6" x14ac:dyDescent="0.3">
      <c r="A9918" s="15" t="s">
        <v>39740</v>
      </c>
      <c r="B9918" s="15" t="s">
        <v>18000</v>
      </c>
      <c r="C9918" s="15" t="s">
        <v>18001</v>
      </c>
      <c r="D9918" s="15" t="s">
        <v>18002</v>
      </c>
      <c r="E9918" s="15">
        <v>19.1584</v>
      </c>
      <c r="F9918" s="42">
        <v>46198</v>
      </c>
    </row>
    <row r="9919" spans="1:6" x14ac:dyDescent="0.3">
      <c r="A9919" s="15" t="s">
        <v>39739</v>
      </c>
      <c r="B9919" s="15" t="s">
        <v>18003</v>
      </c>
      <c r="C9919" s="15" t="s">
        <v>18004</v>
      </c>
      <c r="D9919" s="15" t="s">
        <v>18005</v>
      </c>
      <c r="E9919" s="15">
        <v>16.2315</v>
      </c>
      <c r="F9919" s="42">
        <v>46198</v>
      </c>
    </row>
    <row r="9920" spans="1:6" x14ac:dyDescent="0.3">
      <c r="A9920" s="15" t="s">
        <v>39738</v>
      </c>
      <c r="B9920" s="15" t="s">
        <v>18006</v>
      </c>
      <c r="C9920" s="15" t="s">
        <v>800</v>
      </c>
      <c r="D9920" s="15" t="s">
        <v>18007</v>
      </c>
      <c r="E9920" s="15">
        <v>40.842199999999998</v>
      </c>
      <c r="F9920" s="42">
        <v>46198</v>
      </c>
    </row>
    <row r="9921" spans="1:6" x14ac:dyDescent="0.3">
      <c r="A9921" s="15" t="s">
        <v>39737</v>
      </c>
      <c r="B9921" s="15" t="s">
        <v>18008</v>
      </c>
      <c r="C9921" s="15" t="s">
        <v>800</v>
      </c>
      <c r="D9921" s="15" t="s">
        <v>18009</v>
      </c>
      <c r="E9921" s="15">
        <v>43.543799999999997</v>
      </c>
      <c r="F9921" s="42">
        <v>46198</v>
      </c>
    </row>
    <row r="9922" spans="1:6" x14ac:dyDescent="0.3">
      <c r="A9922" s="15" t="s">
        <v>39736</v>
      </c>
      <c r="B9922" s="15" t="s">
        <v>18010</v>
      </c>
      <c r="C9922" s="15" t="s">
        <v>18011</v>
      </c>
      <c r="D9922" s="15" t="s">
        <v>18012</v>
      </c>
      <c r="E9922" s="15">
        <v>20.915299999999998</v>
      </c>
      <c r="F9922" s="42">
        <v>46198</v>
      </c>
    </row>
    <row r="9923" spans="1:6" x14ac:dyDescent="0.3">
      <c r="A9923" s="15" t="s">
        <v>39735</v>
      </c>
      <c r="B9923" s="15" t="s">
        <v>18013</v>
      </c>
      <c r="C9923" s="15" t="s">
        <v>18014</v>
      </c>
      <c r="D9923" s="15" t="s">
        <v>18015</v>
      </c>
      <c r="E9923" s="15">
        <v>29.804099999999998</v>
      </c>
      <c r="F9923" s="42">
        <v>46198</v>
      </c>
    </row>
    <row r="9924" spans="1:6" x14ac:dyDescent="0.3">
      <c r="A9924" s="15" t="s">
        <v>33499</v>
      </c>
      <c r="B9924" s="15" t="s">
        <v>795</v>
      </c>
      <c r="C9924" s="15" t="s">
        <v>795</v>
      </c>
      <c r="D9924" s="15" t="s">
        <v>795</v>
      </c>
      <c r="F9924" s="42"/>
    </row>
    <row r="9925" spans="1:6" x14ac:dyDescent="0.3">
      <c r="A9925" s="15" t="s">
        <v>36764</v>
      </c>
      <c r="B9925" s="15" t="s">
        <v>795</v>
      </c>
      <c r="C9925" s="15" t="s">
        <v>795</v>
      </c>
      <c r="D9925" s="15" t="s">
        <v>795</v>
      </c>
      <c r="F9925" s="42"/>
    </row>
    <row r="9926" spans="1:6" x14ac:dyDescent="0.3">
      <c r="A9926" s="15" t="s">
        <v>33499</v>
      </c>
      <c r="B9926" s="15" t="s">
        <v>795</v>
      </c>
      <c r="C9926" s="15" t="s">
        <v>795</v>
      </c>
      <c r="D9926" s="15" t="s">
        <v>795</v>
      </c>
      <c r="F9926" s="42"/>
    </row>
    <row r="9927" spans="1:6" x14ac:dyDescent="0.3">
      <c r="A9927" s="15" t="s">
        <v>39734</v>
      </c>
      <c r="B9927" s="15" t="s">
        <v>18016</v>
      </c>
      <c r="C9927" s="15" t="s">
        <v>800</v>
      </c>
      <c r="D9927" s="15" t="s">
        <v>18017</v>
      </c>
      <c r="E9927" s="15">
        <v>239.7499</v>
      </c>
      <c r="F9927" s="42">
        <v>46198</v>
      </c>
    </row>
    <row r="9928" spans="1:6" x14ac:dyDescent="0.3">
      <c r="A9928" s="15" t="s">
        <v>39733</v>
      </c>
      <c r="B9928" s="15" t="s">
        <v>18018</v>
      </c>
      <c r="C9928" s="15" t="s">
        <v>800</v>
      </c>
      <c r="D9928" s="15" t="s">
        <v>18019</v>
      </c>
      <c r="E9928" s="15">
        <v>222.12090000000001</v>
      </c>
      <c r="F9928" s="42">
        <v>46198</v>
      </c>
    </row>
    <row r="9929" spans="1:6" x14ac:dyDescent="0.3">
      <c r="A9929" s="15" t="s">
        <v>39732</v>
      </c>
      <c r="B9929" s="15" t="s">
        <v>18020</v>
      </c>
      <c r="C9929" s="15" t="s">
        <v>18021</v>
      </c>
      <c r="D9929" s="15" t="s">
        <v>18022</v>
      </c>
      <c r="E9929" s="15">
        <v>172.18539999999999</v>
      </c>
      <c r="F9929" s="42">
        <v>46198</v>
      </c>
    </row>
    <row r="9930" spans="1:6" x14ac:dyDescent="0.3">
      <c r="A9930" s="15" t="s">
        <v>39731</v>
      </c>
      <c r="B9930" s="15" t="s">
        <v>18023</v>
      </c>
      <c r="C9930" s="15" t="s">
        <v>800</v>
      </c>
      <c r="D9930" s="15" t="s">
        <v>18024</v>
      </c>
      <c r="E9930" s="15">
        <v>34.744999999999997</v>
      </c>
      <c r="F9930" s="42">
        <v>46198</v>
      </c>
    </row>
    <row r="9931" spans="1:6" x14ac:dyDescent="0.3">
      <c r="A9931" s="15" t="s">
        <v>39730</v>
      </c>
      <c r="B9931" s="15" t="s">
        <v>18025</v>
      </c>
      <c r="C9931" s="15" t="s">
        <v>800</v>
      </c>
      <c r="D9931" s="15" t="s">
        <v>18026</v>
      </c>
      <c r="E9931" s="15">
        <v>34.756999999999998</v>
      </c>
      <c r="F9931" s="42">
        <v>46198</v>
      </c>
    </row>
    <row r="9932" spans="1:6" x14ac:dyDescent="0.3">
      <c r="A9932" s="15" t="s">
        <v>39729</v>
      </c>
      <c r="B9932" s="15" t="s">
        <v>18027</v>
      </c>
      <c r="C9932" s="15" t="s">
        <v>800</v>
      </c>
      <c r="D9932" s="15" t="s">
        <v>18028</v>
      </c>
      <c r="E9932" s="15">
        <v>15.8109</v>
      </c>
      <c r="F9932" s="42">
        <v>46198</v>
      </c>
    </row>
    <row r="9933" spans="1:6" x14ac:dyDescent="0.3">
      <c r="A9933" s="15" t="s">
        <v>39728</v>
      </c>
      <c r="B9933" s="15" t="s">
        <v>18029</v>
      </c>
      <c r="C9933" s="15" t="s">
        <v>18030</v>
      </c>
      <c r="D9933" s="15" t="s">
        <v>18031</v>
      </c>
      <c r="E9933" s="15">
        <v>15.810600000000001</v>
      </c>
      <c r="F9933" s="42">
        <v>46198</v>
      </c>
    </row>
    <row r="9934" spans="1:6" x14ac:dyDescent="0.3">
      <c r="A9934" s="15" t="s">
        <v>39727</v>
      </c>
      <c r="B9934" s="15" t="s">
        <v>18032</v>
      </c>
      <c r="C9934" s="15" t="s">
        <v>800</v>
      </c>
      <c r="D9934" s="15" t="s">
        <v>18033</v>
      </c>
      <c r="E9934" s="15">
        <v>15.473800000000001</v>
      </c>
      <c r="F9934" s="42">
        <v>46198</v>
      </c>
    </row>
    <row r="9935" spans="1:6" x14ac:dyDescent="0.3">
      <c r="A9935" s="15" t="s">
        <v>39726</v>
      </c>
      <c r="B9935" s="15" t="s">
        <v>18034</v>
      </c>
      <c r="C9935" s="15" t="s">
        <v>18035</v>
      </c>
      <c r="D9935" s="15" t="s">
        <v>18036</v>
      </c>
      <c r="E9935" s="15">
        <v>15.473699999999999</v>
      </c>
      <c r="F9935" s="42">
        <v>46198</v>
      </c>
    </row>
    <row r="9936" spans="1:6" x14ac:dyDescent="0.3">
      <c r="A9936" s="15" t="s">
        <v>39725</v>
      </c>
      <c r="B9936" s="15" t="s">
        <v>18037</v>
      </c>
      <c r="C9936" s="15" t="s">
        <v>800</v>
      </c>
      <c r="D9936" s="15" t="s">
        <v>18038</v>
      </c>
      <c r="E9936" s="15">
        <v>49.558</v>
      </c>
      <c r="F9936" s="42">
        <v>46198</v>
      </c>
    </row>
    <row r="9937" spans="1:6" x14ac:dyDescent="0.3">
      <c r="A9937" s="15" t="s">
        <v>39724</v>
      </c>
      <c r="B9937" s="15" t="s">
        <v>18039</v>
      </c>
      <c r="C9937" s="15" t="s">
        <v>18040</v>
      </c>
      <c r="D9937" s="15" t="s">
        <v>18041</v>
      </c>
      <c r="E9937" s="15">
        <v>43.630499999999998</v>
      </c>
      <c r="F9937" s="42">
        <v>46198</v>
      </c>
    </row>
    <row r="9938" spans="1:6" x14ac:dyDescent="0.3">
      <c r="A9938" s="15" t="s">
        <v>39723</v>
      </c>
      <c r="B9938" s="15" t="s">
        <v>18042</v>
      </c>
      <c r="C9938" s="15" t="s">
        <v>800</v>
      </c>
      <c r="D9938" s="15" t="s">
        <v>18043</v>
      </c>
      <c r="E9938" s="15">
        <v>47.547400000000003</v>
      </c>
      <c r="F9938" s="42">
        <v>46198</v>
      </c>
    </row>
    <row r="9939" spans="1:6" x14ac:dyDescent="0.3">
      <c r="A9939" s="15" t="s">
        <v>39722</v>
      </c>
      <c r="B9939" s="15" t="s">
        <v>18044</v>
      </c>
      <c r="C9939" s="15" t="s">
        <v>18045</v>
      </c>
      <c r="D9939" s="15" t="s">
        <v>18046</v>
      </c>
      <c r="E9939" s="15">
        <v>41.473599999999998</v>
      </c>
      <c r="F9939" s="42">
        <v>46198</v>
      </c>
    </row>
    <row r="9940" spans="1:6" x14ac:dyDescent="0.3">
      <c r="A9940" s="15" t="s">
        <v>39721</v>
      </c>
      <c r="B9940" s="15" t="s">
        <v>18047</v>
      </c>
      <c r="C9940" s="15" t="s">
        <v>800</v>
      </c>
      <c r="D9940" s="15" t="s">
        <v>18048</v>
      </c>
      <c r="E9940" s="15">
        <v>10.745699999999999</v>
      </c>
      <c r="F9940" s="42">
        <v>46198</v>
      </c>
    </row>
    <row r="9941" spans="1:6" x14ac:dyDescent="0.3">
      <c r="A9941" s="15" t="s">
        <v>39720</v>
      </c>
      <c r="B9941" s="15" t="s">
        <v>18049</v>
      </c>
      <c r="C9941" s="15" t="s">
        <v>800</v>
      </c>
      <c r="D9941" s="15" t="s">
        <v>18050</v>
      </c>
      <c r="E9941" s="15">
        <v>10.717499999999999</v>
      </c>
      <c r="F9941" s="42">
        <v>46198</v>
      </c>
    </row>
    <row r="9942" spans="1:6" x14ac:dyDescent="0.3">
      <c r="A9942" s="15" t="s">
        <v>39719</v>
      </c>
      <c r="B9942" s="15" t="s">
        <v>18051</v>
      </c>
      <c r="C9942" s="15" t="s">
        <v>800</v>
      </c>
      <c r="D9942" s="15" t="s">
        <v>18052</v>
      </c>
      <c r="E9942" s="15">
        <v>32.474699999999999</v>
      </c>
      <c r="F9942" s="42">
        <v>46198</v>
      </c>
    </row>
    <row r="9943" spans="1:6" x14ac:dyDescent="0.3">
      <c r="A9943" s="15" t="s">
        <v>39718</v>
      </c>
      <c r="B9943" s="15" t="s">
        <v>18053</v>
      </c>
      <c r="C9943" s="15" t="s">
        <v>18054</v>
      </c>
      <c r="D9943" s="15" t="s">
        <v>18055</v>
      </c>
      <c r="E9943" s="15">
        <v>25.2913</v>
      </c>
      <c r="F9943" s="42">
        <v>46198</v>
      </c>
    </row>
    <row r="9944" spans="1:6" x14ac:dyDescent="0.3">
      <c r="A9944" s="15" t="s">
        <v>39717</v>
      </c>
      <c r="B9944" s="15" t="s">
        <v>18056</v>
      </c>
      <c r="C9944" s="15" t="s">
        <v>800</v>
      </c>
      <c r="D9944" s="15" t="s">
        <v>18057</v>
      </c>
      <c r="E9944" s="15">
        <v>31.033799999999999</v>
      </c>
      <c r="F9944" s="42">
        <v>46198</v>
      </c>
    </row>
    <row r="9945" spans="1:6" x14ac:dyDescent="0.3">
      <c r="A9945" s="15" t="s">
        <v>39716</v>
      </c>
      <c r="B9945" s="15" t="s">
        <v>18058</v>
      </c>
      <c r="C9945" s="15" t="s">
        <v>18059</v>
      </c>
      <c r="D9945" s="15" t="s">
        <v>18060</v>
      </c>
      <c r="E9945" s="15">
        <v>23.994499999999999</v>
      </c>
      <c r="F9945" s="42">
        <v>46198</v>
      </c>
    </row>
    <row r="9946" spans="1:6" x14ac:dyDescent="0.3">
      <c r="A9946" s="15" t="s">
        <v>39715</v>
      </c>
      <c r="B9946" s="15" t="s">
        <v>18061</v>
      </c>
      <c r="C9946" s="15" t="s">
        <v>800</v>
      </c>
      <c r="D9946" s="15" t="s">
        <v>18062</v>
      </c>
      <c r="E9946" s="15">
        <v>138.0403</v>
      </c>
      <c r="F9946" s="42">
        <v>46198</v>
      </c>
    </row>
    <row r="9947" spans="1:6" x14ac:dyDescent="0.3">
      <c r="A9947" s="15" t="s">
        <v>39714</v>
      </c>
      <c r="B9947" s="15" t="s">
        <v>18063</v>
      </c>
      <c r="C9947" s="15" t="s">
        <v>18064</v>
      </c>
      <c r="D9947" s="15" t="s">
        <v>18065</v>
      </c>
      <c r="E9947" s="15">
        <v>108.25069999999999</v>
      </c>
      <c r="F9947" s="42">
        <v>46198</v>
      </c>
    </row>
    <row r="9948" spans="1:6" x14ac:dyDescent="0.3">
      <c r="A9948" s="15" t="s">
        <v>39713</v>
      </c>
      <c r="B9948" s="15" t="s">
        <v>18066</v>
      </c>
      <c r="C9948" s="15" t="s">
        <v>800</v>
      </c>
      <c r="D9948" s="15" t="s">
        <v>18067</v>
      </c>
      <c r="E9948" s="15">
        <v>123.7308</v>
      </c>
      <c r="F9948" s="42">
        <v>46198</v>
      </c>
    </row>
    <row r="9949" spans="1:6" x14ac:dyDescent="0.3">
      <c r="A9949" s="15" t="s">
        <v>39712</v>
      </c>
      <c r="B9949" s="15" t="s">
        <v>18068</v>
      </c>
      <c r="C9949" s="15" t="s">
        <v>18069</v>
      </c>
      <c r="D9949" s="15" t="s">
        <v>18070</v>
      </c>
      <c r="E9949" s="15">
        <v>95.086299999999994</v>
      </c>
      <c r="F9949" s="42">
        <v>46198</v>
      </c>
    </row>
    <row r="9950" spans="1:6" x14ac:dyDescent="0.3">
      <c r="A9950" s="15" t="s">
        <v>39711</v>
      </c>
      <c r="B9950" s="15" t="s">
        <v>18071</v>
      </c>
      <c r="C9950" s="15" t="s">
        <v>800</v>
      </c>
      <c r="D9950" s="15" t="s">
        <v>18072</v>
      </c>
      <c r="E9950" s="15">
        <v>22.579799999999999</v>
      </c>
      <c r="F9950" s="42">
        <v>46198</v>
      </c>
    </row>
    <row r="9951" spans="1:6" x14ac:dyDescent="0.3">
      <c r="A9951" s="15" t="s">
        <v>39710</v>
      </c>
      <c r="B9951" s="15" t="s">
        <v>18073</v>
      </c>
      <c r="C9951" s="15" t="s">
        <v>800</v>
      </c>
      <c r="D9951" s="15" t="s">
        <v>18074</v>
      </c>
      <c r="E9951" s="15">
        <v>22.579799999999999</v>
      </c>
      <c r="F9951" s="42">
        <v>46198</v>
      </c>
    </row>
    <row r="9952" spans="1:6" x14ac:dyDescent="0.3">
      <c r="A9952" s="15" t="s">
        <v>39709</v>
      </c>
      <c r="B9952" s="15" t="s">
        <v>18075</v>
      </c>
      <c r="C9952" s="15" t="s">
        <v>800</v>
      </c>
      <c r="D9952" s="15" t="s">
        <v>18076</v>
      </c>
      <c r="E9952" s="15">
        <v>21.5701</v>
      </c>
      <c r="F9952" s="42">
        <v>46198</v>
      </c>
    </row>
    <row r="9953" spans="1:6" x14ac:dyDescent="0.3">
      <c r="A9953" s="15" t="s">
        <v>39708</v>
      </c>
      <c r="B9953" s="15" t="s">
        <v>18077</v>
      </c>
      <c r="C9953" s="15" t="s">
        <v>800</v>
      </c>
      <c r="D9953" s="15" t="s">
        <v>18078</v>
      </c>
      <c r="E9953" s="15">
        <v>21.569500000000001</v>
      </c>
      <c r="F9953" s="42">
        <v>46198</v>
      </c>
    </row>
    <row r="9954" spans="1:6" x14ac:dyDescent="0.3">
      <c r="A9954" s="15" t="s">
        <v>39707</v>
      </c>
      <c r="B9954" s="15" t="s">
        <v>18079</v>
      </c>
      <c r="C9954" s="15" t="s">
        <v>800</v>
      </c>
      <c r="D9954" s="15" t="s">
        <v>18080</v>
      </c>
      <c r="E9954" s="15">
        <v>44.269199999999998</v>
      </c>
      <c r="F9954" s="42">
        <v>46198</v>
      </c>
    </row>
    <row r="9955" spans="1:6" x14ac:dyDescent="0.3">
      <c r="A9955" s="15" t="s">
        <v>39706</v>
      </c>
      <c r="B9955" s="15" t="s">
        <v>18081</v>
      </c>
      <c r="C9955" s="15" t="s">
        <v>18082</v>
      </c>
      <c r="D9955" s="15" t="s">
        <v>18083</v>
      </c>
      <c r="E9955" s="15">
        <v>44.273299999999999</v>
      </c>
      <c r="F9955" s="42">
        <v>46198</v>
      </c>
    </row>
    <row r="9956" spans="1:6" x14ac:dyDescent="0.3">
      <c r="A9956" s="15" t="s">
        <v>39705</v>
      </c>
      <c r="B9956" s="15" t="s">
        <v>18084</v>
      </c>
      <c r="C9956" s="15" t="s">
        <v>800</v>
      </c>
      <c r="D9956" s="15" t="s">
        <v>18085</v>
      </c>
      <c r="E9956" s="15">
        <v>42.636899999999997</v>
      </c>
      <c r="F9956" s="42">
        <v>46198</v>
      </c>
    </row>
    <row r="9957" spans="1:6" x14ac:dyDescent="0.3">
      <c r="A9957" s="15" t="s">
        <v>39704</v>
      </c>
      <c r="B9957" s="15" t="s">
        <v>18086</v>
      </c>
      <c r="C9957" s="15" t="s">
        <v>18087</v>
      </c>
      <c r="D9957" s="15" t="s">
        <v>18088</v>
      </c>
      <c r="E9957" s="15">
        <v>42.637799999999999</v>
      </c>
      <c r="F9957" s="42">
        <v>46198</v>
      </c>
    </row>
    <row r="9958" spans="1:6" x14ac:dyDescent="0.3">
      <c r="A9958" s="15" t="s">
        <v>39703</v>
      </c>
      <c r="B9958" s="15" t="s">
        <v>18089</v>
      </c>
      <c r="C9958" s="15" t="s">
        <v>800</v>
      </c>
      <c r="D9958" s="15" t="s">
        <v>18090</v>
      </c>
      <c r="E9958" s="15">
        <v>71.348200000000006</v>
      </c>
      <c r="F9958" s="42">
        <v>46198</v>
      </c>
    </row>
    <row r="9959" spans="1:6" x14ac:dyDescent="0.3">
      <c r="A9959" s="15" t="s">
        <v>39702</v>
      </c>
      <c r="B9959" s="15" t="s">
        <v>18091</v>
      </c>
      <c r="C9959" s="15" t="s">
        <v>18092</v>
      </c>
      <c r="D9959" s="15" t="s">
        <v>18093</v>
      </c>
      <c r="E9959" s="15">
        <v>55.172600000000003</v>
      </c>
      <c r="F9959" s="42">
        <v>46198</v>
      </c>
    </row>
    <row r="9960" spans="1:6" x14ac:dyDescent="0.3">
      <c r="A9960" s="15" t="s">
        <v>39701</v>
      </c>
      <c r="B9960" s="15" t="s">
        <v>18094</v>
      </c>
      <c r="C9960" s="15" t="s">
        <v>800</v>
      </c>
      <c r="D9960" s="15" t="s">
        <v>18095</v>
      </c>
      <c r="E9960" s="15">
        <v>66.314800000000005</v>
      </c>
      <c r="F9960" s="42">
        <v>46198</v>
      </c>
    </row>
    <row r="9961" spans="1:6" x14ac:dyDescent="0.3">
      <c r="A9961" s="15" t="s">
        <v>39700</v>
      </c>
      <c r="B9961" s="15" t="s">
        <v>18096</v>
      </c>
      <c r="C9961" s="15" t="s">
        <v>18097</v>
      </c>
      <c r="D9961" s="15" t="s">
        <v>18098</v>
      </c>
      <c r="E9961" s="15">
        <v>50.886000000000003</v>
      </c>
      <c r="F9961" s="42">
        <v>46198</v>
      </c>
    </row>
    <row r="9962" spans="1:6" x14ac:dyDescent="0.3">
      <c r="A9962" s="15" t="s">
        <v>39699</v>
      </c>
      <c r="B9962" s="15" t="s">
        <v>18099</v>
      </c>
      <c r="C9962" s="15" t="s">
        <v>18100</v>
      </c>
      <c r="D9962" s="15" t="s">
        <v>18101</v>
      </c>
      <c r="E9962" s="15">
        <v>138.89410000000001</v>
      </c>
      <c r="F9962" s="42">
        <v>46198</v>
      </c>
    </row>
    <row r="9963" spans="1:6" x14ac:dyDescent="0.3">
      <c r="A9963" s="15" t="s">
        <v>39698</v>
      </c>
      <c r="B9963" s="15" t="s">
        <v>18102</v>
      </c>
      <c r="C9963" s="15" t="s">
        <v>800</v>
      </c>
      <c r="D9963" s="15" t="s">
        <v>18103</v>
      </c>
      <c r="E9963" s="15">
        <v>176.38499999999999</v>
      </c>
      <c r="F9963" s="42">
        <v>46198</v>
      </c>
    </row>
    <row r="9964" spans="1:6" x14ac:dyDescent="0.3">
      <c r="A9964" s="15" t="s">
        <v>39697</v>
      </c>
      <c r="B9964" s="15" t="s">
        <v>18104</v>
      </c>
      <c r="C9964" s="15" t="s">
        <v>800</v>
      </c>
      <c r="D9964" s="15" t="s">
        <v>18105</v>
      </c>
      <c r="E9964" s="15">
        <v>168.25970000000001</v>
      </c>
      <c r="F9964" s="42">
        <v>46198</v>
      </c>
    </row>
    <row r="9965" spans="1:6" x14ac:dyDescent="0.3">
      <c r="A9965" s="15" t="s">
        <v>39696</v>
      </c>
      <c r="B9965" s="15" t="s">
        <v>18106</v>
      </c>
      <c r="C9965" s="15" t="s">
        <v>18107</v>
      </c>
      <c r="D9965" s="15" t="s">
        <v>18108</v>
      </c>
      <c r="E9965" s="15">
        <v>131.09549999999999</v>
      </c>
      <c r="F9965" s="42">
        <v>46198</v>
      </c>
    </row>
    <row r="9966" spans="1:6" x14ac:dyDescent="0.3">
      <c r="A9966" s="15" t="s">
        <v>39695</v>
      </c>
      <c r="B9966" s="15" t="s">
        <v>18109</v>
      </c>
      <c r="C9966" s="15" t="s">
        <v>800</v>
      </c>
      <c r="D9966" s="15" t="s">
        <v>18110</v>
      </c>
      <c r="E9966" s="15">
        <v>18.183700000000002</v>
      </c>
      <c r="F9966" s="42">
        <v>46198</v>
      </c>
    </row>
    <row r="9967" spans="1:6" x14ac:dyDescent="0.3">
      <c r="A9967" s="15" t="s">
        <v>39694</v>
      </c>
      <c r="B9967" s="15" t="s">
        <v>18111</v>
      </c>
      <c r="C9967" s="15" t="s">
        <v>18112</v>
      </c>
      <c r="D9967" s="15" t="s">
        <v>18113</v>
      </c>
      <c r="E9967" s="15">
        <v>18.183800000000002</v>
      </c>
      <c r="F9967" s="42">
        <v>46198</v>
      </c>
    </row>
    <row r="9968" spans="1:6" x14ac:dyDescent="0.3">
      <c r="A9968" s="15" t="s">
        <v>39693</v>
      </c>
      <c r="B9968" s="15" t="s">
        <v>18114</v>
      </c>
      <c r="C9968" s="15" t="s">
        <v>800</v>
      </c>
      <c r="D9968" s="15" t="s">
        <v>18115</v>
      </c>
      <c r="E9968" s="15">
        <v>17.772200000000002</v>
      </c>
      <c r="F9968" s="42">
        <v>46198</v>
      </c>
    </row>
    <row r="9969" spans="1:6" x14ac:dyDescent="0.3">
      <c r="A9969" s="15" t="s">
        <v>39692</v>
      </c>
      <c r="B9969" s="15" t="s">
        <v>18116</v>
      </c>
      <c r="C9969" s="15" t="s">
        <v>18117</v>
      </c>
      <c r="D9969" s="15" t="s">
        <v>18118</v>
      </c>
      <c r="E9969" s="15">
        <v>17.772200000000002</v>
      </c>
      <c r="F9969" s="42">
        <v>46198</v>
      </c>
    </row>
    <row r="9970" spans="1:6" x14ac:dyDescent="0.3">
      <c r="A9970" s="15" t="s">
        <v>39691</v>
      </c>
      <c r="B9970" s="15" t="s">
        <v>18119</v>
      </c>
      <c r="C9970" s="15" t="s">
        <v>800</v>
      </c>
      <c r="D9970" s="15" t="s">
        <v>18120</v>
      </c>
      <c r="E9970" s="15">
        <v>14.8703</v>
      </c>
      <c r="F9970" s="42">
        <v>46198</v>
      </c>
    </row>
    <row r="9971" spans="1:6" x14ac:dyDescent="0.3">
      <c r="A9971" s="15" t="s">
        <v>39690</v>
      </c>
      <c r="B9971" s="15" t="s">
        <v>18121</v>
      </c>
      <c r="C9971" s="15" t="s">
        <v>18122</v>
      </c>
      <c r="D9971" s="15" t="s">
        <v>18123</v>
      </c>
      <c r="E9971" s="15">
        <v>14.869899999999999</v>
      </c>
      <c r="F9971" s="42">
        <v>46198</v>
      </c>
    </row>
    <row r="9972" spans="1:6" x14ac:dyDescent="0.3">
      <c r="A9972" s="15" t="s">
        <v>39689</v>
      </c>
      <c r="B9972" s="15" t="s">
        <v>18124</v>
      </c>
      <c r="C9972" s="15" t="s">
        <v>800</v>
      </c>
      <c r="D9972" s="15" t="s">
        <v>18125</v>
      </c>
      <c r="E9972" s="15">
        <v>14.555400000000001</v>
      </c>
      <c r="F9972" s="42">
        <v>46198</v>
      </c>
    </row>
    <row r="9973" spans="1:6" x14ac:dyDescent="0.3">
      <c r="A9973" s="15" t="s">
        <v>39688</v>
      </c>
      <c r="B9973" s="15" t="s">
        <v>18126</v>
      </c>
      <c r="C9973" s="15" t="s">
        <v>18127</v>
      </c>
      <c r="D9973" s="15" t="s">
        <v>18128</v>
      </c>
      <c r="E9973" s="15">
        <v>14.555400000000001</v>
      </c>
      <c r="F9973" s="42">
        <v>46198</v>
      </c>
    </row>
    <row r="9974" spans="1:6" x14ac:dyDescent="0.3">
      <c r="A9974" s="15" t="s">
        <v>39687</v>
      </c>
      <c r="B9974" s="15" t="s">
        <v>18129</v>
      </c>
      <c r="C9974" s="15" t="s">
        <v>800</v>
      </c>
      <c r="D9974" s="15" t="s">
        <v>18130</v>
      </c>
      <c r="E9974" s="15">
        <v>11.908899999999999</v>
      </c>
      <c r="F9974" s="42">
        <v>46198</v>
      </c>
    </row>
    <row r="9975" spans="1:6" x14ac:dyDescent="0.3">
      <c r="A9975" s="15" t="s">
        <v>39686</v>
      </c>
      <c r="B9975" s="15" t="s">
        <v>18131</v>
      </c>
      <c r="C9975" s="15" t="s">
        <v>18132</v>
      </c>
      <c r="D9975" s="15" t="s">
        <v>18133</v>
      </c>
      <c r="E9975" s="15">
        <v>11.909000000000001</v>
      </c>
      <c r="F9975" s="42">
        <v>46198</v>
      </c>
    </row>
    <row r="9976" spans="1:6" x14ac:dyDescent="0.3">
      <c r="A9976" s="15" t="s">
        <v>39685</v>
      </c>
      <c r="B9976" s="15" t="s">
        <v>18134</v>
      </c>
      <c r="C9976" s="15" t="s">
        <v>800</v>
      </c>
      <c r="D9976" s="15" t="s">
        <v>18135</v>
      </c>
      <c r="E9976" s="15">
        <v>11.858000000000001</v>
      </c>
      <c r="F9976" s="42">
        <v>46198</v>
      </c>
    </row>
    <row r="9977" spans="1:6" x14ac:dyDescent="0.3">
      <c r="A9977" s="15" t="s">
        <v>39684</v>
      </c>
      <c r="B9977" s="15" t="s">
        <v>18136</v>
      </c>
      <c r="C9977" s="15" t="s">
        <v>18137</v>
      </c>
      <c r="D9977" s="15" t="s">
        <v>18138</v>
      </c>
      <c r="E9977" s="15">
        <v>11.858000000000001</v>
      </c>
      <c r="F9977" s="42">
        <v>46198</v>
      </c>
    </row>
    <row r="9978" spans="1:6" x14ac:dyDescent="0.3">
      <c r="A9978" s="15" t="s">
        <v>39683</v>
      </c>
      <c r="B9978" s="15" t="s">
        <v>18139</v>
      </c>
      <c r="C9978" s="15" t="s">
        <v>800</v>
      </c>
      <c r="D9978" s="15" t="s">
        <v>18140</v>
      </c>
      <c r="E9978" s="15">
        <v>16.795999999999999</v>
      </c>
      <c r="F9978" s="42">
        <v>46198</v>
      </c>
    </row>
    <row r="9979" spans="1:6" x14ac:dyDescent="0.3">
      <c r="A9979" s="15" t="s">
        <v>39682</v>
      </c>
      <c r="B9979" s="15" t="s">
        <v>18141</v>
      </c>
      <c r="C9979" s="15" t="s">
        <v>18142</v>
      </c>
      <c r="D9979" s="15" t="s">
        <v>18143</v>
      </c>
      <c r="E9979" s="15">
        <v>16.806899999999999</v>
      </c>
      <c r="F9979" s="42">
        <v>46198</v>
      </c>
    </row>
    <row r="9980" spans="1:6" x14ac:dyDescent="0.3">
      <c r="A9980" s="15" t="s">
        <v>39681</v>
      </c>
      <c r="B9980" s="15" t="s">
        <v>18144</v>
      </c>
      <c r="C9980" s="15" t="s">
        <v>800</v>
      </c>
      <c r="D9980" s="15" t="s">
        <v>18145</v>
      </c>
      <c r="E9980" s="15">
        <v>16.476400000000002</v>
      </c>
      <c r="F9980" s="42">
        <v>46198</v>
      </c>
    </row>
    <row r="9981" spans="1:6" x14ac:dyDescent="0.3">
      <c r="A9981" s="15" t="s">
        <v>39680</v>
      </c>
      <c r="B9981" s="15" t="s">
        <v>18146</v>
      </c>
      <c r="C9981" s="15" t="s">
        <v>18147</v>
      </c>
      <c r="D9981" s="15" t="s">
        <v>18148</v>
      </c>
      <c r="E9981" s="15">
        <v>16.476500000000001</v>
      </c>
      <c r="F9981" s="42">
        <v>46198</v>
      </c>
    </row>
    <row r="9982" spans="1:6" x14ac:dyDescent="0.3">
      <c r="A9982" s="15" t="s">
        <v>39679</v>
      </c>
      <c r="B9982" s="15" t="s">
        <v>18149</v>
      </c>
      <c r="C9982" s="15" t="s">
        <v>800</v>
      </c>
      <c r="D9982" s="15" t="s">
        <v>18150</v>
      </c>
      <c r="E9982" s="15">
        <v>33.194699999999997</v>
      </c>
      <c r="F9982" s="42">
        <v>46198</v>
      </c>
    </row>
    <row r="9983" spans="1:6" x14ac:dyDescent="0.3">
      <c r="A9983" s="15" t="s">
        <v>39678</v>
      </c>
      <c r="B9983" s="15" t="s">
        <v>18151</v>
      </c>
      <c r="C9983" s="15" t="s">
        <v>18152</v>
      </c>
      <c r="D9983" s="15" t="s">
        <v>18153</v>
      </c>
      <c r="E9983" s="15">
        <v>33.195099999999996</v>
      </c>
      <c r="F9983" s="42">
        <v>46198</v>
      </c>
    </row>
    <row r="9984" spans="1:6" x14ac:dyDescent="0.3">
      <c r="A9984" s="15" t="s">
        <v>39677</v>
      </c>
      <c r="B9984" s="15" t="s">
        <v>18154</v>
      </c>
      <c r="C9984" s="15" t="s">
        <v>800</v>
      </c>
      <c r="D9984" s="15" t="s">
        <v>18155</v>
      </c>
      <c r="E9984" s="15">
        <v>32.482999999999997</v>
      </c>
      <c r="F9984" s="42">
        <v>46198</v>
      </c>
    </row>
    <row r="9985" spans="1:6" x14ac:dyDescent="0.3">
      <c r="A9985" s="15" t="s">
        <v>39676</v>
      </c>
      <c r="B9985" s="15" t="s">
        <v>18156</v>
      </c>
      <c r="C9985" s="15" t="s">
        <v>18157</v>
      </c>
      <c r="D9985" s="15" t="s">
        <v>18158</v>
      </c>
      <c r="E9985" s="15">
        <v>32.482399999999998</v>
      </c>
      <c r="F9985" s="42">
        <v>46198</v>
      </c>
    </row>
    <row r="9986" spans="1:6" x14ac:dyDescent="0.3">
      <c r="A9986" s="15" t="s">
        <v>33499</v>
      </c>
      <c r="B9986" s="15" t="s">
        <v>795</v>
      </c>
      <c r="C9986" s="15" t="s">
        <v>795</v>
      </c>
      <c r="D9986" s="15" t="s">
        <v>795</v>
      </c>
      <c r="F9986" s="42"/>
    </row>
    <row r="9987" spans="1:6" x14ac:dyDescent="0.3">
      <c r="A9987" s="15" t="s">
        <v>37807</v>
      </c>
      <c r="B9987" s="15" t="s">
        <v>795</v>
      </c>
      <c r="C9987" s="15" t="s">
        <v>795</v>
      </c>
      <c r="D9987" s="15" t="s">
        <v>795</v>
      </c>
      <c r="F9987" s="42"/>
    </row>
    <row r="9988" spans="1:6" x14ac:dyDescent="0.3">
      <c r="A9988" s="15" t="s">
        <v>33499</v>
      </c>
      <c r="B9988" s="15" t="s">
        <v>795</v>
      </c>
      <c r="C9988" s="15" t="s">
        <v>795</v>
      </c>
      <c r="D9988" s="15" t="s">
        <v>795</v>
      </c>
      <c r="F9988" s="42"/>
    </row>
    <row r="9989" spans="1:6" x14ac:dyDescent="0.3">
      <c r="A9989" s="15" t="s">
        <v>39675</v>
      </c>
      <c r="B9989" s="15" t="s">
        <v>18159</v>
      </c>
      <c r="C9989" s="15" t="s">
        <v>800</v>
      </c>
      <c r="D9989" s="15" t="s">
        <v>18160</v>
      </c>
      <c r="E9989" s="15">
        <v>40.416600000000003</v>
      </c>
      <c r="F9989" s="42">
        <v>46198</v>
      </c>
    </row>
    <row r="9990" spans="1:6" x14ac:dyDescent="0.3">
      <c r="A9990" s="15" t="s">
        <v>39674</v>
      </c>
      <c r="B9990" s="15" t="s">
        <v>18161</v>
      </c>
      <c r="C9990" s="15" t="s">
        <v>18162</v>
      </c>
      <c r="D9990" s="15" t="s">
        <v>18163</v>
      </c>
      <c r="E9990" s="15">
        <v>40.354700000000001</v>
      </c>
      <c r="F9990" s="42">
        <v>46198</v>
      </c>
    </row>
    <row r="9991" spans="1:6" x14ac:dyDescent="0.3">
      <c r="A9991" s="15" t="s">
        <v>39673</v>
      </c>
      <c r="B9991" s="15" t="s">
        <v>18164</v>
      </c>
      <c r="C9991" s="15" t="s">
        <v>800</v>
      </c>
      <c r="D9991" s="15" t="s">
        <v>18165</v>
      </c>
      <c r="E9991" s="15">
        <v>38.813499999999998</v>
      </c>
      <c r="F9991" s="42">
        <v>46198</v>
      </c>
    </row>
    <row r="9992" spans="1:6" x14ac:dyDescent="0.3">
      <c r="A9992" s="15" t="s">
        <v>39672</v>
      </c>
      <c r="B9992" s="15" t="s">
        <v>18166</v>
      </c>
      <c r="C9992" s="15" t="s">
        <v>18167</v>
      </c>
      <c r="D9992" s="15" t="s">
        <v>18168</v>
      </c>
      <c r="E9992" s="15">
        <v>38.817900000000002</v>
      </c>
      <c r="F9992" s="42">
        <v>46198</v>
      </c>
    </row>
    <row r="9993" spans="1:6" x14ac:dyDescent="0.3">
      <c r="A9993" s="15" t="s">
        <v>39671</v>
      </c>
      <c r="B9993" s="15" t="s">
        <v>18169</v>
      </c>
      <c r="C9993" s="15" t="s">
        <v>800</v>
      </c>
      <c r="D9993" s="15" t="s">
        <v>18170</v>
      </c>
      <c r="E9993" s="15">
        <v>1053.9161999999999</v>
      </c>
      <c r="F9993" s="42">
        <v>46198</v>
      </c>
    </row>
    <row r="9994" spans="1:6" x14ac:dyDescent="0.3">
      <c r="A9994" s="15" t="s">
        <v>39670</v>
      </c>
      <c r="B9994" s="15" t="s">
        <v>18171</v>
      </c>
      <c r="C9994" s="15" t="s">
        <v>18172</v>
      </c>
      <c r="D9994" s="15" t="s">
        <v>18173</v>
      </c>
      <c r="E9994" s="15">
        <v>1053.9157</v>
      </c>
      <c r="F9994" s="42">
        <v>46198</v>
      </c>
    </row>
    <row r="9995" spans="1:6" x14ac:dyDescent="0.3">
      <c r="A9995" s="15" t="s">
        <v>39669</v>
      </c>
      <c r="B9995" s="15" t="s">
        <v>18174</v>
      </c>
      <c r="C9995" s="15" t="s">
        <v>800</v>
      </c>
      <c r="D9995" s="15" t="s">
        <v>18175</v>
      </c>
      <c r="E9995" s="15">
        <v>1050.2094999999999</v>
      </c>
      <c r="F9995" s="42">
        <v>46198</v>
      </c>
    </row>
    <row r="9996" spans="1:6" x14ac:dyDescent="0.3">
      <c r="A9996" s="15" t="s">
        <v>39668</v>
      </c>
      <c r="B9996" s="15" t="s">
        <v>18176</v>
      </c>
      <c r="C9996" s="15" t="s">
        <v>18177</v>
      </c>
      <c r="D9996" s="15" t="s">
        <v>18178</v>
      </c>
      <c r="E9996" s="15">
        <v>1050.2089000000001</v>
      </c>
      <c r="F9996" s="42">
        <v>46198</v>
      </c>
    </row>
    <row r="9997" spans="1:6" x14ac:dyDescent="0.3">
      <c r="A9997" s="15" t="s">
        <v>33499</v>
      </c>
      <c r="B9997" s="15" t="s">
        <v>795</v>
      </c>
      <c r="C9997" s="15" t="s">
        <v>795</v>
      </c>
      <c r="D9997" s="15" t="s">
        <v>795</v>
      </c>
      <c r="F9997" s="42"/>
    </row>
    <row r="9998" spans="1:6" x14ac:dyDescent="0.3">
      <c r="A9998" s="15" t="s">
        <v>139</v>
      </c>
      <c r="B9998" s="15" t="s">
        <v>795</v>
      </c>
      <c r="C9998" s="15" t="s">
        <v>795</v>
      </c>
      <c r="D9998" s="15" t="s">
        <v>795</v>
      </c>
      <c r="F9998" s="42"/>
    </row>
    <row r="9999" spans="1:6" x14ac:dyDescent="0.3">
      <c r="A9999" s="15" t="s">
        <v>33499</v>
      </c>
      <c r="B9999" s="15" t="s">
        <v>795</v>
      </c>
      <c r="C9999" s="15" t="s">
        <v>795</v>
      </c>
      <c r="D9999" s="15" t="s">
        <v>795</v>
      </c>
      <c r="F9999" s="42"/>
    </row>
    <row r="10000" spans="1:6" x14ac:dyDescent="0.3">
      <c r="A10000" s="15" t="s">
        <v>39667</v>
      </c>
      <c r="B10000" s="15" t="s">
        <v>18179</v>
      </c>
      <c r="C10000" s="15" t="s">
        <v>800</v>
      </c>
      <c r="D10000" s="15" t="s">
        <v>18180</v>
      </c>
      <c r="E10000" s="15">
        <v>52.969900000000003</v>
      </c>
      <c r="F10000" s="42">
        <v>46198</v>
      </c>
    </row>
    <row r="10001" spans="1:6" x14ac:dyDescent="0.3">
      <c r="A10001" s="15" t="s">
        <v>39666</v>
      </c>
      <c r="B10001" s="15" t="s">
        <v>18181</v>
      </c>
      <c r="C10001" s="15" t="s">
        <v>800</v>
      </c>
      <c r="D10001" s="15" t="s">
        <v>18182</v>
      </c>
      <c r="E10001" s="15">
        <v>55.979500000000002</v>
      </c>
      <c r="F10001" s="42">
        <v>46198</v>
      </c>
    </row>
    <row r="10002" spans="1:6" x14ac:dyDescent="0.3">
      <c r="A10002" s="15" t="s">
        <v>39665</v>
      </c>
      <c r="B10002" s="15" t="s">
        <v>18183</v>
      </c>
      <c r="C10002" s="15" t="s">
        <v>18184</v>
      </c>
      <c r="D10002" s="15" t="s">
        <v>18185</v>
      </c>
      <c r="E10002" s="15">
        <v>52.968800000000002</v>
      </c>
      <c r="F10002" s="42">
        <v>46198</v>
      </c>
    </row>
    <row r="10003" spans="1:6" x14ac:dyDescent="0.3">
      <c r="A10003" s="15" t="s">
        <v>39664</v>
      </c>
      <c r="B10003" s="15" t="s">
        <v>18186</v>
      </c>
      <c r="C10003" s="15" t="s">
        <v>18187</v>
      </c>
      <c r="D10003" s="15" t="s">
        <v>18188</v>
      </c>
      <c r="E10003" s="15">
        <v>55.978999999999999</v>
      </c>
      <c r="F10003" s="42">
        <v>46198</v>
      </c>
    </row>
    <row r="10004" spans="1:6" x14ac:dyDescent="0.3">
      <c r="A10004" s="15" t="s">
        <v>39663</v>
      </c>
      <c r="B10004" s="15" t="s">
        <v>18189</v>
      </c>
      <c r="C10004" s="15" t="s">
        <v>800</v>
      </c>
      <c r="D10004" s="15" t="s">
        <v>18190</v>
      </c>
      <c r="E10004" s="15">
        <v>14.192</v>
      </c>
      <c r="F10004" s="42">
        <v>46198</v>
      </c>
    </row>
    <row r="10005" spans="1:6" x14ac:dyDescent="0.3">
      <c r="A10005" s="15" t="s">
        <v>39662</v>
      </c>
      <c r="B10005" s="15" t="s">
        <v>18191</v>
      </c>
      <c r="C10005" s="15" t="s">
        <v>800</v>
      </c>
      <c r="D10005" s="15" t="s">
        <v>18192</v>
      </c>
      <c r="E10005" s="15">
        <v>14.164999999999999</v>
      </c>
      <c r="F10005" s="42">
        <v>46198</v>
      </c>
    </row>
    <row r="10006" spans="1:6" x14ac:dyDescent="0.3">
      <c r="A10006" s="15" t="s">
        <v>39661</v>
      </c>
      <c r="B10006" s="15" t="s">
        <v>18193</v>
      </c>
      <c r="C10006" s="15" t="s">
        <v>800</v>
      </c>
      <c r="D10006" s="15" t="s">
        <v>18194</v>
      </c>
      <c r="E10006" s="15">
        <v>13.033300000000001</v>
      </c>
      <c r="F10006" s="42">
        <v>46198</v>
      </c>
    </row>
    <row r="10007" spans="1:6" x14ac:dyDescent="0.3">
      <c r="A10007" s="15" t="s">
        <v>39660</v>
      </c>
      <c r="B10007" s="15" t="s">
        <v>18195</v>
      </c>
      <c r="C10007" s="15" t="s">
        <v>800</v>
      </c>
      <c r="D10007" s="15" t="s">
        <v>18196</v>
      </c>
      <c r="E10007" s="15">
        <v>13.103300000000001</v>
      </c>
      <c r="F10007" s="42">
        <v>46198</v>
      </c>
    </row>
    <row r="10008" spans="1:6" x14ac:dyDescent="0.3">
      <c r="A10008" s="15" t="s">
        <v>39659</v>
      </c>
      <c r="B10008" s="15" t="s">
        <v>18197</v>
      </c>
      <c r="C10008" s="15" t="s">
        <v>18198</v>
      </c>
      <c r="D10008" s="15" t="s">
        <v>18199</v>
      </c>
      <c r="E10008" s="15">
        <v>13.1035</v>
      </c>
      <c r="F10008" s="42">
        <v>46198</v>
      </c>
    </row>
    <row r="10009" spans="1:6" x14ac:dyDescent="0.3">
      <c r="A10009" s="15" t="s">
        <v>39658</v>
      </c>
      <c r="B10009" s="15" t="s">
        <v>18200</v>
      </c>
      <c r="C10009" s="15" t="s">
        <v>18201</v>
      </c>
      <c r="D10009" s="15" t="s">
        <v>18202</v>
      </c>
      <c r="E10009" s="15">
        <v>13.033099999999999</v>
      </c>
      <c r="F10009" s="42">
        <v>46198</v>
      </c>
    </row>
    <row r="10010" spans="1:6" x14ac:dyDescent="0.3">
      <c r="A10010" s="15" t="s">
        <v>39657</v>
      </c>
      <c r="B10010" s="15" t="s">
        <v>18203</v>
      </c>
      <c r="C10010" s="15" t="s">
        <v>800</v>
      </c>
      <c r="D10010" s="15" t="s">
        <v>18204</v>
      </c>
      <c r="E10010" s="15">
        <v>273.91199999999998</v>
      </c>
      <c r="F10010" s="42">
        <v>46198</v>
      </c>
    </row>
    <row r="10011" spans="1:6" x14ac:dyDescent="0.3">
      <c r="A10011" s="15" t="s">
        <v>39656</v>
      </c>
      <c r="B10011" s="15" t="s">
        <v>18205</v>
      </c>
      <c r="C10011" s="15" t="s">
        <v>18206</v>
      </c>
      <c r="D10011" s="15" t="s">
        <v>18207</v>
      </c>
      <c r="E10011" s="15">
        <v>268.98399999999998</v>
      </c>
      <c r="F10011" s="42">
        <v>46198</v>
      </c>
    </row>
    <row r="10012" spans="1:6" x14ac:dyDescent="0.3">
      <c r="A10012" s="15" t="s">
        <v>39655</v>
      </c>
      <c r="B10012" s="15" t="s">
        <v>18208</v>
      </c>
      <c r="C10012" s="15" t="s">
        <v>800</v>
      </c>
      <c r="D10012" s="15" t="s">
        <v>18209</v>
      </c>
      <c r="E10012" s="15">
        <v>252.86099999999999</v>
      </c>
      <c r="F10012" s="42">
        <v>46198</v>
      </c>
    </row>
    <row r="10013" spans="1:6" x14ac:dyDescent="0.3">
      <c r="A10013" s="15" t="s">
        <v>39654</v>
      </c>
      <c r="B10013" s="15" t="s">
        <v>18210</v>
      </c>
      <c r="C10013" s="15" t="s">
        <v>18211</v>
      </c>
      <c r="D10013" s="15" t="s">
        <v>18212</v>
      </c>
      <c r="E10013" s="15">
        <v>246.13499999999999</v>
      </c>
      <c r="F10013" s="42">
        <v>46198</v>
      </c>
    </row>
    <row r="10014" spans="1:6" x14ac:dyDescent="0.3">
      <c r="A10014" s="15" t="s">
        <v>39653</v>
      </c>
      <c r="B10014" s="15" t="s">
        <v>18213</v>
      </c>
      <c r="C10014" s="15" t="s">
        <v>800</v>
      </c>
      <c r="D10014" s="15" t="s">
        <v>18214</v>
      </c>
      <c r="E10014" s="15">
        <v>11.013</v>
      </c>
      <c r="F10014" s="42">
        <v>46198</v>
      </c>
    </row>
    <row r="10015" spans="1:6" x14ac:dyDescent="0.3">
      <c r="A10015" s="15" t="s">
        <v>39652</v>
      </c>
      <c r="B10015" s="15" t="s">
        <v>18215</v>
      </c>
      <c r="C10015" s="15" t="s">
        <v>800</v>
      </c>
      <c r="D10015" s="15" t="s">
        <v>18216</v>
      </c>
      <c r="E10015" s="15">
        <v>11.006</v>
      </c>
      <c r="F10015" s="42">
        <v>46198</v>
      </c>
    </row>
    <row r="10016" spans="1:6" x14ac:dyDescent="0.3">
      <c r="A10016" s="15" t="s">
        <v>39651</v>
      </c>
      <c r="B10016" s="15" t="s">
        <v>18217</v>
      </c>
      <c r="C10016" s="15" t="s">
        <v>800</v>
      </c>
      <c r="D10016" s="15" t="s">
        <v>18218</v>
      </c>
      <c r="E10016" s="15">
        <v>29.022300000000001</v>
      </c>
      <c r="F10016" s="42">
        <v>46198</v>
      </c>
    </row>
    <row r="10017" spans="1:6" x14ac:dyDescent="0.3">
      <c r="A10017" s="15" t="s">
        <v>39650</v>
      </c>
      <c r="B10017" s="15" t="s">
        <v>18219</v>
      </c>
      <c r="C10017" s="15" t="s">
        <v>800</v>
      </c>
      <c r="D10017" s="15" t="s">
        <v>18220</v>
      </c>
      <c r="E10017" s="15">
        <v>28.6021</v>
      </c>
      <c r="F10017" s="42">
        <v>46198</v>
      </c>
    </row>
    <row r="10018" spans="1:6" x14ac:dyDescent="0.3">
      <c r="A10018" s="15" t="s">
        <v>33499</v>
      </c>
      <c r="B10018" s="15" t="s">
        <v>795</v>
      </c>
      <c r="C10018" s="15" t="s">
        <v>795</v>
      </c>
      <c r="D10018" s="15" t="s">
        <v>795</v>
      </c>
      <c r="F10018" s="42"/>
    </row>
    <row r="10019" spans="1:6" x14ac:dyDescent="0.3">
      <c r="A10019" s="15" t="s">
        <v>37618</v>
      </c>
      <c r="B10019" s="15" t="s">
        <v>795</v>
      </c>
      <c r="C10019" s="15" t="s">
        <v>795</v>
      </c>
      <c r="D10019" s="15" t="s">
        <v>795</v>
      </c>
      <c r="F10019" s="42"/>
    </row>
    <row r="10020" spans="1:6" x14ac:dyDescent="0.3">
      <c r="A10020" s="15" t="s">
        <v>33499</v>
      </c>
      <c r="B10020" s="15" t="s">
        <v>795</v>
      </c>
      <c r="C10020" s="15" t="s">
        <v>795</v>
      </c>
      <c r="D10020" s="15" t="s">
        <v>795</v>
      </c>
      <c r="F10020" s="42"/>
    </row>
    <row r="10021" spans="1:6" x14ac:dyDescent="0.3">
      <c r="A10021" s="15" t="s">
        <v>39649</v>
      </c>
      <c r="B10021" s="15" t="s">
        <v>18221</v>
      </c>
      <c r="C10021" s="15" t="s">
        <v>800</v>
      </c>
      <c r="D10021" s="15" t="s">
        <v>18222</v>
      </c>
      <c r="E10021" s="15">
        <v>38.083399999999997</v>
      </c>
      <c r="F10021" s="42">
        <v>46198</v>
      </c>
    </row>
    <row r="10022" spans="1:6" x14ac:dyDescent="0.3">
      <c r="A10022" s="15" t="s">
        <v>39648</v>
      </c>
      <c r="B10022" s="15" t="s">
        <v>18223</v>
      </c>
      <c r="C10022" s="15" t="s">
        <v>800</v>
      </c>
      <c r="D10022" s="15" t="s">
        <v>18224</v>
      </c>
      <c r="E10022" s="15">
        <v>36.017099999999999</v>
      </c>
      <c r="F10022" s="42">
        <v>46198</v>
      </c>
    </row>
    <row r="10023" spans="1:6" x14ac:dyDescent="0.3">
      <c r="A10023" s="15" t="s">
        <v>33499</v>
      </c>
      <c r="B10023" s="15" t="s">
        <v>795</v>
      </c>
      <c r="C10023" s="15" t="s">
        <v>795</v>
      </c>
      <c r="D10023" s="15" t="s">
        <v>795</v>
      </c>
      <c r="F10023" s="42"/>
    </row>
    <row r="10024" spans="1:6" x14ac:dyDescent="0.3">
      <c r="A10024" s="15" t="s">
        <v>39301</v>
      </c>
      <c r="B10024" s="15" t="s">
        <v>795</v>
      </c>
      <c r="C10024" s="15" t="s">
        <v>795</v>
      </c>
      <c r="D10024" s="15" t="s">
        <v>795</v>
      </c>
      <c r="F10024" s="42"/>
    </row>
    <row r="10025" spans="1:6" x14ac:dyDescent="0.3">
      <c r="A10025" s="15" t="s">
        <v>33499</v>
      </c>
      <c r="B10025" s="15" t="s">
        <v>795</v>
      </c>
      <c r="C10025" s="15" t="s">
        <v>795</v>
      </c>
      <c r="D10025" s="15" t="s">
        <v>795</v>
      </c>
      <c r="F10025" s="42"/>
    </row>
    <row r="10026" spans="1:6" x14ac:dyDescent="0.3">
      <c r="A10026" s="15" t="s">
        <v>39647</v>
      </c>
      <c r="B10026" s="15" t="s">
        <v>18225</v>
      </c>
      <c r="C10026" s="15" t="s">
        <v>800</v>
      </c>
      <c r="D10026" s="15" t="s">
        <v>18226</v>
      </c>
      <c r="E10026" s="15">
        <v>10.3681</v>
      </c>
      <c r="F10026" s="42">
        <v>46198</v>
      </c>
    </row>
    <row r="10027" spans="1:6" x14ac:dyDescent="0.3">
      <c r="A10027" s="15" t="s">
        <v>39646</v>
      </c>
      <c r="B10027" s="15" t="s">
        <v>18227</v>
      </c>
      <c r="C10027" s="15" t="s">
        <v>18228</v>
      </c>
      <c r="D10027" s="15" t="s">
        <v>18229</v>
      </c>
      <c r="E10027" s="15">
        <v>10.3682</v>
      </c>
      <c r="F10027" s="42">
        <v>46198</v>
      </c>
    </row>
    <row r="10028" spans="1:6" x14ac:dyDescent="0.3">
      <c r="A10028" s="15" t="s">
        <v>39645</v>
      </c>
      <c r="B10028" s="15" t="s">
        <v>18230</v>
      </c>
      <c r="C10028" s="15" t="s">
        <v>800</v>
      </c>
      <c r="D10028" s="15" t="s">
        <v>18231</v>
      </c>
      <c r="E10028" s="15">
        <v>10.3378</v>
      </c>
      <c r="F10028" s="42">
        <v>46198</v>
      </c>
    </row>
    <row r="10029" spans="1:6" x14ac:dyDescent="0.3">
      <c r="A10029" s="15" t="s">
        <v>39644</v>
      </c>
      <c r="B10029" s="15" t="s">
        <v>18232</v>
      </c>
      <c r="C10029" s="15" t="s">
        <v>18233</v>
      </c>
      <c r="D10029" s="15" t="s">
        <v>18234</v>
      </c>
      <c r="E10029" s="15">
        <v>10.3378</v>
      </c>
      <c r="F10029" s="42">
        <v>46198</v>
      </c>
    </row>
    <row r="10030" spans="1:6" x14ac:dyDescent="0.3">
      <c r="A10030" s="15" t="s">
        <v>33499</v>
      </c>
      <c r="B10030" s="15" t="s">
        <v>795</v>
      </c>
      <c r="C10030" s="15" t="s">
        <v>795</v>
      </c>
      <c r="D10030" s="15" t="s">
        <v>795</v>
      </c>
      <c r="F10030" s="42"/>
    </row>
    <row r="10031" spans="1:6" x14ac:dyDescent="0.3">
      <c r="A10031" s="15" t="s">
        <v>37780</v>
      </c>
      <c r="B10031" s="15" t="s">
        <v>795</v>
      </c>
      <c r="C10031" s="15" t="s">
        <v>795</v>
      </c>
      <c r="D10031" s="15" t="s">
        <v>795</v>
      </c>
      <c r="F10031" s="42"/>
    </row>
    <row r="10032" spans="1:6" x14ac:dyDescent="0.3">
      <c r="A10032" s="15" t="s">
        <v>33499</v>
      </c>
      <c r="B10032" s="15" t="s">
        <v>795</v>
      </c>
      <c r="C10032" s="15" t="s">
        <v>795</v>
      </c>
      <c r="D10032" s="15" t="s">
        <v>795</v>
      </c>
      <c r="F10032" s="42"/>
    </row>
    <row r="10033" spans="1:6" x14ac:dyDescent="0.3">
      <c r="A10033" s="15" t="s">
        <v>39643</v>
      </c>
      <c r="B10033" s="15" t="s">
        <v>18235</v>
      </c>
      <c r="C10033" s="15" t="s">
        <v>800</v>
      </c>
      <c r="D10033" s="15" t="s">
        <v>18236</v>
      </c>
      <c r="E10033" s="15">
        <v>11.598000000000001</v>
      </c>
      <c r="F10033" s="42">
        <v>46198</v>
      </c>
    </row>
    <row r="10034" spans="1:6" x14ac:dyDescent="0.3">
      <c r="A10034" s="15" t="s">
        <v>39642</v>
      </c>
      <c r="B10034" s="15" t="s">
        <v>18237</v>
      </c>
      <c r="C10034" s="15" t="s">
        <v>18238</v>
      </c>
      <c r="D10034" s="15" t="s">
        <v>18239</v>
      </c>
      <c r="E10034" s="15">
        <v>11.596</v>
      </c>
      <c r="F10034" s="42">
        <v>46198</v>
      </c>
    </row>
    <row r="10035" spans="1:6" x14ac:dyDescent="0.3">
      <c r="A10035" s="15" t="s">
        <v>39641</v>
      </c>
      <c r="B10035" s="15" t="s">
        <v>18240</v>
      </c>
      <c r="C10035" s="15" t="s">
        <v>800</v>
      </c>
      <c r="D10035" s="15" t="s">
        <v>18241</v>
      </c>
      <c r="E10035" s="15">
        <v>11.523</v>
      </c>
      <c r="F10035" s="42">
        <v>46198</v>
      </c>
    </row>
    <row r="10036" spans="1:6" x14ac:dyDescent="0.3">
      <c r="A10036" s="15" t="s">
        <v>39640</v>
      </c>
      <c r="B10036" s="15" t="s">
        <v>18242</v>
      </c>
      <c r="C10036" s="15" t="s">
        <v>18243</v>
      </c>
      <c r="D10036" s="15" t="s">
        <v>18244</v>
      </c>
      <c r="E10036" s="15">
        <v>11.521000000000001</v>
      </c>
      <c r="F10036" s="42">
        <v>46198</v>
      </c>
    </row>
    <row r="10037" spans="1:6" x14ac:dyDescent="0.3">
      <c r="A10037" s="15" t="s">
        <v>39639</v>
      </c>
      <c r="B10037" s="15" t="s">
        <v>18245</v>
      </c>
      <c r="C10037" s="15" t="s">
        <v>800</v>
      </c>
      <c r="D10037" s="15" t="s">
        <v>18246</v>
      </c>
      <c r="E10037" s="15">
        <v>11.584</v>
      </c>
      <c r="F10037" s="42">
        <v>46198</v>
      </c>
    </row>
    <row r="10038" spans="1:6" x14ac:dyDescent="0.3">
      <c r="A10038" s="15" t="s">
        <v>39638</v>
      </c>
      <c r="B10038" s="15" t="s">
        <v>18247</v>
      </c>
      <c r="C10038" s="15" t="s">
        <v>18248</v>
      </c>
      <c r="D10038" s="15" t="s">
        <v>18249</v>
      </c>
      <c r="E10038" s="15">
        <v>11.581</v>
      </c>
      <c r="F10038" s="42">
        <v>46198</v>
      </c>
    </row>
    <row r="10039" spans="1:6" x14ac:dyDescent="0.3">
      <c r="A10039" s="15" t="s">
        <v>39637</v>
      </c>
      <c r="B10039" s="15" t="s">
        <v>18250</v>
      </c>
      <c r="C10039" s="15" t="s">
        <v>800</v>
      </c>
      <c r="D10039" s="15" t="s">
        <v>18251</v>
      </c>
      <c r="E10039" s="15">
        <v>11.56</v>
      </c>
      <c r="F10039" s="42">
        <v>46198</v>
      </c>
    </row>
    <row r="10040" spans="1:6" x14ac:dyDescent="0.3">
      <c r="A10040" s="15" t="s">
        <v>39636</v>
      </c>
      <c r="B10040" s="15" t="s">
        <v>18252</v>
      </c>
      <c r="C10040" s="15" t="s">
        <v>18253</v>
      </c>
      <c r="D10040" s="15" t="s">
        <v>18254</v>
      </c>
      <c r="E10040" s="15">
        <v>11.56</v>
      </c>
      <c r="F10040" s="42">
        <v>46198</v>
      </c>
    </row>
    <row r="10041" spans="1:6" x14ac:dyDescent="0.3">
      <c r="A10041" s="15" t="s">
        <v>39635</v>
      </c>
      <c r="B10041" s="15" t="s">
        <v>18255</v>
      </c>
      <c r="C10041" s="15" t="s">
        <v>800</v>
      </c>
      <c r="D10041" s="15" t="s">
        <v>18256</v>
      </c>
      <c r="E10041" s="15">
        <v>11.038</v>
      </c>
      <c r="F10041" s="42">
        <v>46198</v>
      </c>
    </row>
    <row r="10042" spans="1:6" x14ac:dyDescent="0.3">
      <c r="A10042" s="15" t="s">
        <v>39634</v>
      </c>
      <c r="B10042" s="15" t="s">
        <v>18257</v>
      </c>
      <c r="C10042" s="15" t="s">
        <v>18258</v>
      </c>
      <c r="D10042" s="15" t="s">
        <v>18259</v>
      </c>
      <c r="E10042" s="15">
        <v>11.036</v>
      </c>
      <c r="F10042" s="42">
        <v>46198</v>
      </c>
    </row>
    <row r="10043" spans="1:6" x14ac:dyDescent="0.3">
      <c r="A10043" s="15" t="s">
        <v>39633</v>
      </c>
      <c r="B10043" s="15" t="s">
        <v>18260</v>
      </c>
      <c r="C10043" s="15" t="s">
        <v>800</v>
      </c>
      <c r="D10043" s="15" t="s">
        <v>18261</v>
      </c>
      <c r="E10043" s="15">
        <v>10.981999999999999</v>
      </c>
      <c r="F10043" s="42">
        <v>46198</v>
      </c>
    </row>
    <row r="10044" spans="1:6" x14ac:dyDescent="0.3">
      <c r="A10044" s="15" t="s">
        <v>39632</v>
      </c>
      <c r="B10044" s="15" t="s">
        <v>18262</v>
      </c>
      <c r="C10044" s="15" t="s">
        <v>18263</v>
      </c>
      <c r="D10044" s="15" t="s">
        <v>18264</v>
      </c>
      <c r="E10044" s="15">
        <v>10.964</v>
      </c>
      <c r="F10044" s="42">
        <v>46198</v>
      </c>
    </row>
    <row r="10045" spans="1:6" x14ac:dyDescent="0.3">
      <c r="A10045" s="15" t="s">
        <v>39631</v>
      </c>
      <c r="B10045" s="15" t="s">
        <v>18265</v>
      </c>
      <c r="C10045" s="15" t="s">
        <v>800</v>
      </c>
      <c r="D10045" s="15" t="s">
        <v>18266</v>
      </c>
      <c r="E10045" s="15">
        <v>25.094999999999999</v>
      </c>
      <c r="F10045" s="42">
        <v>46198</v>
      </c>
    </row>
    <row r="10046" spans="1:6" x14ac:dyDescent="0.3">
      <c r="A10046" s="15" t="s">
        <v>39630</v>
      </c>
      <c r="B10046" s="15" t="s">
        <v>18267</v>
      </c>
      <c r="C10046" s="15" t="s">
        <v>18268</v>
      </c>
      <c r="D10046" s="15" t="s">
        <v>18269</v>
      </c>
      <c r="E10046" s="15">
        <v>25.114000000000001</v>
      </c>
      <c r="F10046" s="42">
        <v>46198</v>
      </c>
    </row>
    <row r="10047" spans="1:6" x14ac:dyDescent="0.3">
      <c r="A10047" s="15" t="s">
        <v>39629</v>
      </c>
      <c r="B10047" s="15" t="s">
        <v>18270</v>
      </c>
      <c r="C10047" s="15" t="s">
        <v>800</v>
      </c>
      <c r="D10047" s="15" t="s">
        <v>18271</v>
      </c>
      <c r="E10047" s="15">
        <v>24.986999999999998</v>
      </c>
      <c r="F10047" s="42">
        <v>46198</v>
      </c>
    </row>
    <row r="10048" spans="1:6" x14ac:dyDescent="0.3">
      <c r="A10048" s="15" t="s">
        <v>39628</v>
      </c>
      <c r="B10048" s="15" t="s">
        <v>18272</v>
      </c>
      <c r="C10048" s="15" t="s">
        <v>18273</v>
      </c>
      <c r="D10048" s="15" t="s">
        <v>18274</v>
      </c>
      <c r="E10048" s="15">
        <v>24.99</v>
      </c>
      <c r="F10048" s="42">
        <v>46198</v>
      </c>
    </row>
    <row r="10049" spans="1:6" x14ac:dyDescent="0.3">
      <c r="A10049" s="15" t="s">
        <v>39627</v>
      </c>
      <c r="B10049" s="15" t="s">
        <v>18275</v>
      </c>
      <c r="C10049" s="15" t="s">
        <v>800</v>
      </c>
      <c r="D10049" s="15" t="s">
        <v>18276</v>
      </c>
      <c r="E10049" s="15">
        <v>17.515999999999998</v>
      </c>
      <c r="F10049" s="42">
        <v>46198</v>
      </c>
    </row>
    <row r="10050" spans="1:6" x14ac:dyDescent="0.3">
      <c r="A10050" s="15" t="s">
        <v>39626</v>
      </c>
      <c r="B10050" s="15" t="s">
        <v>18277</v>
      </c>
      <c r="C10050" s="15" t="s">
        <v>18278</v>
      </c>
      <c r="D10050" s="15" t="s">
        <v>18279</v>
      </c>
      <c r="E10050" s="15">
        <v>17.515000000000001</v>
      </c>
      <c r="F10050" s="42">
        <v>46198</v>
      </c>
    </row>
    <row r="10051" spans="1:6" x14ac:dyDescent="0.3">
      <c r="A10051" s="15" t="s">
        <v>39625</v>
      </c>
      <c r="B10051" s="15" t="s">
        <v>18280</v>
      </c>
      <c r="C10051" s="15" t="s">
        <v>800</v>
      </c>
      <c r="D10051" s="15" t="s">
        <v>18281</v>
      </c>
      <c r="E10051" s="15">
        <v>17.367000000000001</v>
      </c>
      <c r="F10051" s="42">
        <v>46198</v>
      </c>
    </row>
    <row r="10052" spans="1:6" x14ac:dyDescent="0.3">
      <c r="A10052" s="15" t="s">
        <v>39624</v>
      </c>
      <c r="B10052" s="15" t="s">
        <v>18282</v>
      </c>
      <c r="C10052" s="15" t="s">
        <v>18283</v>
      </c>
      <c r="D10052" s="15" t="s">
        <v>18284</v>
      </c>
      <c r="E10052" s="15">
        <v>17.356999999999999</v>
      </c>
      <c r="F10052" s="42">
        <v>46198</v>
      </c>
    </row>
    <row r="10053" spans="1:6" x14ac:dyDescent="0.3">
      <c r="A10053" s="15" t="s">
        <v>39623</v>
      </c>
      <c r="B10053" s="15" t="s">
        <v>18285</v>
      </c>
      <c r="C10053" s="15" t="s">
        <v>800</v>
      </c>
      <c r="D10053" s="15" t="s">
        <v>18286</v>
      </c>
      <c r="E10053" s="15">
        <v>15.654</v>
      </c>
      <c r="F10053" s="42">
        <v>46198</v>
      </c>
    </row>
    <row r="10054" spans="1:6" x14ac:dyDescent="0.3">
      <c r="A10054" s="15" t="s">
        <v>39622</v>
      </c>
      <c r="B10054" s="15" t="s">
        <v>18287</v>
      </c>
      <c r="C10054" s="15" t="s">
        <v>18288</v>
      </c>
      <c r="D10054" s="15" t="s">
        <v>18289</v>
      </c>
      <c r="E10054" s="15">
        <v>15.651999999999999</v>
      </c>
      <c r="F10054" s="42">
        <v>46198</v>
      </c>
    </row>
    <row r="10055" spans="1:6" x14ac:dyDescent="0.3">
      <c r="A10055" s="15" t="s">
        <v>39621</v>
      </c>
      <c r="B10055" s="15" t="s">
        <v>18290</v>
      </c>
      <c r="C10055" s="15" t="s">
        <v>800</v>
      </c>
      <c r="D10055" s="15" t="s">
        <v>18291</v>
      </c>
      <c r="E10055" s="15">
        <v>15.577</v>
      </c>
      <c r="F10055" s="42">
        <v>46198</v>
      </c>
    </row>
    <row r="10056" spans="1:6" x14ac:dyDescent="0.3">
      <c r="A10056" s="15" t="s">
        <v>39620</v>
      </c>
      <c r="B10056" s="15" t="s">
        <v>18292</v>
      </c>
      <c r="C10056" s="15" t="s">
        <v>18293</v>
      </c>
      <c r="D10056" s="15" t="s">
        <v>18294</v>
      </c>
      <c r="E10056" s="15">
        <v>15.573</v>
      </c>
      <c r="F10056" s="42">
        <v>46198</v>
      </c>
    </row>
    <row r="10057" spans="1:6" x14ac:dyDescent="0.3">
      <c r="A10057" s="15" t="s">
        <v>39619</v>
      </c>
      <c r="B10057" s="15" t="s">
        <v>18295</v>
      </c>
      <c r="C10057" s="15" t="s">
        <v>800</v>
      </c>
      <c r="D10057" s="15" t="s">
        <v>18296</v>
      </c>
      <c r="E10057" s="15">
        <v>10.881</v>
      </c>
      <c r="F10057" s="42">
        <v>46198</v>
      </c>
    </row>
    <row r="10058" spans="1:6" x14ac:dyDescent="0.3">
      <c r="A10058" s="15" t="s">
        <v>39618</v>
      </c>
      <c r="B10058" s="15" t="s">
        <v>18297</v>
      </c>
      <c r="C10058" s="15" t="s">
        <v>800</v>
      </c>
      <c r="D10058" s="15" t="s">
        <v>18298</v>
      </c>
      <c r="E10058" s="15">
        <v>11.109</v>
      </c>
      <c r="F10058" s="42">
        <v>46198</v>
      </c>
    </row>
    <row r="10059" spans="1:6" x14ac:dyDescent="0.3">
      <c r="A10059" s="15" t="s">
        <v>39617</v>
      </c>
      <c r="B10059" s="15" t="s">
        <v>18299</v>
      </c>
      <c r="C10059" s="15" t="s">
        <v>800</v>
      </c>
      <c r="D10059" s="15" t="s">
        <v>18300</v>
      </c>
      <c r="E10059" s="15">
        <v>10.584</v>
      </c>
      <c r="F10059" s="42">
        <v>46198</v>
      </c>
    </row>
    <row r="10060" spans="1:6" x14ac:dyDescent="0.3">
      <c r="A10060" s="15" t="s">
        <v>39616</v>
      </c>
      <c r="B10060" s="15" t="s">
        <v>18301</v>
      </c>
      <c r="C10060" s="15" t="s">
        <v>18302</v>
      </c>
      <c r="D10060" s="15" t="s">
        <v>18303</v>
      </c>
      <c r="E10060" s="15">
        <v>10.584</v>
      </c>
      <c r="F10060" s="42">
        <v>46198</v>
      </c>
    </row>
    <row r="10061" spans="1:6" x14ac:dyDescent="0.3">
      <c r="A10061" s="15" t="s">
        <v>39615</v>
      </c>
      <c r="B10061" s="15" t="s">
        <v>18304</v>
      </c>
      <c r="C10061" s="15" t="s">
        <v>800</v>
      </c>
      <c r="D10061" s="15" t="s">
        <v>18305</v>
      </c>
      <c r="E10061" s="15">
        <v>10.558</v>
      </c>
      <c r="F10061" s="42">
        <v>46198</v>
      </c>
    </row>
    <row r="10062" spans="1:6" x14ac:dyDescent="0.3">
      <c r="A10062" s="15" t="s">
        <v>39614</v>
      </c>
      <c r="B10062" s="15" t="s">
        <v>18306</v>
      </c>
      <c r="C10062" s="15" t="s">
        <v>18307</v>
      </c>
      <c r="D10062" s="15" t="s">
        <v>18308</v>
      </c>
      <c r="E10062" s="15">
        <v>10.558</v>
      </c>
      <c r="F10062" s="42">
        <v>46198</v>
      </c>
    </row>
    <row r="10063" spans="1:6" x14ac:dyDescent="0.3">
      <c r="A10063" s="15" t="s">
        <v>39613</v>
      </c>
      <c r="B10063" s="15" t="s">
        <v>18309</v>
      </c>
      <c r="C10063" s="15" t="s">
        <v>800</v>
      </c>
      <c r="D10063" s="15" t="s">
        <v>18310</v>
      </c>
      <c r="E10063" s="15">
        <v>10.712999999999999</v>
      </c>
      <c r="F10063" s="42">
        <v>46198</v>
      </c>
    </row>
    <row r="10064" spans="1:6" x14ac:dyDescent="0.3">
      <c r="A10064" s="15" t="s">
        <v>39612</v>
      </c>
      <c r="B10064" s="15" t="s">
        <v>18311</v>
      </c>
      <c r="C10064" s="15" t="s">
        <v>18312</v>
      </c>
      <c r="D10064" s="15" t="s">
        <v>18313</v>
      </c>
      <c r="E10064" s="15">
        <v>10.711</v>
      </c>
      <c r="F10064" s="42">
        <v>46198</v>
      </c>
    </row>
    <row r="10065" spans="1:6" x14ac:dyDescent="0.3">
      <c r="A10065" s="15" t="s">
        <v>39611</v>
      </c>
      <c r="B10065" s="15" t="s">
        <v>18314</v>
      </c>
      <c r="C10065" s="15" t="s">
        <v>800</v>
      </c>
      <c r="D10065" s="15" t="s">
        <v>18315</v>
      </c>
      <c r="E10065" s="15">
        <v>10.667</v>
      </c>
      <c r="F10065" s="42">
        <v>46198</v>
      </c>
    </row>
    <row r="10066" spans="1:6" x14ac:dyDescent="0.3">
      <c r="A10066" s="15" t="s">
        <v>39610</v>
      </c>
      <c r="B10066" s="15" t="s">
        <v>18316</v>
      </c>
      <c r="C10066" s="15" t="s">
        <v>18317</v>
      </c>
      <c r="D10066" s="15" t="s">
        <v>18318</v>
      </c>
      <c r="E10066" s="15">
        <v>10.65</v>
      </c>
      <c r="F10066" s="42">
        <v>46198</v>
      </c>
    </row>
    <row r="10067" spans="1:6" x14ac:dyDescent="0.3">
      <c r="A10067" s="15" t="s">
        <v>39609</v>
      </c>
      <c r="B10067" s="15" t="s">
        <v>18319</v>
      </c>
      <c r="C10067" s="15" t="s">
        <v>18320</v>
      </c>
      <c r="D10067" s="15" t="s">
        <v>18321</v>
      </c>
      <c r="E10067" s="15">
        <v>18.177</v>
      </c>
      <c r="F10067" s="42">
        <v>46198</v>
      </c>
    </row>
    <row r="10068" spans="1:6" x14ac:dyDescent="0.3">
      <c r="A10068" s="15" t="s">
        <v>39608</v>
      </c>
      <c r="B10068" s="15" t="s">
        <v>18322</v>
      </c>
      <c r="C10068" s="15" t="s">
        <v>18323</v>
      </c>
      <c r="D10068" s="15" t="s">
        <v>18324</v>
      </c>
      <c r="E10068" s="15">
        <v>17.786999999999999</v>
      </c>
      <c r="F10068" s="42">
        <v>46198</v>
      </c>
    </row>
    <row r="10069" spans="1:6" x14ac:dyDescent="0.3">
      <c r="A10069" s="15" t="s">
        <v>39607</v>
      </c>
      <c r="B10069" s="15" t="s">
        <v>18325</v>
      </c>
      <c r="C10069" s="15" t="s">
        <v>800</v>
      </c>
      <c r="D10069" s="15" t="s">
        <v>18326</v>
      </c>
      <c r="E10069" s="15">
        <v>18.181000000000001</v>
      </c>
      <c r="F10069" s="42">
        <v>46198</v>
      </c>
    </row>
    <row r="10070" spans="1:6" x14ac:dyDescent="0.3">
      <c r="A10070" s="15" t="s">
        <v>39606</v>
      </c>
      <c r="B10070" s="15" t="s">
        <v>18327</v>
      </c>
      <c r="C10070" s="15" t="s">
        <v>800</v>
      </c>
      <c r="D10070" s="15" t="s">
        <v>18328</v>
      </c>
      <c r="E10070" s="15">
        <v>17.821999999999999</v>
      </c>
      <c r="F10070" s="42">
        <v>46198</v>
      </c>
    </row>
    <row r="10071" spans="1:6" x14ac:dyDescent="0.3">
      <c r="A10071" s="15" t="s">
        <v>39605</v>
      </c>
      <c r="B10071" s="15" t="s">
        <v>18329</v>
      </c>
      <c r="C10071" s="15" t="s">
        <v>800</v>
      </c>
      <c r="D10071" s="15" t="s">
        <v>18330</v>
      </c>
      <c r="E10071" s="15">
        <v>20.303999999999998</v>
      </c>
      <c r="F10071" s="42">
        <v>46198</v>
      </c>
    </row>
    <row r="10072" spans="1:6" x14ac:dyDescent="0.3">
      <c r="A10072" s="15" t="s">
        <v>39604</v>
      </c>
      <c r="B10072" s="15" t="s">
        <v>18331</v>
      </c>
      <c r="C10072" s="15" t="s">
        <v>18332</v>
      </c>
      <c r="D10072" s="15" t="s">
        <v>18333</v>
      </c>
      <c r="E10072" s="15">
        <v>20.305</v>
      </c>
      <c r="F10072" s="42">
        <v>46198</v>
      </c>
    </row>
    <row r="10073" spans="1:6" x14ac:dyDescent="0.3">
      <c r="A10073" s="15" t="s">
        <v>39603</v>
      </c>
      <c r="B10073" s="15" t="s">
        <v>18334</v>
      </c>
      <c r="C10073" s="15" t="s">
        <v>800</v>
      </c>
      <c r="D10073" s="15" t="s">
        <v>18335</v>
      </c>
      <c r="E10073" s="15">
        <v>19.962</v>
      </c>
      <c r="F10073" s="42">
        <v>46198</v>
      </c>
    </row>
    <row r="10074" spans="1:6" x14ac:dyDescent="0.3">
      <c r="A10074" s="15" t="s">
        <v>39602</v>
      </c>
      <c r="B10074" s="15" t="s">
        <v>18336</v>
      </c>
      <c r="C10074" s="15" t="s">
        <v>18337</v>
      </c>
      <c r="D10074" s="15" t="s">
        <v>18338</v>
      </c>
      <c r="E10074" s="15">
        <v>20.036000000000001</v>
      </c>
      <c r="F10074" s="42">
        <v>46198</v>
      </c>
    </row>
    <row r="10075" spans="1:6" x14ac:dyDescent="0.3">
      <c r="A10075" s="15" t="s">
        <v>39601</v>
      </c>
      <c r="B10075" s="15" t="s">
        <v>18339</v>
      </c>
      <c r="C10075" s="15" t="s">
        <v>800</v>
      </c>
      <c r="D10075" s="15" t="s">
        <v>18340</v>
      </c>
      <c r="E10075" s="15">
        <v>9.3759999999999994</v>
      </c>
      <c r="F10075" s="42">
        <v>46198</v>
      </c>
    </row>
    <row r="10076" spans="1:6" x14ac:dyDescent="0.3">
      <c r="A10076" s="15" t="s">
        <v>39600</v>
      </c>
      <c r="B10076" s="15" t="s">
        <v>18341</v>
      </c>
      <c r="C10076" s="15" t="s">
        <v>18342</v>
      </c>
      <c r="D10076" s="15" t="s">
        <v>18343</v>
      </c>
      <c r="E10076" s="15">
        <v>9.3759999999999994</v>
      </c>
      <c r="F10076" s="42">
        <v>46198</v>
      </c>
    </row>
    <row r="10077" spans="1:6" x14ac:dyDescent="0.3">
      <c r="A10077" s="15" t="s">
        <v>39599</v>
      </c>
      <c r="B10077" s="15" t="s">
        <v>18344</v>
      </c>
      <c r="C10077" s="15" t="s">
        <v>800</v>
      </c>
      <c r="D10077" s="15" t="s">
        <v>18345</v>
      </c>
      <c r="E10077" s="15">
        <v>9.3230000000000004</v>
      </c>
      <c r="F10077" s="42">
        <v>46198</v>
      </c>
    </row>
    <row r="10078" spans="1:6" x14ac:dyDescent="0.3">
      <c r="A10078" s="15" t="s">
        <v>39598</v>
      </c>
      <c r="B10078" s="15" t="s">
        <v>18346</v>
      </c>
      <c r="C10078" s="15" t="s">
        <v>18347</v>
      </c>
      <c r="D10078" s="15" t="s">
        <v>18348</v>
      </c>
      <c r="E10078" s="15">
        <v>9.3239999999999998</v>
      </c>
      <c r="F10078" s="42">
        <v>46198</v>
      </c>
    </row>
    <row r="10079" spans="1:6" x14ac:dyDescent="0.3">
      <c r="A10079" s="15" t="s">
        <v>39597</v>
      </c>
      <c r="B10079" s="15" t="s">
        <v>18349</v>
      </c>
      <c r="C10079" s="15" t="s">
        <v>800</v>
      </c>
      <c r="D10079" s="15" t="s">
        <v>18350</v>
      </c>
      <c r="E10079" s="15">
        <v>10.044</v>
      </c>
      <c r="F10079" s="42">
        <v>46198</v>
      </c>
    </row>
    <row r="10080" spans="1:6" x14ac:dyDescent="0.3">
      <c r="A10080" s="15" t="s">
        <v>39596</v>
      </c>
      <c r="B10080" s="15" t="s">
        <v>18351</v>
      </c>
      <c r="C10080" s="15" t="s">
        <v>18352</v>
      </c>
      <c r="D10080" s="15" t="s">
        <v>18353</v>
      </c>
      <c r="E10080" s="15">
        <v>10.102</v>
      </c>
      <c r="F10080" s="42">
        <v>46198</v>
      </c>
    </row>
    <row r="10081" spans="1:6" x14ac:dyDescent="0.3">
      <c r="A10081" s="15" t="s">
        <v>39595</v>
      </c>
      <c r="B10081" s="15" t="s">
        <v>18354</v>
      </c>
      <c r="C10081" s="15" t="s">
        <v>800</v>
      </c>
      <c r="D10081" s="15" t="s">
        <v>18355</v>
      </c>
      <c r="E10081" s="15">
        <v>10.023</v>
      </c>
      <c r="F10081" s="42">
        <v>46198</v>
      </c>
    </row>
    <row r="10082" spans="1:6" x14ac:dyDescent="0.3">
      <c r="A10082" s="15" t="s">
        <v>39594</v>
      </c>
      <c r="B10082" s="15" t="s">
        <v>18356</v>
      </c>
      <c r="C10082" s="15" t="s">
        <v>18357</v>
      </c>
      <c r="D10082" s="15" t="s">
        <v>18358</v>
      </c>
      <c r="E10082" s="15">
        <v>10.023</v>
      </c>
      <c r="F10082" s="42">
        <v>46198</v>
      </c>
    </row>
    <row r="10083" spans="1:6" x14ac:dyDescent="0.3">
      <c r="A10083" s="15" t="s">
        <v>39593</v>
      </c>
      <c r="B10083" s="15" t="s">
        <v>18359</v>
      </c>
      <c r="C10083" s="15" t="s">
        <v>800</v>
      </c>
      <c r="D10083" s="15" t="s">
        <v>18360</v>
      </c>
      <c r="E10083" s="15">
        <v>10.302</v>
      </c>
      <c r="F10083" s="42">
        <v>46198</v>
      </c>
    </row>
    <row r="10084" spans="1:6" x14ac:dyDescent="0.3">
      <c r="A10084" s="15" t="s">
        <v>39592</v>
      </c>
      <c r="B10084" s="15" t="s">
        <v>18361</v>
      </c>
      <c r="C10084" s="15" t="s">
        <v>18362</v>
      </c>
      <c r="D10084" s="15" t="s">
        <v>18363</v>
      </c>
      <c r="E10084" s="15">
        <v>10.302</v>
      </c>
      <c r="F10084" s="42">
        <v>46198</v>
      </c>
    </row>
    <row r="10085" spans="1:6" x14ac:dyDescent="0.3">
      <c r="A10085" s="15" t="s">
        <v>39591</v>
      </c>
      <c r="B10085" s="15" t="s">
        <v>18364</v>
      </c>
      <c r="C10085" s="15" t="s">
        <v>800</v>
      </c>
      <c r="D10085" s="15" t="s">
        <v>18365</v>
      </c>
      <c r="E10085" s="15">
        <v>10.188000000000001</v>
      </c>
      <c r="F10085" s="42">
        <v>46198</v>
      </c>
    </row>
    <row r="10086" spans="1:6" x14ac:dyDescent="0.3">
      <c r="A10086" s="15" t="s">
        <v>39590</v>
      </c>
      <c r="B10086" s="15" t="s">
        <v>18366</v>
      </c>
      <c r="C10086" s="15" t="s">
        <v>18367</v>
      </c>
      <c r="D10086" s="15" t="s">
        <v>18368</v>
      </c>
      <c r="E10086" s="15">
        <v>10.193</v>
      </c>
      <c r="F10086" s="42">
        <v>46198</v>
      </c>
    </row>
    <row r="10087" spans="1:6" x14ac:dyDescent="0.3">
      <c r="A10087" s="15" t="s">
        <v>39589</v>
      </c>
      <c r="B10087" s="15" t="s">
        <v>18369</v>
      </c>
      <c r="C10087" s="15" t="s">
        <v>800</v>
      </c>
      <c r="D10087" s="15" t="s">
        <v>18370</v>
      </c>
      <c r="E10087" s="15">
        <v>10.301</v>
      </c>
      <c r="F10087" s="42">
        <v>46198</v>
      </c>
    </row>
    <row r="10088" spans="1:6" x14ac:dyDescent="0.3">
      <c r="A10088" s="15" t="s">
        <v>39588</v>
      </c>
      <c r="B10088" s="15" t="s">
        <v>18371</v>
      </c>
      <c r="C10088" s="15" t="s">
        <v>18372</v>
      </c>
      <c r="D10088" s="15" t="s">
        <v>18373</v>
      </c>
      <c r="E10088" s="15">
        <v>10.298</v>
      </c>
      <c r="F10088" s="42">
        <v>46198</v>
      </c>
    </row>
    <row r="10089" spans="1:6" x14ac:dyDescent="0.3">
      <c r="A10089" s="15" t="s">
        <v>39587</v>
      </c>
      <c r="B10089" s="15" t="s">
        <v>18374</v>
      </c>
      <c r="C10089" s="15" t="s">
        <v>800</v>
      </c>
      <c r="D10089" s="15" t="s">
        <v>18375</v>
      </c>
      <c r="E10089" s="15">
        <v>10.183</v>
      </c>
      <c r="F10089" s="42">
        <v>46198</v>
      </c>
    </row>
    <row r="10090" spans="1:6" x14ac:dyDescent="0.3">
      <c r="A10090" s="15" t="s">
        <v>39586</v>
      </c>
      <c r="B10090" s="15" t="s">
        <v>18376</v>
      </c>
      <c r="C10090" s="15" t="s">
        <v>18377</v>
      </c>
      <c r="D10090" s="15" t="s">
        <v>18378</v>
      </c>
      <c r="E10090" s="15">
        <v>10.185</v>
      </c>
      <c r="F10090" s="42">
        <v>46198</v>
      </c>
    </row>
    <row r="10091" spans="1:6" x14ac:dyDescent="0.3">
      <c r="A10091" s="15" t="s">
        <v>39585</v>
      </c>
      <c r="B10091" s="15" t="s">
        <v>18379</v>
      </c>
      <c r="C10091" s="15" t="s">
        <v>800</v>
      </c>
      <c r="D10091" s="15" t="s">
        <v>18380</v>
      </c>
      <c r="E10091" s="15">
        <v>9.141</v>
      </c>
      <c r="F10091" s="42">
        <v>46198</v>
      </c>
    </row>
    <row r="10092" spans="1:6" x14ac:dyDescent="0.3">
      <c r="A10092" s="15" t="s">
        <v>39584</v>
      </c>
      <c r="B10092" s="15" t="s">
        <v>18381</v>
      </c>
      <c r="C10092" s="15" t="s">
        <v>18382</v>
      </c>
      <c r="D10092" s="15" t="s">
        <v>18383</v>
      </c>
      <c r="E10092" s="15">
        <v>9.1470000000000002</v>
      </c>
      <c r="F10092" s="42">
        <v>46198</v>
      </c>
    </row>
    <row r="10093" spans="1:6" x14ac:dyDescent="0.3">
      <c r="A10093" s="15" t="s">
        <v>39583</v>
      </c>
      <c r="B10093" s="15" t="s">
        <v>18384</v>
      </c>
      <c r="C10093" s="15" t="s">
        <v>800</v>
      </c>
      <c r="D10093" s="15" t="s">
        <v>18385</v>
      </c>
      <c r="E10093" s="15">
        <v>9.0619999999999994</v>
      </c>
      <c r="F10093" s="42">
        <v>46198</v>
      </c>
    </row>
    <row r="10094" spans="1:6" x14ac:dyDescent="0.3">
      <c r="A10094" s="15" t="s">
        <v>39582</v>
      </c>
      <c r="B10094" s="15" t="s">
        <v>18386</v>
      </c>
      <c r="C10094" s="15" t="s">
        <v>18387</v>
      </c>
      <c r="D10094" s="15" t="s">
        <v>18388</v>
      </c>
      <c r="E10094" s="15">
        <v>9.0549999999999997</v>
      </c>
      <c r="F10094" s="42">
        <v>46198</v>
      </c>
    </row>
    <row r="10095" spans="1:6" x14ac:dyDescent="0.3">
      <c r="A10095" s="15" t="s">
        <v>39581</v>
      </c>
      <c r="B10095" s="15" t="s">
        <v>18389</v>
      </c>
      <c r="C10095" s="15" t="s">
        <v>800</v>
      </c>
      <c r="D10095" s="15" t="s">
        <v>18390</v>
      </c>
      <c r="E10095" s="15">
        <v>39.616999999999997</v>
      </c>
      <c r="F10095" s="42">
        <v>46198</v>
      </c>
    </row>
    <row r="10096" spans="1:6" x14ac:dyDescent="0.3">
      <c r="A10096" s="15" t="s">
        <v>39580</v>
      </c>
      <c r="B10096" s="15" t="s">
        <v>18391</v>
      </c>
      <c r="C10096" s="15" t="s">
        <v>800</v>
      </c>
      <c r="D10096" s="15" t="s">
        <v>18392</v>
      </c>
      <c r="E10096" s="15">
        <v>38.834000000000003</v>
      </c>
      <c r="F10096" s="42">
        <v>46198</v>
      </c>
    </row>
    <row r="10097" spans="1:6" x14ac:dyDescent="0.3">
      <c r="A10097" s="15" t="s">
        <v>39579</v>
      </c>
      <c r="B10097" s="15" t="s">
        <v>18393</v>
      </c>
      <c r="C10097" s="15" t="s">
        <v>800</v>
      </c>
      <c r="D10097" s="15" t="s">
        <v>18394</v>
      </c>
      <c r="E10097" s="15">
        <v>27.271999999999998</v>
      </c>
      <c r="F10097" s="42">
        <v>46198</v>
      </c>
    </row>
    <row r="10098" spans="1:6" x14ac:dyDescent="0.3">
      <c r="A10098" s="15" t="s">
        <v>39578</v>
      </c>
      <c r="B10098" s="15" t="s">
        <v>18395</v>
      </c>
      <c r="C10098" s="15" t="s">
        <v>800</v>
      </c>
      <c r="D10098" s="15" t="s">
        <v>18396</v>
      </c>
      <c r="E10098" s="15">
        <v>26.748999999999999</v>
      </c>
      <c r="F10098" s="42">
        <v>46198</v>
      </c>
    </row>
    <row r="10099" spans="1:6" x14ac:dyDescent="0.3">
      <c r="A10099" s="15" t="s">
        <v>39577</v>
      </c>
      <c r="B10099" s="15" t="s">
        <v>18397</v>
      </c>
      <c r="C10099" s="15" t="s">
        <v>800</v>
      </c>
      <c r="D10099" s="15" t="s">
        <v>18398</v>
      </c>
      <c r="E10099" s="15">
        <v>9.6240000000000006</v>
      </c>
      <c r="F10099" s="42">
        <v>46198</v>
      </c>
    </row>
    <row r="10100" spans="1:6" x14ac:dyDescent="0.3">
      <c r="A10100" s="15" t="s">
        <v>39576</v>
      </c>
      <c r="B10100" s="15" t="s">
        <v>18399</v>
      </c>
      <c r="C10100" s="15" t="s">
        <v>18400</v>
      </c>
      <c r="D10100" s="15" t="s">
        <v>18401</v>
      </c>
      <c r="E10100" s="15">
        <v>9.6240000000000006</v>
      </c>
      <c r="F10100" s="42">
        <v>46198</v>
      </c>
    </row>
    <row r="10101" spans="1:6" x14ac:dyDescent="0.3">
      <c r="A10101" s="15" t="s">
        <v>39575</v>
      </c>
      <c r="B10101" s="15" t="s">
        <v>18402</v>
      </c>
      <c r="C10101" s="15" t="s">
        <v>800</v>
      </c>
      <c r="D10101" s="15" t="s">
        <v>18403</v>
      </c>
      <c r="E10101" s="15">
        <v>9.609</v>
      </c>
      <c r="F10101" s="42">
        <v>46198</v>
      </c>
    </row>
    <row r="10102" spans="1:6" x14ac:dyDescent="0.3">
      <c r="A10102" s="15" t="s">
        <v>39574</v>
      </c>
      <c r="B10102" s="15" t="s">
        <v>18404</v>
      </c>
      <c r="C10102" s="15" t="s">
        <v>18405</v>
      </c>
      <c r="D10102" s="15" t="s">
        <v>18406</v>
      </c>
      <c r="E10102" s="15">
        <v>9.609</v>
      </c>
      <c r="F10102" s="42">
        <v>46198</v>
      </c>
    </row>
    <row r="10103" spans="1:6" x14ac:dyDescent="0.3">
      <c r="A10103" s="15" t="s">
        <v>33499</v>
      </c>
      <c r="B10103" s="15" t="s">
        <v>795</v>
      </c>
      <c r="C10103" s="15" t="s">
        <v>795</v>
      </c>
      <c r="D10103" s="15" t="s">
        <v>795</v>
      </c>
      <c r="F10103" s="42"/>
    </row>
    <row r="10104" spans="1:6" x14ac:dyDescent="0.3">
      <c r="A10104" s="15" t="s">
        <v>37742</v>
      </c>
      <c r="B10104" s="15" t="s">
        <v>795</v>
      </c>
      <c r="C10104" s="15" t="s">
        <v>795</v>
      </c>
      <c r="D10104" s="15" t="s">
        <v>795</v>
      </c>
      <c r="F10104" s="42"/>
    </row>
    <row r="10105" spans="1:6" x14ac:dyDescent="0.3">
      <c r="A10105" s="15" t="s">
        <v>33499</v>
      </c>
      <c r="B10105" s="15" t="s">
        <v>795</v>
      </c>
      <c r="C10105" s="15" t="s">
        <v>795</v>
      </c>
      <c r="D10105" s="15" t="s">
        <v>795</v>
      </c>
      <c r="F10105" s="42"/>
    </row>
    <row r="10106" spans="1:6" x14ac:dyDescent="0.3">
      <c r="A10106" s="15" t="s">
        <v>39573</v>
      </c>
      <c r="B10106" s="15" t="s">
        <v>18407</v>
      </c>
      <c r="C10106" s="15" t="s">
        <v>800</v>
      </c>
      <c r="D10106" s="15" t="s">
        <v>18408</v>
      </c>
      <c r="E10106" s="15">
        <v>13.216699999999999</v>
      </c>
      <c r="F10106" s="42">
        <v>46198</v>
      </c>
    </row>
    <row r="10107" spans="1:6" x14ac:dyDescent="0.3">
      <c r="A10107" s="15" t="s">
        <v>39572</v>
      </c>
      <c r="B10107" s="15" t="s">
        <v>18409</v>
      </c>
      <c r="C10107" s="15" t="s">
        <v>800</v>
      </c>
      <c r="D10107" s="15" t="s">
        <v>18410</v>
      </c>
      <c r="E10107" s="15">
        <v>13.1699</v>
      </c>
      <c r="F10107" s="42">
        <v>46198</v>
      </c>
    </row>
    <row r="10108" spans="1:6" x14ac:dyDescent="0.3">
      <c r="A10108" s="15" t="s">
        <v>39569</v>
      </c>
      <c r="B10108" s="15" t="s">
        <v>18413</v>
      </c>
      <c r="C10108" s="15" t="s">
        <v>800</v>
      </c>
      <c r="D10108" s="15" t="s">
        <v>18414</v>
      </c>
      <c r="E10108" s="15">
        <v>17.755700000000001</v>
      </c>
      <c r="F10108" s="42">
        <v>46198</v>
      </c>
    </row>
    <row r="10109" spans="1:6" x14ac:dyDescent="0.3">
      <c r="A10109" s="15" t="s">
        <v>39568</v>
      </c>
      <c r="B10109" s="15" t="s">
        <v>18415</v>
      </c>
      <c r="C10109" s="15" t="s">
        <v>800</v>
      </c>
      <c r="D10109" s="15" t="s">
        <v>18416</v>
      </c>
      <c r="E10109" s="15">
        <v>17.278400000000001</v>
      </c>
      <c r="F10109" s="42">
        <v>46198</v>
      </c>
    </row>
    <row r="10110" spans="1:6" x14ac:dyDescent="0.3">
      <c r="A10110" s="15" t="s">
        <v>39567</v>
      </c>
      <c r="B10110" s="15" t="s">
        <v>18417</v>
      </c>
      <c r="C10110" s="15" t="s">
        <v>800</v>
      </c>
      <c r="D10110" s="15" t="s">
        <v>18418</v>
      </c>
      <c r="E10110" s="15">
        <v>10.5815</v>
      </c>
      <c r="F10110" s="42">
        <v>46198</v>
      </c>
    </row>
    <row r="10111" spans="1:6" x14ac:dyDescent="0.3">
      <c r="A10111" s="15" t="s">
        <v>39566</v>
      </c>
      <c r="B10111" s="15" t="s">
        <v>18419</v>
      </c>
      <c r="C10111" s="15" t="s">
        <v>800</v>
      </c>
      <c r="D10111" s="15" t="s">
        <v>18420</v>
      </c>
      <c r="E10111" s="15">
        <v>10.5557</v>
      </c>
      <c r="F10111" s="42">
        <v>46198</v>
      </c>
    </row>
    <row r="10112" spans="1:6" x14ac:dyDescent="0.3">
      <c r="A10112" s="15" t="s">
        <v>39565</v>
      </c>
      <c r="B10112" s="15" t="s">
        <v>18421</v>
      </c>
      <c r="C10112" s="15" t="s">
        <v>800</v>
      </c>
      <c r="D10112" s="15" t="s">
        <v>18422</v>
      </c>
      <c r="E10112" s="15">
        <v>28.7254</v>
      </c>
      <c r="F10112" s="42">
        <v>46198</v>
      </c>
    </row>
    <row r="10113" spans="1:6" x14ac:dyDescent="0.3">
      <c r="A10113" s="15" t="s">
        <v>39564</v>
      </c>
      <c r="B10113" s="15" t="s">
        <v>18423</v>
      </c>
      <c r="C10113" s="15" t="s">
        <v>800</v>
      </c>
      <c r="D10113" s="15" t="s">
        <v>18424</v>
      </c>
      <c r="E10113" s="15">
        <v>28.352499999999999</v>
      </c>
      <c r="F10113" s="42">
        <v>46198</v>
      </c>
    </row>
    <row r="10114" spans="1:6" x14ac:dyDescent="0.3">
      <c r="A10114" s="15" t="s">
        <v>39571</v>
      </c>
      <c r="B10114" s="15" t="s">
        <v>18411</v>
      </c>
      <c r="C10114" s="15" t="s">
        <v>800</v>
      </c>
      <c r="D10114" s="15" t="s">
        <v>47233</v>
      </c>
      <c r="E10114" s="15">
        <v>19.762799999999999</v>
      </c>
      <c r="F10114" s="42">
        <v>46198</v>
      </c>
    </row>
    <row r="10115" spans="1:6" x14ac:dyDescent="0.3">
      <c r="A10115" s="15" t="s">
        <v>39570</v>
      </c>
      <c r="B10115" s="15" t="s">
        <v>18412</v>
      </c>
      <c r="C10115" s="15" t="s">
        <v>800</v>
      </c>
      <c r="D10115" s="15" t="s">
        <v>47234</v>
      </c>
      <c r="E10115" s="15">
        <v>19.2318</v>
      </c>
      <c r="F10115" s="42">
        <v>46198</v>
      </c>
    </row>
    <row r="10116" spans="1:6" x14ac:dyDescent="0.3">
      <c r="A10116" s="15" t="s">
        <v>39563</v>
      </c>
      <c r="B10116" s="15" t="s">
        <v>18425</v>
      </c>
      <c r="C10116" s="15" t="s">
        <v>800</v>
      </c>
      <c r="D10116" s="15" t="s">
        <v>18426</v>
      </c>
      <c r="E10116" s="15">
        <v>10.4796</v>
      </c>
      <c r="F10116" s="42">
        <v>46198</v>
      </c>
    </row>
    <row r="10117" spans="1:6" x14ac:dyDescent="0.3">
      <c r="A10117" s="15" t="s">
        <v>39562</v>
      </c>
      <c r="B10117" s="15" t="s">
        <v>18427</v>
      </c>
      <c r="C10117" s="15" t="s">
        <v>800</v>
      </c>
      <c r="D10117" s="15" t="s">
        <v>18428</v>
      </c>
      <c r="E10117" s="15">
        <v>10.4611</v>
      </c>
      <c r="F10117" s="42">
        <v>46198</v>
      </c>
    </row>
    <row r="10118" spans="1:6" x14ac:dyDescent="0.3">
      <c r="A10118" s="15" t="s">
        <v>39561</v>
      </c>
      <c r="B10118" s="15" t="s">
        <v>18429</v>
      </c>
      <c r="C10118" s="15" t="s">
        <v>800</v>
      </c>
      <c r="D10118" s="15" t="s">
        <v>18430</v>
      </c>
      <c r="E10118" s="15">
        <v>68.768000000000001</v>
      </c>
      <c r="F10118" s="42">
        <v>46198</v>
      </c>
    </row>
    <row r="10119" spans="1:6" x14ac:dyDescent="0.3">
      <c r="A10119" s="15" t="s">
        <v>39560</v>
      </c>
      <c r="B10119" s="15" t="s">
        <v>18431</v>
      </c>
      <c r="C10119" s="15" t="s">
        <v>800</v>
      </c>
      <c r="D10119" s="15" t="s">
        <v>18432</v>
      </c>
      <c r="E10119" s="15">
        <v>66.784400000000005</v>
      </c>
      <c r="F10119" s="42">
        <v>46198</v>
      </c>
    </row>
    <row r="10120" spans="1:6" x14ac:dyDescent="0.3">
      <c r="A10120" s="15" t="s">
        <v>33499</v>
      </c>
      <c r="B10120" s="15" t="s">
        <v>795</v>
      </c>
      <c r="C10120" s="15" t="s">
        <v>795</v>
      </c>
      <c r="D10120" s="15" t="s">
        <v>795</v>
      </c>
      <c r="F10120" s="42"/>
    </row>
    <row r="10121" spans="1:6" x14ac:dyDescent="0.3">
      <c r="A10121" s="15" t="s">
        <v>208</v>
      </c>
      <c r="B10121" s="15" t="s">
        <v>795</v>
      </c>
      <c r="C10121" s="15" t="s">
        <v>795</v>
      </c>
      <c r="D10121" s="15" t="s">
        <v>795</v>
      </c>
      <c r="F10121" s="42"/>
    </row>
    <row r="10122" spans="1:6" x14ac:dyDescent="0.3">
      <c r="A10122" s="15" t="s">
        <v>33499</v>
      </c>
      <c r="B10122" s="15" t="s">
        <v>795</v>
      </c>
      <c r="C10122" s="15" t="s">
        <v>795</v>
      </c>
      <c r="D10122" s="15" t="s">
        <v>795</v>
      </c>
      <c r="F10122" s="42"/>
    </row>
    <row r="10123" spans="1:6" x14ac:dyDescent="0.3">
      <c r="A10123" s="15" t="s">
        <v>39559</v>
      </c>
      <c r="B10123" s="15" t="s">
        <v>18433</v>
      </c>
      <c r="C10123" s="15" t="s">
        <v>800</v>
      </c>
      <c r="D10123" s="15" t="s">
        <v>18434</v>
      </c>
      <c r="E10123" s="15">
        <v>21.1999</v>
      </c>
      <c r="F10123" s="42">
        <v>46198</v>
      </c>
    </row>
    <row r="10124" spans="1:6" x14ac:dyDescent="0.3">
      <c r="A10124" s="15" t="s">
        <v>39558</v>
      </c>
      <c r="B10124" s="15" t="s">
        <v>18435</v>
      </c>
      <c r="C10124" s="15" t="s">
        <v>18436</v>
      </c>
      <c r="D10124" s="15" t="s">
        <v>18437</v>
      </c>
      <c r="E10124" s="15">
        <v>20.674600000000002</v>
      </c>
      <c r="F10124" s="42">
        <v>46198</v>
      </c>
    </row>
    <row r="10125" spans="1:6" x14ac:dyDescent="0.3">
      <c r="A10125" s="15" t="s">
        <v>39557</v>
      </c>
      <c r="B10125" s="15" t="s">
        <v>18438</v>
      </c>
      <c r="C10125" s="15" t="s">
        <v>800</v>
      </c>
      <c r="D10125" s="15" t="s">
        <v>18439</v>
      </c>
      <c r="E10125" s="15">
        <v>20.674600000000002</v>
      </c>
      <c r="F10125" s="42">
        <v>46198</v>
      </c>
    </row>
    <row r="10126" spans="1:6" x14ac:dyDescent="0.3">
      <c r="A10126" s="15" t="s">
        <v>39556</v>
      </c>
      <c r="B10126" s="15" t="s">
        <v>18440</v>
      </c>
      <c r="C10126" s="15" t="s">
        <v>18441</v>
      </c>
      <c r="D10126" s="15" t="s">
        <v>18442</v>
      </c>
      <c r="E10126" s="15">
        <v>21.1999</v>
      </c>
      <c r="F10126" s="42">
        <v>46198</v>
      </c>
    </row>
    <row r="10127" spans="1:6" x14ac:dyDescent="0.3">
      <c r="A10127" s="15" t="s">
        <v>39555</v>
      </c>
      <c r="B10127" s="15" t="s">
        <v>18443</v>
      </c>
      <c r="C10127" s="15" t="s">
        <v>18444</v>
      </c>
      <c r="D10127" s="15" t="s">
        <v>18445</v>
      </c>
      <c r="E10127" s="15">
        <v>55.405900000000003</v>
      </c>
      <c r="F10127" s="42">
        <v>46198</v>
      </c>
    </row>
    <row r="10128" spans="1:6" x14ac:dyDescent="0.3">
      <c r="A10128" s="15" t="s">
        <v>39554</v>
      </c>
      <c r="B10128" s="15" t="s">
        <v>18446</v>
      </c>
      <c r="C10128" s="15" t="s">
        <v>800</v>
      </c>
      <c r="D10128" s="15" t="s">
        <v>18447</v>
      </c>
      <c r="E10128" s="15">
        <v>55.405900000000003</v>
      </c>
      <c r="F10128" s="42">
        <v>46198</v>
      </c>
    </row>
    <row r="10129" spans="1:6" x14ac:dyDescent="0.3">
      <c r="A10129" s="15" t="s">
        <v>39553</v>
      </c>
      <c r="B10129" s="15" t="s">
        <v>18448</v>
      </c>
      <c r="C10129" s="15" t="s">
        <v>18449</v>
      </c>
      <c r="D10129" s="15" t="s">
        <v>18450</v>
      </c>
      <c r="E10129" s="15">
        <v>52.886299999999999</v>
      </c>
      <c r="F10129" s="42">
        <v>46198</v>
      </c>
    </row>
    <row r="10130" spans="1:6" x14ac:dyDescent="0.3">
      <c r="A10130" s="15" t="s">
        <v>39552</v>
      </c>
      <c r="B10130" s="15" t="s">
        <v>18451</v>
      </c>
      <c r="C10130" s="15" t="s">
        <v>800</v>
      </c>
      <c r="D10130" s="15" t="s">
        <v>18452</v>
      </c>
      <c r="E10130" s="15">
        <v>52.886299999999999</v>
      </c>
      <c r="F10130" s="42">
        <v>46198</v>
      </c>
    </row>
    <row r="10131" spans="1:6" x14ac:dyDescent="0.3">
      <c r="A10131" s="15" t="s">
        <v>39551</v>
      </c>
      <c r="B10131" s="15" t="s">
        <v>18453</v>
      </c>
      <c r="C10131" s="15" t="s">
        <v>18454</v>
      </c>
      <c r="D10131" s="15" t="s">
        <v>18455</v>
      </c>
      <c r="E10131" s="15">
        <v>10.606400000000001</v>
      </c>
      <c r="F10131" s="42">
        <v>46198</v>
      </c>
    </row>
    <row r="10132" spans="1:6" x14ac:dyDescent="0.3">
      <c r="A10132" s="15" t="s">
        <v>39550</v>
      </c>
      <c r="B10132" s="15" t="s">
        <v>18456</v>
      </c>
      <c r="C10132" s="15" t="s">
        <v>18457</v>
      </c>
      <c r="D10132" s="15" t="s">
        <v>18458</v>
      </c>
      <c r="E10132" s="15">
        <v>10.581099999999999</v>
      </c>
      <c r="F10132" s="42">
        <v>46198</v>
      </c>
    </row>
    <row r="10133" spans="1:6" x14ac:dyDescent="0.3">
      <c r="A10133" s="15" t="s">
        <v>39549</v>
      </c>
      <c r="B10133" s="15" t="s">
        <v>18459</v>
      </c>
      <c r="C10133" s="15" t="s">
        <v>800</v>
      </c>
      <c r="D10133" s="15" t="s">
        <v>18460</v>
      </c>
      <c r="E10133" s="15">
        <v>10.581099999999999</v>
      </c>
      <c r="F10133" s="42">
        <v>46198</v>
      </c>
    </row>
    <row r="10134" spans="1:6" x14ac:dyDescent="0.3">
      <c r="A10134" s="15" t="s">
        <v>39548</v>
      </c>
      <c r="B10134" s="15" t="s">
        <v>18461</v>
      </c>
      <c r="C10134" s="15" t="s">
        <v>800</v>
      </c>
      <c r="D10134" s="15" t="s">
        <v>18462</v>
      </c>
      <c r="E10134" s="15">
        <v>10.606400000000001</v>
      </c>
      <c r="F10134" s="42">
        <v>46198</v>
      </c>
    </row>
    <row r="10135" spans="1:6" x14ac:dyDescent="0.3">
      <c r="A10135" s="15" t="s">
        <v>39547</v>
      </c>
      <c r="B10135" s="15" t="s">
        <v>18463</v>
      </c>
      <c r="C10135" s="15" t="s">
        <v>800</v>
      </c>
      <c r="D10135" s="15" t="s">
        <v>18464</v>
      </c>
      <c r="E10135" s="15">
        <v>24.619399999999999</v>
      </c>
      <c r="F10135" s="42">
        <v>46198</v>
      </c>
    </row>
    <row r="10136" spans="1:6" x14ac:dyDescent="0.3">
      <c r="A10136" s="15" t="s">
        <v>39546</v>
      </c>
      <c r="B10136" s="15" t="s">
        <v>18465</v>
      </c>
      <c r="C10136" s="15" t="s">
        <v>18466</v>
      </c>
      <c r="D10136" s="15" t="s">
        <v>18467</v>
      </c>
      <c r="E10136" s="15">
        <v>24.619399999999999</v>
      </c>
      <c r="F10136" s="42">
        <v>46198</v>
      </c>
    </row>
    <row r="10137" spans="1:6" x14ac:dyDescent="0.3">
      <c r="A10137" s="15" t="s">
        <v>39545</v>
      </c>
      <c r="B10137" s="15" t="s">
        <v>18468</v>
      </c>
      <c r="C10137" s="15" t="s">
        <v>18469</v>
      </c>
      <c r="D10137" s="15" t="s">
        <v>18470</v>
      </c>
      <c r="E10137" s="15">
        <v>23.3444</v>
      </c>
      <c r="F10137" s="42">
        <v>46198</v>
      </c>
    </row>
    <row r="10138" spans="1:6" x14ac:dyDescent="0.3">
      <c r="A10138" s="15" t="s">
        <v>39544</v>
      </c>
      <c r="B10138" s="15" t="s">
        <v>18471</v>
      </c>
      <c r="C10138" s="15" t="s">
        <v>800</v>
      </c>
      <c r="D10138" s="15" t="s">
        <v>18472</v>
      </c>
      <c r="E10138" s="15">
        <v>23.3444</v>
      </c>
      <c r="F10138" s="42">
        <v>46198</v>
      </c>
    </row>
    <row r="10139" spans="1:6" x14ac:dyDescent="0.3">
      <c r="A10139" s="15" t="s">
        <v>39543</v>
      </c>
      <c r="B10139" s="15" t="s">
        <v>18473</v>
      </c>
      <c r="C10139" s="15" t="s">
        <v>800</v>
      </c>
      <c r="D10139" s="15" t="s">
        <v>18474</v>
      </c>
      <c r="E10139" s="15">
        <v>27.230799999999999</v>
      </c>
      <c r="F10139" s="42">
        <v>46198</v>
      </c>
    </row>
    <row r="10140" spans="1:6" x14ac:dyDescent="0.3">
      <c r="A10140" s="15" t="s">
        <v>39542</v>
      </c>
      <c r="B10140" s="15" t="s">
        <v>18475</v>
      </c>
      <c r="C10140" s="15" t="s">
        <v>18476</v>
      </c>
      <c r="D10140" s="15" t="s">
        <v>18477</v>
      </c>
      <c r="E10140" s="15">
        <v>27.230799999999999</v>
      </c>
      <c r="F10140" s="42">
        <v>46198</v>
      </c>
    </row>
    <row r="10141" spans="1:6" x14ac:dyDescent="0.3">
      <c r="A10141" s="15" t="s">
        <v>39541</v>
      </c>
      <c r="B10141" s="15" t="s">
        <v>18478</v>
      </c>
      <c r="C10141" s="15" t="s">
        <v>800</v>
      </c>
      <c r="D10141" s="15" t="s">
        <v>18479</v>
      </c>
      <c r="E10141" s="15">
        <v>26.782299999999999</v>
      </c>
      <c r="F10141" s="42">
        <v>46198</v>
      </c>
    </row>
    <row r="10142" spans="1:6" x14ac:dyDescent="0.3">
      <c r="A10142" s="15" t="s">
        <v>39540</v>
      </c>
      <c r="B10142" s="15" t="s">
        <v>18480</v>
      </c>
      <c r="C10142" s="15" t="s">
        <v>18481</v>
      </c>
      <c r="D10142" s="15" t="s">
        <v>18482</v>
      </c>
      <c r="E10142" s="15">
        <v>26.782299999999999</v>
      </c>
      <c r="F10142" s="42">
        <v>46198</v>
      </c>
    </row>
    <row r="10143" spans="1:6" x14ac:dyDescent="0.3">
      <c r="A10143" s="15" t="s">
        <v>39539</v>
      </c>
      <c r="B10143" s="15" t="s">
        <v>18483</v>
      </c>
      <c r="C10143" s="15" t="s">
        <v>800</v>
      </c>
      <c r="D10143" s="15" t="s">
        <v>18484</v>
      </c>
      <c r="E10143" s="15">
        <v>32.926900000000003</v>
      </c>
      <c r="F10143" s="42">
        <v>46198</v>
      </c>
    </row>
    <row r="10144" spans="1:6" x14ac:dyDescent="0.3">
      <c r="A10144" s="15" t="s">
        <v>39538</v>
      </c>
      <c r="B10144" s="15" t="s">
        <v>18485</v>
      </c>
      <c r="C10144" s="15" t="s">
        <v>18486</v>
      </c>
      <c r="D10144" s="15" t="s">
        <v>18487</v>
      </c>
      <c r="E10144" s="15">
        <v>32.926900000000003</v>
      </c>
      <c r="F10144" s="42">
        <v>46198</v>
      </c>
    </row>
    <row r="10145" spans="1:6" x14ac:dyDescent="0.3">
      <c r="A10145" s="15" t="s">
        <v>39537</v>
      </c>
      <c r="B10145" s="15" t="s">
        <v>18488</v>
      </c>
      <c r="C10145" s="15" t="s">
        <v>18489</v>
      </c>
      <c r="D10145" s="15" t="s">
        <v>18490</v>
      </c>
      <c r="E10145" s="15">
        <v>32.3874</v>
      </c>
      <c r="F10145" s="42">
        <v>46198</v>
      </c>
    </row>
    <row r="10146" spans="1:6" x14ac:dyDescent="0.3">
      <c r="A10146" s="15" t="s">
        <v>39536</v>
      </c>
      <c r="B10146" s="15" t="s">
        <v>18491</v>
      </c>
      <c r="C10146" s="15" t="s">
        <v>800</v>
      </c>
      <c r="D10146" s="15" t="s">
        <v>18492</v>
      </c>
      <c r="E10146" s="15">
        <v>32.3874</v>
      </c>
      <c r="F10146" s="42">
        <v>46198</v>
      </c>
    </row>
    <row r="10147" spans="1:6" x14ac:dyDescent="0.3">
      <c r="A10147" s="15" t="s">
        <v>33499</v>
      </c>
      <c r="B10147" s="15" t="s">
        <v>795</v>
      </c>
      <c r="C10147" s="15" t="s">
        <v>795</v>
      </c>
      <c r="D10147" s="15" t="s">
        <v>795</v>
      </c>
      <c r="F10147" s="42"/>
    </row>
    <row r="10148" spans="1:6" x14ac:dyDescent="0.3">
      <c r="A10148" s="15" t="s">
        <v>37684</v>
      </c>
      <c r="B10148" s="15" t="s">
        <v>795</v>
      </c>
      <c r="C10148" s="15" t="s">
        <v>795</v>
      </c>
      <c r="D10148" s="15" t="s">
        <v>795</v>
      </c>
      <c r="F10148" s="42"/>
    </row>
    <row r="10149" spans="1:6" x14ac:dyDescent="0.3">
      <c r="A10149" s="15" t="s">
        <v>33499</v>
      </c>
      <c r="B10149" s="15" t="s">
        <v>795</v>
      </c>
      <c r="C10149" s="15" t="s">
        <v>795</v>
      </c>
      <c r="D10149" s="15" t="s">
        <v>795</v>
      </c>
      <c r="F10149" s="42"/>
    </row>
    <row r="10150" spans="1:6" x14ac:dyDescent="0.3">
      <c r="A10150" s="15" t="s">
        <v>39535</v>
      </c>
      <c r="B10150" s="15" t="s">
        <v>18493</v>
      </c>
      <c r="C10150" s="15" t="s">
        <v>800</v>
      </c>
      <c r="D10150" s="15" t="s">
        <v>18494</v>
      </c>
      <c r="E10150" s="15">
        <v>85.429000000000002</v>
      </c>
      <c r="F10150" s="42">
        <v>46198</v>
      </c>
    </row>
    <row r="10151" spans="1:6" x14ac:dyDescent="0.3">
      <c r="A10151" s="15" t="s">
        <v>39534</v>
      </c>
      <c r="B10151" s="15" t="s">
        <v>18495</v>
      </c>
      <c r="C10151" s="15" t="s">
        <v>18496</v>
      </c>
      <c r="D10151" s="15" t="s">
        <v>18497</v>
      </c>
      <c r="E10151" s="15">
        <v>85.215999999999994</v>
      </c>
      <c r="F10151" s="42">
        <v>46198</v>
      </c>
    </row>
    <row r="10152" spans="1:6" x14ac:dyDescent="0.3">
      <c r="A10152" s="15" t="s">
        <v>39533</v>
      </c>
      <c r="B10152" s="15" t="s">
        <v>18498</v>
      </c>
      <c r="C10152" s="15" t="s">
        <v>800</v>
      </c>
      <c r="D10152" s="15" t="s">
        <v>18499</v>
      </c>
      <c r="E10152" s="15">
        <v>83.706000000000003</v>
      </c>
      <c r="F10152" s="42">
        <v>46198</v>
      </c>
    </row>
    <row r="10153" spans="1:6" x14ac:dyDescent="0.3">
      <c r="A10153" s="15" t="s">
        <v>39532</v>
      </c>
      <c r="B10153" s="15" t="s">
        <v>18500</v>
      </c>
      <c r="C10153" s="15" t="s">
        <v>18501</v>
      </c>
      <c r="D10153" s="15" t="s">
        <v>18502</v>
      </c>
      <c r="E10153" s="15">
        <v>83.494</v>
      </c>
      <c r="F10153" s="42">
        <v>46198</v>
      </c>
    </row>
    <row r="10154" spans="1:6" x14ac:dyDescent="0.3">
      <c r="A10154" s="15" t="s">
        <v>39531</v>
      </c>
      <c r="B10154" s="15" t="s">
        <v>18503</v>
      </c>
      <c r="C10154" s="15" t="s">
        <v>800</v>
      </c>
      <c r="D10154" s="15" t="s">
        <v>18504</v>
      </c>
      <c r="E10154" s="15">
        <v>53.186300000000003</v>
      </c>
      <c r="F10154" s="42">
        <v>46198</v>
      </c>
    </row>
    <row r="10155" spans="1:6" x14ac:dyDescent="0.3">
      <c r="A10155" s="15" t="s">
        <v>39530</v>
      </c>
      <c r="B10155" s="15" t="s">
        <v>18505</v>
      </c>
      <c r="C10155" s="15" t="s">
        <v>800</v>
      </c>
      <c r="D10155" s="15" t="s">
        <v>18506</v>
      </c>
      <c r="E10155" s="15">
        <v>52.369599999999998</v>
      </c>
      <c r="F10155" s="42">
        <v>46198</v>
      </c>
    </row>
    <row r="10156" spans="1:6" x14ac:dyDescent="0.3">
      <c r="A10156" s="15" t="s">
        <v>39529</v>
      </c>
      <c r="B10156" s="15" t="s">
        <v>18507</v>
      </c>
      <c r="C10156" s="15" t="s">
        <v>800</v>
      </c>
      <c r="D10156" s="15" t="s">
        <v>18508</v>
      </c>
      <c r="E10156" s="15">
        <v>36.770699999999998</v>
      </c>
      <c r="F10156" s="42">
        <v>46198</v>
      </c>
    </row>
    <row r="10157" spans="1:6" x14ac:dyDescent="0.3">
      <c r="A10157" s="15" t="s">
        <v>39528</v>
      </c>
      <c r="B10157" s="15" t="s">
        <v>18509</v>
      </c>
      <c r="C10157" s="15" t="s">
        <v>800</v>
      </c>
      <c r="D10157" s="15" t="s">
        <v>18510</v>
      </c>
      <c r="E10157" s="15">
        <v>35.808300000000003</v>
      </c>
      <c r="F10157" s="42">
        <v>46198</v>
      </c>
    </row>
    <row r="10158" spans="1:6" x14ac:dyDescent="0.3">
      <c r="A10158" s="15" t="s">
        <v>39527</v>
      </c>
      <c r="B10158" s="15" t="s">
        <v>18511</v>
      </c>
      <c r="C10158" s="15" t="s">
        <v>800</v>
      </c>
      <c r="D10158" s="15" t="s">
        <v>18512</v>
      </c>
      <c r="E10158" s="15">
        <v>14.311999999999999</v>
      </c>
      <c r="F10158" s="42">
        <v>46198</v>
      </c>
    </row>
    <row r="10159" spans="1:6" x14ac:dyDescent="0.3">
      <c r="A10159" s="15" t="s">
        <v>39526</v>
      </c>
      <c r="B10159" s="15" t="s">
        <v>18513</v>
      </c>
      <c r="C10159" s="15" t="s">
        <v>800</v>
      </c>
      <c r="D10159" s="15" t="s">
        <v>18514</v>
      </c>
      <c r="E10159" s="15">
        <v>14.245200000000001</v>
      </c>
      <c r="F10159" s="42">
        <v>46198</v>
      </c>
    </row>
    <row r="10160" spans="1:6" x14ac:dyDescent="0.3">
      <c r="A10160" s="15" t="s">
        <v>33499</v>
      </c>
      <c r="B10160" s="15" t="s">
        <v>795</v>
      </c>
      <c r="C10160" s="15" t="s">
        <v>795</v>
      </c>
      <c r="D10160" s="15" t="s">
        <v>795</v>
      </c>
      <c r="F10160" s="42"/>
    </row>
    <row r="10161" spans="1:6" x14ac:dyDescent="0.3">
      <c r="A10161" s="15" t="s">
        <v>33636</v>
      </c>
      <c r="B10161" s="15" t="s">
        <v>795</v>
      </c>
      <c r="C10161" s="15" t="s">
        <v>795</v>
      </c>
      <c r="D10161" s="15" t="s">
        <v>795</v>
      </c>
      <c r="F10161" s="42"/>
    </row>
    <row r="10162" spans="1:6" x14ac:dyDescent="0.3">
      <c r="A10162" s="15" t="s">
        <v>33499</v>
      </c>
      <c r="B10162" s="15" t="s">
        <v>795</v>
      </c>
      <c r="C10162" s="15" t="s">
        <v>795</v>
      </c>
      <c r="D10162" s="15" t="s">
        <v>795</v>
      </c>
      <c r="F10162" s="42"/>
    </row>
    <row r="10163" spans="1:6" x14ac:dyDescent="0.3">
      <c r="A10163" s="15" t="s">
        <v>39525</v>
      </c>
      <c r="B10163" s="15" t="s">
        <v>18515</v>
      </c>
      <c r="C10163" s="15" t="s">
        <v>800</v>
      </c>
      <c r="D10163" s="15" t="s">
        <v>18516</v>
      </c>
      <c r="E10163" s="15">
        <v>10.1774</v>
      </c>
      <c r="F10163" s="42">
        <v>46198</v>
      </c>
    </row>
    <row r="10164" spans="1:6" x14ac:dyDescent="0.3">
      <c r="A10164" s="15" t="s">
        <v>39524</v>
      </c>
      <c r="B10164" s="15" t="s">
        <v>18517</v>
      </c>
      <c r="C10164" s="15" t="s">
        <v>800</v>
      </c>
      <c r="D10164" s="15" t="s">
        <v>18518</v>
      </c>
      <c r="E10164" s="15">
        <v>10.0962</v>
      </c>
      <c r="F10164" s="42">
        <v>46198</v>
      </c>
    </row>
    <row r="10165" spans="1:6" x14ac:dyDescent="0.3">
      <c r="A10165" s="15" t="s">
        <v>39523</v>
      </c>
      <c r="B10165" s="15" t="s">
        <v>18519</v>
      </c>
      <c r="C10165" s="15" t="s">
        <v>18520</v>
      </c>
      <c r="D10165" s="15" t="s">
        <v>18521</v>
      </c>
      <c r="E10165" s="15">
        <v>10.0962</v>
      </c>
      <c r="F10165" s="42">
        <v>46198</v>
      </c>
    </row>
    <row r="10166" spans="1:6" x14ac:dyDescent="0.3">
      <c r="A10166" s="15" t="s">
        <v>39522</v>
      </c>
      <c r="B10166" s="15" t="s">
        <v>18522</v>
      </c>
      <c r="C10166" s="15" t="s">
        <v>18523</v>
      </c>
      <c r="D10166" s="15" t="s">
        <v>18524</v>
      </c>
      <c r="E10166" s="15">
        <v>10.1768</v>
      </c>
      <c r="F10166" s="42">
        <v>46198</v>
      </c>
    </row>
    <row r="10167" spans="1:6" x14ac:dyDescent="0.3">
      <c r="A10167" s="15" t="s">
        <v>39521</v>
      </c>
      <c r="B10167" s="15" t="s">
        <v>18525</v>
      </c>
      <c r="C10167" s="15" t="s">
        <v>18526</v>
      </c>
      <c r="D10167" s="15" t="s">
        <v>18527</v>
      </c>
      <c r="E10167" s="15">
        <v>42.322699999999998</v>
      </c>
      <c r="F10167" s="42">
        <v>46198</v>
      </c>
    </row>
    <row r="10168" spans="1:6" x14ac:dyDescent="0.3">
      <c r="A10168" s="15" t="s">
        <v>39520</v>
      </c>
      <c r="B10168" s="15" t="s">
        <v>18528</v>
      </c>
      <c r="C10168" s="15" t="s">
        <v>18529</v>
      </c>
      <c r="D10168" s="15" t="s">
        <v>18530</v>
      </c>
      <c r="E10168" s="15">
        <v>40.437399999999997</v>
      </c>
      <c r="F10168" s="42">
        <v>46198</v>
      </c>
    </row>
    <row r="10169" spans="1:6" x14ac:dyDescent="0.3">
      <c r="A10169" s="15" t="s">
        <v>39519</v>
      </c>
      <c r="B10169" s="15" t="s">
        <v>18531</v>
      </c>
      <c r="C10169" s="15" t="s">
        <v>800</v>
      </c>
      <c r="D10169" s="15" t="s">
        <v>18532</v>
      </c>
      <c r="E10169" s="15">
        <v>40.431199999999997</v>
      </c>
      <c r="F10169" s="42">
        <v>46198</v>
      </c>
    </row>
    <row r="10170" spans="1:6" x14ac:dyDescent="0.3">
      <c r="A10170" s="15" t="s">
        <v>39518</v>
      </c>
      <c r="B10170" s="15" t="s">
        <v>18533</v>
      </c>
      <c r="C10170" s="15" t="s">
        <v>800</v>
      </c>
      <c r="D10170" s="15" t="s">
        <v>18534</v>
      </c>
      <c r="E10170" s="15">
        <v>42.383600000000001</v>
      </c>
      <c r="F10170" s="42">
        <v>46198</v>
      </c>
    </row>
    <row r="10171" spans="1:6" x14ac:dyDescent="0.3">
      <c r="A10171" s="15" t="s">
        <v>39517</v>
      </c>
      <c r="B10171" s="15" t="s">
        <v>18535</v>
      </c>
      <c r="C10171" s="15" t="s">
        <v>800</v>
      </c>
      <c r="D10171" s="15" t="s">
        <v>18536</v>
      </c>
      <c r="E10171" s="15">
        <v>10.652799999999999</v>
      </c>
      <c r="F10171" s="42">
        <v>46198</v>
      </c>
    </row>
    <row r="10172" spans="1:6" x14ac:dyDescent="0.3">
      <c r="A10172" s="15" t="s">
        <v>39516</v>
      </c>
      <c r="B10172" s="15" t="s">
        <v>18537</v>
      </c>
      <c r="C10172" s="15" t="s">
        <v>18538</v>
      </c>
      <c r="D10172" s="15" t="s">
        <v>18539</v>
      </c>
      <c r="E10172" s="15">
        <v>10.652699999999999</v>
      </c>
      <c r="F10172" s="42">
        <v>46198</v>
      </c>
    </row>
    <row r="10173" spans="1:6" x14ac:dyDescent="0.3">
      <c r="A10173" s="15" t="s">
        <v>39515</v>
      </c>
      <c r="B10173" s="15" t="s">
        <v>18540</v>
      </c>
      <c r="C10173" s="15" t="s">
        <v>800</v>
      </c>
      <c r="D10173" s="15" t="s">
        <v>18541</v>
      </c>
      <c r="E10173" s="15">
        <v>10.633100000000001</v>
      </c>
      <c r="F10173" s="42">
        <v>46198</v>
      </c>
    </row>
    <row r="10174" spans="1:6" x14ac:dyDescent="0.3">
      <c r="A10174" s="15" t="s">
        <v>39514</v>
      </c>
      <c r="B10174" s="15" t="s">
        <v>18542</v>
      </c>
      <c r="C10174" s="15" t="s">
        <v>18543</v>
      </c>
      <c r="D10174" s="15" t="s">
        <v>18544</v>
      </c>
      <c r="E10174" s="15">
        <v>10.633100000000001</v>
      </c>
      <c r="F10174" s="42">
        <v>46198</v>
      </c>
    </row>
    <row r="10175" spans="1:6" x14ac:dyDescent="0.3">
      <c r="A10175" s="15" t="s">
        <v>39513</v>
      </c>
      <c r="B10175" s="15" t="s">
        <v>18545</v>
      </c>
      <c r="C10175" s="15" t="s">
        <v>18546</v>
      </c>
      <c r="D10175" s="15" t="s">
        <v>18547</v>
      </c>
      <c r="E10175" s="15">
        <v>22.929200000000002</v>
      </c>
      <c r="F10175" s="42">
        <v>46198</v>
      </c>
    </row>
    <row r="10176" spans="1:6" x14ac:dyDescent="0.3">
      <c r="A10176" s="15" t="s">
        <v>39512</v>
      </c>
      <c r="B10176" s="15" t="s">
        <v>18548</v>
      </c>
      <c r="C10176" s="15" t="s">
        <v>800</v>
      </c>
      <c r="D10176" s="15" t="s">
        <v>18549</v>
      </c>
      <c r="E10176" s="15">
        <v>23.0854</v>
      </c>
      <c r="F10176" s="42">
        <v>46198</v>
      </c>
    </row>
    <row r="10177" spans="1:6" x14ac:dyDescent="0.3">
      <c r="A10177" s="15" t="s">
        <v>39511</v>
      </c>
      <c r="B10177" s="15" t="s">
        <v>18550</v>
      </c>
      <c r="C10177" s="15" t="s">
        <v>18551</v>
      </c>
      <c r="D10177" s="15" t="s">
        <v>18552</v>
      </c>
      <c r="E10177" s="15">
        <v>23.0853</v>
      </c>
      <c r="F10177" s="42">
        <v>46198</v>
      </c>
    </row>
    <row r="10178" spans="1:6" x14ac:dyDescent="0.3">
      <c r="A10178" s="15" t="s">
        <v>39510</v>
      </c>
      <c r="B10178" s="15" t="s">
        <v>18553</v>
      </c>
      <c r="C10178" s="15" t="s">
        <v>800</v>
      </c>
      <c r="D10178" s="15" t="s">
        <v>18554</v>
      </c>
      <c r="E10178" s="15">
        <v>22.926200000000001</v>
      </c>
      <c r="F10178" s="42">
        <v>46198</v>
      </c>
    </row>
    <row r="10179" spans="1:6" x14ac:dyDescent="0.3">
      <c r="A10179" s="15" t="s">
        <v>33499</v>
      </c>
      <c r="B10179" s="15" t="s">
        <v>795</v>
      </c>
      <c r="C10179" s="15" t="s">
        <v>795</v>
      </c>
      <c r="D10179" s="15" t="s">
        <v>795</v>
      </c>
      <c r="F10179" s="42"/>
    </row>
    <row r="10180" spans="1:6" x14ac:dyDescent="0.3">
      <c r="A10180" s="15" t="s">
        <v>37414</v>
      </c>
      <c r="B10180" s="15" t="s">
        <v>795</v>
      </c>
      <c r="C10180" s="15" t="s">
        <v>795</v>
      </c>
      <c r="D10180" s="15" t="s">
        <v>795</v>
      </c>
      <c r="F10180" s="42"/>
    </row>
    <row r="10181" spans="1:6" x14ac:dyDescent="0.3">
      <c r="A10181" s="15" t="s">
        <v>33499</v>
      </c>
      <c r="B10181" s="15" t="s">
        <v>795</v>
      </c>
      <c r="C10181" s="15" t="s">
        <v>795</v>
      </c>
      <c r="D10181" s="15" t="s">
        <v>795</v>
      </c>
      <c r="F10181" s="42"/>
    </row>
    <row r="10182" spans="1:6" x14ac:dyDescent="0.3">
      <c r="A10182" s="15" t="s">
        <v>39509</v>
      </c>
      <c r="B10182" s="15" t="s">
        <v>18555</v>
      </c>
      <c r="C10182" s="15" t="s">
        <v>800</v>
      </c>
      <c r="D10182" s="15" t="s">
        <v>18556</v>
      </c>
      <c r="E10182" s="15">
        <v>10.289</v>
      </c>
      <c r="F10182" s="42">
        <v>46198</v>
      </c>
    </row>
    <row r="10183" spans="1:6" x14ac:dyDescent="0.3">
      <c r="A10183" s="15" t="s">
        <v>39508</v>
      </c>
      <c r="B10183" s="15" t="s">
        <v>18557</v>
      </c>
      <c r="C10183" s="15" t="s">
        <v>800</v>
      </c>
      <c r="D10183" s="15" t="s">
        <v>18558</v>
      </c>
      <c r="E10183" s="15">
        <v>10.289</v>
      </c>
      <c r="F10183" s="42">
        <v>46198</v>
      </c>
    </row>
    <row r="10184" spans="1:6" x14ac:dyDescent="0.3">
      <c r="A10184" s="15" t="s">
        <v>39507</v>
      </c>
      <c r="B10184" s="15" t="s">
        <v>18559</v>
      </c>
      <c r="C10184" s="15" t="s">
        <v>800</v>
      </c>
      <c r="D10184" s="15" t="s">
        <v>18560</v>
      </c>
      <c r="E10184" s="15">
        <v>10.2766</v>
      </c>
      <c r="F10184" s="42">
        <v>46198</v>
      </c>
    </row>
    <row r="10185" spans="1:6" x14ac:dyDescent="0.3">
      <c r="A10185" s="15" t="s">
        <v>39506</v>
      </c>
      <c r="B10185" s="15" t="s">
        <v>18561</v>
      </c>
      <c r="C10185" s="15" t="s">
        <v>800</v>
      </c>
      <c r="D10185" s="15" t="s">
        <v>18562</v>
      </c>
      <c r="E10185" s="15">
        <v>10.2766</v>
      </c>
      <c r="F10185" s="42">
        <v>46198</v>
      </c>
    </row>
    <row r="10186" spans="1:6" x14ac:dyDescent="0.3">
      <c r="A10186" s="15" t="s">
        <v>33499</v>
      </c>
      <c r="B10186" s="15" t="s">
        <v>795</v>
      </c>
      <c r="C10186" s="15" t="s">
        <v>795</v>
      </c>
      <c r="D10186" s="15" t="s">
        <v>795</v>
      </c>
      <c r="F10186" s="42"/>
    </row>
    <row r="10187" spans="1:6" x14ac:dyDescent="0.3">
      <c r="A10187" s="15" t="s">
        <v>33519</v>
      </c>
      <c r="B10187" s="15" t="s">
        <v>795</v>
      </c>
      <c r="C10187" s="15" t="s">
        <v>795</v>
      </c>
      <c r="D10187" s="15" t="s">
        <v>795</v>
      </c>
      <c r="F10187" s="42"/>
    </row>
    <row r="10188" spans="1:6" x14ac:dyDescent="0.3">
      <c r="A10188" s="15" t="s">
        <v>33499</v>
      </c>
      <c r="B10188" s="15" t="s">
        <v>795</v>
      </c>
      <c r="C10188" s="15" t="s">
        <v>795</v>
      </c>
      <c r="D10188" s="15" t="s">
        <v>795</v>
      </c>
      <c r="F10188" s="42"/>
    </row>
    <row r="10189" spans="1:6" x14ac:dyDescent="0.3">
      <c r="A10189" s="15" t="s">
        <v>39505</v>
      </c>
      <c r="B10189" s="15" t="s">
        <v>18563</v>
      </c>
      <c r="C10189" s="15" t="s">
        <v>800</v>
      </c>
      <c r="D10189" s="15" t="s">
        <v>18564</v>
      </c>
      <c r="E10189" s="15">
        <v>21.348800000000001</v>
      </c>
      <c r="F10189" s="42">
        <v>46198</v>
      </c>
    </row>
    <row r="10190" spans="1:6" x14ac:dyDescent="0.3">
      <c r="A10190" s="15" t="s">
        <v>39504</v>
      </c>
      <c r="B10190" s="15" t="s">
        <v>18565</v>
      </c>
      <c r="C10190" s="15" t="s">
        <v>800</v>
      </c>
      <c r="D10190" s="15" t="s">
        <v>18566</v>
      </c>
      <c r="E10190" s="15">
        <v>21.348800000000001</v>
      </c>
      <c r="F10190" s="42">
        <v>46198</v>
      </c>
    </row>
    <row r="10191" spans="1:6" x14ac:dyDescent="0.3">
      <c r="A10191" s="15" t="s">
        <v>39503</v>
      </c>
      <c r="B10191" s="15" t="s">
        <v>800</v>
      </c>
      <c r="C10191" s="15" t="s">
        <v>18567</v>
      </c>
      <c r="D10191" s="15" t="s">
        <v>18568</v>
      </c>
      <c r="E10191" s="15">
        <v>21.348800000000001</v>
      </c>
      <c r="F10191" s="42">
        <v>46198</v>
      </c>
    </row>
    <row r="10192" spans="1:6" x14ac:dyDescent="0.3">
      <c r="A10192" s="15" t="s">
        <v>39502</v>
      </c>
      <c r="B10192" s="15" t="s">
        <v>18569</v>
      </c>
      <c r="C10192" s="15" t="s">
        <v>800</v>
      </c>
      <c r="D10192" s="15" t="s">
        <v>18570</v>
      </c>
      <c r="E10192" s="15">
        <v>21.088799999999999</v>
      </c>
      <c r="F10192" s="42">
        <v>46198</v>
      </c>
    </row>
    <row r="10193" spans="1:6" x14ac:dyDescent="0.3">
      <c r="A10193" s="15" t="s">
        <v>39501</v>
      </c>
      <c r="B10193" s="15" t="s">
        <v>18571</v>
      </c>
      <c r="C10193" s="15" t="s">
        <v>800</v>
      </c>
      <c r="D10193" s="15" t="s">
        <v>18572</v>
      </c>
      <c r="E10193" s="15">
        <v>21.088799999999999</v>
      </c>
      <c r="F10193" s="42">
        <v>46198</v>
      </c>
    </row>
    <row r="10194" spans="1:6" x14ac:dyDescent="0.3">
      <c r="A10194" s="15" t="s">
        <v>39500</v>
      </c>
      <c r="B10194" s="15" t="s">
        <v>800</v>
      </c>
      <c r="C10194" s="15" t="s">
        <v>18573</v>
      </c>
      <c r="D10194" s="15" t="s">
        <v>18574</v>
      </c>
      <c r="E10194" s="15">
        <v>21.088799999999999</v>
      </c>
      <c r="F10194" s="42">
        <v>46198</v>
      </c>
    </row>
    <row r="10195" spans="1:6" x14ac:dyDescent="0.3">
      <c r="A10195" s="15" t="s">
        <v>39499</v>
      </c>
      <c r="B10195" s="15" t="s">
        <v>18575</v>
      </c>
      <c r="C10195" s="15" t="s">
        <v>800</v>
      </c>
      <c r="D10195" s="15" t="s">
        <v>18576</v>
      </c>
      <c r="E10195" s="15">
        <v>10.6136</v>
      </c>
      <c r="F10195" s="42">
        <v>46198</v>
      </c>
    </row>
    <row r="10196" spans="1:6" x14ac:dyDescent="0.3">
      <c r="A10196" s="15" t="s">
        <v>39498</v>
      </c>
      <c r="B10196" s="15" t="s">
        <v>18577</v>
      </c>
      <c r="C10196" s="15" t="s">
        <v>800</v>
      </c>
      <c r="D10196" s="15" t="s">
        <v>18578</v>
      </c>
      <c r="E10196" s="15">
        <v>10.6136</v>
      </c>
      <c r="F10196" s="42">
        <v>46198</v>
      </c>
    </row>
    <row r="10197" spans="1:6" x14ac:dyDescent="0.3">
      <c r="A10197" s="15" t="s">
        <v>39497</v>
      </c>
      <c r="B10197" s="15" t="s">
        <v>800</v>
      </c>
      <c r="C10197" s="15" t="s">
        <v>18579</v>
      </c>
      <c r="D10197" s="15" t="s">
        <v>18580</v>
      </c>
      <c r="E10197" s="15">
        <v>10.6136</v>
      </c>
      <c r="F10197" s="42">
        <v>46198</v>
      </c>
    </row>
    <row r="10198" spans="1:6" x14ac:dyDescent="0.3">
      <c r="A10198" s="15" t="s">
        <v>39496</v>
      </c>
      <c r="B10198" s="15" t="s">
        <v>18581</v>
      </c>
      <c r="C10198" s="15" t="s">
        <v>800</v>
      </c>
      <c r="D10198" s="15" t="s">
        <v>18582</v>
      </c>
      <c r="E10198" s="15">
        <v>10.5524</v>
      </c>
      <c r="F10198" s="42">
        <v>46198</v>
      </c>
    </row>
    <row r="10199" spans="1:6" x14ac:dyDescent="0.3">
      <c r="A10199" s="15" t="s">
        <v>39495</v>
      </c>
      <c r="B10199" s="15" t="s">
        <v>18583</v>
      </c>
      <c r="C10199" s="15" t="s">
        <v>800</v>
      </c>
      <c r="D10199" s="15" t="s">
        <v>18584</v>
      </c>
      <c r="E10199" s="15">
        <v>10.5524</v>
      </c>
      <c r="F10199" s="42">
        <v>46198</v>
      </c>
    </row>
    <row r="10200" spans="1:6" x14ac:dyDescent="0.3">
      <c r="A10200" s="15" t="s">
        <v>39494</v>
      </c>
      <c r="B10200" s="15" t="s">
        <v>800</v>
      </c>
      <c r="C10200" s="15" t="s">
        <v>18585</v>
      </c>
      <c r="D10200" s="15" t="s">
        <v>18586</v>
      </c>
      <c r="E10200" s="15">
        <v>10.5524</v>
      </c>
      <c r="F10200" s="42">
        <v>46198</v>
      </c>
    </row>
    <row r="10201" spans="1:6" x14ac:dyDescent="0.3">
      <c r="A10201" s="15" t="s">
        <v>39493</v>
      </c>
      <c r="B10201" s="15" t="s">
        <v>18587</v>
      </c>
      <c r="C10201" s="15" t="s">
        <v>800</v>
      </c>
      <c r="D10201" s="15" t="s">
        <v>18588</v>
      </c>
      <c r="E10201" s="15">
        <v>12.4048</v>
      </c>
      <c r="F10201" s="42">
        <v>46198</v>
      </c>
    </row>
    <row r="10202" spans="1:6" x14ac:dyDescent="0.3">
      <c r="A10202" s="15" t="s">
        <v>39492</v>
      </c>
      <c r="B10202" s="15" t="s">
        <v>800</v>
      </c>
      <c r="C10202" s="15" t="s">
        <v>18589</v>
      </c>
      <c r="D10202" s="15" t="s">
        <v>18590</v>
      </c>
      <c r="E10202" s="15">
        <v>12.636200000000001</v>
      </c>
      <c r="F10202" s="42">
        <v>46198</v>
      </c>
    </row>
    <row r="10203" spans="1:6" x14ac:dyDescent="0.3">
      <c r="A10203" s="15" t="s">
        <v>39491</v>
      </c>
      <c r="B10203" s="15" t="s">
        <v>18591</v>
      </c>
      <c r="C10203" s="15" t="s">
        <v>800</v>
      </c>
      <c r="D10203" s="15" t="s">
        <v>18592</v>
      </c>
      <c r="E10203" s="15">
        <v>12.636200000000001</v>
      </c>
      <c r="F10203" s="42">
        <v>46198</v>
      </c>
    </row>
    <row r="10204" spans="1:6" x14ac:dyDescent="0.3">
      <c r="A10204" s="15" t="s">
        <v>39490</v>
      </c>
      <c r="B10204" s="15" t="s">
        <v>18593</v>
      </c>
      <c r="C10204" s="15" t="s">
        <v>800</v>
      </c>
      <c r="D10204" s="15" t="s">
        <v>18594</v>
      </c>
      <c r="E10204" s="15">
        <v>12.636200000000001</v>
      </c>
      <c r="F10204" s="42">
        <v>46198</v>
      </c>
    </row>
    <row r="10205" spans="1:6" x14ac:dyDescent="0.3">
      <c r="A10205" s="15" t="s">
        <v>39489</v>
      </c>
      <c r="B10205" s="15" t="s">
        <v>18595</v>
      </c>
      <c r="C10205" s="15" t="s">
        <v>800</v>
      </c>
      <c r="D10205" s="15" t="s">
        <v>18596</v>
      </c>
      <c r="E10205" s="15">
        <v>12.4048</v>
      </c>
      <c r="F10205" s="42">
        <v>46198</v>
      </c>
    </row>
    <row r="10206" spans="1:6" x14ac:dyDescent="0.3">
      <c r="A10206" s="15" t="s">
        <v>39488</v>
      </c>
      <c r="B10206" s="15" t="s">
        <v>800</v>
      </c>
      <c r="C10206" s="15" t="s">
        <v>18597</v>
      </c>
      <c r="D10206" s="15" t="s">
        <v>18598</v>
      </c>
      <c r="E10206" s="15">
        <v>12.4048</v>
      </c>
      <c r="F10206" s="42">
        <v>46198</v>
      </c>
    </row>
    <row r="10207" spans="1:6" x14ac:dyDescent="0.3">
      <c r="A10207" s="15" t="s">
        <v>39487</v>
      </c>
      <c r="B10207" s="15" t="s">
        <v>18599</v>
      </c>
      <c r="C10207" s="15" t="s">
        <v>800</v>
      </c>
      <c r="D10207" s="15" t="s">
        <v>18600</v>
      </c>
      <c r="E10207" s="15">
        <v>28.4009</v>
      </c>
      <c r="F10207" s="42">
        <v>46198</v>
      </c>
    </row>
    <row r="10208" spans="1:6" x14ac:dyDescent="0.3">
      <c r="A10208" s="15" t="s">
        <v>39486</v>
      </c>
      <c r="B10208" s="15" t="s">
        <v>18601</v>
      </c>
      <c r="C10208" s="15" t="s">
        <v>800</v>
      </c>
      <c r="D10208" s="15" t="s">
        <v>18602</v>
      </c>
      <c r="E10208" s="15">
        <v>28.4009</v>
      </c>
      <c r="F10208" s="42">
        <v>46198</v>
      </c>
    </row>
    <row r="10209" spans="1:6" x14ac:dyDescent="0.3">
      <c r="A10209" s="15" t="s">
        <v>39485</v>
      </c>
      <c r="B10209" s="15" t="s">
        <v>800</v>
      </c>
      <c r="C10209" s="15" t="s">
        <v>18603</v>
      </c>
      <c r="D10209" s="15" t="s">
        <v>18604</v>
      </c>
      <c r="E10209" s="15">
        <v>28.4009</v>
      </c>
      <c r="F10209" s="42">
        <v>46198</v>
      </c>
    </row>
    <row r="10210" spans="1:6" x14ac:dyDescent="0.3">
      <c r="A10210" s="15" t="s">
        <v>39484</v>
      </c>
      <c r="B10210" s="15" t="s">
        <v>18605</v>
      </c>
      <c r="C10210" s="15" t="s">
        <v>800</v>
      </c>
      <c r="D10210" s="15" t="s">
        <v>18606</v>
      </c>
      <c r="E10210" s="15">
        <v>28.0685</v>
      </c>
      <c r="F10210" s="42">
        <v>46198</v>
      </c>
    </row>
    <row r="10211" spans="1:6" x14ac:dyDescent="0.3">
      <c r="A10211" s="15" t="s">
        <v>39483</v>
      </c>
      <c r="B10211" s="15" t="s">
        <v>18607</v>
      </c>
      <c r="C10211" s="15" t="s">
        <v>800</v>
      </c>
      <c r="D10211" s="15" t="s">
        <v>18608</v>
      </c>
      <c r="E10211" s="15">
        <v>28.0685</v>
      </c>
      <c r="F10211" s="42">
        <v>46198</v>
      </c>
    </row>
    <row r="10212" spans="1:6" x14ac:dyDescent="0.3">
      <c r="A10212" s="15" t="s">
        <v>39482</v>
      </c>
      <c r="B10212" s="15" t="s">
        <v>800</v>
      </c>
      <c r="C10212" s="15" t="s">
        <v>18609</v>
      </c>
      <c r="D10212" s="15" t="s">
        <v>18610</v>
      </c>
      <c r="E10212" s="15">
        <v>28.0685</v>
      </c>
      <c r="F10212" s="42">
        <v>46198</v>
      </c>
    </row>
    <row r="10213" spans="1:6" x14ac:dyDescent="0.3">
      <c r="A10213" s="15" t="s">
        <v>33499</v>
      </c>
      <c r="B10213" s="15" t="s">
        <v>795</v>
      </c>
      <c r="C10213" s="15" t="s">
        <v>795</v>
      </c>
      <c r="D10213" s="15" t="s">
        <v>795</v>
      </c>
      <c r="F10213" s="42"/>
    </row>
    <row r="10214" spans="1:6" x14ac:dyDescent="0.3">
      <c r="A10214" s="15" t="s">
        <v>39242</v>
      </c>
      <c r="B10214" s="15" t="s">
        <v>795</v>
      </c>
      <c r="C10214" s="15" t="s">
        <v>795</v>
      </c>
      <c r="D10214" s="15" t="s">
        <v>795</v>
      </c>
      <c r="F10214" s="42"/>
    </row>
    <row r="10215" spans="1:6" x14ac:dyDescent="0.3">
      <c r="A10215" s="15" t="s">
        <v>33499</v>
      </c>
      <c r="B10215" s="15" t="s">
        <v>795</v>
      </c>
      <c r="C10215" s="15" t="s">
        <v>795</v>
      </c>
      <c r="D10215" s="15" t="s">
        <v>795</v>
      </c>
      <c r="F10215" s="42"/>
    </row>
    <row r="10216" spans="1:6" x14ac:dyDescent="0.3">
      <c r="A10216" s="15" t="s">
        <v>39481</v>
      </c>
      <c r="B10216" s="15" t="s">
        <v>18611</v>
      </c>
      <c r="C10216" s="15" t="s">
        <v>800</v>
      </c>
      <c r="D10216" s="15" t="s">
        <v>18612</v>
      </c>
      <c r="E10216" s="15">
        <v>8.8986999999999998</v>
      </c>
      <c r="F10216" s="42">
        <v>46198</v>
      </c>
    </row>
    <row r="10217" spans="1:6" x14ac:dyDescent="0.3">
      <c r="A10217" s="15" t="s">
        <v>39480</v>
      </c>
      <c r="B10217" s="15" t="s">
        <v>18613</v>
      </c>
      <c r="C10217" s="15" t="s">
        <v>18614</v>
      </c>
      <c r="D10217" s="15" t="s">
        <v>18615</v>
      </c>
      <c r="E10217" s="15">
        <v>8.8986000000000001</v>
      </c>
      <c r="F10217" s="42">
        <v>46198</v>
      </c>
    </row>
    <row r="10218" spans="1:6" x14ac:dyDescent="0.3">
      <c r="A10218" s="15" t="s">
        <v>39479</v>
      </c>
      <c r="B10218" s="15" t="s">
        <v>18616</v>
      </c>
      <c r="C10218" s="15" t="s">
        <v>800</v>
      </c>
      <c r="D10218" s="15" t="s">
        <v>18617</v>
      </c>
      <c r="E10218" s="15">
        <v>8.8832000000000004</v>
      </c>
      <c r="F10218" s="42">
        <v>46198</v>
      </c>
    </row>
    <row r="10219" spans="1:6" x14ac:dyDescent="0.3">
      <c r="A10219" s="15" t="s">
        <v>39478</v>
      </c>
      <c r="B10219" s="15" t="s">
        <v>18618</v>
      </c>
      <c r="C10219" s="15" t="s">
        <v>18619</v>
      </c>
      <c r="D10219" s="15" t="s">
        <v>18620</v>
      </c>
      <c r="E10219" s="15">
        <v>8.8828999999999994</v>
      </c>
      <c r="F10219" s="42">
        <v>46198</v>
      </c>
    </row>
    <row r="10220" spans="1:6" x14ac:dyDescent="0.3">
      <c r="A10220" s="15" t="s">
        <v>33499</v>
      </c>
      <c r="B10220" s="15" t="s">
        <v>795</v>
      </c>
      <c r="C10220" s="15" t="s">
        <v>795</v>
      </c>
      <c r="D10220" s="15" t="s">
        <v>795</v>
      </c>
      <c r="F10220" s="42"/>
    </row>
    <row r="10221" spans="1:6" x14ac:dyDescent="0.3">
      <c r="A10221" s="15" t="s">
        <v>33504</v>
      </c>
      <c r="B10221" s="15" t="s">
        <v>795</v>
      </c>
      <c r="C10221" s="15" t="s">
        <v>795</v>
      </c>
      <c r="D10221" s="15" t="s">
        <v>795</v>
      </c>
      <c r="F10221" s="42"/>
    </row>
    <row r="10222" spans="1:6" x14ac:dyDescent="0.3">
      <c r="A10222" s="15" t="s">
        <v>33499</v>
      </c>
      <c r="B10222" s="15" t="s">
        <v>795</v>
      </c>
      <c r="C10222" s="15" t="s">
        <v>795</v>
      </c>
      <c r="D10222" s="15" t="s">
        <v>795</v>
      </c>
      <c r="F10222" s="42"/>
    </row>
    <row r="10223" spans="1:6" x14ac:dyDescent="0.3">
      <c r="A10223" s="15" t="s">
        <v>39477</v>
      </c>
      <c r="B10223" s="15" t="s">
        <v>18621</v>
      </c>
      <c r="C10223" s="15" t="s">
        <v>800</v>
      </c>
      <c r="D10223" s="15" t="s">
        <v>18622</v>
      </c>
      <c r="E10223" s="15">
        <v>10.5016</v>
      </c>
      <c r="F10223" s="42">
        <v>46198</v>
      </c>
    </row>
    <row r="10224" spans="1:6" x14ac:dyDescent="0.3">
      <c r="A10224" s="15" t="s">
        <v>39476</v>
      </c>
      <c r="B10224" s="15" t="s">
        <v>18623</v>
      </c>
      <c r="C10224" s="15" t="s">
        <v>18624</v>
      </c>
      <c r="D10224" s="15" t="s">
        <v>18625</v>
      </c>
      <c r="E10224" s="15">
        <v>10.5016</v>
      </c>
      <c r="F10224" s="42">
        <v>46198</v>
      </c>
    </row>
    <row r="10225" spans="1:6" x14ac:dyDescent="0.3">
      <c r="A10225" s="15" t="s">
        <v>39475</v>
      </c>
      <c r="B10225" s="15" t="s">
        <v>18626</v>
      </c>
      <c r="C10225" s="15" t="s">
        <v>800</v>
      </c>
      <c r="D10225" s="15" t="s">
        <v>18627</v>
      </c>
      <c r="E10225" s="15">
        <v>10.422800000000001</v>
      </c>
      <c r="F10225" s="42">
        <v>46198</v>
      </c>
    </row>
    <row r="10226" spans="1:6" x14ac:dyDescent="0.3">
      <c r="A10226" s="15" t="s">
        <v>39474</v>
      </c>
      <c r="B10226" s="15" t="s">
        <v>18628</v>
      </c>
      <c r="C10226" s="15" t="s">
        <v>18629</v>
      </c>
      <c r="D10226" s="15" t="s">
        <v>18630</v>
      </c>
      <c r="E10226" s="15">
        <v>10.422800000000001</v>
      </c>
      <c r="F10226" s="42">
        <v>46198</v>
      </c>
    </row>
    <row r="10227" spans="1:6" x14ac:dyDescent="0.3">
      <c r="A10227" s="15" t="s">
        <v>39473</v>
      </c>
      <c r="B10227" s="15" t="s">
        <v>18631</v>
      </c>
      <c r="C10227" s="15" t="s">
        <v>800</v>
      </c>
      <c r="D10227" s="15" t="s">
        <v>18632</v>
      </c>
      <c r="E10227" s="15">
        <v>15.9474</v>
      </c>
      <c r="F10227" s="42">
        <v>46198</v>
      </c>
    </row>
    <row r="10228" spans="1:6" x14ac:dyDescent="0.3">
      <c r="A10228" s="15" t="s">
        <v>39472</v>
      </c>
      <c r="B10228" s="15" t="s">
        <v>18633</v>
      </c>
      <c r="C10228" s="15" t="s">
        <v>18634</v>
      </c>
      <c r="D10228" s="15" t="s">
        <v>18635</v>
      </c>
      <c r="E10228" s="15">
        <v>15.9474</v>
      </c>
      <c r="F10228" s="42">
        <v>46198</v>
      </c>
    </row>
    <row r="10229" spans="1:6" x14ac:dyDescent="0.3">
      <c r="A10229" s="15" t="s">
        <v>39471</v>
      </c>
      <c r="B10229" s="15" t="s">
        <v>18636</v>
      </c>
      <c r="C10229" s="15" t="s">
        <v>800</v>
      </c>
      <c r="D10229" s="15" t="s">
        <v>18637</v>
      </c>
      <c r="E10229" s="15">
        <v>15.8908</v>
      </c>
      <c r="F10229" s="42">
        <v>46198</v>
      </c>
    </row>
    <row r="10230" spans="1:6" x14ac:dyDescent="0.3">
      <c r="A10230" s="15" t="s">
        <v>39470</v>
      </c>
      <c r="B10230" s="15" t="s">
        <v>18638</v>
      </c>
      <c r="C10230" s="15" t="s">
        <v>18639</v>
      </c>
      <c r="D10230" s="15" t="s">
        <v>18640</v>
      </c>
      <c r="E10230" s="15">
        <v>15.8908</v>
      </c>
      <c r="F10230" s="42">
        <v>46198</v>
      </c>
    </row>
    <row r="10231" spans="1:6" x14ac:dyDescent="0.3">
      <c r="A10231" s="15" t="s">
        <v>39469</v>
      </c>
      <c r="B10231" s="15" t="s">
        <v>18641</v>
      </c>
      <c r="C10231" s="15" t="s">
        <v>800</v>
      </c>
      <c r="D10231" s="15" t="s">
        <v>18642</v>
      </c>
      <c r="E10231" s="15">
        <v>10.446</v>
      </c>
      <c r="F10231" s="42">
        <v>46198</v>
      </c>
    </row>
    <row r="10232" spans="1:6" x14ac:dyDescent="0.3">
      <c r="A10232" s="15" t="s">
        <v>39468</v>
      </c>
      <c r="B10232" s="15" t="s">
        <v>18643</v>
      </c>
      <c r="C10232" s="15" t="s">
        <v>18644</v>
      </c>
      <c r="D10232" s="15" t="s">
        <v>18645</v>
      </c>
      <c r="E10232" s="15">
        <v>10.446</v>
      </c>
      <c r="F10232" s="42">
        <v>46198</v>
      </c>
    </row>
    <row r="10233" spans="1:6" x14ac:dyDescent="0.3">
      <c r="A10233" s="15" t="s">
        <v>39467</v>
      </c>
      <c r="B10233" s="15" t="s">
        <v>18646</v>
      </c>
      <c r="C10233" s="15" t="s">
        <v>800</v>
      </c>
      <c r="D10233" s="15" t="s">
        <v>18647</v>
      </c>
      <c r="E10233" s="15">
        <v>10.3965</v>
      </c>
      <c r="F10233" s="42">
        <v>46198</v>
      </c>
    </row>
    <row r="10234" spans="1:6" x14ac:dyDescent="0.3">
      <c r="A10234" s="15" t="s">
        <v>39466</v>
      </c>
      <c r="B10234" s="15" t="s">
        <v>18648</v>
      </c>
      <c r="C10234" s="15" t="s">
        <v>18649</v>
      </c>
      <c r="D10234" s="15" t="s">
        <v>18650</v>
      </c>
      <c r="E10234" s="15">
        <v>10.3965</v>
      </c>
      <c r="F10234" s="42">
        <v>46198</v>
      </c>
    </row>
    <row r="10235" spans="1:6" x14ac:dyDescent="0.3">
      <c r="A10235" s="15" t="s">
        <v>33499</v>
      </c>
      <c r="B10235" s="15" t="s">
        <v>795</v>
      </c>
      <c r="C10235" s="15" t="s">
        <v>795</v>
      </c>
      <c r="D10235" s="15" t="s">
        <v>795</v>
      </c>
      <c r="F10235" s="42"/>
    </row>
    <row r="10236" spans="1:6" x14ac:dyDescent="0.3">
      <c r="A10236" s="15" t="s">
        <v>33500</v>
      </c>
      <c r="B10236" s="15" t="s">
        <v>795</v>
      </c>
      <c r="C10236" s="15" t="s">
        <v>795</v>
      </c>
      <c r="D10236" s="15" t="s">
        <v>795</v>
      </c>
      <c r="F10236" s="42"/>
    </row>
    <row r="10237" spans="1:6" x14ac:dyDescent="0.3">
      <c r="A10237" s="15" t="s">
        <v>33499</v>
      </c>
      <c r="B10237" s="15" t="s">
        <v>795</v>
      </c>
      <c r="C10237" s="15" t="s">
        <v>795</v>
      </c>
      <c r="D10237" s="15" t="s">
        <v>795</v>
      </c>
      <c r="F10237" s="42"/>
    </row>
    <row r="10238" spans="1:6" x14ac:dyDescent="0.3">
      <c r="A10238" s="15" t="s">
        <v>39465</v>
      </c>
      <c r="B10238" s="15" t="s">
        <v>18651</v>
      </c>
      <c r="C10238" s="15" t="s">
        <v>800</v>
      </c>
      <c r="D10238" s="15" t="s">
        <v>18652</v>
      </c>
      <c r="E10238" s="15">
        <v>26.721</v>
      </c>
      <c r="F10238" s="42">
        <v>46198</v>
      </c>
    </row>
    <row r="10239" spans="1:6" x14ac:dyDescent="0.3">
      <c r="A10239" s="15" t="s">
        <v>39464</v>
      </c>
      <c r="B10239" s="15" t="s">
        <v>18653</v>
      </c>
      <c r="C10239" s="15" t="s">
        <v>800</v>
      </c>
      <c r="D10239" s="15" t="s">
        <v>18654</v>
      </c>
      <c r="E10239" s="15">
        <v>26.307200000000002</v>
      </c>
      <c r="F10239" s="42">
        <v>46198</v>
      </c>
    </row>
    <row r="10240" spans="1:6" x14ac:dyDescent="0.3">
      <c r="A10240" s="15" t="s">
        <v>39463</v>
      </c>
      <c r="B10240" s="15" t="s">
        <v>18655</v>
      </c>
      <c r="C10240" s="15" t="s">
        <v>800</v>
      </c>
      <c r="D10240" s="15" t="s">
        <v>18656</v>
      </c>
      <c r="E10240" s="15">
        <v>10.7919</v>
      </c>
      <c r="F10240" s="42">
        <v>46198</v>
      </c>
    </row>
    <row r="10241" spans="1:6" x14ac:dyDescent="0.3">
      <c r="A10241" s="15" t="s">
        <v>39462</v>
      </c>
      <c r="B10241" s="15" t="s">
        <v>18657</v>
      </c>
      <c r="C10241" s="15" t="s">
        <v>800</v>
      </c>
      <c r="D10241" s="15" t="s">
        <v>18658</v>
      </c>
      <c r="E10241" s="15">
        <v>10.7455</v>
      </c>
      <c r="F10241" s="42">
        <v>46198</v>
      </c>
    </row>
    <row r="10242" spans="1:6" x14ac:dyDescent="0.3">
      <c r="A10242" s="15" t="s">
        <v>39461</v>
      </c>
      <c r="B10242" s="15" t="s">
        <v>18659</v>
      </c>
      <c r="C10242" s="15" t="s">
        <v>800</v>
      </c>
      <c r="D10242" s="15" t="s">
        <v>18660</v>
      </c>
      <c r="E10242" s="15">
        <v>27.633199999999999</v>
      </c>
      <c r="F10242" s="42">
        <v>46198</v>
      </c>
    </row>
    <row r="10243" spans="1:6" x14ac:dyDescent="0.3">
      <c r="A10243" s="15" t="s">
        <v>39460</v>
      </c>
      <c r="B10243" s="15" t="s">
        <v>18661</v>
      </c>
      <c r="C10243" s="15" t="s">
        <v>800</v>
      </c>
      <c r="D10243" s="15" t="s">
        <v>18662</v>
      </c>
      <c r="E10243" s="15">
        <v>27.3157</v>
      </c>
      <c r="F10243" s="42">
        <v>46198</v>
      </c>
    </row>
    <row r="10244" spans="1:6" x14ac:dyDescent="0.3">
      <c r="A10244" s="15" t="s">
        <v>33499</v>
      </c>
      <c r="B10244" s="15" t="s">
        <v>795</v>
      </c>
      <c r="C10244" s="15" t="s">
        <v>795</v>
      </c>
      <c r="D10244" s="15" t="s">
        <v>795</v>
      </c>
      <c r="F10244" s="42"/>
    </row>
    <row r="10245" spans="1:6" x14ac:dyDescent="0.3">
      <c r="A10245" s="15" t="s">
        <v>37648</v>
      </c>
      <c r="B10245" s="15" t="s">
        <v>795</v>
      </c>
      <c r="C10245" s="15" t="s">
        <v>795</v>
      </c>
      <c r="D10245" s="15" t="s">
        <v>795</v>
      </c>
      <c r="F10245" s="42"/>
    </row>
    <row r="10246" spans="1:6" x14ac:dyDescent="0.3">
      <c r="A10246" s="15" t="s">
        <v>33499</v>
      </c>
      <c r="B10246" s="15" t="s">
        <v>795</v>
      </c>
      <c r="C10246" s="15" t="s">
        <v>795</v>
      </c>
      <c r="D10246" s="15" t="s">
        <v>795</v>
      </c>
      <c r="F10246" s="42"/>
    </row>
    <row r="10247" spans="1:6" x14ac:dyDescent="0.3">
      <c r="A10247" s="15" t="s">
        <v>39459</v>
      </c>
      <c r="B10247" s="15" t="s">
        <v>18663</v>
      </c>
      <c r="C10247" s="15" t="s">
        <v>800</v>
      </c>
      <c r="D10247" s="15" t="s">
        <v>18664</v>
      </c>
      <c r="E10247" s="15">
        <v>18.121600000000001</v>
      </c>
      <c r="F10247" s="42">
        <v>46198</v>
      </c>
    </row>
    <row r="10248" spans="1:6" x14ac:dyDescent="0.3">
      <c r="A10248" s="15" t="s">
        <v>39458</v>
      </c>
      <c r="B10248" s="15" t="s">
        <v>18665</v>
      </c>
      <c r="C10248" s="15" t="s">
        <v>800</v>
      </c>
      <c r="D10248" s="15" t="s">
        <v>18666</v>
      </c>
      <c r="E10248" s="15">
        <v>11.234500000000001</v>
      </c>
      <c r="F10248" s="42">
        <v>46198</v>
      </c>
    </row>
    <row r="10249" spans="1:6" x14ac:dyDescent="0.3">
      <c r="A10249" s="15" t="s">
        <v>39457</v>
      </c>
      <c r="B10249" s="15" t="s">
        <v>18667</v>
      </c>
      <c r="C10249" s="15" t="s">
        <v>800</v>
      </c>
      <c r="D10249" s="15" t="s">
        <v>18668</v>
      </c>
      <c r="E10249" s="15">
        <v>19.6861</v>
      </c>
      <c r="F10249" s="42">
        <v>46198</v>
      </c>
    </row>
    <row r="10250" spans="1:6" x14ac:dyDescent="0.3">
      <c r="A10250" s="15" t="s">
        <v>33499</v>
      </c>
      <c r="B10250" s="15" t="s">
        <v>795</v>
      </c>
      <c r="C10250" s="15" t="s">
        <v>795</v>
      </c>
      <c r="D10250" s="15" t="s">
        <v>795</v>
      </c>
      <c r="F10250" s="42"/>
    </row>
    <row r="10251" spans="1:6" x14ac:dyDescent="0.3">
      <c r="A10251" s="15" t="s">
        <v>39456</v>
      </c>
      <c r="B10251" s="15" t="s">
        <v>795</v>
      </c>
      <c r="C10251" s="15" t="s">
        <v>795</v>
      </c>
      <c r="D10251" s="15" t="s">
        <v>795</v>
      </c>
      <c r="F10251" s="42"/>
    </row>
    <row r="10252" spans="1:6" x14ac:dyDescent="0.3">
      <c r="A10252" s="15" t="s">
        <v>33499</v>
      </c>
      <c r="B10252" s="15" t="s">
        <v>795</v>
      </c>
      <c r="C10252" s="15" t="s">
        <v>795</v>
      </c>
      <c r="D10252" s="15" t="s">
        <v>795</v>
      </c>
      <c r="F10252" s="42"/>
    </row>
    <row r="10253" spans="1:6" x14ac:dyDescent="0.3">
      <c r="A10253" s="15" t="s">
        <v>37122</v>
      </c>
      <c r="B10253" s="15" t="s">
        <v>795</v>
      </c>
      <c r="C10253" s="15" t="s">
        <v>795</v>
      </c>
      <c r="D10253" s="15" t="s">
        <v>795</v>
      </c>
      <c r="F10253" s="42"/>
    </row>
    <row r="10254" spans="1:6" x14ac:dyDescent="0.3">
      <c r="A10254" s="15" t="s">
        <v>33499</v>
      </c>
      <c r="B10254" s="15" t="s">
        <v>795</v>
      </c>
      <c r="C10254" s="15" t="s">
        <v>795</v>
      </c>
      <c r="D10254" s="15" t="s">
        <v>795</v>
      </c>
      <c r="F10254" s="42"/>
    </row>
    <row r="10255" spans="1:6" x14ac:dyDescent="0.3">
      <c r="A10255" s="15" t="s">
        <v>39455</v>
      </c>
      <c r="B10255" s="15" t="s">
        <v>18669</v>
      </c>
      <c r="C10255" s="15" t="s">
        <v>18670</v>
      </c>
      <c r="D10255" s="15" t="s">
        <v>18671</v>
      </c>
      <c r="E10255" s="15">
        <v>31.520900000000001</v>
      </c>
      <c r="F10255" s="42">
        <v>46198</v>
      </c>
    </row>
    <row r="10256" spans="1:6" x14ac:dyDescent="0.3">
      <c r="A10256" s="15" t="s">
        <v>39454</v>
      </c>
      <c r="B10256" s="15" t="s">
        <v>18672</v>
      </c>
      <c r="C10256" s="15" t="s">
        <v>800</v>
      </c>
      <c r="D10256" s="15" t="s">
        <v>18673</v>
      </c>
      <c r="E10256" s="15">
        <v>35.639099999999999</v>
      </c>
      <c r="F10256" s="42">
        <v>46198</v>
      </c>
    </row>
    <row r="10257" spans="1:6" x14ac:dyDescent="0.3">
      <c r="A10257" s="15" t="s">
        <v>39453</v>
      </c>
      <c r="B10257" s="15" t="s">
        <v>18674</v>
      </c>
      <c r="C10257" s="15" t="s">
        <v>18675</v>
      </c>
      <c r="D10257" s="15" t="s">
        <v>18676</v>
      </c>
      <c r="E10257" s="15">
        <v>33.881100000000004</v>
      </c>
      <c r="F10257" s="42">
        <v>46198</v>
      </c>
    </row>
    <row r="10258" spans="1:6" x14ac:dyDescent="0.3">
      <c r="A10258" s="15" t="s">
        <v>39452</v>
      </c>
      <c r="B10258" s="15" t="s">
        <v>18677</v>
      </c>
      <c r="C10258" s="15" t="s">
        <v>800</v>
      </c>
      <c r="D10258" s="15" t="s">
        <v>18678</v>
      </c>
      <c r="E10258" s="15">
        <v>33.875</v>
      </c>
      <c r="F10258" s="42">
        <v>46198</v>
      </c>
    </row>
    <row r="10259" spans="1:6" x14ac:dyDescent="0.3">
      <c r="A10259" s="15" t="s">
        <v>39451</v>
      </c>
      <c r="B10259" s="15" t="s">
        <v>18679</v>
      </c>
      <c r="C10259" s="15" t="s">
        <v>800</v>
      </c>
      <c r="D10259" s="15" t="s">
        <v>18680</v>
      </c>
      <c r="E10259" s="15">
        <v>45.814999999999998</v>
      </c>
      <c r="F10259" s="42">
        <v>46198</v>
      </c>
    </row>
    <row r="10260" spans="1:6" x14ac:dyDescent="0.3">
      <c r="A10260" s="15" t="s">
        <v>39450</v>
      </c>
      <c r="B10260" s="15" t="s">
        <v>18681</v>
      </c>
      <c r="C10260" s="15" t="s">
        <v>800</v>
      </c>
      <c r="D10260" s="15" t="s">
        <v>18682</v>
      </c>
      <c r="E10260" s="15">
        <v>42.836199999999998</v>
      </c>
      <c r="F10260" s="42">
        <v>46198</v>
      </c>
    </row>
    <row r="10261" spans="1:6" x14ac:dyDescent="0.3">
      <c r="A10261" s="15" t="s">
        <v>39449</v>
      </c>
      <c r="B10261" s="15" t="s">
        <v>18683</v>
      </c>
      <c r="C10261" s="15" t="s">
        <v>18684</v>
      </c>
      <c r="D10261" s="15" t="s">
        <v>18685</v>
      </c>
      <c r="E10261" s="15">
        <v>45.8384</v>
      </c>
      <c r="F10261" s="42">
        <v>46198</v>
      </c>
    </row>
    <row r="10262" spans="1:6" x14ac:dyDescent="0.3">
      <c r="A10262" s="15" t="s">
        <v>39448</v>
      </c>
      <c r="B10262" s="15" t="s">
        <v>18686</v>
      </c>
      <c r="C10262" s="15" t="s">
        <v>18687</v>
      </c>
      <c r="D10262" s="15" t="s">
        <v>18688</v>
      </c>
      <c r="E10262" s="15">
        <v>42.862699999999997</v>
      </c>
      <c r="F10262" s="42">
        <v>46198</v>
      </c>
    </row>
    <row r="10263" spans="1:6" x14ac:dyDescent="0.3">
      <c r="A10263" s="15" t="s">
        <v>39447</v>
      </c>
      <c r="B10263" s="15" t="s">
        <v>18689</v>
      </c>
      <c r="C10263" s="15" t="s">
        <v>18690</v>
      </c>
      <c r="D10263" s="15" t="s">
        <v>18691</v>
      </c>
      <c r="E10263" s="15">
        <v>22.752099999999999</v>
      </c>
      <c r="F10263" s="42">
        <v>46198</v>
      </c>
    </row>
    <row r="10264" spans="1:6" x14ac:dyDescent="0.3">
      <c r="A10264" s="15" t="s">
        <v>39446</v>
      </c>
      <c r="B10264" s="15" t="s">
        <v>18692</v>
      </c>
      <c r="C10264" s="15" t="s">
        <v>800</v>
      </c>
      <c r="D10264" s="15" t="s">
        <v>18693</v>
      </c>
      <c r="E10264" s="15">
        <v>22.748899999999999</v>
      </c>
      <c r="F10264" s="42">
        <v>46198</v>
      </c>
    </row>
    <row r="10265" spans="1:6" x14ac:dyDescent="0.3">
      <c r="A10265" s="15" t="s">
        <v>39445</v>
      </c>
      <c r="B10265" s="15" t="s">
        <v>18694</v>
      </c>
      <c r="C10265" s="15" t="s">
        <v>800</v>
      </c>
      <c r="D10265" s="15" t="s">
        <v>18695</v>
      </c>
      <c r="E10265" s="15">
        <v>22.3477</v>
      </c>
      <c r="F10265" s="42">
        <v>46198</v>
      </c>
    </row>
    <row r="10266" spans="1:6" x14ac:dyDescent="0.3">
      <c r="A10266" s="15" t="s">
        <v>39444</v>
      </c>
      <c r="B10266" s="15" t="s">
        <v>18696</v>
      </c>
      <c r="C10266" s="15" t="s">
        <v>18697</v>
      </c>
      <c r="D10266" s="15" t="s">
        <v>18698</v>
      </c>
      <c r="E10266" s="15">
        <v>22.3459</v>
      </c>
      <c r="F10266" s="42">
        <v>46198</v>
      </c>
    </row>
    <row r="10267" spans="1:6" x14ac:dyDescent="0.3">
      <c r="A10267" s="15" t="s">
        <v>39443</v>
      </c>
      <c r="B10267" s="15" t="s">
        <v>18699</v>
      </c>
      <c r="C10267" s="15" t="s">
        <v>800</v>
      </c>
      <c r="D10267" s="15" t="s">
        <v>18700</v>
      </c>
      <c r="E10267" s="15">
        <v>12.7049</v>
      </c>
      <c r="F10267" s="42">
        <v>46198</v>
      </c>
    </row>
    <row r="10268" spans="1:6" x14ac:dyDescent="0.3">
      <c r="A10268" s="15" t="s">
        <v>39442</v>
      </c>
      <c r="B10268" s="15" t="s">
        <v>18701</v>
      </c>
      <c r="C10268" s="15" t="s">
        <v>18702</v>
      </c>
      <c r="D10268" s="15" t="s">
        <v>18703</v>
      </c>
      <c r="E10268" s="15">
        <v>12.7049</v>
      </c>
      <c r="F10268" s="42">
        <v>46198</v>
      </c>
    </row>
    <row r="10269" spans="1:6" x14ac:dyDescent="0.3">
      <c r="A10269" s="15" t="s">
        <v>39441</v>
      </c>
      <c r="B10269" s="15" t="s">
        <v>18704</v>
      </c>
      <c r="C10269" s="15" t="s">
        <v>800</v>
      </c>
      <c r="D10269" s="15" t="s">
        <v>18705</v>
      </c>
      <c r="E10269" s="15">
        <v>12.6892</v>
      </c>
      <c r="F10269" s="42">
        <v>46198</v>
      </c>
    </row>
    <row r="10270" spans="1:6" x14ac:dyDescent="0.3">
      <c r="A10270" s="15" t="s">
        <v>39440</v>
      </c>
      <c r="B10270" s="15" t="s">
        <v>18706</v>
      </c>
      <c r="C10270" s="15" t="s">
        <v>18707</v>
      </c>
      <c r="D10270" s="15" t="s">
        <v>18708</v>
      </c>
      <c r="E10270" s="15">
        <v>12.688000000000001</v>
      </c>
      <c r="F10270" s="42">
        <v>46198</v>
      </c>
    </row>
    <row r="10271" spans="1:6" x14ac:dyDescent="0.3">
      <c r="A10271" s="15" t="s">
        <v>39439</v>
      </c>
      <c r="B10271" s="15" t="s">
        <v>18709</v>
      </c>
      <c r="C10271" s="15" t="s">
        <v>800</v>
      </c>
      <c r="D10271" s="15" t="s">
        <v>18710</v>
      </c>
      <c r="E10271" s="15">
        <v>12.9726</v>
      </c>
      <c r="F10271" s="42">
        <v>46198</v>
      </c>
    </row>
    <row r="10272" spans="1:6" x14ac:dyDescent="0.3">
      <c r="A10272" s="15" t="s">
        <v>39438</v>
      </c>
      <c r="B10272" s="15" t="s">
        <v>18711</v>
      </c>
      <c r="C10272" s="15" t="s">
        <v>18712</v>
      </c>
      <c r="D10272" s="15" t="s">
        <v>18713</v>
      </c>
      <c r="E10272" s="15">
        <v>12.9727</v>
      </c>
      <c r="F10272" s="42">
        <v>46198</v>
      </c>
    </row>
    <row r="10273" spans="1:6" x14ac:dyDescent="0.3">
      <c r="A10273" s="15" t="s">
        <v>39437</v>
      </c>
      <c r="B10273" s="15" t="s">
        <v>18714</v>
      </c>
      <c r="C10273" s="15" t="s">
        <v>800</v>
      </c>
      <c r="D10273" s="15" t="s">
        <v>18715</v>
      </c>
      <c r="E10273" s="15">
        <v>12.9549</v>
      </c>
      <c r="F10273" s="42">
        <v>46198</v>
      </c>
    </row>
    <row r="10274" spans="1:6" x14ac:dyDescent="0.3">
      <c r="A10274" s="15" t="s">
        <v>39436</v>
      </c>
      <c r="B10274" s="15" t="s">
        <v>18716</v>
      </c>
      <c r="C10274" s="15" t="s">
        <v>18717</v>
      </c>
      <c r="D10274" s="15" t="s">
        <v>18718</v>
      </c>
      <c r="E10274" s="15">
        <v>12.955</v>
      </c>
      <c r="F10274" s="42">
        <v>46198</v>
      </c>
    </row>
    <row r="10275" spans="1:6" x14ac:dyDescent="0.3">
      <c r="A10275" s="15" t="s">
        <v>33499</v>
      </c>
      <c r="B10275" s="15" t="s">
        <v>795</v>
      </c>
      <c r="C10275" s="15" t="s">
        <v>795</v>
      </c>
      <c r="D10275" s="15" t="s">
        <v>795</v>
      </c>
      <c r="F10275" s="42"/>
    </row>
    <row r="10276" spans="1:6" x14ac:dyDescent="0.3">
      <c r="A10276" s="15" t="s">
        <v>37087</v>
      </c>
      <c r="B10276" s="15" t="s">
        <v>795</v>
      </c>
      <c r="C10276" s="15" t="s">
        <v>795</v>
      </c>
      <c r="D10276" s="15" t="s">
        <v>795</v>
      </c>
      <c r="F10276" s="42"/>
    </row>
    <row r="10277" spans="1:6" x14ac:dyDescent="0.3">
      <c r="A10277" s="15" t="s">
        <v>33499</v>
      </c>
      <c r="B10277" s="15" t="s">
        <v>795</v>
      </c>
      <c r="C10277" s="15" t="s">
        <v>795</v>
      </c>
      <c r="D10277" s="15" t="s">
        <v>795</v>
      </c>
      <c r="F10277" s="42"/>
    </row>
    <row r="10278" spans="1:6" x14ac:dyDescent="0.3">
      <c r="A10278" s="15" t="s">
        <v>39435</v>
      </c>
      <c r="B10278" s="15" t="s">
        <v>18719</v>
      </c>
      <c r="C10278" s="15" t="s">
        <v>800</v>
      </c>
      <c r="D10278" s="15" t="s">
        <v>18720</v>
      </c>
      <c r="E10278" s="15">
        <v>25.079799999999999</v>
      </c>
      <c r="F10278" s="42">
        <v>46198</v>
      </c>
    </row>
    <row r="10279" spans="1:6" x14ac:dyDescent="0.3">
      <c r="A10279" s="15" t="s">
        <v>39434</v>
      </c>
      <c r="B10279" s="15" t="s">
        <v>18721</v>
      </c>
      <c r="C10279" s="15" t="s">
        <v>18722</v>
      </c>
      <c r="D10279" s="15" t="s">
        <v>18723</v>
      </c>
      <c r="E10279" s="15">
        <v>25.072199999999999</v>
      </c>
      <c r="F10279" s="42">
        <v>46198</v>
      </c>
    </row>
    <row r="10280" spans="1:6" x14ac:dyDescent="0.3">
      <c r="A10280" s="15" t="s">
        <v>39433</v>
      </c>
      <c r="B10280" s="15" t="s">
        <v>18724</v>
      </c>
      <c r="C10280" s="15" t="s">
        <v>800</v>
      </c>
      <c r="D10280" s="15" t="s">
        <v>18725</v>
      </c>
      <c r="E10280" s="15">
        <v>23.694500000000001</v>
      </c>
      <c r="F10280" s="42">
        <v>46198</v>
      </c>
    </row>
    <row r="10281" spans="1:6" x14ac:dyDescent="0.3">
      <c r="A10281" s="15" t="s">
        <v>39432</v>
      </c>
      <c r="B10281" s="15" t="s">
        <v>18726</v>
      </c>
      <c r="C10281" s="15" t="s">
        <v>18727</v>
      </c>
      <c r="D10281" s="15" t="s">
        <v>18728</v>
      </c>
      <c r="E10281" s="15">
        <v>23.694700000000001</v>
      </c>
      <c r="F10281" s="42">
        <v>46198</v>
      </c>
    </row>
    <row r="10282" spans="1:6" x14ac:dyDescent="0.3">
      <c r="A10282" s="15" t="s">
        <v>39431</v>
      </c>
      <c r="B10282" s="15" t="s">
        <v>18729</v>
      </c>
      <c r="C10282" s="15" t="s">
        <v>800</v>
      </c>
      <c r="D10282" s="15" t="s">
        <v>18730</v>
      </c>
      <c r="E10282" s="15">
        <v>19.22</v>
      </c>
      <c r="F10282" s="42">
        <v>46198</v>
      </c>
    </row>
    <row r="10283" spans="1:6" x14ac:dyDescent="0.3">
      <c r="A10283" s="15" t="s">
        <v>39430</v>
      </c>
      <c r="B10283" s="15" t="s">
        <v>18731</v>
      </c>
      <c r="C10283" s="15" t="s">
        <v>18732</v>
      </c>
      <c r="D10283" s="15" t="s">
        <v>18733</v>
      </c>
      <c r="E10283" s="15">
        <v>19.21</v>
      </c>
      <c r="F10283" s="42">
        <v>46198</v>
      </c>
    </row>
    <row r="10284" spans="1:6" x14ac:dyDescent="0.3">
      <c r="A10284" s="15" t="s">
        <v>39429</v>
      </c>
      <c r="B10284" s="15" t="s">
        <v>18734</v>
      </c>
      <c r="C10284" s="15" t="s">
        <v>800</v>
      </c>
      <c r="D10284" s="15" t="s">
        <v>18735</v>
      </c>
      <c r="E10284" s="15">
        <v>18.260000000000002</v>
      </c>
      <c r="F10284" s="42">
        <v>46198</v>
      </c>
    </row>
    <row r="10285" spans="1:6" x14ac:dyDescent="0.3">
      <c r="A10285" s="15" t="s">
        <v>39428</v>
      </c>
      <c r="B10285" s="15" t="s">
        <v>18736</v>
      </c>
      <c r="C10285" s="15" t="s">
        <v>18737</v>
      </c>
      <c r="D10285" s="15" t="s">
        <v>18738</v>
      </c>
      <c r="E10285" s="15">
        <v>18.260000000000002</v>
      </c>
      <c r="F10285" s="42">
        <v>46198</v>
      </c>
    </row>
    <row r="10286" spans="1:6" x14ac:dyDescent="0.3">
      <c r="A10286" s="15" t="s">
        <v>39427</v>
      </c>
      <c r="B10286" s="15" t="s">
        <v>18739</v>
      </c>
      <c r="C10286" s="15" t="s">
        <v>800</v>
      </c>
      <c r="D10286" s="15" t="s">
        <v>18740</v>
      </c>
      <c r="E10286" s="15">
        <v>12.05</v>
      </c>
      <c r="F10286" s="42">
        <v>46198</v>
      </c>
    </row>
    <row r="10287" spans="1:6" x14ac:dyDescent="0.3">
      <c r="A10287" s="15" t="s">
        <v>39426</v>
      </c>
      <c r="B10287" s="15" t="s">
        <v>18741</v>
      </c>
      <c r="C10287" s="15" t="s">
        <v>18742</v>
      </c>
      <c r="D10287" s="15" t="s">
        <v>18743</v>
      </c>
      <c r="E10287" s="15">
        <v>12.04</v>
      </c>
      <c r="F10287" s="42">
        <v>46198</v>
      </c>
    </row>
    <row r="10288" spans="1:6" x14ac:dyDescent="0.3">
      <c r="A10288" s="15" t="s">
        <v>39425</v>
      </c>
      <c r="B10288" s="15" t="s">
        <v>18744</v>
      </c>
      <c r="C10288" s="15" t="s">
        <v>800</v>
      </c>
      <c r="D10288" s="15" t="s">
        <v>18745</v>
      </c>
      <c r="E10288" s="15">
        <v>11.36</v>
      </c>
      <c r="F10288" s="42">
        <v>46198</v>
      </c>
    </row>
    <row r="10289" spans="1:6" x14ac:dyDescent="0.3">
      <c r="A10289" s="15" t="s">
        <v>39424</v>
      </c>
      <c r="B10289" s="15" t="s">
        <v>18746</v>
      </c>
      <c r="C10289" s="15" t="s">
        <v>18747</v>
      </c>
      <c r="D10289" s="15" t="s">
        <v>18748</v>
      </c>
      <c r="E10289" s="15">
        <v>11.36</v>
      </c>
      <c r="F10289" s="42">
        <v>46198</v>
      </c>
    </row>
    <row r="10290" spans="1:6" x14ac:dyDescent="0.3">
      <c r="A10290" s="15" t="s">
        <v>39423</v>
      </c>
      <c r="B10290" s="15" t="s">
        <v>18749</v>
      </c>
      <c r="C10290" s="15" t="s">
        <v>800</v>
      </c>
      <c r="D10290" s="15" t="s">
        <v>18750</v>
      </c>
      <c r="E10290" s="15">
        <v>29.3796</v>
      </c>
      <c r="F10290" s="42">
        <v>46198</v>
      </c>
    </row>
    <row r="10291" spans="1:6" x14ac:dyDescent="0.3">
      <c r="A10291" s="15" t="s">
        <v>39422</v>
      </c>
      <c r="B10291" s="15" t="s">
        <v>18751</v>
      </c>
      <c r="C10291" s="15" t="s">
        <v>18752</v>
      </c>
      <c r="D10291" s="15" t="s">
        <v>18753</v>
      </c>
      <c r="E10291" s="15">
        <v>29.3796</v>
      </c>
      <c r="F10291" s="42">
        <v>46198</v>
      </c>
    </row>
    <row r="10292" spans="1:6" x14ac:dyDescent="0.3">
      <c r="A10292" s="15" t="s">
        <v>39421</v>
      </c>
      <c r="B10292" s="15" t="s">
        <v>18754</v>
      </c>
      <c r="C10292" s="15" t="s">
        <v>800</v>
      </c>
      <c r="D10292" s="15" t="s">
        <v>18755</v>
      </c>
      <c r="E10292" s="15">
        <v>28.979600000000001</v>
      </c>
      <c r="F10292" s="42">
        <v>46198</v>
      </c>
    </row>
    <row r="10293" spans="1:6" x14ac:dyDescent="0.3">
      <c r="A10293" s="15" t="s">
        <v>39420</v>
      </c>
      <c r="B10293" s="15" t="s">
        <v>18756</v>
      </c>
      <c r="C10293" s="15" t="s">
        <v>18757</v>
      </c>
      <c r="D10293" s="15" t="s">
        <v>18758</v>
      </c>
      <c r="E10293" s="15">
        <v>28.979500000000002</v>
      </c>
      <c r="F10293" s="42">
        <v>46198</v>
      </c>
    </row>
    <row r="10294" spans="1:6" x14ac:dyDescent="0.3">
      <c r="A10294" s="15" t="s">
        <v>39419</v>
      </c>
      <c r="B10294" s="15" t="s">
        <v>18759</v>
      </c>
      <c r="C10294" s="15" t="s">
        <v>800</v>
      </c>
      <c r="D10294" s="15" t="s">
        <v>18760</v>
      </c>
      <c r="E10294" s="15">
        <v>12.2638</v>
      </c>
      <c r="F10294" s="42">
        <v>46198</v>
      </c>
    </row>
    <row r="10295" spans="1:6" x14ac:dyDescent="0.3">
      <c r="A10295" s="15" t="s">
        <v>39418</v>
      </c>
      <c r="B10295" s="15" t="s">
        <v>18761</v>
      </c>
      <c r="C10295" s="15" t="s">
        <v>18762</v>
      </c>
      <c r="D10295" s="15" t="s">
        <v>18763</v>
      </c>
      <c r="E10295" s="15">
        <v>12.2628</v>
      </c>
      <c r="F10295" s="42">
        <v>46198</v>
      </c>
    </row>
    <row r="10296" spans="1:6" x14ac:dyDescent="0.3">
      <c r="A10296" s="15" t="s">
        <v>39417</v>
      </c>
      <c r="B10296" s="15" t="s">
        <v>18764</v>
      </c>
      <c r="C10296" s="15" t="s">
        <v>800</v>
      </c>
      <c r="D10296" s="15" t="s">
        <v>18765</v>
      </c>
      <c r="E10296" s="15">
        <v>12.248699999999999</v>
      </c>
      <c r="F10296" s="42">
        <v>46198</v>
      </c>
    </row>
    <row r="10297" spans="1:6" x14ac:dyDescent="0.3">
      <c r="A10297" s="15" t="s">
        <v>39416</v>
      </c>
      <c r="B10297" s="15" t="s">
        <v>18766</v>
      </c>
      <c r="C10297" s="15" t="s">
        <v>18767</v>
      </c>
      <c r="D10297" s="15" t="s">
        <v>18768</v>
      </c>
      <c r="E10297" s="15">
        <v>12.2486</v>
      </c>
      <c r="F10297" s="42">
        <v>46198</v>
      </c>
    </row>
    <row r="10298" spans="1:6" x14ac:dyDescent="0.3">
      <c r="A10298" s="15" t="s">
        <v>33499</v>
      </c>
      <c r="B10298" s="15" t="s">
        <v>795</v>
      </c>
      <c r="C10298" s="15" t="s">
        <v>795</v>
      </c>
      <c r="D10298" s="15" t="s">
        <v>795</v>
      </c>
      <c r="F10298" s="42"/>
    </row>
    <row r="10299" spans="1:6" x14ac:dyDescent="0.3">
      <c r="A10299" s="15" t="s">
        <v>37073</v>
      </c>
      <c r="B10299" s="15" t="s">
        <v>795</v>
      </c>
      <c r="C10299" s="15" t="s">
        <v>795</v>
      </c>
      <c r="D10299" s="15" t="s">
        <v>795</v>
      </c>
      <c r="F10299" s="42"/>
    </row>
    <row r="10300" spans="1:6" x14ac:dyDescent="0.3">
      <c r="A10300" s="15" t="s">
        <v>33499</v>
      </c>
      <c r="B10300" s="15" t="s">
        <v>795</v>
      </c>
      <c r="C10300" s="15" t="s">
        <v>795</v>
      </c>
      <c r="D10300" s="15" t="s">
        <v>795</v>
      </c>
      <c r="F10300" s="42"/>
    </row>
    <row r="10301" spans="1:6" x14ac:dyDescent="0.3">
      <c r="A10301" s="15" t="s">
        <v>39415</v>
      </c>
      <c r="B10301" s="15" t="s">
        <v>18769</v>
      </c>
      <c r="C10301" s="15" t="s">
        <v>800</v>
      </c>
      <c r="D10301" s="15" t="s">
        <v>18770</v>
      </c>
      <c r="E10301" s="15">
        <v>20.379000000000001</v>
      </c>
      <c r="F10301" s="42">
        <v>46198</v>
      </c>
    </row>
    <row r="10302" spans="1:6" x14ac:dyDescent="0.3">
      <c r="A10302" s="15" t="s">
        <v>39414</v>
      </c>
      <c r="B10302" s="15" t="s">
        <v>18771</v>
      </c>
      <c r="C10302" s="15" t="s">
        <v>800</v>
      </c>
      <c r="D10302" s="15" t="s">
        <v>18772</v>
      </c>
      <c r="E10302" s="15">
        <v>19.382999999999999</v>
      </c>
      <c r="F10302" s="42">
        <v>46198</v>
      </c>
    </row>
    <row r="10303" spans="1:6" x14ac:dyDescent="0.3">
      <c r="A10303" s="15" t="s">
        <v>39413</v>
      </c>
      <c r="B10303" s="15" t="s">
        <v>18773</v>
      </c>
      <c r="C10303" s="15" t="s">
        <v>800</v>
      </c>
      <c r="D10303" s="15" t="s">
        <v>18774</v>
      </c>
      <c r="E10303" s="15">
        <v>20.379000000000001</v>
      </c>
      <c r="F10303" s="42">
        <v>46198</v>
      </c>
    </row>
    <row r="10304" spans="1:6" x14ac:dyDescent="0.3">
      <c r="A10304" s="15" t="s">
        <v>39412</v>
      </c>
      <c r="B10304" s="15" t="s">
        <v>18775</v>
      </c>
      <c r="C10304" s="15" t="s">
        <v>800</v>
      </c>
      <c r="D10304" s="15" t="s">
        <v>18776</v>
      </c>
      <c r="E10304" s="15">
        <v>19.382999999999999</v>
      </c>
      <c r="F10304" s="42">
        <v>46198</v>
      </c>
    </row>
    <row r="10305" spans="1:6" x14ac:dyDescent="0.3">
      <c r="A10305" s="15" t="s">
        <v>39411</v>
      </c>
      <c r="B10305" s="15" t="s">
        <v>18777</v>
      </c>
      <c r="C10305" s="15" t="s">
        <v>800</v>
      </c>
      <c r="D10305" s="15" t="s">
        <v>18778</v>
      </c>
      <c r="E10305" s="15">
        <v>13.198499999999999</v>
      </c>
      <c r="F10305" s="42">
        <v>46198</v>
      </c>
    </row>
    <row r="10306" spans="1:6" x14ac:dyDescent="0.3">
      <c r="A10306" s="15" t="s">
        <v>39410</v>
      </c>
      <c r="B10306" s="15" t="s">
        <v>18779</v>
      </c>
      <c r="C10306" s="15" t="s">
        <v>18780</v>
      </c>
      <c r="D10306" s="15" t="s">
        <v>18781</v>
      </c>
      <c r="E10306" s="15">
        <v>13.198499999999999</v>
      </c>
      <c r="F10306" s="42">
        <v>46198</v>
      </c>
    </row>
    <row r="10307" spans="1:6" x14ac:dyDescent="0.3">
      <c r="A10307" s="15" t="s">
        <v>39409</v>
      </c>
      <c r="B10307" s="15" t="s">
        <v>18782</v>
      </c>
      <c r="C10307" s="15" t="s">
        <v>800</v>
      </c>
      <c r="D10307" s="15" t="s">
        <v>18783</v>
      </c>
      <c r="E10307" s="15">
        <v>13.1731</v>
      </c>
      <c r="F10307" s="42">
        <v>46198</v>
      </c>
    </row>
    <row r="10308" spans="1:6" x14ac:dyDescent="0.3">
      <c r="A10308" s="15" t="s">
        <v>39408</v>
      </c>
      <c r="B10308" s="15" t="s">
        <v>18784</v>
      </c>
      <c r="C10308" s="15" t="s">
        <v>18785</v>
      </c>
      <c r="D10308" s="15" t="s">
        <v>18786</v>
      </c>
      <c r="E10308" s="15">
        <v>13.1731</v>
      </c>
      <c r="F10308" s="42">
        <v>46198</v>
      </c>
    </row>
    <row r="10309" spans="1:6" x14ac:dyDescent="0.3">
      <c r="A10309" s="15" t="s">
        <v>33499</v>
      </c>
      <c r="B10309" s="15" t="s">
        <v>795</v>
      </c>
      <c r="C10309" s="15" t="s">
        <v>795</v>
      </c>
      <c r="D10309" s="15" t="s">
        <v>795</v>
      </c>
      <c r="F10309" s="42"/>
    </row>
    <row r="10310" spans="1:6" x14ac:dyDescent="0.3">
      <c r="A10310" s="15" t="s">
        <v>37566</v>
      </c>
      <c r="B10310" s="15" t="s">
        <v>795</v>
      </c>
      <c r="C10310" s="15" t="s">
        <v>795</v>
      </c>
      <c r="D10310" s="15" t="s">
        <v>795</v>
      </c>
      <c r="F10310" s="42"/>
    </row>
    <row r="10311" spans="1:6" x14ac:dyDescent="0.3">
      <c r="A10311" s="15" t="s">
        <v>33499</v>
      </c>
      <c r="B10311" s="15" t="s">
        <v>795</v>
      </c>
      <c r="C10311" s="15" t="s">
        <v>795</v>
      </c>
      <c r="D10311" s="15" t="s">
        <v>795</v>
      </c>
      <c r="F10311" s="42"/>
    </row>
    <row r="10312" spans="1:6" x14ac:dyDescent="0.3">
      <c r="A10312" s="15" t="s">
        <v>39407</v>
      </c>
      <c r="B10312" s="15" t="s">
        <v>18787</v>
      </c>
      <c r="C10312" s="15" t="s">
        <v>800</v>
      </c>
      <c r="D10312" s="15" t="s">
        <v>18788</v>
      </c>
      <c r="E10312" s="15">
        <v>16.601099999999999</v>
      </c>
      <c r="F10312" s="42">
        <v>46198</v>
      </c>
    </row>
    <row r="10313" spans="1:6" x14ac:dyDescent="0.3">
      <c r="A10313" s="15" t="s">
        <v>39406</v>
      </c>
      <c r="B10313" s="15" t="s">
        <v>18789</v>
      </c>
      <c r="C10313" s="15" t="s">
        <v>18790</v>
      </c>
      <c r="D10313" s="15" t="s">
        <v>18791</v>
      </c>
      <c r="E10313" s="15">
        <v>16.601099999999999</v>
      </c>
      <c r="F10313" s="42">
        <v>46198</v>
      </c>
    </row>
    <row r="10314" spans="1:6" x14ac:dyDescent="0.3">
      <c r="A10314" s="15" t="s">
        <v>39405</v>
      </c>
      <c r="B10314" s="15" t="s">
        <v>18792</v>
      </c>
      <c r="C10314" s="15" t="s">
        <v>18793</v>
      </c>
      <c r="D10314" s="15" t="s">
        <v>18794</v>
      </c>
      <c r="E10314" s="15">
        <v>15.7218</v>
      </c>
      <c r="F10314" s="42">
        <v>46198</v>
      </c>
    </row>
    <row r="10315" spans="1:6" x14ac:dyDescent="0.3">
      <c r="A10315" s="15" t="s">
        <v>39404</v>
      </c>
      <c r="B10315" s="15" t="s">
        <v>18795</v>
      </c>
      <c r="C10315" s="15" t="s">
        <v>800</v>
      </c>
      <c r="D10315" s="15" t="s">
        <v>18796</v>
      </c>
      <c r="E10315" s="15">
        <v>15.7218</v>
      </c>
      <c r="F10315" s="42">
        <v>46198</v>
      </c>
    </row>
    <row r="10316" spans="1:6" x14ac:dyDescent="0.3">
      <c r="A10316" s="15" t="s">
        <v>33499</v>
      </c>
      <c r="B10316" s="15" t="s">
        <v>795</v>
      </c>
      <c r="C10316" s="15" t="s">
        <v>795</v>
      </c>
      <c r="D10316" s="15" t="s">
        <v>795</v>
      </c>
      <c r="F10316" s="42"/>
    </row>
    <row r="10317" spans="1:6" x14ac:dyDescent="0.3">
      <c r="A10317" s="15" t="s">
        <v>37061</v>
      </c>
      <c r="B10317" s="15" t="s">
        <v>795</v>
      </c>
      <c r="C10317" s="15" t="s">
        <v>795</v>
      </c>
      <c r="D10317" s="15" t="s">
        <v>795</v>
      </c>
      <c r="F10317" s="42"/>
    </row>
    <row r="10318" spans="1:6" x14ac:dyDescent="0.3">
      <c r="A10318" s="15" t="s">
        <v>33499</v>
      </c>
      <c r="B10318" s="15" t="s">
        <v>795</v>
      </c>
      <c r="C10318" s="15" t="s">
        <v>795</v>
      </c>
      <c r="D10318" s="15" t="s">
        <v>795</v>
      </c>
      <c r="F10318" s="42"/>
    </row>
    <row r="10319" spans="1:6" x14ac:dyDescent="0.3">
      <c r="A10319" s="15" t="s">
        <v>39403</v>
      </c>
      <c r="B10319" s="15" t="s">
        <v>18797</v>
      </c>
      <c r="C10319" s="15" t="s">
        <v>18798</v>
      </c>
      <c r="D10319" s="15" t="s">
        <v>18799</v>
      </c>
      <c r="E10319" s="15">
        <v>22.0397</v>
      </c>
      <c r="F10319" s="42">
        <v>46198</v>
      </c>
    </row>
    <row r="10320" spans="1:6" x14ac:dyDescent="0.3">
      <c r="A10320" s="15" t="s">
        <v>39402</v>
      </c>
      <c r="B10320" s="15" t="s">
        <v>18800</v>
      </c>
      <c r="C10320" s="15" t="s">
        <v>800</v>
      </c>
      <c r="D10320" s="15" t="s">
        <v>18801</v>
      </c>
      <c r="E10320" s="15">
        <v>29.841799999999999</v>
      </c>
      <c r="F10320" s="42">
        <v>46198</v>
      </c>
    </row>
    <row r="10321" spans="1:6" x14ac:dyDescent="0.3">
      <c r="A10321" s="15" t="s">
        <v>39401</v>
      </c>
      <c r="B10321" s="15" t="s">
        <v>18802</v>
      </c>
      <c r="C10321" s="15" t="s">
        <v>18803</v>
      </c>
      <c r="D10321" s="15" t="s">
        <v>18804</v>
      </c>
      <c r="E10321" s="15">
        <v>20.749300000000002</v>
      </c>
      <c r="F10321" s="42">
        <v>46198</v>
      </c>
    </row>
    <row r="10322" spans="1:6" x14ac:dyDescent="0.3">
      <c r="A10322" s="15" t="s">
        <v>39400</v>
      </c>
      <c r="B10322" s="15" t="s">
        <v>18805</v>
      </c>
      <c r="C10322" s="15" t="s">
        <v>800</v>
      </c>
      <c r="D10322" s="15" t="s">
        <v>18806</v>
      </c>
      <c r="E10322" s="15">
        <v>31.593399999999999</v>
      </c>
      <c r="F10322" s="42">
        <v>46198</v>
      </c>
    </row>
    <row r="10323" spans="1:6" x14ac:dyDescent="0.3">
      <c r="A10323" s="15" t="s">
        <v>39399</v>
      </c>
      <c r="B10323" s="15" t="s">
        <v>18807</v>
      </c>
      <c r="C10323" s="15" t="s">
        <v>800</v>
      </c>
      <c r="D10323" s="15" t="s">
        <v>18808</v>
      </c>
      <c r="E10323" s="15">
        <v>22.109000000000002</v>
      </c>
      <c r="F10323" s="42">
        <v>46198</v>
      </c>
    </row>
    <row r="10324" spans="1:6" x14ac:dyDescent="0.3">
      <c r="A10324" s="15" t="s">
        <v>39398</v>
      </c>
      <c r="B10324" s="15" t="s">
        <v>18809</v>
      </c>
      <c r="C10324" s="15" t="s">
        <v>18810</v>
      </c>
      <c r="D10324" s="15" t="s">
        <v>18811</v>
      </c>
      <c r="E10324" s="15">
        <v>22.109000000000002</v>
      </c>
      <c r="F10324" s="42">
        <v>46198</v>
      </c>
    </row>
    <row r="10325" spans="1:6" x14ac:dyDescent="0.3">
      <c r="A10325" s="15" t="s">
        <v>39397</v>
      </c>
      <c r="B10325" s="15" t="s">
        <v>18812</v>
      </c>
      <c r="C10325" s="15" t="s">
        <v>800</v>
      </c>
      <c r="D10325" s="15" t="s">
        <v>18813</v>
      </c>
      <c r="E10325" s="15">
        <v>21.251200000000001</v>
      </c>
      <c r="F10325" s="42">
        <v>46198</v>
      </c>
    </row>
    <row r="10326" spans="1:6" x14ac:dyDescent="0.3">
      <c r="A10326" s="15" t="s">
        <v>39396</v>
      </c>
      <c r="B10326" s="15" t="s">
        <v>18814</v>
      </c>
      <c r="C10326" s="15" t="s">
        <v>18815</v>
      </c>
      <c r="D10326" s="15" t="s">
        <v>18816</v>
      </c>
      <c r="E10326" s="15">
        <v>21.251200000000001</v>
      </c>
      <c r="F10326" s="42">
        <v>46198</v>
      </c>
    </row>
    <row r="10327" spans="1:6" x14ac:dyDescent="0.3">
      <c r="A10327" s="15" t="s">
        <v>39395</v>
      </c>
      <c r="B10327" s="15" t="s">
        <v>18817</v>
      </c>
      <c r="C10327" s="15" t="s">
        <v>800</v>
      </c>
      <c r="D10327" s="15" t="s">
        <v>18818</v>
      </c>
      <c r="E10327" s="15">
        <v>12.538500000000001</v>
      </c>
      <c r="F10327" s="42">
        <v>46198</v>
      </c>
    </row>
    <row r="10328" spans="1:6" x14ac:dyDescent="0.3">
      <c r="A10328" s="15" t="s">
        <v>39394</v>
      </c>
      <c r="B10328" s="15" t="s">
        <v>18819</v>
      </c>
      <c r="C10328" s="15" t="s">
        <v>18820</v>
      </c>
      <c r="D10328" s="15" t="s">
        <v>18821</v>
      </c>
      <c r="E10328" s="15">
        <v>12.538500000000001</v>
      </c>
      <c r="F10328" s="42">
        <v>46198</v>
      </c>
    </row>
    <row r="10329" spans="1:6" x14ac:dyDescent="0.3">
      <c r="A10329" s="15" t="s">
        <v>39393</v>
      </c>
      <c r="B10329" s="15" t="s">
        <v>18822</v>
      </c>
      <c r="C10329" s="15" t="s">
        <v>800</v>
      </c>
      <c r="D10329" s="15" t="s">
        <v>18823</v>
      </c>
      <c r="E10329" s="15">
        <v>12.5243</v>
      </c>
      <c r="F10329" s="42">
        <v>46198</v>
      </c>
    </row>
    <row r="10330" spans="1:6" x14ac:dyDescent="0.3">
      <c r="A10330" s="15" t="s">
        <v>39392</v>
      </c>
      <c r="B10330" s="15" t="s">
        <v>18824</v>
      </c>
      <c r="C10330" s="15" t="s">
        <v>18825</v>
      </c>
      <c r="D10330" s="15" t="s">
        <v>18826</v>
      </c>
      <c r="E10330" s="15">
        <v>12.5243</v>
      </c>
      <c r="F10330" s="42">
        <v>46198</v>
      </c>
    </row>
    <row r="10331" spans="1:6" x14ac:dyDescent="0.3">
      <c r="A10331" s="15" t="s">
        <v>39391</v>
      </c>
      <c r="B10331" s="15" t="s">
        <v>18827</v>
      </c>
      <c r="C10331" s="15" t="s">
        <v>800</v>
      </c>
      <c r="D10331" s="15" t="s">
        <v>18828</v>
      </c>
      <c r="E10331" s="15">
        <v>101.43989999999999</v>
      </c>
      <c r="F10331" s="42">
        <v>46198</v>
      </c>
    </row>
    <row r="10332" spans="1:6" x14ac:dyDescent="0.3">
      <c r="A10332" s="15" t="s">
        <v>39390</v>
      </c>
      <c r="B10332" s="15" t="s">
        <v>18829</v>
      </c>
      <c r="C10332" s="15" t="s">
        <v>18830</v>
      </c>
      <c r="D10332" s="15" t="s">
        <v>18831</v>
      </c>
      <c r="E10332" s="15">
        <v>80.716499999999996</v>
      </c>
      <c r="F10332" s="42">
        <v>46198</v>
      </c>
    </row>
    <row r="10333" spans="1:6" x14ac:dyDescent="0.3">
      <c r="A10333" s="15" t="s">
        <v>39389</v>
      </c>
      <c r="B10333" s="15" t="s">
        <v>18832</v>
      </c>
      <c r="C10333" s="15" t="s">
        <v>800</v>
      </c>
      <c r="D10333" s="15" t="s">
        <v>18833</v>
      </c>
      <c r="E10333" s="15">
        <v>91.806899999999999</v>
      </c>
      <c r="F10333" s="42">
        <v>46198</v>
      </c>
    </row>
    <row r="10334" spans="1:6" x14ac:dyDescent="0.3">
      <c r="A10334" s="15" t="s">
        <v>39388</v>
      </c>
      <c r="B10334" s="15" t="s">
        <v>18834</v>
      </c>
      <c r="C10334" s="15" t="s">
        <v>18835</v>
      </c>
      <c r="D10334" s="15" t="s">
        <v>18836</v>
      </c>
      <c r="E10334" s="15">
        <v>41.514000000000003</v>
      </c>
      <c r="F10334" s="42">
        <v>46198</v>
      </c>
    </row>
    <row r="10335" spans="1:6" x14ac:dyDescent="0.3">
      <c r="A10335" s="15" t="s">
        <v>39387</v>
      </c>
      <c r="B10335" s="15" t="s">
        <v>18837</v>
      </c>
      <c r="C10335" s="15" t="s">
        <v>800</v>
      </c>
      <c r="D10335" s="15" t="s">
        <v>18838</v>
      </c>
      <c r="E10335" s="15">
        <v>52.914499999999997</v>
      </c>
      <c r="F10335" s="42">
        <v>46198</v>
      </c>
    </row>
    <row r="10336" spans="1:6" x14ac:dyDescent="0.3">
      <c r="A10336" s="15" t="s">
        <v>39386</v>
      </c>
      <c r="B10336" s="15" t="s">
        <v>18839</v>
      </c>
      <c r="C10336" s="15" t="s">
        <v>18840</v>
      </c>
      <c r="D10336" s="15" t="s">
        <v>18841</v>
      </c>
      <c r="E10336" s="15">
        <v>31.673400000000001</v>
      </c>
      <c r="F10336" s="42">
        <v>46198</v>
      </c>
    </row>
    <row r="10337" spans="1:6" x14ac:dyDescent="0.3">
      <c r="A10337" s="15" t="s">
        <v>39385</v>
      </c>
      <c r="B10337" s="15" t="s">
        <v>18842</v>
      </c>
      <c r="C10337" s="15" t="s">
        <v>800</v>
      </c>
      <c r="D10337" s="15" t="s">
        <v>18843</v>
      </c>
      <c r="E10337" s="15">
        <v>49.181699999999999</v>
      </c>
      <c r="F10337" s="42">
        <v>46198</v>
      </c>
    </row>
    <row r="10338" spans="1:6" x14ac:dyDescent="0.3">
      <c r="A10338" s="15" t="s">
        <v>39384</v>
      </c>
      <c r="B10338" s="15" t="s">
        <v>18844</v>
      </c>
      <c r="C10338" s="15" t="s">
        <v>18845</v>
      </c>
      <c r="D10338" s="15" t="s">
        <v>18846</v>
      </c>
      <c r="E10338" s="15">
        <v>29.793199999999999</v>
      </c>
      <c r="F10338" s="42">
        <v>46198</v>
      </c>
    </row>
    <row r="10339" spans="1:6" x14ac:dyDescent="0.3">
      <c r="A10339" s="15" t="s">
        <v>39383</v>
      </c>
      <c r="B10339" s="15" t="s">
        <v>18847</v>
      </c>
      <c r="C10339" s="15" t="s">
        <v>800</v>
      </c>
      <c r="D10339" s="15" t="s">
        <v>18848</v>
      </c>
      <c r="E10339" s="15">
        <v>32.078000000000003</v>
      </c>
      <c r="F10339" s="42">
        <v>46198</v>
      </c>
    </row>
    <row r="10340" spans="1:6" x14ac:dyDescent="0.3">
      <c r="A10340" s="15" t="s">
        <v>39382</v>
      </c>
      <c r="B10340" s="15" t="s">
        <v>18849</v>
      </c>
      <c r="C10340" s="15" t="s">
        <v>18850</v>
      </c>
      <c r="D10340" s="15" t="s">
        <v>18851</v>
      </c>
      <c r="E10340" s="15">
        <v>28.9726</v>
      </c>
      <c r="F10340" s="42">
        <v>46198</v>
      </c>
    </row>
    <row r="10341" spans="1:6" x14ac:dyDescent="0.3">
      <c r="A10341" s="15" t="s">
        <v>39381</v>
      </c>
      <c r="B10341" s="15" t="s">
        <v>18852</v>
      </c>
      <c r="C10341" s="15" t="s">
        <v>800</v>
      </c>
      <c r="D10341" s="15" t="s">
        <v>18853</v>
      </c>
      <c r="E10341" s="15">
        <v>29.6249</v>
      </c>
      <c r="F10341" s="42">
        <v>46198</v>
      </c>
    </row>
    <row r="10342" spans="1:6" x14ac:dyDescent="0.3">
      <c r="A10342" s="15" t="s">
        <v>39380</v>
      </c>
      <c r="B10342" s="15" t="s">
        <v>18854</v>
      </c>
      <c r="C10342" s="15" t="s">
        <v>18855</v>
      </c>
      <c r="D10342" s="15" t="s">
        <v>18856</v>
      </c>
      <c r="E10342" s="15">
        <v>26.8003</v>
      </c>
      <c r="F10342" s="42">
        <v>46198</v>
      </c>
    </row>
    <row r="10343" spans="1:6" x14ac:dyDescent="0.3">
      <c r="A10343" s="15" t="s">
        <v>33499</v>
      </c>
      <c r="B10343" s="15" t="s">
        <v>795</v>
      </c>
      <c r="C10343" s="15" t="s">
        <v>795</v>
      </c>
      <c r="D10343" s="15" t="s">
        <v>795</v>
      </c>
      <c r="F10343" s="42"/>
    </row>
    <row r="10344" spans="1:6" x14ac:dyDescent="0.3">
      <c r="A10344" s="15" t="s">
        <v>37895</v>
      </c>
      <c r="B10344" s="15" t="s">
        <v>795</v>
      </c>
      <c r="C10344" s="15" t="s">
        <v>795</v>
      </c>
      <c r="D10344" s="15" t="s">
        <v>795</v>
      </c>
      <c r="F10344" s="42"/>
    </row>
    <row r="10345" spans="1:6" x14ac:dyDescent="0.3">
      <c r="A10345" s="15" t="s">
        <v>33499</v>
      </c>
      <c r="B10345" s="15" t="s">
        <v>795</v>
      </c>
      <c r="C10345" s="15" t="s">
        <v>795</v>
      </c>
      <c r="D10345" s="15" t="s">
        <v>795</v>
      </c>
      <c r="F10345" s="42"/>
    </row>
    <row r="10346" spans="1:6" x14ac:dyDescent="0.3">
      <c r="A10346" s="15" t="s">
        <v>39379</v>
      </c>
      <c r="B10346" s="15" t="s">
        <v>18857</v>
      </c>
      <c r="C10346" s="15" t="s">
        <v>800</v>
      </c>
      <c r="D10346" s="15" t="s">
        <v>18858</v>
      </c>
      <c r="E10346" s="15">
        <v>39.551000000000002</v>
      </c>
      <c r="F10346" s="42">
        <v>46198</v>
      </c>
    </row>
    <row r="10347" spans="1:6" x14ac:dyDescent="0.3">
      <c r="A10347" s="15" t="s">
        <v>39378</v>
      </c>
      <c r="B10347" s="15" t="s">
        <v>18859</v>
      </c>
      <c r="C10347" s="15" t="s">
        <v>800</v>
      </c>
      <c r="D10347" s="15" t="s">
        <v>18860</v>
      </c>
      <c r="E10347" s="15">
        <v>35.192</v>
      </c>
      <c r="F10347" s="42">
        <v>46198</v>
      </c>
    </row>
    <row r="10348" spans="1:6" x14ac:dyDescent="0.3">
      <c r="A10348" s="15" t="s">
        <v>39377</v>
      </c>
      <c r="B10348" s="15" t="s">
        <v>18861</v>
      </c>
      <c r="C10348" s="15" t="s">
        <v>800</v>
      </c>
      <c r="D10348" s="15" t="s">
        <v>18862</v>
      </c>
      <c r="E10348" s="15">
        <v>31.284700000000001</v>
      </c>
      <c r="F10348" s="42">
        <v>46198</v>
      </c>
    </row>
    <row r="10349" spans="1:6" x14ac:dyDescent="0.3">
      <c r="A10349" s="15" t="s">
        <v>39376</v>
      </c>
      <c r="B10349" s="15" t="s">
        <v>18863</v>
      </c>
      <c r="C10349" s="15" t="s">
        <v>800</v>
      </c>
      <c r="D10349" s="15" t="s">
        <v>18864</v>
      </c>
      <c r="E10349" s="15">
        <v>28.5641</v>
      </c>
      <c r="F10349" s="42">
        <v>46198</v>
      </c>
    </row>
    <row r="10350" spans="1:6" x14ac:dyDescent="0.3">
      <c r="A10350" s="15" t="s">
        <v>39375</v>
      </c>
      <c r="B10350" s="15" t="s">
        <v>18865</v>
      </c>
      <c r="C10350" s="15" t="s">
        <v>800</v>
      </c>
      <c r="D10350" s="15" t="s">
        <v>18866</v>
      </c>
      <c r="E10350" s="15">
        <v>33.621000000000002</v>
      </c>
      <c r="F10350" s="42">
        <v>46198</v>
      </c>
    </row>
    <row r="10351" spans="1:6" x14ac:dyDescent="0.3">
      <c r="A10351" s="15" t="s">
        <v>39374</v>
      </c>
      <c r="B10351" s="15" t="s">
        <v>18867</v>
      </c>
      <c r="C10351" s="15" t="s">
        <v>800</v>
      </c>
      <c r="D10351" s="15" t="s">
        <v>18868</v>
      </c>
      <c r="E10351" s="15">
        <v>30.2378</v>
      </c>
      <c r="F10351" s="42">
        <v>46198</v>
      </c>
    </row>
    <row r="10352" spans="1:6" x14ac:dyDescent="0.3">
      <c r="A10352" s="15" t="s">
        <v>39373</v>
      </c>
      <c r="B10352" s="15" t="s">
        <v>18869</v>
      </c>
      <c r="C10352" s="15" t="s">
        <v>800</v>
      </c>
      <c r="D10352" s="15" t="s">
        <v>18870</v>
      </c>
      <c r="E10352" s="15">
        <v>72.200999999999993</v>
      </c>
      <c r="F10352" s="42">
        <v>46198</v>
      </c>
    </row>
    <row r="10353" spans="1:6" x14ac:dyDescent="0.3">
      <c r="A10353" s="15" t="s">
        <v>39372</v>
      </c>
      <c r="B10353" s="15" t="s">
        <v>18871</v>
      </c>
      <c r="C10353" s="15" t="s">
        <v>800</v>
      </c>
      <c r="D10353" s="15" t="s">
        <v>18872</v>
      </c>
      <c r="E10353" s="15">
        <v>63.722999999999999</v>
      </c>
      <c r="F10353" s="42">
        <v>46198</v>
      </c>
    </row>
    <row r="10354" spans="1:6" x14ac:dyDescent="0.3">
      <c r="A10354" s="15" t="s">
        <v>39371</v>
      </c>
      <c r="B10354" s="15" t="s">
        <v>18873</v>
      </c>
      <c r="C10354" s="15" t="s">
        <v>800</v>
      </c>
      <c r="D10354" s="15" t="s">
        <v>18874</v>
      </c>
      <c r="E10354" s="15">
        <v>40.827100000000002</v>
      </c>
      <c r="F10354" s="42">
        <v>46198</v>
      </c>
    </row>
    <row r="10355" spans="1:6" x14ac:dyDescent="0.3">
      <c r="A10355" s="15" t="s">
        <v>39370</v>
      </c>
      <c r="B10355" s="15" t="s">
        <v>18875</v>
      </c>
      <c r="C10355" s="15" t="s">
        <v>800</v>
      </c>
      <c r="D10355" s="15" t="s">
        <v>18876</v>
      </c>
      <c r="E10355" s="15">
        <v>38.451799999999999</v>
      </c>
      <c r="F10355" s="42">
        <v>46198</v>
      </c>
    </row>
    <row r="10356" spans="1:6" x14ac:dyDescent="0.3">
      <c r="A10356" s="15" t="s">
        <v>39369</v>
      </c>
      <c r="B10356" s="15" t="s">
        <v>18877</v>
      </c>
      <c r="C10356" s="15" t="s">
        <v>800</v>
      </c>
      <c r="D10356" s="15" t="s">
        <v>18878</v>
      </c>
      <c r="E10356" s="15">
        <v>47.409199999999998</v>
      </c>
      <c r="F10356" s="42">
        <v>46198</v>
      </c>
    </row>
    <row r="10357" spans="1:6" x14ac:dyDescent="0.3">
      <c r="A10357" s="15" t="s">
        <v>39368</v>
      </c>
      <c r="B10357" s="15" t="s">
        <v>18879</v>
      </c>
      <c r="C10357" s="15" t="s">
        <v>800</v>
      </c>
      <c r="D10357" s="15" t="s">
        <v>18880</v>
      </c>
      <c r="E10357" s="15">
        <v>42.524099999999997</v>
      </c>
      <c r="F10357" s="42">
        <v>46198</v>
      </c>
    </row>
    <row r="10358" spans="1:6" x14ac:dyDescent="0.3">
      <c r="A10358" s="15" t="s">
        <v>33499</v>
      </c>
      <c r="B10358" s="15" t="s">
        <v>795</v>
      </c>
      <c r="C10358" s="15" t="s">
        <v>795</v>
      </c>
      <c r="D10358" s="15" t="s">
        <v>795</v>
      </c>
      <c r="F10358" s="42"/>
    </row>
    <row r="10359" spans="1:6" x14ac:dyDescent="0.3">
      <c r="A10359" s="15" t="s">
        <v>37044</v>
      </c>
      <c r="B10359" s="15" t="s">
        <v>795</v>
      </c>
      <c r="C10359" s="15" t="s">
        <v>795</v>
      </c>
      <c r="D10359" s="15" t="s">
        <v>795</v>
      </c>
      <c r="F10359" s="42"/>
    </row>
    <row r="10360" spans="1:6" x14ac:dyDescent="0.3">
      <c r="A10360" s="15" t="s">
        <v>33499</v>
      </c>
      <c r="B10360" s="15" t="s">
        <v>795</v>
      </c>
      <c r="C10360" s="15" t="s">
        <v>795</v>
      </c>
      <c r="D10360" s="15" t="s">
        <v>795</v>
      </c>
      <c r="F10360" s="42"/>
    </row>
    <row r="10361" spans="1:6" x14ac:dyDescent="0.3">
      <c r="A10361" s="15" t="s">
        <v>39367</v>
      </c>
      <c r="B10361" s="15" t="s">
        <v>18881</v>
      </c>
      <c r="C10361" s="15" t="s">
        <v>800</v>
      </c>
      <c r="D10361" s="15" t="s">
        <v>18882</v>
      </c>
      <c r="E10361" s="15">
        <v>102.67659999999999</v>
      </c>
      <c r="F10361" s="42">
        <v>46198</v>
      </c>
    </row>
    <row r="10362" spans="1:6" x14ac:dyDescent="0.3">
      <c r="A10362" s="15" t="s">
        <v>39366</v>
      </c>
      <c r="B10362" s="15" t="s">
        <v>18883</v>
      </c>
      <c r="C10362" s="15" t="s">
        <v>18884</v>
      </c>
      <c r="D10362" s="15" t="s">
        <v>18885</v>
      </c>
      <c r="E10362" s="15">
        <v>102.67659999999999</v>
      </c>
      <c r="F10362" s="42">
        <v>46198</v>
      </c>
    </row>
    <row r="10363" spans="1:6" x14ac:dyDescent="0.3">
      <c r="A10363" s="15" t="s">
        <v>39365</v>
      </c>
      <c r="B10363" s="15" t="s">
        <v>18886</v>
      </c>
      <c r="C10363" s="15" t="s">
        <v>800</v>
      </c>
      <c r="D10363" s="15" t="s">
        <v>18887</v>
      </c>
      <c r="E10363" s="15">
        <v>90.081999999999994</v>
      </c>
      <c r="F10363" s="42">
        <v>46198</v>
      </c>
    </row>
    <row r="10364" spans="1:6" x14ac:dyDescent="0.3">
      <c r="A10364" s="15" t="s">
        <v>39364</v>
      </c>
      <c r="B10364" s="15" t="s">
        <v>18888</v>
      </c>
      <c r="C10364" s="15" t="s">
        <v>18889</v>
      </c>
      <c r="D10364" s="15" t="s">
        <v>18890</v>
      </c>
      <c r="E10364" s="15">
        <v>90.081999999999994</v>
      </c>
      <c r="F10364" s="42">
        <v>46198</v>
      </c>
    </row>
    <row r="10365" spans="1:6" x14ac:dyDescent="0.3">
      <c r="A10365" s="15" t="s">
        <v>33499</v>
      </c>
      <c r="B10365" s="15" t="s">
        <v>795</v>
      </c>
      <c r="C10365" s="15" t="s">
        <v>795</v>
      </c>
      <c r="D10365" s="15" t="s">
        <v>795</v>
      </c>
      <c r="F10365" s="42"/>
    </row>
    <row r="10366" spans="1:6" x14ac:dyDescent="0.3">
      <c r="A10366" s="15" t="s">
        <v>37043</v>
      </c>
      <c r="B10366" s="15" t="s">
        <v>795</v>
      </c>
      <c r="C10366" s="15" t="s">
        <v>795</v>
      </c>
      <c r="D10366" s="15" t="s">
        <v>795</v>
      </c>
      <c r="F10366" s="42"/>
    </row>
    <row r="10367" spans="1:6" x14ac:dyDescent="0.3">
      <c r="A10367" s="15" t="s">
        <v>33499</v>
      </c>
      <c r="B10367" s="15" t="s">
        <v>795</v>
      </c>
      <c r="C10367" s="15" t="s">
        <v>795</v>
      </c>
      <c r="D10367" s="15" t="s">
        <v>795</v>
      </c>
      <c r="F10367" s="42"/>
    </row>
    <row r="10368" spans="1:6" x14ac:dyDescent="0.3">
      <c r="A10368" s="15" t="s">
        <v>39363</v>
      </c>
      <c r="B10368" s="15" t="s">
        <v>18891</v>
      </c>
      <c r="C10368" s="15" t="s">
        <v>800</v>
      </c>
      <c r="D10368" s="15" t="s">
        <v>18892</v>
      </c>
      <c r="E10368" s="15">
        <v>21.053999999999998</v>
      </c>
      <c r="F10368" s="42">
        <v>46197</v>
      </c>
    </row>
    <row r="10369" spans="1:6" x14ac:dyDescent="0.3">
      <c r="A10369" s="15" t="s">
        <v>39362</v>
      </c>
      <c r="B10369" s="15" t="s">
        <v>18893</v>
      </c>
      <c r="C10369" s="15" t="s">
        <v>800</v>
      </c>
      <c r="D10369" s="15" t="s">
        <v>18894</v>
      </c>
      <c r="E10369" s="15">
        <v>20.597000000000001</v>
      </c>
      <c r="F10369" s="42">
        <v>46197</v>
      </c>
    </row>
    <row r="10370" spans="1:6" x14ac:dyDescent="0.3">
      <c r="A10370" s="15" t="s">
        <v>33499</v>
      </c>
      <c r="B10370" s="15" t="s">
        <v>795</v>
      </c>
      <c r="C10370" s="15" t="s">
        <v>795</v>
      </c>
      <c r="D10370" s="15" t="s">
        <v>795</v>
      </c>
      <c r="F10370" s="42"/>
    </row>
    <row r="10371" spans="1:6" x14ac:dyDescent="0.3">
      <c r="A10371" s="15" t="s">
        <v>36815</v>
      </c>
      <c r="B10371" s="15" t="s">
        <v>795</v>
      </c>
      <c r="C10371" s="15" t="s">
        <v>795</v>
      </c>
      <c r="D10371" s="15" t="s">
        <v>795</v>
      </c>
      <c r="F10371" s="42"/>
    </row>
    <row r="10372" spans="1:6" x14ac:dyDescent="0.3">
      <c r="A10372" s="15" t="s">
        <v>33499</v>
      </c>
      <c r="B10372" s="15" t="s">
        <v>795</v>
      </c>
      <c r="C10372" s="15" t="s">
        <v>795</v>
      </c>
      <c r="D10372" s="15" t="s">
        <v>795</v>
      </c>
      <c r="F10372" s="42"/>
    </row>
    <row r="10373" spans="1:6" x14ac:dyDescent="0.3">
      <c r="A10373" s="15" t="s">
        <v>39361</v>
      </c>
      <c r="B10373" s="15" t="s">
        <v>18895</v>
      </c>
      <c r="C10373" s="15" t="s">
        <v>800</v>
      </c>
      <c r="D10373" s="15" t="s">
        <v>18896</v>
      </c>
      <c r="E10373" s="15">
        <v>36.421599999999998</v>
      </c>
      <c r="F10373" s="42">
        <v>46198</v>
      </c>
    </row>
    <row r="10374" spans="1:6" x14ac:dyDescent="0.3">
      <c r="A10374" s="15" t="s">
        <v>39360</v>
      </c>
      <c r="B10374" s="15" t="s">
        <v>18897</v>
      </c>
      <c r="C10374" s="15" t="s">
        <v>800</v>
      </c>
      <c r="D10374" s="15" t="s">
        <v>18898</v>
      </c>
      <c r="E10374" s="15">
        <v>39.485500000000002</v>
      </c>
      <c r="F10374" s="42">
        <v>46198</v>
      </c>
    </row>
    <row r="10375" spans="1:6" x14ac:dyDescent="0.3">
      <c r="A10375" s="15" t="s">
        <v>39359</v>
      </c>
      <c r="B10375" s="15" t="s">
        <v>18899</v>
      </c>
      <c r="C10375" s="15" t="s">
        <v>18900</v>
      </c>
      <c r="D10375" s="15" t="s">
        <v>18901</v>
      </c>
      <c r="E10375" s="15">
        <v>25.607199999999999</v>
      </c>
      <c r="F10375" s="42">
        <v>46198</v>
      </c>
    </row>
    <row r="10376" spans="1:6" x14ac:dyDescent="0.3">
      <c r="A10376" s="15" t="s">
        <v>39358</v>
      </c>
      <c r="B10376" s="15" t="s">
        <v>18902</v>
      </c>
      <c r="C10376" s="15" t="s">
        <v>18903</v>
      </c>
      <c r="D10376" s="15" t="s">
        <v>18904</v>
      </c>
      <c r="E10376" s="15">
        <v>25.630500000000001</v>
      </c>
      <c r="F10376" s="42">
        <v>46198</v>
      </c>
    </row>
    <row r="10377" spans="1:6" x14ac:dyDescent="0.3">
      <c r="A10377" s="15" t="s">
        <v>39357</v>
      </c>
      <c r="B10377" s="15" t="s">
        <v>18905</v>
      </c>
      <c r="C10377" s="15" t="s">
        <v>800</v>
      </c>
      <c r="D10377" s="15" t="s">
        <v>18906</v>
      </c>
      <c r="E10377" s="15">
        <v>10.880699999999999</v>
      </c>
      <c r="F10377" s="42">
        <v>46198</v>
      </c>
    </row>
    <row r="10378" spans="1:6" x14ac:dyDescent="0.3">
      <c r="A10378" s="15" t="s">
        <v>39356</v>
      </c>
      <c r="B10378" s="15" t="s">
        <v>18907</v>
      </c>
      <c r="C10378" s="15" t="s">
        <v>18908</v>
      </c>
      <c r="D10378" s="15" t="s">
        <v>18909</v>
      </c>
      <c r="E10378" s="15">
        <v>9.8989999999999991</v>
      </c>
      <c r="F10378" s="42">
        <v>46198</v>
      </c>
    </row>
    <row r="10379" spans="1:6" x14ac:dyDescent="0.3">
      <c r="A10379" s="15" t="s">
        <v>39355</v>
      </c>
      <c r="B10379" s="15" t="s">
        <v>18910</v>
      </c>
      <c r="C10379" s="15" t="s">
        <v>18911</v>
      </c>
      <c r="D10379" s="15" t="s">
        <v>18912</v>
      </c>
      <c r="E10379" s="15">
        <v>10.8713</v>
      </c>
      <c r="F10379" s="42">
        <v>46198</v>
      </c>
    </row>
    <row r="10380" spans="1:6" x14ac:dyDescent="0.3">
      <c r="A10380" s="15" t="s">
        <v>39354</v>
      </c>
      <c r="B10380" s="15" t="s">
        <v>18913</v>
      </c>
      <c r="C10380" s="15" t="s">
        <v>800</v>
      </c>
      <c r="D10380" s="15" t="s">
        <v>18914</v>
      </c>
      <c r="E10380" s="15">
        <v>9.8991000000000007</v>
      </c>
      <c r="F10380" s="42">
        <v>46198</v>
      </c>
    </row>
    <row r="10381" spans="1:6" x14ac:dyDescent="0.3">
      <c r="A10381" s="15" t="s">
        <v>39353</v>
      </c>
      <c r="B10381" s="15" t="s">
        <v>18915</v>
      </c>
      <c r="C10381" s="15" t="s">
        <v>800</v>
      </c>
      <c r="D10381" s="15" t="s">
        <v>18916</v>
      </c>
      <c r="E10381" s="15">
        <v>39.378399999999999</v>
      </c>
      <c r="F10381" s="42">
        <v>46198</v>
      </c>
    </row>
    <row r="10382" spans="1:6" x14ac:dyDescent="0.3">
      <c r="A10382" s="15" t="s">
        <v>39352</v>
      </c>
      <c r="B10382" s="15" t="s">
        <v>18917</v>
      </c>
      <c r="C10382" s="15" t="s">
        <v>800</v>
      </c>
      <c r="D10382" s="15" t="s">
        <v>18918</v>
      </c>
      <c r="E10382" s="15">
        <v>35.8078</v>
      </c>
      <c r="F10382" s="42">
        <v>46198</v>
      </c>
    </row>
    <row r="10383" spans="1:6" x14ac:dyDescent="0.3">
      <c r="A10383" s="15" t="s">
        <v>39351</v>
      </c>
      <c r="B10383" s="15" t="s">
        <v>18919</v>
      </c>
      <c r="C10383" s="15" t="s">
        <v>18920</v>
      </c>
      <c r="D10383" s="15" t="s">
        <v>18921</v>
      </c>
      <c r="E10383" s="15">
        <v>25.261900000000001</v>
      </c>
      <c r="F10383" s="42">
        <v>46198</v>
      </c>
    </row>
    <row r="10384" spans="1:6" x14ac:dyDescent="0.3">
      <c r="A10384" s="15" t="s">
        <v>39350</v>
      </c>
      <c r="B10384" s="15" t="s">
        <v>18922</v>
      </c>
      <c r="C10384" s="15" t="s">
        <v>18923</v>
      </c>
      <c r="D10384" s="15" t="s">
        <v>18924</v>
      </c>
      <c r="E10384" s="15">
        <v>31.046500000000002</v>
      </c>
      <c r="F10384" s="42">
        <v>46198</v>
      </c>
    </row>
    <row r="10385" spans="1:6" x14ac:dyDescent="0.3">
      <c r="A10385" s="15" t="s">
        <v>33499</v>
      </c>
      <c r="B10385" s="15" t="s">
        <v>795</v>
      </c>
      <c r="C10385" s="15" t="s">
        <v>795</v>
      </c>
      <c r="D10385" s="15" t="s">
        <v>795</v>
      </c>
      <c r="F10385" s="42"/>
    </row>
    <row r="10386" spans="1:6" x14ac:dyDescent="0.3">
      <c r="A10386" s="15" t="s">
        <v>36764</v>
      </c>
      <c r="B10386" s="15" t="s">
        <v>795</v>
      </c>
      <c r="C10386" s="15" t="s">
        <v>795</v>
      </c>
      <c r="D10386" s="15" t="s">
        <v>795</v>
      </c>
      <c r="F10386" s="42"/>
    </row>
    <row r="10387" spans="1:6" x14ac:dyDescent="0.3">
      <c r="A10387" s="15" t="s">
        <v>33499</v>
      </c>
      <c r="B10387" s="15" t="s">
        <v>795</v>
      </c>
      <c r="C10387" s="15" t="s">
        <v>795</v>
      </c>
      <c r="D10387" s="15" t="s">
        <v>795</v>
      </c>
      <c r="F10387" s="42"/>
    </row>
    <row r="10388" spans="1:6" x14ac:dyDescent="0.3">
      <c r="A10388" s="15" t="s">
        <v>39349</v>
      </c>
      <c r="B10388" s="15" t="s">
        <v>18925</v>
      </c>
      <c r="C10388" s="15" t="s">
        <v>800</v>
      </c>
      <c r="D10388" s="15" t="s">
        <v>18926</v>
      </c>
      <c r="E10388" s="15">
        <v>34.229999999999997</v>
      </c>
      <c r="F10388" s="42">
        <v>46198</v>
      </c>
    </row>
    <row r="10389" spans="1:6" x14ac:dyDescent="0.3">
      <c r="A10389" s="15" t="s">
        <v>39348</v>
      </c>
      <c r="B10389" s="15" t="s">
        <v>18927</v>
      </c>
      <c r="C10389" s="15" t="s">
        <v>18928</v>
      </c>
      <c r="D10389" s="15" t="s">
        <v>18929</v>
      </c>
      <c r="E10389" s="15">
        <v>34.229999999999997</v>
      </c>
      <c r="F10389" s="42">
        <v>46198</v>
      </c>
    </row>
    <row r="10390" spans="1:6" x14ac:dyDescent="0.3">
      <c r="A10390" s="15" t="s">
        <v>39347</v>
      </c>
      <c r="B10390" s="15" t="s">
        <v>18930</v>
      </c>
      <c r="C10390" s="15" t="s">
        <v>800</v>
      </c>
      <c r="D10390" s="15" t="s">
        <v>18931</v>
      </c>
      <c r="E10390" s="15">
        <v>31.53</v>
      </c>
      <c r="F10390" s="42">
        <v>46198</v>
      </c>
    </row>
    <row r="10391" spans="1:6" x14ac:dyDescent="0.3">
      <c r="A10391" s="15" t="s">
        <v>39346</v>
      </c>
      <c r="B10391" s="15" t="s">
        <v>18932</v>
      </c>
      <c r="C10391" s="15" t="s">
        <v>18933</v>
      </c>
      <c r="D10391" s="15" t="s">
        <v>18934</v>
      </c>
      <c r="E10391" s="15">
        <v>31.53</v>
      </c>
      <c r="F10391" s="42">
        <v>46198</v>
      </c>
    </row>
    <row r="10392" spans="1:6" x14ac:dyDescent="0.3">
      <c r="A10392" s="15" t="s">
        <v>39345</v>
      </c>
      <c r="B10392" s="15" t="s">
        <v>18935</v>
      </c>
      <c r="C10392" s="15" t="s">
        <v>800</v>
      </c>
      <c r="D10392" s="15" t="s">
        <v>18936</v>
      </c>
      <c r="E10392" s="15">
        <v>27.404599999999999</v>
      </c>
      <c r="F10392" s="42">
        <v>46198</v>
      </c>
    </row>
    <row r="10393" spans="1:6" x14ac:dyDescent="0.3">
      <c r="A10393" s="15" t="s">
        <v>39344</v>
      </c>
      <c r="B10393" s="15" t="s">
        <v>18937</v>
      </c>
      <c r="C10393" s="15" t="s">
        <v>18938</v>
      </c>
      <c r="D10393" s="15" t="s">
        <v>18939</v>
      </c>
      <c r="E10393" s="15">
        <v>27.4041</v>
      </c>
      <c r="F10393" s="42">
        <v>46198</v>
      </c>
    </row>
    <row r="10394" spans="1:6" x14ac:dyDescent="0.3">
      <c r="A10394" s="15" t="s">
        <v>39343</v>
      </c>
      <c r="B10394" s="15" t="s">
        <v>18940</v>
      </c>
      <c r="C10394" s="15" t="s">
        <v>800</v>
      </c>
      <c r="D10394" s="15" t="s">
        <v>18941</v>
      </c>
      <c r="E10394" s="15">
        <v>26.293700000000001</v>
      </c>
      <c r="F10394" s="42">
        <v>46198</v>
      </c>
    </row>
    <row r="10395" spans="1:6" x14ac:dyDescent="0.3">
      <c r="A10395" s="15" t="s">
        <v>39342</v>
      </c>
      <c r="B10395" s="15" t="s">
        <v>18942</v>
      </c>
      <c r="C10395" s="15" t="s">
        <v>18943</v>
      </c>
      <c r="D10395" s="15" t="s">
        <v>18944</v>
      </c>
      <c r="E10395" s="15">
        <v>26.289000000000001</v>
      </c>
      <c r="F10395" s="42">
        <v>46198</v>
      </c>
    </row>
    <row r="10396" spans="1:6" x14ac:dyDescent="0.3">
      <c r="A10396" s="15" t="s">
        <v>33499</v>
      </c>
      <c r="B10396" s="15" t="s">
        <v>795</v>
      </c>
      <c r="C10396" s="15" t="s">
        <v>795</v>
      </c>
      <c r="D10396" s="15" t="s">
        <v>795</v>
      </c>
      <c r="F10396" s="42"/>
    </row>
    <row r="10397" spans="1:6" x14ac:dyDescent="0.3">
      <c r="A10397" s="15" t="s">
        <v>37807</v>
      </c>
      <c r="B10397" s="15" t="s">
        <v>795</v>
      </c>
      <c r="C10397" s="15" t="s">
        <v>795</v>
      </c>
      <c r="D10397" s="15" t="s">
        <v>795</v>
      </c>
      <c r="F10397" s="42"/>
    </row>
    <row r="10398" spans="1:6" x14ac:dyDescent="0.3">
      <c r="A10398" s="15" t="s">
        <v>33499</v>
      </c>
      <c r="B10398" s="15" t="s">
        <v>795</v>
      </c>
      <c r="C10398" s="15" t="s">
        <v>795</v>
      </c>
      <c r="D10398" s="15" t="s">
        <v>795</v>
      </c>
      <c r="F10398" s="42"/>
    </row>
    <row r="10399" spans="1:6" x14ac:dyDescent="0.3">
      <c r="A10399" s="15" t="s">
        <v>39341</v>
      </c>
      <c r="B10399" s="15" t="s">
        <v>18945</v>
      </c>
      <c r="C10399" s="15" t="s">
        <v>800</v>
      </c>
      <c r="D10399" s="15" t="s">
        <v>18946</v>
      </c>
      <c r="E10399" s="15">
        <v>25.959099999999999</v>
      </c>
      <c r="F10399" s="42">
        <v>46198</v>
      </c>
    </row>
    <row r="10400" spans="1:6" x14ac:dyDescent="0.3">
      <c r="A10400" s="15" t="s">
        <v>39340</v>
      </c>
      <c r="B10400" s="15" t="s">
        <v>18947</v>
      </c>
      <c r="C10400" s="15" t="s">
        <v>800</v>
      </c>
      <c r="D10400" s="15" t="s">
        <v>18948</v>
      </c>
      <c r="E10400" s="15">
        <v>25.702500000000001</v>
      </c>
      <c r="F10400" s="42">
        <v>46198</v>
      </c>
    </row>
    <row r="10401" spans="1:6" x14ac:dyDescent="0.3">
      <c r="A10401" s="15" t="s">
        <v>39339</v>
      </c>
      <c r="B10401" s="15" t="s">
        <v>18949</v>
      </c>
      <c r="C10401" s="15" t="s">
        <v>800</v>
      </c>
      <c r="D10401" s="15" t="s">
        <v>18950</v>
      </c>
      <c r="E10401" s="15">
        <v>14.759600000000001</v>
      </c>
      <c r="F10401" s="42">
        <v>46198</v>
      </c>
    </row>
    <row r="10402" spans="1:6" x14ac:dyDescent="0.3">
      <c r="A10402" s="15" t="s">
        <v>39338</v>
      </c>
      <c r="B10402" s="15" t="s">
        <v>18951</v>
      </c>
      <c r="C10402" s="15" t="s">
        <v>18952</v>
      </c>
      <c r="D10402" s="15" t="s">
        <v>18953</v>
      </c>
      <c r="E10402" s="15">
        <v>14.758699999999999</v>
      </c>
      <c r="F10402" s="42">
        <v>46198</v>
      </c>
    </row>
    <row r="10403" spans="1:6" x14ac:dyDescent="0.3">
      <c r="A10403" s="15" t="s">
        <v>39337</v>
      </c>
      <c r="B10403" s="15" t="s">
        <v>18954</v>
      </c>
      <c r="C10403" s="15" t="s">
        <v>800</v>
      </c>
      <c r="D10403" s="15" t="s">
        <v>18955</v>
      </c>
      <c r="E10403" s="15">
        <v>13.978300000000001</v>
      </c>
      <c r="F10403" s="42">
        <v>46198</v>
      </c>
    </row>
    <row r="10404" spans="1:6" x14ac:dyDescent="0.3">
      <c r="A10404" s="15" t="s">
        <v>39336</v>
      </c>
      <c r="B10404" s="15" t="s">
        <v>18956</v>
      </c>
      <c r="C10404" s="15" t="s">
        <v>18957</v>
      </c>
      <c r="D10404" s="15" t="s">
        <v>18958</v>
      </c>
      <c r="E10404" s="15">
        <v>13.9781</v>
      </c>
      <c r="F10404" s="42">
        <v>46198</v>
      </c>
    </row>
    <row r="10405" spans="1:6" x14ac:dyDescent="0.3">
      <c r="A10405" s="15" t="s">
        <v>39335</v>
      </c>
      <c r="B10405" s="15" t="s">
        <v>18959</v>
      </c>
      <c r="C10405" s="15" t="s">
        <v>800</v>
      </c>
      <c r="D10405" s="15" t="s">
        <v>18960</v>
      </c>
      <c r="E10405" s="15">
        <v>40.630200000000002</v>
      </c>
      <c r="F10405" s="42">
        <v>46198</v>
      </c>
    </row>
    <row r="10406" spans="1:6" x14ac:dyDescent="0.3">
      <c r="A10406" s="15" t="s">
        <v>39334</v>
      </c>
      <c r="B10406" s="15" t="s">
        <v>18961</v>
      </c>
      <c r="C10406" s="15" t="s">
        <v>18962</v>
      </c>
      <c r="D10406" s="15" t="s">
        <v>18963</v>
      </c>
      <c r="E10406" s="15">
        <v>40.137500000000003</v>
      </c>
      <c r="F10406" s="42">
        <v>46198</v>
      </c>
    </row>
    <row r="10407" spans="1:6" x14ac:dyDescent="0.3">
      <c r="A10407" s="15" t="s">
        <v>39333</v>
      </c>
      <c r="B10407" s="15" t="s">
        <v>18964</v>
      </c>
      <c r="C10407" s="15" t="s">
        <v>800</v>
      </c>
      <c r="D10407" s="15" t="s">
        <v>18965</v>
      </c>
      <c r="E10407" s="15">
        <v>36.593000000000004</v>
      </c>
      <c r="F10407" s="42">
        <v>46198</v>
      </c>
    </row>
    <row r="10408" spans="1:6" x14ac:dyDescent="0.3">
      <c r="A10408" s="15" t="s">
        <v>39332</v>
      </c>
      <c r="B10408" s="15" t="s">
        <v>18966</v>
      </c>
      <c r="C10408" s="15" t="s">
        <v>18967</v>
      </c>
      <c r="D10408" s="15" t="s">
        <v>18968</v>
      </c>
      <c r="E10408" s="15">
        <v>36.540700000000001</v>
      </c>
      <c r="F10408" s="42">
        <v>46198</v>
      </c>
    </row>
    <row r="10409" spans="1:6" x14ac:dyDescent="0.3">
      <c r="A10409" s="15" t="s">
        <v>39331</v>
      </c>
      <c r="B10409" s="15" t="s">
        <v>18969</v>
      </c>
      <c r="C10409" s="15" t="s">
        <v>800</v>
      </c>
      <c r="D10409" s="15" t="s">
        <v>18970</v>
      </c>
      <c r="E10409" s="15">
        <v>28.072399999999998</v>
      </c>
      <c r="F10409" s="42">
        <v>46198</v>
      </c>
    </row>
    <row r="10410" spans="1:6" x14ac:dyDescent="0.3">
      <c r="A10410" s="15" t="s">
        <v>39330</v>
      </c>
      <c r="B10410" s="15" t="s">
        <v>18971</v>
      </c>
      <c r="C10410" s="15" t="s">
        <v>18972</v>
      </c>
      <c r="D10410" s="15" t="s">
        <v>18973</v>
      </c>
      <c r="E10410" s="15">
        <v>27.9878</v>
      </c>
      <c r="F10410" s="42">
        <v>46198</v>
      </c>
    </row>
    <row r="10411" spans="1:6" x14ac:dyDescent="0.3">
      <c r="A10411" s="15" t="s">
        <v>39329</v>
      </c>
      <c r="B10411" s="15" t="s">
        <v>18974</v>
      </c>
      <c r="C10411" s="15" t="s">
        <v>800</v>
      </c>
      <c r="D10411" s="15" t="s">
        <v>18975</v>
      </c>
      <c r="E10411" s="15">
        <v>25.695900000000002</v>
      </c>
      <c r="F10411" s="42">
        <v>46198</v>
      </c>
    </row>
    <row r="10412" spans="1:6" x14ac:dyDescent="0.3">
      <c r="A10412" s="15" t="s">
        <v>39328</v>
      </c>
      <c r="B10412" s="15" t="s">
        <v>18976</v>
      </c>
      <c r="C10412" s="15" t="s">
        <v>18977</v>
      </c>
      <c r="D10412" s="15" t="s">
        <v>18978</v>
      </c>
      <c r="E10412" s="15">
        <v>25.695599999999999</v>
      </c>
      <c r="F10412" s="42">
        <v>46198</v>
      </c>
    </row>
    <row r="10413" spans="1:6" x14ac:dyDescent="0.3">
      <c r="A10413" s="15" t="s">
        <v>33499</v>
      </c>
      <c r="B10413" s="15" t="s">
        <v>795</v>
      </c>
      <c r="C10413" s="15" t="s">
        <v>795</v>
      </c>
      <c r="D10413" s="15" t="s">
        <v>795</v>
      </c>
      <c r="F10413" s="42"/>
    </row>
    <row r="10414" spans="1:6" x14ac:dyDescent="0.3">
      <c r="A10414" s="15" t="s">
        <v>139</v>
      </c>
      <c r="B10414" s="15" t="s">
        <v>795</v>
      </c>
      <c r="C10414" s="15" t="s">
        <v>795</v>
      </c>
      <c r="D10414" s="15" t="s">
        <v>795</v>
      </c>
      <c r="F10414" s="42"/>
    </row>
    <row r="10415" spans="1:6" x14ac:dyDescent="0.3">
      <c r="A10415" s="15" t="s">
        <v>33499</v>
      </c>
      <c r="B10415" s="15" t="s">
        <v>795</v>
      </c>
      <c r="C10415" s="15" t="s">
        <v>795</v>
      </c>
      <c r="D10415" s="15" t="s">
        <v>795</v>
      </c>
      <c r="F10415" s="42"/>
    </row>
    <row r="10416" spans="1:6" x14ac:dyDescent="0.3">
      <c r="A10416" s="15" t="s">
        <v>39327</v>
      </c>
      <c r="B10416" s="15" t="s">
        <v>18979</v>
      </c>
      <c r="C10416" s="15" t="s">
        <v>800</v>
      </c>
      <c r="D10416" s="15" t="s">
        <v>18980</v>
      </c>
      <c r="E10416" s="15">
        <v>45.142000000000003</v>
      </c>
      <c r="F10416" s="42">
        <v>46198</v>
      </c>
    </row>
    <row r="10417" spans="1:6" x14ac:dyDescent="0.3">
      <c r="A10417" s="15" t="s">
        <v>39326</v>
      </c>
      <c r="B10417" s="15" t="s">
        <v>18981</v>
      </c>
      <c r="C10417" s="15" t="s">
        <v>18982</v>
      </c>
      <c r="D10417" s="15" t="s">
        <v>18983</v>
      </c>
      <c r="E10417" s="15">
        <v>41.415999999999997</v>
      </c>
      <c r="F10417" s="42">
        <v>46198</v>
      </c>
    </row>
    <row r="10418" spans="1:6" x14ac:dyDescent="0.3">
      <c r="A10418" s="15" t="s">
        <v>39325</v>
      </c>
      <c r="B10418" s="15" t="s">
        <v>18984</v>
      </c>
      <c r="C10418" s="15" t="s">
        <v>18985</v>
      </c>
      <c r="D10418" s="15" t="s">
        <v>18986</v>
      </c>
      <c r="E10418" s="15">
        <v>45.332000000000001</v>
      </c>
      <c r="F10418" s="42">
        <v>46198</v>
      </c>
    </row>
    <row r="10419" spans="1:6" x14ac:dyDescent="0.3">
      <c r="A10419" s="15" t="s">
        <v>39324</v>
      </c>
      <c r="B10419" s="15" t="s">
        <v>18987</v>
      </c>
      <c r="C10419" s="15" t="s">
        <v>800</v>
      </c>
      <c r="D10419" s="15" t="s">
        <v>18988</v>
      </c>
      <c r="E10419" s="15">
        <v>41.412999999999997</v>
      </c>
      <c r="F10419" s="42">
        <v>46198</v>
      </c>
    </row>
    <row r="10420" spans="1:6" x14ac:dyDescent="0.3">
      <c r="A10420" s="15" t="s">
        <v>39323</v>
      </c>
      <c r="B10420" s="15" t="s">
        <v>18989</v>
      </c>
      <c r="C10420" s="15" t="s">
        <v>18990</v>
      </c>
      <c r="D10420" s="15" t="s">
        <v>18991</v>
      </c>
      <c r="E10420" s="15">
        <v>14.4482</v>
      </c>
      <c r="F10420" s="42">
        <v>46198</v>
      </c>
    </row>
    <row r="10421" spans="1:6" x14ac:dyDescent="0.3">
      <c r="A10421" s="15" t="s">
        <v>39322</v>
      </c>
      <c r="B10421" s="15" t="s">
        <v>18992</v>
      </c>
      <c r="C10421" s="15" t="s">
        <v>800</v>
      </c>
      <c r="D10421" s="15" t="s">
        <v>18993</v>
      </c>
      <c r="E10421" s="15">
        <v>14.447800000000001</v>
      </c>
      <c r="F10421" s="42">
        <v>46198</v>
      </c>
    </row>
    <row r="10422" spans="1:6" x14ac:dyDescent="0.3">
      <c r="A10422" s="15" t="s">
        <v>39321</v>
      </c>
      <c r="B10422" s="15" t="s">
        <v>18994</v>
      </c>
      <c r="C10422" s="15" t="s">
        <v>18995</v>
      </c>
      <c r="D10422" s="15" t="s">
        <v>18996</v>
      </c>
      <c r="E10422" s="15">
        <v>15.3103</v>
      </c>
      <c r="F10422" s="42">
        <v>46198</v>
      </c>
    </row>
    <row r="10423" spans="1:6" x14ac:dyDescent="0.3">
      <c r="A10423" s="15" t="s">
        <v>39320</v>
      </c>
      <c r="B10423" s="15" t="s">
        <v>18997</v>
      </c>
      <c r="C10423" s="15" t="s">
        <v>800</v>
      </c>
      <c r="D10423" s="15" t="s">
        <v>18998</v>
      </c>
      <c r="E10423" s="15">
        <v>15.3125</v>
      </c>
      <c r="F10423" s="42">
        <v>46198</v>
      </c>
    </row>
    <row r="10424" spans="1:6" x14ac:dyDescent="0.3">
      <c r="A10424" s="15" t="s">
        <v>39319</v>
      </c>
      <c r="B10424" s="15" t="s">
        <v>18999</v>
      </c>
      <c r="C10424" s="15" t="s">
        <v>800</v>
      </c>
      <c r="D10424" s="15" t="s">
        <v>19000</v>
      </c>
      <c r="E10424" s="15">
        <v>12.171900000000001</v>
      </c>
      <c r="F10424" s="42">
        <v>46198</v>
      </c>
    </row>
    <row r="10425" spans="1:6" x14ac:dyDescent="0.3">
      <c r="A10425" s="15" t="s">
        <v>39318</v>
      </c>
      <c r="B10425" s="15" t="s">
        <v>19001</v>
      </c>
      <c r="C10425" s="15" t="s">
        <v>19002</v>
      </c>
      <c r="D10425" s="15" t="s">
        <v>19003</v>
      </c>
      <c r="E10425" s="15">
        <v>12.171900000000001</v>
      </c>
      <c r="F10425" s="42">
        <v>46198</v>
      </c>
    </row>
    <row r="10426" spans="1:6" x14ac:dyDescent="0.3">
      <c r="A10426" s="15" t="s">
        <v>39317</v>
      </c>
      <c r="B10426" s="15" t="s">
        <v>19004</v>
      </c>
      <c r="C10426" s="15" t="s">
        <v>800</v>
      </c>
      <c r="D10426" s="15" t="s">
        <v>19005</v>
      </c>
      <c r="E10426" s="15">
        <v>11.5914</v>
      </c>
      <c r="F10426" s="42">
        <v>46198</v>
      </c>
    </row>
    <row r="10427" spans="1:6" x14ac:dyDescent="0.3">
      <c r="A10427" s="15" t="s">
        <v>39316</v>
      </c>
      <c r="B10427" s="15" t="s">
        <v>19006</v>
      </c>
      <c r="C10427" s="15" t="s">
        <v>19007</v>
      </c>
      <c r="D10427" s="15" t="s">
        <v>19008</v>
      </c>
      <c r="E10427" s="15">
        <v>11.5915</v>
      </c>
      <c r="F10427" s="42">
        <v>46198</v>
      </c>
    </row>
    <row r="10428" spans="1:6" x14ac:dyDescent="0.3">
      <c r="A10428" s="15" t="s">
        <v>39315</v>
      </c>
      <c r="B10428" s="15" t="s">
        <v>19009</v>
      </c>
      <c r="C10428" s="15" t="s">
        <v>800</v>
      </c>
      <c r="D10428" s="15" t="s">
        <v>19010</v>
      </c>
      <c r="E10428" s="15">
        <v>10.667999999999999</v>
      </c>
      <c r="F10428" s="42">
        <v>46198</v>
      </c>
    </row>
    <row r="10429" spans="1:6" x14ac:dyDescent="0.3">
      <c r="A10429" s="15" t="s">
        <v>39314</v>
      </c>
      <c r="B10429" s="15" t="s">
        <v>19011</v>
      </c>
      <c r="C10429" s="15" t="s">
        <v>19012</v>
      </c>
      <c r="D10429" s="15" t="s">
        <v>19013</v>
      </c>
      <c r="E10429" s="15">
        <v>10.667999999999999</v>
      </c>
      <c r="F10429" s="42">
        <v>46198</v>
      </c>
    </row>
    <row r="10430" spans="1:6" x14ac:dyDescent="0.3">
      <c r="A10430" s="15" t="s">
        <v>39313</v>
      </c>
      <c r="B10430" s="15" t="s">
        <v>19014</v>
      </c>
      <c r="C10430" s="15" t="s">
        <v>800</v>
      </c>
      <c r="D10430" s="15" t="s">
        <v>19015</v>
      </c>
      <c r="E10430" s="15">
        <v>10.65</v>
      </c>
      <c r="F10430" s="42">
        <v>46198</v>
      </c>
    </row>
    <row r="10431" spans="1:6" x14ac:dyDescent="0.3">
      <c r="A10431" s="15" t="s">
        <v>39312</v>
      </c>
      <c r="B10431" s="15" t="s">
        <v>19016</v>
      </c>
      <c r="C10431" s="15" t="s">
        <v>19017</v>
      </c>
      <c r="D10431" s="15" t="s">
        <v>19018</v>
      </c>
      <c r="E10431" s="15">
        <v>10.65</v>
      </c>
      <c r="F10431" s="42">
        <v>46198</v>
      </c>
    </row>
    <row r="10432" spans="1:6" x14ac:dyDescent="0.3">
      <c r="A10432" s="15" t="s">
        <v>39311</v>
      </c>
      <c r="B10432" s="15" t="s">
        <v>19019</v>
      </c>
      <c r="C10432" s="15" t="s">
        <v>19020</v>
      </c>
      <c r="D10432" s="15" t="s">
        <v>19021</v>
      </c>
      <c r="E10432" s="15">
        <v>20.129000000000001</v>
      </c>
      <c r="F10432" s="42">
        <v>43886</v>
      </c>
    </row>
    <row r="10433" spans="1:6" x14ac:dyDescent="0.3">
      <c r="A10433" s="15" t="s">
        <v>39310</v>
      </c>
      <c r="B10433" s="15" t="s">
        <v>19022</v>
      </c>
      <c r="C10433" s="15" t="s">
        <v>800</v>
      </c>
      <c r="D10433" s="15" t="s">
        <v>19023</v>
      </c>
      <c r="E10433" s="15">
        <v>20.131</v>
      </c>
      <c r="F10433" s="42">
        <v>43886</v>
      </c>
    </row>
    <row r="10434" spans="1:6" x14ac:dyDescent="0.3">
      <c r="A10434" s="15" t="s">
        <v>39309</v>
      </c>
      <c r="B10434" s="15" t="s">
        <v>19024</v>
      </c>
      <c r="C10434" s="15" t="s">
        <v>19025</v>
      </c>
      <c r="D10434" s="15" t="s">
        <v>19026</v>
      </c>
      <c r="E10434" s="15">
        <v>19.213000000000001</v>
      </c>
      <c r="F10434" s="42">
        <v>43886</v>
      </c>
    </row>
    <row r="10435" spans="1:6" x14ac:dyDescent="0.3">
      <c r="A10435" s="15" t="s">
        <v>39308</v>
      </c>
      <c r="B10435" s="15" t="s">
        <v>19027</v>
      </c>
      <c r="C10435" s="15" t="s">
        <v>800</v>
      </c>
      <c r="D10435" s="15" t="s">
        <v>19028</v>
      </c>
      <c r="E10435" s="15">
        <v>19.216000000000001</v>
      </c>
      <c r="F10435" s="42">
        <v>43886</v>
      </c>
    </row>
    <row r="10436" spans="1:6" x14ac:dyDescent="0.3">
      <c r="A10436" s="15" t="s">
        <v>39307</v>
      </c>
      <c r="B10436" s="15" t="s">
        <v>19029</v>
      </c>
      <c r="C10436" s="15" t="s">
        <v>800</v>
      </c>
      <c r="D10436" s="15" t="s">
        <v>19030</v>
      </c>
      <c r="E10436" s="15">
        <v>27.581099999999999</v>
      </c>
      <c r="F10436" s="42">
        <v>46198</v>
      </c>
    </row>
    <row r="10437" spans="1:6" x14ac:dyDescent="0.3">
      <c r="A10437" s="15" t="s">
        <v>39306</v>
      </c>
      <c r="B10437" s="15" t="s">
        <v>19031</v>
      </c>
      <c r="C10437" s="15" t="s">
        <v>800</v>
      </c>
      <c r="D10437" s="15" t="s">
        <v>19032</v>
      </c>
      <c r="E10437" s="15">
        <v>28.1617</v>
      </c>
      <c r="F10437" s="42">
        <v>46198</v>
      </c>
    </row>
    <row r="10438" spans="1:6" x14ac:dyDescent="0.3">
      <c r="A10438" s="15" t="s">
        <v>39305</v>
      </c>
      <c r="B10438" s="15" t="s">
        <v>19033</v>
      </c>
      <c r="C10438" s="15" t="s">
        <v>19034</v>
      </c>
      <c r="D10438" s="15" t="s">
        <v>19035</v>
      </c>
      <c r="E10438" s="15">
        <v>9.2799999999999994</v>
      </c>
      <c r="F10438" s="42">
        <v>43886</v>
      </c>
    </row>
    <row r="10439" spans="1:6" x14ac:dyDescent="0.3">
      <c r="A10439" s="15" t="s">
        <v>39304</v>
      </c>
      <c r="B10439" s="15" t="s">
        <v>19036</v>
      </c>
      <c r="C10439" s="15" t="s">
        <v>800</v>
      </c>
      <c r="D10439" s="15" t="s">
        <v>19037</v>
      </c>
      <c r="E10439" s="15">
        <v>11.199</v>
      </c>
      <c r="F10439" s="42">
        <v>43886</v>
      </c>
    </row>
    <row r="10440" spans="1:6" x14ac:dyDescent="0.3">
      <c r="A10440" s="15" t="s">
        <v>39303</v>
      </c>
      <c r="B10440" s="15" t="s">
        <v>19038</v>
      </c>
      <c r="C10440" s="15" t="s">
        <v>19039</v>
      </c>
      <c r="D10440" s="15" t="s">
        <v>19040</v>
      </c>
      <c r="E10440" s="15">
        <v>9.7799999999999994</v>
      </c>
      <c r="F10440" s="42">
        <v>43886</v>
      </c>
    </row>
    <row r="10441" spans="1:6" x14ac:dyDescent="0.3">
      <c r="A10441" s="15" t="s">
        <v>39302</v>
      </c>
      <c r="B10441" s="15" t="s">
        <v>19041</v>
      </c>
      <c r="C10441" s="15" t="s">
        <v>800</v>
      </c>
      <c r="D10441" s="15" t="s">
        <v>19042</v>
      </c>
      <c r="E10441" s="15">
        <v>11.759</v>
      </c>
      <c r="F10441" s="42">
        <v>43886</v>
      </c>
    </row>
    <row r="10442" spans="1:6" x14ac:dyDescent="0.3">
      <c r="A10442" s="15" t="s">
        <v>33499</v>
      </c>
      <c r="B10442" s="15" t="s">
        <v>795</v>
      </c>
      <c r="C10442" s="15" t="s">
        <v>795</v>
      </c>
      <c r="D10442" s="15" t="s">
        <v>795</v>
      </c>
      <c r="F10442" s="42"/>
    </row>
    <row r="10443" spans="1:6" x14ac:dyDescent="0.3">
      <c r="A10443" s="15" t="s">
        <v>39301</v>
      </c>
      <c r="B10443" s="15" t="s">
        <v>795</v>
      </c>
      <c r="C10443" s="15" t="s">
        <v>795</v>
      </c>
      <c r="D10443" s="15" t="s">
        <v>795</v>
      </c>
      <c r="F10443" s="42"/>
    </row>
    <row r="10444" spans="1:6" x14ac:dyDescent="0.3">
      <c r="A10444" s="15" t="s">
        <v>33499</v>
      </c>
      <c r="B10444" s="15" t="s">
        <v>795</v>
      </c>
      <c r="C10444" s="15" t="s">
        <v>795</v>
      </c>
      <c r="D10444" s="15" t="s">
        <v>795</v>
      </c>
      <c r="F10444" s="42"/>
    </row>
    <row r="10445" spans="1:6" x14ac:dyDescent="0.3">
      <c r="A10445" s="15" t="s">
        <v>39300</v>
      </c>
      <c r="B10445" s="15" t="s">
        <v>19043</v>
      </c>
      <c r="C10445" s="15" t="s">
        <v>800</v>
      </c>
      <c r="D10445" s="15" t="s">
        <v>19044</v>
      </c>
      <c r="E10445" s="15">
        <v>10.995100000000001</v>
      </c>
      <c r="F10445" s="42">
        <v>46198</v>
      </c>
    </row>
    <row r="10446" spans="1:6" x14ac:dyDescent="0.3">
      <c r="A10446" s="15" t="s">
        <v>39299</v>
      </c>
      <c r="B10446" s="15" t="s">
        <v>19045</v>
      </c>
      <c r="C10446" s="15" t="s">
        <v>19046</v>
      </c>
      <c r="D10446" s="15" t="s">
        <v>19047</v>
      </c>
      <c r="E10446" s="15">
        <v>10.995100000000001</v>
      </c>
      <c r="F10446" s="42">
        <v>46198</v>
      </c>
    </row>
    <row r="10447" spans="1:6" x14ac:dyDescent="0.3">
      <c r="A10447" s="15" t="s">
        <v>39298</v>
      </c>
      <c r="B10447" s="15" t="s">
        <v>19048</v>
      </c>
      <c r="C10447" s="15" t="s">
        <v>800</v>
      </c>
      <c r="D10447" s="15" t="s">
        <v>19049</v>
      </c>
      <c r="E10447" s="15">
        <v>10.515000000000001</v>
      </c>
      <c r="F10447" s="42">
        <v>46198</v>
      </c>
    </row>
    <row r="10448" spans="1:6" x14ac:dyDescent="0.3">
      <c r="A10448" s="15" t="s">
        <v>39297</v>
      </c>
      <c r="B10448" s="15" t="s">
        <v>19050</v>
      </c>
      <c r="C10448" s="15" t="s">
        <v>19051</v>
      </c>
      <c r="D10448" s="15" t="s">
        <v>19052</v>
      </c>
      <c r="E10448" s="15">
        <v>10.515000000000001</v>
      </c>
      <c r="F10448" s="42">
        <v>46198</v>
      </c>
    </row>
    <row r="10449" spans="1:6" x14ac:dyDescent="0.3">
      <c r="A10449" s="15" t="s">
        <v>33499</v>
      </c>
      <c r="B10449" s="15" t="s">
        <v>795</v>
      </c>
      <c r="C10449" s="15" t="s">
        <v>795</v>
      </c>
      <c r="D10449" s="15" t="s">
        <v>795</v>
      </c>
      <c r="F10449" s="42"/>
    </row>
    <row r="10450" spans="1:6" x14ac:dyDescent="0.3">
      <c r="A10450" s="15" t="s">
        <v>37780</v>
      </c>
      <c r="B10450" s="15" t="s">
        <v>795</v>
      </c>
      <c r="C10450" s="15" t="s">
        <v>795</v>
      </c>
      <c r="D10450" s="15" t="s">
        <v>795</v>
      </c>
      <c r="F10450" s="42"/>
    </row>
    <row r="10451" spans="1:6" x14ac:dyDescent="0.3">
      <c r="A10451" s="15" t="s">
        <v>33499</v>
      </c>
      <c r="B10451" s="15" t="s">
        <v>795</v>
      </c>
      <c r="C10451" s="15" t="s">
        <v>795</v>
      </c>
      <c r="D10451" s="15" t="s">
        <v>795</v>
      </c>
      <c r="F10451" s="42"/>
    </row>
    <row r="10452" spans="1:6" x14ac:dyDescent="0.3">
      <c r="A10452" s="15" t="s">
        <v>39296</v>
      </c>
      <c r="B10452" s="15" t="s">
        <v>19053</v>
      </c>
      <c r="C10452" s="15" t="s">
        <v>800</v>
      </c>
      <c r="D10452" s="15" t="s">
        <v>19054</v>
      </c>
      <c r="E10452" s="15">
        <v>17.785</v>
      </c>
      <c r="F10452" s="42">
        <v>46198</v>
      </c>
    </row>
    <row r="10453" spans="1:6" x14ac:dyDescent="0.3">
      <c r="A10453" s="15" t="s">
        <v>39295</v>
      </c>
      <c r="B10453" s="15" t="s">
        <v>19055</v>
      </c>
      <c r="C10453" s="15" t="s">
        <v>800</v>
      </c>
      <c r="D10453" s="15" t="s">
        <v>19056</v>
      </c>
      <c r="E10453" s="15">
        <v>17.515999999999998</v>
      </c>
      <c r="F10453" s="42">
        <v>46198</v>
      </c>
    </row>
    <row r="10454" spans="1:6" x14ac:dyDescent="0.3">
      <c r="A10454" s="15" t="s">
        <v>39294</v>
      </c>
      <c r="B10454" s="15" t="s">
        <v>19057</v>
      </c>
      <c r="C10454" s="15" t="s">
        <v>800</v>
      </c>
      <c r="D10454" s="15" t="s">
        <v>19058</v>
      </c>
      <c r="E10454" s="15">
        <v>35.607999999999997</v>
      </c>
      <c r="F10454" s="42">
        <v>46198</v>
      </c>
    </row>
    <row r="10455" spans="1:6" x14ac:dyDescent="0.3">
      <c r="A10455" s="15" t="s">
        <v>39293</v>
      </c>
      <c r="B10455" s="15" t="s">
        <v>19059</v>
      </c>
      <c r="C10455" s="15" t="s">
        <v>800</v>
      </c>
      <c r="D10455" s="15" t="s">
        <v>19060</v>
      </c>
      <c r="E10455" s="15">
        <v>35.392000000000003</v>
      </c>
      <c r="F10455" s="42">
        <v>46198</v>
      </c>
    </row>
    <row r="10456" spans="1:6" x14ac:dyDescent="0.3">
      <c r="A10456" s="15" t="s">
        <v>33499</v>
      </c>
      <c r="B10456" s="15" t="s">
        <v>795</v>
      </c>
      <c r="C10456" s="15" t="s">
        <v>795</v>
      </c>
      <c r="D10456" s="15" t="s">
        <v>795</v>
      </c>
      <c r="F10456" s="42"/>
    </row>
    <row r="10457" spans="1:6" x14ac:dyDescent="0.3">
      <c r="A10457" s="15" t="s">
        <v>37742</v>
      </c>
      <c r="B10457" s="15" t="s">
        <v>795</v>
      </c>
      <c r="C10457" s="15" t="s">
        <v>795</v>
      </c>
      <c r="D10457" s="15" t="s">
        <v>795</v>
      </c>
      <c r="F10457" s="42"/>
    </row>
    <row r="10458" spans="1:6" x14ac:dyDescent="0.3">
      <c r="A10458" s="15" t="s">
        <v>33499</v>
      </c>
      <c r="B10458" s="15" t="s">
        <v>795</v>
      </c>
      <c r="C10458" s="15" t="s">
        <v>795</v>
      </c>
      <c r="D10458" s="15" t="s">
        <v>795</v>
      </c>
      <c r="F10458" s="42"/>
    </row>
    <row r="10459" spans="1:6" x14ac:dyDescent="0.3">
      <c r="A10459" s="15" t="s">
        <v>39292</v>
      </c>
      <c r="B10459" s="15" t="s">
        <v>19061</v>
      </c>
      <c r="C10459" s="15" t="s">
        <v>800</v>
      </c>
      <c r="D10459" s="15" t="s">
        <v>19062</v>
      </c>
      <c r="E10459" s="15">
        <v>18.1341</v>
      </c>
      <c r="F10459" s="42">
        <v>46198</v>
      </c>
    </row>
    <row r="10460" spans="1:6" x14ac:dyDescent="0.3">
      <c r="A10460" s="15" t="s">
        <v>39291</v>
      </c>
      <c r="B10460" s="15" t="s">
        <v>19063</v>
      </c>
      <c r="C10460" s="15" t="s">
        <v>800</v>
      </c>
      <c r="D10460" s="15" t="s">
        <v>19064</v>
      </c>
      <c r="E10460" s="15">
        <v>17.880700000000001</v>
      </c>
      <c r="F10460" s="42">
        <v>46198</v>
      </c>
    </row>
    <row r="10461" spans="1:6" x14ac:dyDescent="0.3">
      <c r="A10461" s="15" t="s">
        <v>33499</v>
      </c>
      <c r="B10461" s="15" t="s">
        <v>795</v>
      </c>
      <c r="C10461" s="15" t="s">
        <v>795</v>
      </c>
      <c r="D10461" s="15" t="s">
        <v>795</v>
      </c>
      <c r="F10461" s="42"/>
    </row>
    <row r="10462" spans="1:6" x14ac:dyDescent="0.3">
      <c r="A10462" s="15" t="s">
        <v>38348</v>
      </c>
      <c r="B10462" s="15" t="s">
        <v>795</v>
      </c>
      <c r="C10462" s="15" t="s">
        <v>795</v>
      </c>
      <c r="D10462" s="15" t="s">
        <v>795</v>
      </c>
      <c r="F10462" s="42"/>
    </row>
    <row r="10463" spans="1:6" x14ac:dyDescent="0.3">
      <c r="A10463" s="15" t="s">
        <v>33499</v>
      </c>
      <c r="B10463" s="15" t="s">
        <v>795</v>
      </c>
      <c r="C10463" s="15" t="s">
        <v>795</v>
      </c>
      <c r="D10463" s="15" t="s">
        <v>795</v>
      </c>
      <c r="F10463" s="42"/>
    </row>
    <row r="10464" spans="1:6" x14ac:dyDescent="0.3">
      <c r="A10464" s="15" t="s">
        <v>39290</v>
      </c>
      <c r="B10464" s="15" t="s">
        <v>19065</v>
      </c>
      <c r="C10464" s="15" t="s">
        <v>800</v>
      </c>
      <c r="D10464" s="15" t="s">
        <v>19066</v>
      </c>
      <c r="E10464" s="15">
        <v>24.7881</v>
      </c>
      <c r="F10464" s="42">
        <v>46198</v>
      </c>
    </row>
    <row r="10465" spans="1:6" x14ac:dyDescent="0.3">
      <c r="A10465" s="15" t="s">
        <v>39289</v>
      </c>
      <c r="B10465" s="15" t="s">
        <v>19067</v>
      </c>
      <c r="C10465" s="15" t="s">
        <v>800</v>
      </c>
      <c r="D10465" s="15" t="s">
        <v>19068</v>
      </c>
      <c r="E10465" s="15">
        <v>24.601199999999999</v>
      </c>
      <c r="F10465" s="42">
        <v>46198</v>
      </c>
    </row>
    <row r="10466" spans="1:6" x14ac:dyDescent="0.3">
      <c r="A10466" s="15" t="s">
        <v>39288</v>
      </c>
      <c r="B10466" s="15" t="s">
        <v>19069</v>
      </c>
      <c r="C10466" s="15" t="s">
        <v>800</v>
      </c>
      <c r="D10466" s="15" t="s">
        <v>19070</v>
      </c>
      <c r="E10466" s="15">
        <v>21.805299999999999</v>
      </c>
      <c r="F10466" s="42">
        <v>46198</v>
      </c>
    </row>
    <row r="10467" spans="1:6" x14ac:dyDescent="0.3">
      <c r="A10467" s="15" t="s">
        <v>39287</v>
      </c>
      <c r="B10467" s="15" t="s">
        <v>19071</v>
      </c>
      <c r="C10467" s="15" t="s">
        <v>800</v>
      </c>
      <c r="D10467" s="15" t="s">
        <v>19072</v>
      </c>
      <c r="E10467" s="15">
        <v>21.805299999999999</v>
      </c>
      <c r="F10467" s="42">
        <v>46198</v>
      </c>
    </row>
    <row r="10468" spans="1:6" x14ac:dyDescent="0.3">
      <c r="A10468" s="15" t="s">
        <v>33499</v>
      </c>
      <c r="B10468" s="15" t="s">
        <v>795</v>
      </c>
      <c r="C10468" s="15" t="s">
        <v>795</v>
      </c>
      <c r="D10468" s="15" t="s">
        <v>795</v>
      </c>
      <c r="F10468" s="42"/>
    </row>
    <row r="10469" spans="1:6" x14ac:dyDescent="0.3">
      <c r="A10469" s="15" t="s">
        <v>37523</v>
      </c>
      <c r="B10469" s="15" t="s">
        <v>795</v>
      </c>
      <c r="C10469" s="15" t="s">
        <v>795</v>
      </c>
      <c r="D10469" s="15" t="s">
        <v>795</v>
      </c>
      <c r="F10469" s="42"/>
    </row>
    <row r="10470" spans="1:6" x14ac:dyDescent="0.3">
      <c r="A10470" s="15" t="s">
        <v>33499</v>
      </c>
      <c r="B10470" s="15" t="s">
        <v>795</v>
      </c>
      <c r="C10470" s="15" t="s">
        <v>795</v>
      </c>
      <c r="D10470" s="15" t="s">
        <v>795</v>
      </c>
      <c r="F10470" s="42"/>
    </row>
    <row r="10471" spans="1:6" x14ac:dyDescent="0.3">
      <c r="A10471" s="15" t="s">
        <v>39286</v>
      </c>
      <c r="B10471" s="15" t="s">
        <v>19073</v>
      </c>
      <c r="C10471" s="15" t="s">
        <v>800</v>
      </c>
      <c r="D10471" s="15" t="s">
        <v>19074</v>
      </c>
      <c r="E10471" s="15">
        <v>28.23</v>
      </c>
      <c r="F10471" s="42">
        <v>46198</v>
      </c>
    </row>
    <row r="10472" spans="1:6" x14ac:dyDescent="0.3">
      <c r="A10472" s="15" t="s">
        <v>39285</v>
      </c>
      <c r="B10472" s="15" t="s">
        <v>19075</v>
      </c>
      <c r="C10472" s="15" t="s">
        <v>800</v>
      </c>
      <c r="D10472" s="15" t="s">
        <v>19076</v>
      </c>
      <c r="E10472" s="15">
        <v>9.15</v>
      </c>
      <c r="F10472" s="42">
        <v>44946</v>
      </c>
    </row>
    <row r="10473" spans="1:6" x14ac:dyDescent="0.3">
      <c r="A10473" s="15" t="s">
        <v>39284</v>
      </c>
      <c r="B10473" s="15" t="s">
        <v>19077</v>
      </c>
      <c r="C10473" s="15" t="s">
        <v>19078</v>
      </c>
      <c r="D10473" s="15" t="s">
        <v>19079</v>
      </c>
      <c r="E10473" s="15">
        <v>11</v>
      </c>
      <c r="F10473" s="42">
        <v>44946</v>
      </c>
    </row>
    <row r="10474" spans="1:6" x14ac:dyDescent="0.3">
      <c r="A10474" s="15" t="s">
        <v>39283</v>
      </c>
      <c r="B10474" s="15" t="s">
        <v>19080</v>
      </c>
      <c r="C10474" s="15" t="s">
        <v>800</v>
      </c>
      <c r="D10474" s="15" t="s">
        <v>19081</v>
      </c>
      <c r="E10474" s="15">
        <v>24.55</v>
      </c>
      <c r="F10474" s="42">
        <v>46198</v>
      </c>
    </row>
    <row r="10475" spans="1:6" x14ac:dyDescent="0.3">
      <c r="A10475" s="15" t="s">
        <v>39282</v>
      </c>
      <c r="B10475" s="15" t="s">
        <v>19082</v>
      </c>
      <c r="C10475" s="15" t="s">
        <v>800</v>
      </c>
      <c r="D10475" s="15" t="s">
        <v>19083</v>
      </c>
      <c r="E10475" s="15">
        <v>11.75</v>
      </c>
      <c r="F10475" s="42">
        <v>42739</v>
      </c>
    </row>
    <row r="10476" spans="1:6" x14ac:dyDescent="0.3">
      <c r="A10476" s="15" t="s">
        <v>39281</v>
      </c>
      <c r="B10476" s="15" t="s">
        <v>19084</v>
      </c>
      <c r="C10476" s="15" t="s">
        <v>800</v>
      </c>
      <c r="D10476" s="15" t="s">
        <v>19085</v>
      </c>
      <c r="E10476" s="15">
        <v>29.18</v>
      </c>
      <c r="F10476" s="42">
        <v>44946</v>
      </c>
    </row>
    <row r="10477" spans="1:6" x14ac:dyDescent="0.3">
      <c r="A10477" s="15" t="s">
        <v>39280</v>
      </c>
      <c r="B10477" s="15" t="s">
        <v>19086</v>
      </c>
      <c r="C10477" s="15" t="s">
        <v>800</v>
      </c>
      <c r="D10477" s="15" t="s">
        <v>19087</v>
      </c>
      <c r="E10477" s="15">
        <v>61.01</v>
      </c>
      <c r="F10477" s="42">
        <v>46198</v>
      </c>
    </row>
    <row r="10478" spans="1:6" x14ac:dyDescent="0.3">
      <c r="A10478" s="15" t="s">
        <v>39279</v>
      </c>
      <c r="B10478" s="15" t="s">
        <v>19088</v>
      </c>
      <c r="C10478" s="15" t="s">
        <v>19089</v>
      </c>
      <c r="D10478" s="15" t="s">
        <v>19090</v>
      </c>
      <c r="E10478" s="15">
        <v>22.17</v>
      </c>
      <c r="F10478" s="42">
        <v>44946</v>
      </c>
    </row>
    <row r="10479" spans="1:6" x14ac:dyDescent="0.3">
      <c r="A10479" s="15" t="s">
        <v>39278</v>
      </c>
      <c r="B10479" s="15" t="s">
        <v>19091</v>
      </c>
      <c r="C10479" s="15" t="s">
        <v>800</v>
      </c>
      <c r="D10479" s="15" t="s">
        <v>19092</v>
      </c>
      <c r="E10479" s="15">
        <v>53.44</v>
      </c>
      <c r="F10479" s="42">
        <v>46198</v>
      </c>
    </row>
    <row r="10480" spans="1:6" x14ac:dyDescent="0.3">
      <c r="A10480" s="15" t="s">
        <v>39277</v>
      </c>
      <c r="B10480" s="15" t="s">
        <v>19093</v>
      </c>
      <c r="C10480" s="15" t="s">
        <v>800</v>
      </c>
      <c r="D10480" s="15" t="s">
        <v>19094</v>
      </c>
      <c r="E10480" s="15">
        <v>13.86</v>
      </c>
      <c r="F10480" s="42">
        <v>46198</v>
      </c>
    </row>
    <row r="10481" spans="1:6" x14ac:dyDescent="0.3">
      <c r="A10481" s="15" t="s">
        <v>39276</v>
      </c>
      <c r="B10481" s="15" t="s">
        <v>19095</v>
      </c>
      <c r="C10481" s="15" t="s">
        <v>19096</v>
      </c>
      <c r="D10481" s="15" t="s">
        <v>19097</v>
      </c>
      <c r="E10481" s="15">
        <v>9.01</v>
      </c>
      <c r="F10481" s="42">
        <v>44946</v>
      </c>
    </row>
    <row r="10482" spans="1:6" x14ac:dyDescent="0.3">
      <c r="A10482" s="15" t="s">
        <v>39275</v>
      </c>
      <c r="B10482" s="15" t="s">
        <v>19098</v>
      </c>
      <c r="C10482" s="15" t="s">
        <v>800</v>
      </c>
      <c r="D10482" s="15" t="s">
        <v>19099</v>
      </c>
      <c r="E10482" s="15">
        <v>13.33</v>
      </c>
      <c r="F10482" s="42">
        <v>46198</v>
      </c>
    </row>
    <row r="10483" spans="1:6" x14ac:dyDescent="0.3">
      <c r="A10483" s="15" t="s">
        <v>39274</v>
      </c>
      <c r="B10483" s="15" t="s">
        <v>19100</v>
      </c>
      <c r="C10483" s="15" t="s">
        <v>19101</v>
      </c>
      <c r="D10483" s="15" t="s">
        <v>19102</v>
      </c>
      <c r="E10483" s="15">
        <v>8.93</v>
      </c>
      <c r="F10483" s="42">
        <v>44946</v>
      </c>
    </row>
    <row r="10484" spans="1:6" x14ac:dyDescent="0.3">
      <c r="A10484" s="15" t="s">
        <v>33499</v>
      </c>
      <c r="B10484" s="15" t="s">
        <v>795</v>
      </c>
      <c r="C10484" s="15" t="s">
        <v>795</v>
      </c>
      <c r="D10484" s="15" t="s">
        <v>795</v>
      </c>
      <c r="F10484" s="42"/>
    </row>
    <row r="10485" spans="1:6" x14ac:dyDescent="0.3">
      <c r="A10485" s="15" t="s">
        <v>33636</v>
      </c>
      <c r="B10485" s="15" t="s">
        <v>795</v>
      </c>
      <c r="C10485" s="15" t="s">
        <v>795</v>
      </c>
      <c r="D10485" s="15" t="s">
        <v>795</v>
      </c>
      <c r="F10485" s="42"/>
    </row>
    <row r="10486" spans="1:6" x14ac:dyDescent="0.3">
      <c r="A10486" s="15" t="s">
        <v>33499</v>
      </c>
      <c r="B10486" s="15" t="s">
        <v>795</v>
      </c>
      <c r="C10486" s="15" t="s">
        <v>795</v>
      </c>
      <c r="D10486" s="15" t="s">
        <v>795</v>
      </c>
      <c r="F10486" s="42"/>
    </row>
    <row r="10487" spans="1:6" x14ac:dyDescent="0.3">
      <c r="A10487" s="15" t="s">
        <v>39273</v>
      </c>
      <c r="B10487" s="15" t="s">
        <v>19103</v>
      </c>
      <c r="C10487" s="15" t="s">
        <v>800</v>
      </c>
      <c r="D10487" s="15" t="s">
        <v>19104</v>
      </c>
      <c r="E10487" s="15">
        <v>24.6557</v>
      </c>
      <c r="F10487" s="42">
        <v>46198</v>
      </c>
    </row>
    <row r="10488" spans="1:6" x14ac:dyDescent="0.3">
      <c r="A10488" s="15" t="s">
        <v>39272</v>
      </c>
      <c r="B10488" s="15" t="s">
        <v>19105</v>
      </c>
      <c r="C10488" s="15" t="s">
        <v>19106</v>
      </c>
      <c r="D10488" s="15" t="s">
        <v>19107</v>
      </c>
      <c r="E10488" s="15">
        <v>24.6557</v>
      </c>
      <c r="F10488" s="42">
        <v>46198</v>
      </c>
    </row>
    <row r="10489" spans="1:6" x14ac:dyDescent="0.3">
      <c r="A10489" s="15" t="s">
        <v>39271</v>
      </c>
      <c r="B10489" s="15" t="s">
        <v>19108</v>
      </c>
      <c r="C10489" s="15" t="s">
        <v>800</v>
      </c>
      <c r="D10489" s="15" t="s">
        <v>19109</v>
      </c>
      <c r="E10489" s="15">
        <v>23.725300000000001</v>
      </c>
      <c r="F10489" s="42">
        <v>46198</v>
      </c>
    </row>
    <row r="10490" spans="1:6" x14ac:dyDescent="0.3">
      <c r="A10490" s="15" t="s">
        <v>39270</v>
      </c>
      <c r="B10490" s="15" t="s">
        <v>19110</v>
      </c>
      <c r="C10490" s="15" t="s">
        <v>19111</v>
      </c>
      <c r="D10490" s="15" t="s">
        <v>19112</v>
      </c>
      <c r="E10490" s="15">
        <v>23.724499999999999</v>
      </c>
      <c r="F10490" s="42">
        <v>46198</v>
      </c>
    </row>
    <row r="10491" spans="1:6" x14ac:dyDescent="0.3">
      <c r="A10491" s="15" t="s">
        <v>33499</v>
      </c>
      <c r="B10491" s="15" t="s">
        <v>795</v>
      </c>
      <c r="C10491" s="15" t="s">
        <v>795</v>
      </c>
      <c r="D10491" s="15" t="s">
        <v>795</v>
      </c>
      <c r="F10491" s="42"/>
    </row>
    <row r="10492" spans="1:6" x14ac:dyDescent="0.3">
      <c r="A10492" s="15" t="s">
        <v>37414</v>
      </c>
      <c r="B10492" s="15" t="s">
        <v>795</v>
      </c>
      <c r="C10492" s="15" t="s">
        <v>795</v>
      </c>
      <c r="D10492" s="15" t="s">
        <v>795</v>
      </c>
      <c r="F10492" s="42"/>
    </row>
    <row r="10493" spans="1:6" x14ac:dyDescent="0.3">
      <c r="A10493" s="15" t="s">
        <v>33499</v>
      </c>
      <c r="B10493" s="15" t="s">
        <v>795</v>
      </c>
      <c r="C10493" s="15" t="s">
        <v>795</v>
      </c>
      <c r="D10493" s="15" t="s">
        <v>795</v>
      </c>
      <c r="F10493" s="42"/>
    </row>
    <row r="10494" spans="1:6" x14ac:dyDescent="0.3">
      <c r="A10494" s="15" t="s">
        <v>39269</v>
      </c>
      <c r="B10494" s="15" t="s">
        <v>19113</v>
      </c>
      <c r="C10494" s="15" t="s">
        <v>800</v>
      </c>
      <c r="D10494" s="15" t="s">
        <v>19114</v>
      </c>
      <c r="E10494" s="15">
        <v>45.881900000000002</v>
      </c>
      <c r="F10494" s="42">
        <v>46197</v>
      </c>
    </row>
    <row r="10495" spans="1:6" x14ac:dyDescent="0.3">
      <c r="A10495" s="15" t="s">
        <v>39268</v>
      </c>
      <c r="B10495" s="15" t="s">
        <v>19115</v>
      </c>
      <c r="C10495" s="15" t="s">
        <v>19116</v>
      </c>
      <c r="D10495" s="15" t="s">
        <v>19117</v>
      </c>
      <c r="E10495" s="15">
        <v>38.505899999999997</v>
      </c>
      <c r="F10495" s="42">
        <v>46197</v>
      </c>
    </row>
    <row r="10496" spans="1:6" x14ac:dyDescent="0.3">
      <c r="A10496" s="15" t="s">
        <v>39267</v>
      </c>
      <c r="B10496" s="15" t="s">
        <v>19118</v>
      </c>
      <c r="C10496" s="15" t="s">
        <v>800</v>
      </c>
      <c r="D10496" s="15" t="s">
        <v>19119</v>
      </c>
      <c r="E10496" s="15">
        <v>41.536099999999998</v>
      </c>
      <c r="F10496" s="42">
        <v>46197</v>
      </c>
    </row>
    <row r="10497" spans="1:6" x14ac:dyDescent="0.3">
      <c r="A10497" s="15" t="s">
        <v>39266</v>
      </c>
      <c r="B10497" s="15" t="s">
        <v>19120</v>
      </c>
      <c r="C10497" s="15" t="s">
        <v>19121</v>
      </c>
      <c r="D10497" s="15" t="s">
        <v>19122</v>
      </c>
      <c r="E10497" s="15">
        <v>33.576999999999998</v>
      </c>
      <c r="F10497" s="42">
        <v>46197</v>
      </c>
    </row>
    <row r="10498" spans="1:6" x14ac:dyDescent="0.3">
      <c r="A10498" s="15" t="s">
        <v>33499</v>
      </c>
      <c r="B10498" s="15" t="s">
        <v>795</v>
      </c>
      <c r="C10498" s="15" t="s">
        <v>795</v>
      </c>
      <c r="D10498" s="15" t="s">
        <v>795</v>
      </c>
      <c r="F10498" s="42"/>
    </row>
    <row r="10499" spans="1:6" x14ac:dyDescent="0.3">
      <c r="A10499" s="15" t="s">
        <v>39265</v>
      </c>
      <c r="B10499" s="15" t="s">
        <v>795</v>
      </c>
      <c r="C10499" s="15" t="s">
        <v>795</v>
      </c>
      <c r="D10499" s="15" t="s">
        <v>795</v>
      </c>
      <c r="F10499" s="42"/>
    </row>
    <row r="10500" spans="1:6" x14ac:dyDescent="0.3">
      <c r="A10500" s="15" t="s">
        <v>33499</v>
      </c>
      <c r="B10500" s="15" t="s">
        <v>795</v>
      </c>
      <c r="C10500" s="15" t="s">
        <v>795</v>
      </c>
      <c r="D10500" s="15" t="s">
        <v>795</v>
      </c>
      <c r="F10500" s="42"/>
    </row>
    <row r="10501" spans="1:6" x14ac:dyDescent="0.3">
      <c r="A10501" s="15" t="s">
        <v>37954</v>
      </c>
      <c r="B10501" s="15" t="s">
        <v>795</v>
      </c>
      <c r="C10501" s="15" t="s">
        <v>795</v>
      </c>
      <c r="D10501" s="15" t="s">
        <v>795</v>
      </c>
      <c r="F10501" s="42"/>
    </row>
    <row r="10502" spans="1:6" x14ac:dyDescent="0.3">
      <c r="A10502" s="15" t="s">
        <v>33499</v>
      </c>
      <c r="B10502" s="15" t="s">
        <v>795</v>
      </c>
      <c r="C10502" s="15" t="s">
        <v>795</v>
      </c>
      <c r="D10502" s="15" t="s">
        <v>795</v>
      </c>
      <c r="F10502" s="42"/>
    </row>
    <row r="10503" spans="1:6" x14ac:dyDescent="0.3">
      <c r="A10503" s="15" t="s">
        <v>39264</v>
      </c>
      <c r="B10503" s="15" t="s">
        <v>19123</v>
      </c>
      <c r="C10503" s="15" t="s">
        <v>800</v>
      </c>
      <c r="D10503" s="15" t="s">
        <v>19124</v>
      </c>
      <c r="E10503" s="15">
        <v>136.2114</v>
      </c>
      <c r="F10503" s="42">
        <v>46198</v>
      </c>
    </row>
    <row r="10504" spans="1:6" x14ac:dyDescent="0.3">
      <c r="A10504" s="15" t="s">
        <v>33499</v>
      </c>
      <c r="B10504" s="15" t="s">
        <v>795</v>
      </c>
      <c r="C10504" s="15" t="s">
        <v>795</v>
      </c>
      <c r="D10504" s="15" t="s">
        <v>795</v>
      </c>
      <c r="F10504" s="42"/>
    </row>
    <row r="10505" spans="1:6" x14ac:dyDescent="0.3">
      <c r="A10505" s="15" t="s">
        <v>37122</v>
      </c>
      <c r="B10505" s="15" t="s">
        <v>795</v>
      </c>
      <c r="C10505" s="15" t="s">
        <v>795</v>
      </c>
      <c r="D10505" s="15" t="s">
        <v>795</v>
      </c>
      <c r="F10505" s="42"/>
    </row>
    <row r="10506" spans="1:6" x14ac:dyDescent="0.3">
      <c r="A10506" s="15" t="s">
        <v>33499</v>
      </c>
      <c r="B10506" s="15" t="s">
        <v>795</v>
      </c>
      <c r="C10506" s="15" t="s">
        <v>795</v>
      </c>
      <c r="D10506" s="15" t="s">
        <v>795</v>
      </c>
      <c r="F10506" s="42"/>
    </row>
    <row r="10507" spans="1:6" x14ac:dyDescent="0.3">
      <c r="A10507" s="15" t="s">
        <v>39263</v>
      </c>
      <c r="B10507" s="15" t="s">
        <v>19125</v>
      </c>
      <c r="C10507" s="15" t="s">
        <v>800</v>
      </c>
      <c r="D10507" s="15" t="s">
        <v>19126</v>
      </c>
      <c r="E10507" s="15">
        <v>122.6455</v>
      </c>
      <c r="F10507" s="42">
        <v>46198</v>
      </c>
    </row>
    <row r="10508" spans="1:6" x14ac:dyDescent="0.3">
      <c r="A10508" s="15" t="s">
        <v>33499</v>
      </c>
      <c r="B10508" s="15" t="s">
        <v>795</v>
      </c>
      <c r="C10508" s="15" t="s">
        <v>795</v>
      </c>
      <c r="D10508" s="15" t="s">
        <v>795</v>
      </c>
      <c r="F10508" s="42"/>
    </row>
    <row r="10509" spans="1:6" x14ac:dyDescent="0.3">
      <c r="A10509" s="15" t="s">
        <v>37937</v>
      </c>
      <c r="B10509" s="15" t="s">
        <v>795</v>
      </c>
      <c r="C10509" s="15" t="s">
        <v>795</v>
      </c>
      <c r="D10509" s="15" t="s">
        <v>795</v>
      </c>
      <c r="F10509" s="42"/>
    </row>
    <row r="10510" spans="1:6" x14ac:dyDescent="0.3">
      <c r="A10510" s="15" t="s">
        <v>33499</v>
      </c>
      <c r="B10510" s="15" t="s">
        <v>795</v>
      </c>
      <c r="C10510" s="15" t="s">
        <v>795</v>
      </c>
      <c r="D10510" s="15" t="s">
        <v>795</v>
      </c>
      <c r="F10510" s="42"/>
    </row>
    <row r="10511" spans="1:6" x14ac:dyDescent="0.3">
      <c r="A10511" s="15" t="s">
        <v>39262</v>
      </c>
      <c r="B10511" s="15" t="s">
        <v>19127</v>
      </c>
      <c r="C10511" s="15" t="s">
        <v>800</v>
      </c>
      <c r="D10511" s="15" t="s">
        <v>19128</v>
      </c>
      <c r="E10511" s="15">
        <v>13.0349</v>
      </c>
      <c r="F10511" s="42">
        <v>46198</v>
      </c>
    </row>
    <row r="10512" spans="1:6" x14ac:dyDescent="0.3">
      <c r="A10512" s="15" t="s">
        <v>33499</v>
      </c>
      <c r="B10512" s="15" t="s">
        <v>795</v>
      </c>
      <c r="C10512" s="15" t="s">
        <v>795</v>
      </c>
      <c r="D10512" s="15" t="s">
        <v>795</v>
      </c>
      <c r="F10512" s="42"/>
    </row>
    <row r="10513" spans="1:6" x14ac:dyDescent="0.3">
      <c r="A10513" s="15" t="s">
        <v>37087</v>
      </c>
      <c r="B10513" s="15" t="s">
        <v>795</v>
      </c>
      <c r="C10513" s="15" t="s">
        <v>795</v>
      </c>
      <c r="D10513" s="15" t="s">
        <v>795</v>
      </c>
      <c r="F10513" s="42"/>
    </row>
    <row r="10514" spans="1:6" x14ac:dyDescent="0.3">
      <c r="A10514" s="15" t="s">
        <v>33499</v>
      </c>
      <c r="B10514" s="15" t="s">
        <v>795</v>
      </c>
      <c r="C10514" s="15" t="s">
        <v>795</v>
      </c>
      <c r="D10514" s="15" t="s">
        <v>795</v>
      </c>
      <c r="F10514" s="42"/>
    </row>
    <row r="10515" spans="1:6" x14ac:dyDescent="0.3">
      <c r="A10515" s="15" t="s">
        <v>39261</v>
      </c>
      <c r="B10515" s="15" t="s">
        <v>19129</v>
      </c>
      <c r="C10515" s="15" t="s">
        <v>800</v>
      </c>
      <c r="D10515" s="15" t="s">
        <v>19130</v>
      </c>
      <c r="E10515" s="15">
        <v>116.25490000000001</v>
      </c>
      <c r="F10515" s="42">
        <v>46198</v>
      </c>
    </row>
    <row r="10516" spans="1:6" x14ac:dyDescent="0.3">
      <c r="A10516" s="15" t="s">
        <v>33499</v>
      </c>
      <c r="B10516" s="15" t="s">
        <v>795</v>
      </c>
      <c r="C10516" s="15" t="s">
        <v>795</v>
      </c>
      <c r="D10516" s="15" t="s">
        <v>795</v>
      </c>
      <c r="F10516" s="42"/>
    </row>
    <row r="10517" spans="1:6" x14ac:dyDescent="0.3">
      <c r="A10517" s="15" t="s">
        <v>37073</v>
      </c>
      <c r="B10517" s="15" t="s">
        <v>795</v>
      </c>
      <c r="C10517" s="15" t="s">
        <v>795</v>
      </c>
      <c r="D10517" s="15" t="s">
        <v>795</v>
      </c>
      <c r="F10517" s="42"/>
    </row>
    <row r="10518" spans="1:6" x14ac:dyDescent="0.3">
      <c r="A10518" s="15" t="s">
        <v>33499</v>
      </c>
      <c r="B10518" s="15" t="s">
        <v>795</v>
      </c>
      <c r="C10518" s="15" t="s">
        <v>795</v>
      </c>
      <c r="D10518" s="15" t="s">
        <v>795</v>
      </c>
      <c r="F10518" s="42"/>
    </row>
    <row r="10519" spans="1:6" x14ac:dyDescent="0.3">
      <c r="A10519" s="15" t="s">
        <v>39260</v>
      </c>
      <c r="B10519" s="15" t="s">
        <v>19131</v>
      </c>
      <c r="C10519" s="15" t="s">
        <v>800</v>
      </c>
      <c r="D10519" s="15" t="s">
        <v>19132</v>
      </c>
      <c r="E10519" s="15">
        <v>139.428</v>
      </c>
      <c r="F10519" s="42">
        <v>46198</v>
      </c>
    </row>
    <row r="10520" spans="1:6" x14ac:dyDescent="0.3">
      <c r="A10520" s="15" t="s">
        <v>33499</v>
      </c>
      <c r="B10520" s="15" t="s">
        <v>795</v>
      </c>
      <c r="C10520" s="15" t="s">
        <v>795</v>
      </c>
      <c r="D10520" s="15" t="s">
        <v>795</v>
      </c>
      <c r="F10520" s="42"/>
    </row>
    <row r="10521" spans="1:6" x14ac:dyDescent="0.3">
      <c r="A10521" s="15" t="s">
        <v>37566</v>
      </c>
      <c r="B10521" s="15" t="s">
        <v>795</v>
      </c>
      <c r="C10521" s="15" t="s">
        <v>795</v>
      </c>
      <c r="D10521" s="15" t="s">
        <v>795</v>
      </c>
      <c r="F10521" s="42"/>
    </row>
    <row r="10522" spans="1:6" x14ac:dyDescent="0.3">
      <c r="A10522" s="15" t="s">
        <v>33499</v>
      </c>
      <c r="B10522" s="15" t="s">
        <v>795</v>
      </c>
      <c r="C10522" s="15" t="s">
        <v>795</v>
      </c>
      <c r="D10522" s="15" t="s">
        <v>795</v>
      </c>
      <c r="F10522" s="42"/>
    </row>
    <row r="10523" spans="1:6" x14ac:dyDescent="0.3">
      <c r="A10523" s="15" t="s">
        <v>39259</v>
      </c>
      <c r="B10523" s="15" t="s">
        <v>19133</v>
      </c>
      <c r="C10523" s="15" t="s">
        <v>800</v>
      </c>
      <c r="D10523" s="15" t="s">
        <v>19134</v>
      </c>
      <c r="E10523" s="15">
        <v>135.0701</v>
      </c>
      <c r="F10523" s="42">
        <v>46198</v>
      </c>
    </row>
    <row r="10524" spans="1:6" x14ac:dyDescent="0.3">
      <c r="A10524" s="15" t="s">
        <v>33499</v>
      </c>
      <c r="B10524" s="15" t="s">
        <v>795</v>
      </c>
      <c r="C10524" s="15" t="s">
        <v>795</v>
      </c>
      <c r="D10524" s="15" t="s">
        <v>795</v>
      </c>
      <c r="F10524" s="42"/>
    </row>
    <row r="10525" spans="1:6" x14ac:dyDescent="0.3">
      <c r="A10525" s="15" t="s">
        <v>38947</v>
      </c>
      <c r="B10525" s="15" t="s">
        <v>795</v>
      </c>
      <c r="C10525" s="15" t="s">
        <v>795</v>
      </c>
      <c r="D10525" s="15" t="s">
        <v>795</v>
      </c>
      <c r="F10525" s="42"/>
    </row>
    <row r="10526" spans="1:6" x14ac:dyDescent="0.3">
      <c r="A10526" s="15" t="s">
        <v>33499</v>
      </c>
      <c r="B10526" s="15" t="s">
        <v>795</v>
      </c>
      <c r="C10526" s="15" t="s">
        <v>795</v>
      </c>
      <c r="D10526" s="15" t="s">
        <v>795</v>
      </c>
      <c r="F10526" s="42"/>
    </row>
    <row r="10527" spans="1:6" x14ac:dyDescent="0.3">
      <c r="A10527" s="15" t="s">
        <v>39258</v>
      </c>
      <c r="B10527" s="15" t="s">
        <v>19135</v>
      </c>
      <c r="C10527" s="15" t="s">
        <v>800</v>
      </c>
      <c r="D10527" s="15" t="s">
        <v>19136</v>
      </c>
      <c r="E10527" s="15">
        <v>138.5026</v>
      </c>
      <c r="F10527" s="42">
        <v>46198</v>
      </c>
    </row>
    <row r="10528" spans="1:6" x14ac:dyDescent="0.3">
      <c r="A10528" s="15" t="s">
        <v>33499</v>
      </c>
      <c r="B10528" s="15" t="s">
        <v>795</v>
      </c>
      <c r="C10528" s="15" t="s">
        <v>795</v>
      </c>
      <c r="D10528" s="15" t="s">
        <v>795</v>
      </c>
      <c r="F10528" s="42"/>
    </row>
    <row r="10529" spans="1:6" x14ac:dyDescent="0.3">
      <c r="A10529" s="15" t="s">
        <v>37061</v>
      </c>
      <c r="B10529" s="15" t="s">
        <v>795</v>
      </c>
      <c r="C10529" s="15" t="s">
        <v>795</v>
      </c>
      <c r="D10529" s="15" t="s">
        <v>795</v>
      </c>
      <c r="F10529" s="42"/>
    </row>
    <row r="10530" spans="1:6" x14ac:dyDescent="0.3">
      <c r="A10530" s="15" t="s">
        <v>33499</v>
      </c>
      <c r="B10530" s="15" t="s">
        <v>795</v>
      </c>
      <c r="C10530" s="15" t="s">
        <v>795</v>
      </c>
      <c r="D10530" s="15" t="s">
        <v>795</v>
      </c>
      <c r="F10530" s="42"/>
    </row>
    <row r="10531" spans="1:6" x14ac:dyDescent="0.3">
      <c r="A10531" s="15" t="s">
        <v>39257</v>
      </c>
      <c r="B10531" s="15" t="s">
        <v>19137</v>
      </c>
      <c r="C10531" s="15" t="s">
        <v>800</v>
      </c>
      <c r="D10531" s="15" t="s">
        <v>19138</v>
      </c>
      <c r="E10531" s="15">
        <v>135.5025</v>
      </c>
      <c r="F10531" s="42">
        <v>46198</v>
      </c>
    </row>
    <row r="10532" spans="1:6" x14ac:dyDescent="0.3">
      <c r="A10532" s="15" t="s">
        <v>33499</v>
      </c>
      <c r="B10532" s="15" t="s">
        <v>795</v>
      </c>
      <c r="C10532" s="15" t="s">
        <v>795</v>
      </c>
      <c r="D10532" s="15" t="s">
        <v>795</v>
      </c>
      <c r="F10532" s="42"/>
    </row>
    <row r="10533" spans="1:6" x14ac:dyDescent="0.3">
      <c r="A10533" s="15" t="s">
        <v>37895</v>
      </c>
      <c r="B10533" s="15" t="s">
        <v>795</v>
      </c>
      <c r="C10533" s="15" t="s">
        <v>795</v>
      </c>
      <c r="D10533" s="15" t="s">
        <v>795</v>
      </c>
      <c r="F10533" s="42"/>
    </row>
    <row r="10534" spans="1:6" x14ac:dyDescent="0.3">
      <c r="A10534" s="15" t="s">
        <v>33499</v>
      </c>
      <c r="B10534" s="15" t="s">
        <v>795</v>
      </c>
      <c r="C10534" s="15" t="s">
        <v>795</v>
      </c>
      <c r="D10534" s="15" t="s">
        <v>795</v>
      </c>
      <c r="F10534" s="42"/>
    </row>
    <row r="10535" spans="1:6" x14ac:dyDescent="0.3">
      <c r="A10535" s="15" t="s">
        <v>39256</v>
      </c>
      <c r="B10535" s="15" t="s">
        <v>19139</v>
      </c>
      <c r="C10535" s="15" t="s">
        <v>800</v>
      </c>
      <c r="D10535" s="15" t="s">
        <v>19140</v>
      </c>
      <c r="E10535" s="15">
        <v>139.4211</v>
      </c>
      <c r="F10535" s="42">
        <v>46198</v>
      </c>
    </row>
    <row r="10536" spans="1:6" x14ac:dyDescent="0.3">
      <c r="A10536" s="15" t="s">
        <v>33499</v>
      </c>
      <c r="B10536" s="15" t="s">
        <v>795</v>
      </c>
      <c r="C10536" s="15" t="s">
        <v>795</v>
      </c>
      <c r="D10536" s="15" t="s">
        <v>795</v>
      </c>
      <c r="F10536" s="42"/>
    </row>
    <row r="10537" spans="1:6" x14ac:dyDescent="0.3">
      <c r="A10537" s="15" t="s">
        <v>37881</v>
      </c>
      <c r="B10537" s="15" t="s">
        <v>795</v>
      </c>
      <c r="C10537" s="15" t="s">
        <v>795</v>
      </c>
      <c r="D10537" s="15" t="s">
        <v>795</v>
      </c>
      <c r="F10537" s="42"/>
    </row>
    <row r="10538" spans="1:6" x14ac:dyDescent="0.3">
      <c r="A10538" s="15" t="s">
        <v>33499</v>
      </c>
      <c r="B10538" s="15" t="s">
        <v>795</v>
      </c>
      <c r="C10538" s="15" t="s">
        <v>795</v>
      </c>
      <c r="D10538" s="15" t="s">
        <v>795</v>
      </c>
      <c r="F10538" s="42"/>
    </row>
    <row r="10539" spans="1:6" x14ac:dyDescent="0.3">
      <c r="A10539" s="15" t="s">
        <v>39255</v>
      </c>
      <c r="B10539" s="15" t="s">
        <v>19141</v>
      </c>
      <c r="C10539" s="15" t="s">
        <v>800</v>
      </c>
      <c r="D10539" s="15" t="s">
        <v>19142</v>
      </c>
      <c r="E10539" s="15">
        <v>13.638999999999999</v>
      </c>
      <c r="F10539" s="42">
        <v>46198</v>
      </c>
    </row>
    <row r="10540" spans="1:6" x14ac:dyDescent="0.3">
      <c r="A10540" s="15" t="s">
        <v>33499</v>
      </c>
      <c r="B10540" s="15" t="s">
        <v>795</v>
      </c>
      <c r="C10540" s="15" t="s">
        <v>795</v>
      </c>
      <c r="D10540" s="15" t="s">
        <v>795</v>
      </c>
      <c r="F10540" s="42"/>
    </row>
    <row r="10541" spans="1:6" x14ac:dyDescent="0.3">
      <c r="A10541" s="15" t="s">
        <v>37043</v>
      </c>
      <c r="B10541" s="15" t="s">
        <v>795</v>
      </c>
      <c r="C10541" s="15" t="s">
        <v>795</v>
      </c>
      <c r="D10541" s="15" t="s">
        <v>795</v>
      </c>
      <c r="F10541" s="42"/>
    </row>
    <row r="10542" spans="1:6" x14ac:dyDescent="0.3">
      <c r="A10542" s="15" t="s">
        <v>33499</v>
      </c>
      <c r="B10542" s="15" t="s">
        <v>795</v>
      </c>
      <c r="C10542" s="15" t="s">
        <v>795</v>
      </c>
      <c r="D10542" s="15" t="s">
        <v>795</v>
      </c>
      <c r="F10542" s="42"/>
    </row>
    <row r="10543" spans="1:6" x14ac:dyDescent="0.3">
      <c r="A10543" s="15" t="s">
        <v>39254</v>
      </c>
      <c r="B10543" s="15" t="s">
        <v>19143</v>
      </c>
      <c r="C10543" s="15" t="s">
        <v>800</v>
      </c>
      <c r="D10543" s="15" t="s">
        <v>19144</v>
      </c>
      <c r="E10543" s="15">
        <v>119.1435</v>
      </c>
      <c r="F10543" s="42">
        <v>46198</v>
      </c>
    </row>
    <row r="10544" spans="1:6" x14ac:dyDescent="0.3">
      <c r="A10544" s="15" t="s">
        <v>33499</v>
      </c>
      <c r="B10544" s="15" t="s">
        <v>795</v>
      </c>
      <c r="C10544" s="15" t="s">
        <v>795</v>
      </c>
      <c r="D10544" s="15" t="s">
        <v>795</v>
      </c>
      <c r="F10544" s="42"/>
    </row>
    <row r="10545" spans="1:6" x14ac:dyDescent="0.3">
      <c r="A10545" s="15" t="s">
        <v>36815</v>
      </c>
      <c r="B10545" s="15" t="s">
        <v>795</v>
      </c>
      <c r="C10545" s="15" t="s">
        <v>795</v>
      </c>
      <c r="D10545" s="15" t="s">
        <v>795</v>
      </c>
      <c r="F10545" s="42"/>
    </row>
    <row r="10546" spans="1:6" x14ac:dyDescent="0.3">
      <c r="A10546" s="15" t="s">
        <v>33499</v>
      </c>
      <c r="B10546" s="15" t="s">
        <v>795</v>
      </c>
      <c r="C10546" s="15" t="s">
        <v>795</v>
      </c>
      <c r="D10546" s="15" t="s">
        <v>795</v>
      </c>
      <c r="F10546" s="42"/>
    </row>
    <row r="10547" spans="1:6" x14ac:dyDescent="0.3">
      <c r="A10547" s="15" t="s">
        <v>39253</v>
      </c>
      <c r="B10547" s="15" t="s">
        <v>19145</v>
      </c>
      <c r="C10547" s="15" t="s">
        <v>800</v>
      </c>
      <c r="D10547" s="15" t="s">
        <v>19146</v>
      </c>
      <c r="E10547" s="15">
        <v>121.4671</v>
      </c>
      <c r="F10547" s="42">
        <v>46198</v>
      </c>
    </row>
    <row r="10548" spans="1:6" x14ac:dyDescent="0.3">
      <c r="A10548" s="15" t="s">
        <v>33499</v>
      </c>
      <c r="B10548" s="15" t="s">
        <v>795</v>
      </c>
      <c r="C10548" s="15" t="s">
        <v>795</v>
      </c>
      <c r="D10548" s="15" t="s">
        <v>795</v>
      </c>
      <c r="F10548" s="42"/>
    </row>
    <row r="10549" spans="1:6" x14ac:dyDescent="0.3">
      <c r="A10549" s="15" t="s">
        <v>36764</v>
      </c>
      <c r="B10549" s="15" t="s">
        <v>795</v>
      </c>
      <c r="C10549" s="15" t="s">
        <v>795</v>
      </c>
      <c r="D10549" s="15" t="s">
        <v>795</v>
      </c>
      <c r="F10549" s="42"/>
    </row>
    <row r="10550" spans="1:6" x14ac:dyDescent="0.3">
      <c r="A10550" s="15" t="s">
        <v>33499</v>
      </c>
      <c r="B10550" s="15" t="s">
        <v>795</v>
      </c>
      <c r="C10550" s="15" t="s">
        <v>795</v>
      </c>
      <c r="D10550" s="15" t="s">
        <v>795</v>
      </c>
      <c r="F10550" s="42"/>
    </row>
    <row r="10551" spans="1:6" x14ac:dyDescent="0.3">
      <c r="A10551" s="15" t="s">
        <v>39252</v>
      </c>
      <c r="B10551" s="15" t="s">
        <v>19147</v>
      </c>
      <c r="C10551" s="15" t="s">
        <v>800</v>
      </c>
      <c r="D10551" s="15" t="s">
        <v>19148</v>
      </c>
      <c r="E10551" s="15">
        <v>119.446</v>
      </c>
      <c r="F10551" s="42">
        <v>46198</v>
      </c>
    </row>
    <row r="10552" spans="1:6" x14ac:dyDescent="0.3">
      <c r="A10552" s="15" t="s">
        <v>33499</v>
      </c>
      <c r="B10552" s="15" t="s">
        <v>795</v>
      </c>
      <c r="C10552" s="15" t="s">
        <v>795</v>
      </c>
      <c r="D10552" s="15" t="s">
        <v>795</v>
      </c>
      <c r="F10552" s="42"/>
    </row>
    <row r="10553" spans="1:6" x14ac:dyDescent="0.3">
      <c r="A10553" s="15" t="s">
        <v>37807</v>
      </c>
      <c r="B10553" s="15" t="s">
        <v>795</v>
      </c>
      <c r="C10553" s="15" t="s">
        <v>795</v>
      </c>
      <c r="D10553" s="15" t="s">
        <v>795</v>
      </c>
      <c r="F10553" s="42"/>
    </row>
    <row r="10554" spans="1:6" x14ac:dyDescent="0.3">
      <c r="A10554" s="15" t="s">
        <v>33499</v>
      </c>
      <c r="B10554" s="15" t="s">
        <v>795</v>
      </c>
      <c r="C10554" s="15" t="s">
        <v>795</v>
      </c>
      <c r="D10554" s="15" t="s">
        <v>795</v>
      </c>
      <c r="F10554" s="42"/>
    </row>
    <row r="10555" spans="1:6" x14ac:dyDescent="0.3">
      <c r="A10555" s="15" t="s">
        <v>39251</v>
      </c>
      <c r="B10555" s="15" t="s">
        <v>47010</v>
      </c>
      <c r="C10555" s="15" t="s">
        <v>800</v>
      </c>
      <c r="D10555" s="15" t="s">
        <v>19149</v>
      </c>
      <c r="E10555" s="15">
        <v>121.2722</v>
      </c>
      <c r="F10555" s="42">
        <v>46198</v>
      </c>
    </row>
    <row r="10556" spans="1:6" x14ac:dyDescent="0.3">
      <c r="A10556" s="15" t="s">
        <v>33499</v>
      </c>
      <c r="B10556" s="15" t="s">
        <v>795</v>
      </c>
      <c r="C10556" s="15" t="s">
        <v>795</v>
      </c>
      <c r="D10556" s="15" t="s">
        <v>795</v>
      </c>
      <c r="F10556" s="42"/>
    </row>
    <row r="10557" spans="1:6" x14ac:dyDescent="0.3">
      <c r="A10557" s="15" t="s">
        <v>139</v>
      </c>
      <c r="B10557" s="15" t="s">
        <v>795</v>
      </c>
      <c r="C10557" s="15" t="s">
        <v>795</v>
      </c>
      <c r="D10557" s="15" t="s">
        <v>795</v>
      </c>
      <c r="F10557" s="42"/>
    </row>
    <row r="10558" spans="1:6" x14ac:dyDescent="0.3">
      <c r="A10558" s="15" t="s">
        <v>33499</v>
      </c>
      <c r="B10558" s="15" t="s">
        <v>795</v>
      </c>
      <c r="C10558" s="15" t="s">
        <v>795</v>
      </c>
      <c r="D10558" s="15" t="s">
        <v>795</v>
      </c>
      <c r="F10558" s="42"/>
    </row>
    <row r="10559" spans="1:6" x14ac:dyDescent="0.3">
      <c r="A10559" s="15" t="s">
        <v>39250</v>
      </c>
      <c r="B10559" s="15" t="s">
        <v>19150</v>
      </c>
      <c r="C10559" s="15" t="s">
        <v>800</v>
      </c>
      <c r="D10559" s="15" t="s">
        <v>19151</v>
      </c>
      <c r="E10559" s="15">
        <v>116.3824</v>
      </c>
      <c r="F10559" s="42">
        <v>46198</v>
      </c>
    </row>
    <row r="10560" spans="1:6" x14ac:dyDescent="0.3">
      <c r="A10560" s="15" t="s">
        <v>33499</v>
      </c>
      <c r="B10560" s="15" t="s">
        <v>795</v>
      </c>
      <c r="C10560" s="15" t="s">
        <v>795</v>
      </c>
      <c r="D10560" s="15" t="s">
        <v>795</v>
      </c>
      <c r="F10560" s="42"/>
    </row>
    <row r="10561" spans="1:6" x14ac:dyDescent="0.3">
      <c r="A10561" s="15" t="s">
        <v>37618</v>
      </c>
      <c r="B10561" s="15" t="s">
        <v>795</v>
      </c>
      <c r="C10561" s="15" t="s">
        <v>795</v>
      </c>
      <c r="D10561" s="15" t="s">
        <v>795</v>
      </c>
      <c r="F10561" s="42"/>
    </row>
    <row r="10562" spans="1:6" x14ac:dyDescent="0.3">
      <c r="A10562" s="15" t="s">
        <v>33499</v>
      </c>
      <c r="B10562" s="15" t="s">
        <v>795</v>
      </c>
      <c r="C10562" s="15" t="s">
        <v>795</v>
      </c>
      <c r="D10562" s="15" t="s">
        <v>795</v>
      </c>
      <c r="F10562" s="42"/>
    </row>
    <row r="10563" spans="1:6" x14ac:dyDescent="0.3">
      <c r="A10563" s="15" t="s">
        <v>39249</v>
      </c>
      <c r="B10563" s="15" t="s">
        <v>19152</v>
      </c>
      <c r="C10563" s="15" t="s">
        <v>800</v>
      </c>
      <c r="D10563" s="15" t="s">
        <v>19153</v>
      </c>
      <c r="E10563" s="15">
        <v>125.681</v>
      </c>
      <c r="F10563" s="42">
        <v>46198</v>
      </c>
    </row>
    <row r="10564" spans="1:6" x14ac:dyDescent="0.3">
      <c r="A10564" s="15" t="s">
        <v>33499</v>
      </c>
      <c r="B10564" s="15" t="s">
        <v>795</v>
      </c>
      <c r="C10564" s="15" t="s">
        <v>795</v>
      </c>
      <c r="D10564" s="15" t="s">
        <v>795</v>
      </c>
      <c r="F10564" s="42"/>
    </row>
    <row r="10565" spans="1:6" x14ac:dyDescent="0.3">
      <c r="A10565" s="15" t="s">
        <v>37780</v>
      </c>
      <c r="B10565" s="15" t="s">
        <v>795</v>
      </c>
      <c r="C10565" s="15" t="s">
        <v>795</v>
      </c>
      <c r="D10565" s="15" t="s">
        <v>795</v>
      </c>
      <c r="F10565" s="42"/>
    </row>
    <row r="10566" spans="1:6" x14ac:dyDescent="0.3">
      <c r="A10566" s="15" t="s">
        <v>33499</v>
      </c>
      <c r="B10566" s="15" t="s">
        <v>795</v>
      </c>
      <c r="C10566" s="15" t="s">
        <v>795</v>
      </c>
      <c r="D10566" s="15" t="s">
        <v>795</v>
      </c>
      <c r="F10566" s="42"/>
    </row>
    <row r="10567" spans="1:6" x14ac:dyDescent="0.3">
      <c r="A10567" s="15" t="s">
        <v>39248</v>
      </c>
      <c r="B10567" s="15" t="s">
        <v>19154</v>
      </c>
      <c r="C10567" s="15" t="s">
        <v>800</v>
      </c>
      <c r="D10567" s="15" t="s">
        <v>19155</v>
      </c>
      <c r="E10567" s="15">
        <v>135.60599999999999</v>
      </c>
      <c r="F10567" s="42">
        <v>46198</v>
      </c>
    </row>
    <row r="10568" spans="1:6" x14ac:dyDescent="0.3">
      <c r="A10568" s="15" t="s">
        <v>33499</v>
      </c>
      <c r="B10568" s="15" t="s">
        <v>795</v>
      </c>
      <c r="C10568" s="15" t="s">
        <v>795</v>
      </c>
      <c r="D10568" s="15" t="s">
        <v>795</v>
      </c>
      <c r="F10568" s="42"/>
    </row>
    <row r="10569" spans="1:6" x14ac:dyDescent="0.3">
      <c r="A10569" s="15" t="s">
        <v>37742</v>
      </c>
      <c r="B10569" s="15" t="s">
        <v>795</v>
      </c>
      <c r="C10569" s="15" t="s">
        <v>795</v>
      </c>
      <c r="D10569" s="15" t="s">
        <v>795</v>
      </c>
      <c r="F10569" s="42"/>
    </row>
    <row r="10570" spans="1:6" x14ac:dyDescent="0.3">
      <c r="A10570" s="15" t="s">
        <v>33499</v>
      </c>
      <c r="B10570" s="15" t="s">
        <v>795</v>
      </c>
      <c r="C10570" s="15" t="s">
        <v>795</v>
      </c>
      <c r="D10570" s="15" t="s">
        <v>795</v>
      </c>
      <c r="F10570" s="42"/>
    </row>
    <row r="10571" spans="1:6" x14ac:dyDescent="0.3">
      <c r="A10571" s="15" t="s">
        <v>39247</v>
      </c>
      <c r="B10571" s="15" t="s">
        <v>19156</v>
      </c>
      <c r="C10571" s="15" t="s">
        <v>800</v>
      </c>
      <c r="D10571" s="15" t="s">
        <v>19157</v>
      </c>
      <c r="E10571" s="15">
        <v>138.03980000000001</v>
      </c>
      <c r="F10571" s="42">
        <v>46198</v>
      </c>
    </row>
    <row r="10572" spans="1:6" x14ac:dyDescent="0.3">
      <c r="A10572" s="15" t="s">
        <v>33499</v>
      </c>
      <c r="B10572" s="15" t="s">
        <v>795</v>
      </c>
      <c r="C10572" s="15" t="s">
        <v>795</v>
      </c>
      <c r="D10572" s="15" t="s">
        <v>795</v>
      </c>
      <c r="F10572" s="42"/>
    </row>
    <row r="10573" spans="1:6" x14ac:dyDescent="0.3">
      <c r="A10573" s="15" t="s">
        <v>208</v>
      </c>
      <c r="B10573" s="15" t="s">
        <v>795</v>
      </c>
      <c r="C10573" s="15" t="s">
        <v>795</v>
      </c>
      <c r="D10573" s="15" t="s">
        <v>795</v>
      </c>
      <c r="F10573" s="42"/>
    </row>
    <row r="10574" spans="1:6" x14ac:dyDescent="0.3">
      <c r="A10574" s="15" t="s">
        <v>33499</v>
      </c>
      <c r="B10574" s="15" t="s">
        <v>795</v>
      </c>
      <c r="C10574" s="15" t="s">
        <v>795</v>
      </c>
      <c r="D10574" s="15" t="s">
        <v>795</v>
      </c>
      <c r="F10574" s="42"/>
    </row>
    <row r="10575" spans="1:6" x14ac:dyDescent="0.3">
      <c r="A10575" s="15" t="s">
        <v>39246</v>
      </c>
      <c r="B10575" s="15" t="s">
        <v>19158</v>
      </c>
      <c r="C10575" s="15" t="s">
        <v>800</v>
      </c>
      <c r="D10575" s="15" t="s">
        <v>19159</v>
      </c>
      <c r="E10575" s="15">
        <v>115.3588</v>
      </c>
      <c r="F10575" s="42">
        <v>46198</v>
      </c>
    </row>
    <row r="10576" spans="1:6" x14ac:dyDescent="0.3">
      <c r="A10576" s="15" t="s">
        <v>33499</v>
      </c>
      <c r="B10576" s="15" t="s">
        <v>795</v>
      </c>
      <c r="C10576" s="15" t="s">
        <v>795</v>
      </c>
      <c r="D10576" s="15" t="s">
        <v>795</v>
      </c>
      <c r="F10576" s="42"/>
    </row>
    <row r="10577" spans="1:6" x14ac:dyDescent="0.3">
      <c r="A10577" s="15" t="s">
        <v>37684</v>
      </c>
      <c r="B10577" s="15" t="s">
        <v>795</v>
      </c>
      <c r="C10577" s="15" t="s">
        <v>795</v>
      </c>
      <c r="D10577" s="15" t="s">
        <v>795</v>
      </c>
      <c r="F10577" s="42"/>
    </row>
    <row r="10578" spans="1:6" x14ac:dyDescent="0.3">
      <c r="A10578" s="15" t="s">
        <v>33499</v>
      </c>
      <c r="B10578" s="15" t="s">
        <v>795</v>
      </c>
      <c r="C10578" s="15" t="s">
        <v>795</v>
      </c>
      <c r="D10578" s="15" t="s">
        <v>795</v>
      </c>
      <c r="F10578" s="42"/>
    </row>
    <row r="10579" spans="1:6" x14ac:dyDescent="0.3">
      <c r="A10579" s="15" t="s">
        <v>39245</v>
      </c>
      <c r="B10579" s="15" t="s">
        <v>19160</v>
      </c>
      <c r="C10579" s="15" t="s">
        <v>800</v>
      </c>
      <c r="D10579" s="15" t="s">
        <v>19161</v>
      </c>
      <c r="E10579" s="15">
        <v>115.5317</v>
      </c>
      <c r="F10579" s="42">
        <v>46198</v>
      </c>
    </row>
    <row r="10580" spans="1:6" x14ac:dyDescent="0.3">
      <c r="A10580" s="15" t="s">
        <v>33499</v>
      </c>
      <c r="B10580" s="15" t="s">
        <v>795</v>
      </c>
      <c r="C10580" s="15" t="s">
        <v>795</v>
      </c>
      <c r="D10580" s="15" t="s">
        <v>795</v>
      </c>
      <c r="F10580" s="42"/>
    </row>
    <row r="10581" spans="1:6" x14ac:dyDescent="0.3">
      <c r="A10581" s="15" t="s">
        <v>33636</v>
      </c>
      <c r="B10581" s="15" t="s">
        <v>795</v>
      </c>
      <c r="C10581" s="15" t="s">
        <v>795</v>
      </c>
      <c r="D10581" s="15" t="s">
        <v>795</v>
      </c>
      <c r="F10581" s="42"/>
    </row>
    <row r="10582" spans="1:6" x14ac:dyDescent="0.3">
      <c r="A10582" s="15" t="s">
        <v>33499</v>
      </c>
      <c r="B10582" s="15" t="s">
        <v>795</v>
      </c>
      <c r="C10582" s="15" t="s">
        <v>795</v>
      </c>
      <c r="D10582" s="15" t="s">
        <v>795</v>
      </c>
      <c r="F10582" s="42"/>
    </row>
    <row r="10583" spans="1:6" x14ac:dyDescent="0.3">
      <c r="A10583" s="15" t="s">
        <v>39244</v>
      </c>
      <c r="B10583" s="15" t="s">
        <v>19162</v>
      </c>
      <c r="C10583" s="15" t="s">
        <v>800</v>
      </c>
      <c r="D10583" s="15" t="s">
        <v>19163</v>
      </c>
      <c r="E10583" s="15">
        <v>118.9426</v>
      </c>
      <c r="F10583" s="42">
        <v>46198</v>
      </c>
    </row>
    <row r="10584" spans="1:6" x14ac:dyDescent="0.3">
      <c r="A10584" s="15" t="s">
        <v>33499</v>
      </c>
      <c r="B10584" s="15" t="s">
        <v>795</v>
      </c>
      <c r="C10584" s="15" t="s">
        <v>795</v>
      </c>
      <c r="D10584" s="15" t="s">
        <v>795</v>
      </c>
      <c r="F10584" s="42"/>
    </row>
    <row r="10585" spans="1:6" x14ac:dyDescent="0.3">
      <c r="A10585" s="15" t="s">
        <v>33519</v>
      </c>
      <c r="B10585" s="15" t="s">
        <v>795</v>
      </c>
      <c r="C10585" s="15" t="s">
        <v>795</v>
      </c>
      <c r="D10585" s="15" t="s">
        <v>795</v>
      </c>
      <c r="F10585" s="42"/>
    </row>
    <row r="10586" spans="1:6" x14ac:dyDescent="0.3">
      <c r="A10586" s="15" t="s">
        <v>33499</v>
      </c>
      <c r="B10586" s="15" t="s">
        <v>795</v>
      </c>
      <c r="C10586" s="15" t="s">
        <v>795</v>
      </c>
      <c r="D10586" s="15" t="s">
        <v>795</v>
      </c>
      <c r="F10586" s="42"/>
    </row>
    <row r="10587" spans="1:6" x14ac:dyDescent="0.3">
      <c r="A10587" s="15" t="s">
        <v>39243</v>
      </c>
      <c r="B10587" s="15" t="s">
        <v>19164</v>
      </c>
      <c r="C10587" s="15" t="s">
        <v>800</v>
      </c>
      <c r="D10587" s="15" t="s">
        <v>19165</v>
      </c>
      <c r="E10587" s="15">
        <v>13.5579</v>
      </c>
      <c r="F10587" s="42">
        <v>46198</v>
      </c>
    </row>
    <row r="10588" spans="1:6" x14ac:dyDescent="0.3">
      <c r="A10588" s="15" t="s">
        <v>33499</v>
      </c>
      <c r="B10588" s="15" t="s">
        <v>795</v>
      </c>
      <c r="C10588" s="15" t="s">
        <v>795</v>
      </c>
      <c r="D10588" s="15" t="s">
        <v>795</v>
      </c>
      <c r="F10588" s="42"/>
    </row>
    <row r="10589" spans="1:6" x14ac:dyDescent="0.3">
      <c r="A10589" s="15" t="s">
        <v>39242</v>
      </c>
      <c r="B10589" s="15" t="s">
        <v>795</v>
      </c>
      <c r="C10589" s="15" t="s">
        <v>795</v>
      </c>
      <c r="D10589" s="15" t="s">
        <v>795</v>
      </c>
      <c r="F10589" s="42"/>
    </row>
    <row r="10590" spans="1:6" x14ac:dyDescent="0.3">
      <c r="A10590" s="15" t="s">
        <v>33499</v>
      </c>
      <c r="B10590" s="15" t="s">
        <v>795</v>
      </c>
      <c r="C10590" s="15" t="s">
        <v>795</v>
      </c>
      <c r="D10590" s="15" t="s">
        <v>795</v>
      </c>
      <c r="F10590" s="42"/>
    </row>
    <row r="10591" spans="1:6" x14ac:dyDescent="0.3">
      <c r="A10591" s="15" t="s">
        <v>39241</v>
      </c>
      <c r="B10591" s="15" t="s">
        <v>19166</v>
      </c>
      <c r="C10591" s="15" t="s">
        <v>800</v>
      </c>
      <c r="D10591" s="15" t="s">
        <v>19167</v>
      </c>
      <c r="E10591" s="15">
        <v>139.0326</v>
      </c>
      <c r="F10591" s="42">
        <v>46198</v>
      </c>
    </row>
    <row r="10592" spans="1:6" x14ac:dyDescent="0.3">
      <c r="A10592" s="15" t="s">
        <v>33499</v>
      </c>
      <c r="B10592" s="15" t="s">
        <v>795</v>
      </c>
      <c r="C10592" s="15" t="s">
        <v>795</v>
      </c>
      <c r="D10592" s="15" t="s">
        <v>795</v>
      </c>
      <c r="F10592" s="42"/>
    </row>
    <row r="10593" spans="1:6" x14ac:dyDescent="0.3">
      <c r="A10593" s="15" t="s">
        <v>33504</v>
      </c>
      <c r="B10593" s="15" t="s">
        <v>795</v>
      </c>
      <c r="C10593" s="15" t="s">
        <v>795</v>
      </c>
      <c r="D10593" s="15" t="s">
        <v>795</v>
      </c>
      <c r="F10593" s="42"/>
    </row>
    <row r="10594" spans="1:6" x14ac:dyDescent="0.3">
      <c r="A10594" s="15" t="s">
        <v>33499</v>
      </c>
      <c r="B10594" s="15" t="s">
        <v>795</v>
      </c>
      <c r="C10594" s="15" t="s">
        <v>795</v>
      </c>
      <c r="D10594" s="15" t="s">
        <v>795</v>
      </c>
      <c r="F10594" s="42"/>
    </row>
    <row r="10595" spans="1:6" x14ac:dyDescent="0.3">
      <c r="A10595" s="15" t="s">
        <v>39240</v>
      </c>
      <c r="B10595" s="15" t="s">
        <v>19168</v>
      </c>
      <c r="C10595" s="15" t="s">
        <v>800</v>
      </c>
      <c r="D10595" s="15" t="s">
        <v>19169</v>
      </c>
      <c r="E10595" s="15">
        <v>136.61789999999999</v>
      </c>
      <c r="F10595" s="42">
        <v>46198</v>
      </c>
    </row>
    <row r="10596" spans="1:6" x14ac:dyDescent="0.3">
      <c r="A10596" s="15" t="s">
        <v>33499</v>
      </c>
      <c r="B10596" s="15" t="s">
        <v>795</v>
      </c>
      <c r="C10596" s="15" t="s">
        <v>795</v>
      </c>
      <c r="D10596" s="15" t="s">
        <v>795</v>
      </c>
      <c r="F10596" s="42"/>
    </row>
    <row r="10597" spans="1:6" x14ac:dyDescent="0.3">
      <c r="A10597" s="15" t="s">
        <v>33500</v>
      </c>
      <c r="B10597" s="15" t="s">
        <v>795</v>
      </c>
      <c r="C10597" s="15" t="s">
        <v>795</v>
      </c>
      <c r="D10597" s="15" t="s">
        <v>795</v>
      </c>
      <c r="F10597" s="42"/>
    </row>
    <row r="10598" spans="1:6" x14ac:dyDescent="0.3">
      <c r="A10598" s="15" t="s">
        <v>33499</v>
      </c>
      <c r="B10598" s="15" t="s">
        <v>795</v>
      </c>
      <c r="C10598" s="15" t="s">
        <v>795</v>
      </c>
      <c r="D10598" s="15" t="s">
        <v>795</v>
      </c>
      <c r="F10598" s="42"/>
    </row>
    <row r="10599" spans="1:6" x14ac:dyDescent="0.3">
      <c r="A10599" s="15" t="s">
        <v>39239</v>
      </c>
      <c r="B10599" s="15" t="s">
        <v>19170</v>
      </c>
      <c r="C10599" s="15" t="s">
        <v>800</v>
      </c>
      <c r="D10599" s="15" t="s">
        <v>19171</v>
      </c>
      <c r="E10599" s="15">
        <v>117.33799999999999</v>
      </c>
      <c r="F10599" s="42">
        <v>46198</v>
      </c>
    </row>
    <row r="10600" spans="1:6" x14ac:dyDescent="0.3">
      <c r="A10600" s="15" t="s">
        <v>33499</v>
      </c>
      <c r="B10600" s="15" t="s">
        <v>795</v>
      </c>
      <c r="C10600" s="15" t="s">
        <v>795</v>
      </c>
      <c r="D10600" s="15" t="s">
        <v>795</v>
      </c>
      <c r="F10600" s="42"/>
    </row>
    <row r="10601" spans="1:6" x14ac:dyDescent="0.3">
      <c r="A10601" s="15" t="s">
        <v>37648</v>
      </c>
      <c r="B10601" s="15" t="s">
        <v>795</v>
      </c>
      <c r="C10601" s="15" t="s">
        <v>795</v>
      </c>
      <c r="D10601" s="15" t="s">
        <v>795</v>
      </c>
      <c r="F10601" s="42"/>
    </row>
    <row r="10602" spans="1:6" x14ac:dyDescent="0.3">
      <c r="A10602" s="15" t="s">
        <v>33499</v>
      </c>
      <c r="B10602" s="15" t="s">
        <v>795</v>
      </c>
      <c r="C10602" s="15" t="s">
        <v>795</v>
      </c>
      <c r="D10602" s="15" t="s">
        <v>795</v>
      </c>
      <c r="F10602" s="42"/>
    </row>
    <row r="10603" spans="1:6" x14ac:dyDescent="0.3">
      <c r="A10603" s="15" t="s">
        <v>39238</v>
      </c>
      <c r="B10603" s="15" t="s">
        <v>19172</v>
      </c>
      <c r="C10603" s="15" t="s">
        <v>800</v>
      </c>
      <c r="D10603" s="15" t="s">
        <v>19173</v>
      </c>
      <c r="E10603" s="15">
        <v>21.9451</v>
      </c>
      <c r="F10603" s="42">
        <v>46198</v>
      </c>
    </row>
    <row r="10604" spans="1:6" x14ac:dyDescent="0.3">
      <c r="A10604" s="15" t="s">
        <v>33499</v>
      </c>
      <c r="B10604" s="15" t="s">
        <v>795</v>
      </c>
      <c r="C10604" s="15" t="s">
        <v>795</v>
      </c>
      <c r="D10604" s="15" t="s">
        <v>795</v>
      </c>
      <c r="F10604" s="42"/>
    </row>
    <row r="10605" spans="1:6" x14ac:dyDescent="0.3">
      <c r="A10605" s="15" t="s">
        <v>39237</v>
      </c>
      <c r="B10605" s="15" t="s">
        <v>795</v>
      </c>
      <c r="C10605" s="15" t="s">
        <v>795</v>
      </c>
      <c r="D10605" s="15" t="s">
        <v>795</v>
      </c>
      <c r="F10605" s="42"/>
    </row>
    <row r="10606" spans="1:6" x14ac:dyDescent="0.3">
      <c r="A10606" s="15" t="s">
        <v>33499</v>
      </c>
      <c r="B10606" s="15" t="s">
        <v>795</v>
      </c>
      <c r="C10606" s="15" t="s">
        <v>795</v>
      </c>
      <c r="D10606" s="15" t="s">
        <v>795</v>
      </c>
      <c r="F10606" s="42"/>
    </row>
    <row r="10607" spans="1:6" x14ac:dyDescent="0.3">
      <c r="A10607" s="15" t="s">
        <v>37122</v>
      </c>
      <c r="B10607" s="15" t="s">
        <v>795</v>
      </c>
      <c r="C10607" s="15" t="s">
        <v>795</v>
      </c>
      <c r="D10607" s="15" t="s">
        <v>795</v>
      </c>
      <c r="F10607" s="42"/>
    </row>
    <row r="10608" spans="1:6" x14ac:dyDescent="0.3">
      <c r="A10608" s="15" t="s">
        <v>33499</v>
      </c>
      <c r="B10608" s="15" t="s">
        <v>795</v>
      </c>
      <c r="C10608" s="15" t="s">
        <v>795</v>
      </c>
      <c r="D10608" s="15" t="s">
        <v>795</v>
      </c>
      <c r="F10608" s="42"/>
    </row>
    <row r="10609" spans="1:6" x14ac:dyDescent="0.3">
      <c r="A10609" s="15" t="s">
        <v>39236</v>
      </c>
      <c r="B10609" s="15" t="s">
        <v>19174</v>
      </c>
      <c r="C10609" s="15" t="s">
        <v>800</v>
      </c>
      <c r="D10609" s="15" t="s">
        <v>19175</v>
      </c>
      <c r="E10609" s="15">
        <v>10.5345</v>
      </c>
      <c r="F10609" s="42">
        <v>46198</v>
      </c>
    </row>
    <row r="10610" spans="1:6" x14ac:dyDescent="0.3">
      <c r="A10610" s="15" t="s">
        <v>39235</v>
      </c>
      <c r="B10610" s="15" t="s">
        <v>19176</v>
      </c>
      <c r="C10610" s="15" t="s">
        <v>800</v>
      </c>
      <c r="D10610" s="15" t="s">
        <v>19177</v>
      </c>
      <c r="E10610" s="15">
        <v>10.6036</v>
      </c>
      <c r="F10610" s="42">
        <v>46198</v>
      </c>
    </row>
    <row r="10611" spans="1:6" x14ac:dyDescent="0.3">
      <c r="A10611" s="15" t="s">
        <v>39234</v>
      </c>
      <c r="B10611" s="15" t="s">
        <v>19178</v>
      </c>
      <c r="C10611" s="15" t="s">
        <v>800</v>
      </c>
      <c r="D10611" s="15" t="s">
        <v>19179</v>
      </c>
      <c r="E10611" s="15">
        <v>10.604699999999999</v>
      </c>
      <c r="F10611" s="42">
        <v>46198</v>
      </c>
    </row>
    <row r="10612" spans="1:6" x14ac:dyDescent="0.3">
      <c r="A10612" s="15" t="s">
        <v>39233</v>
      </c>
      <c r="B10612" s="15" t="s">
        <v>19180</v>
      </c>
      <c r="C10612" s="15" t="s">
        <v>800</v>
      </c>
      <c r="D10612" s="15" t="s">
        <v>19181</v>
      </c>
      <c r="E10612" s="15">
        <v>10.5345</v>
      </c>
      <c r="F10612" s="42">
        <v>46198</v>
      </c>
    </row>
    <row r="10613" spans="1:6" x14ac:dyDescent="0.3">
      <c r="A10613" s="15" t="s">
        <v>39232</v>
      </c>
      <c r="B10613" s="15" t="s">
        <v>19182</v>
      </c>
      <c r="C10613" s="15" t="s">
        <v>800</v>
      </c>
      <c r="D10613" s="15" t="s">
        <v>19183</v>
      </c>
      <c r="E10613" s="15">
        <v>10.713699999999999</v>
      </c>
      <c r="F10613" s="42">
        <v>46198</v>
      </c>
    </row>
    <row r="10614" spans="1:6" x14ac:dyDescent="0.3">
      <c r="A10614" s="15" t="s">
        <v>39231</v>
      </c>
      <c r="B10614" s="15" t="s">
        <v>19184</v>
      </c>
      <c r="C10614" s="15" t="s">
        <v>800</v>
      </c>
      <c r="D10614" s="15" t="s">
        <v>19185</v>
      </c>
      <c r="E10614" s="15">
        <v>10.7136</v>
      </c>
      <c r="F10614" s="42">
        <v>46198</v>
      </c>
    </row>
    <row r="10615" spans="1:6" x14ac:dyDescent="0.3">
      <c r="A10615" s="15" t="s">
        <v>39230</v>
      </c>
      <c r="B10615" s="15" t="s">
        <v>19186</v>
      </c>
      <c r="C10615" s="15" t="s">
        <v>800</v>
      </c>
      <c r="D10615" s="15" t="s">
        <v>19187</v>
      </c>
      <c r="E10615" s="15">
        <v>10.6425</v>
      </c>
      <c r="F10615" s="42">
        <v>46198</v>
      </c>
    </row>
    <row r="10616" spans="1:6" x14ac:dyDescent="0.3">
      <c r="A10616" s="15" t="s">
        <v>39229</v>
      </c>
      <c r="B10616" s="15" t="s">
        <v>19188</v>
      </c>
      <c r="C10616" s="15" t="s">
        <v>800</v>
      </c>
      <c r="D10616" s="15" t="s">
        <v>19189</v>
      </c>
      <c r="E10616" s="15">
        <v>10.6425</v>
      </c>
      <c r="F10616" s="42">
        <v>46198</v>
      </c>
    </row>
    <row r="10617" spans="1:6" x14ac:dyDescent="0.3">
      <c r="A10617" s="15" t="s">
        <v>39228</v>
      </c>
      <c r="B10617" s="15" t="s">
        <v>19190</v>
      </c>
      <c r="C10617" s="15" t="s">
        <v>800</v>
      </c>
      <c r="D10617" s="15" t="s">
        <v>19191</v>
      </c>
      <c r="E10617" s="15">
        <v>9.6895000000000007</v>
      </c>
      <c r="F10617" s="42">
        <v>46198</v>
      </c>
    </row>
    <row r="10618" spans="1:6" x14ac:dyDescent="0.3">
      <c r="A10618" s="15" t="s">
        <v>39227</v>
      </c>
      <c r="B10618" s="15" t="s">
        <v>19192</v>
      </c>
      <c r="C10618" s="15" t="s">
        <v>800</v>
      </c>
      <c r="D10618" s="15" t="s">
        <v>19193</v>
      </c>
      <c r="E10618" s="15">
        <v>9.6895000000000007</v>
      </c>
      <c r="F10618" s="42">
        <v>46198</v>
      </c>
    </row>
    <row r="10619" spans="1:6" x14ac:dyDescent="0.3">
      <c r="A10619" s="15" t="s">
        <v>39226</v>
      </c>
      <c r="B10619" s="15" t="s">
        <v>19194</v>
      </c>
      <c r="C10619" s="15" t="s">
        <v>800</v>
      </c>
      <c r="D10619" s="15" t="s">
        <v>19195</v>
      </c>
      <c r="E10619" s="15">
        <v>9.6014999999999997</v>
      </c>
      <c r="F10619" s="42">
        <v>46198</v>
      </c>
    </row>
    <row r="10620" spans="1:6" x14ac:dyDescent="0.3">
      <c r="A10620" s="15" t="s">
        <v>39225</v>
      </c>
      <c r="B10620" s="15" t="s">
        <v>19196</v>
      </c>
      <c r="C10620" s="15" t="s">
        <v>800</v>
      </c>
      <c r="D10620" s="15" t="s">
        <v>19197</v>
      </c>
      <c r="E10620" s="15">
        <v>9.6019000000000005</v>
      </c>
      <c r="F10620" s="42">
        <v>46198</v>
      </c>
    </row>
    <row r="10621" spans="1:6" x14ac:dyDescent="0.3">
      <c r="A10621" s="15" t="s">
        <v>39224</v>
      </c>
      <c r="B10621" s="15" t="s">
        <v>19198</v>
      </c>
      <c r="C10621" s="15" t="s">
        <v>800</v>
      </c>
      <c r="D10621" s="15" t="s">
        <v>19199</v>
      </c>
      <c r="E10621" s="15">
        <v>13.232100000000001</v>
      </c>
      <c r="F10621" s="42">
        <v>46198</v>
      </c>
    </row>
    <row r="10622" spans="1:6" x14ac:dyDescent="0.3">
      <c r="A10622" s="15" t="s">
        <v>39223</v>
      </c>
      <c r="B10622" s="15" t="s">
        <v>19200</v>
      </c>
      <c r="C10622" s="15" t="s">
        <v>800</v>
      </c>
      <c r="D10622" s="15" t="s">
        <v>19201</v>
      </c>
      <c r="E10622" s="15">
        <v>13.229900000000001</v>
      </c>
      <c r="F10622" s="42">
        <v>46198</v>
      </c>
    </row>
    <row r="10623" spans="1:6" x14ac:dyDescent="0.3">
      <c r="A10623" s="15" t="s">
        <v>39222</v>
      </c>
      <c r="B10623" s="15" t="s">
        <v>19202</v>
      </c>
      <c r="C10623" s="15" t="s">
        <v>800</v>
      </c>
      <c r="D10623" s="15" t="s">
        <v>19203</v>
      </c>
      <c r="E10623" s="15">
        <v>13.1571</v>
      </c>
      <c r="F10623" s="42">
        <v>46198</v>
      </c>
    </row>
    <row r="10624" spans="1:6" x14ac:dyDescent="0.3">
      <c r="A10624" s="15" t="s">
        <v>39221</v>
      </c>
      <c r="B10624" s="15" t="s">
        <v>19204</v>
      </c>
      <c r="C10624" s="15" t="s">
        <v>800</v>
      </c>
      <c r="D10624" s="15" t="s">
        <v>19205</v>
      </c>
      <c r="E10624" s="15">
        <v>13.158300000000001</v>
      </c>
      <c r="F10624" s="42">
        <v>46198</v>
      </c>
    </row>
    <row r="10625" spans="1:6" x14ac:dyDescent="0.3">
      <c r="A10625" s="15" t="s">
        <v>39220</v>
      </c>
      <c r="B10625" s="15" t="s">
        <v>19206</v>
      </c>
      <c r="C10625" s="15" t="s">
        <v>800</v>
      </c>
      <c r="D10625" s="15" t="s">
        <v>19207</v>
      </c>
      <c r="E10625" s="15">
        <v>12.597899999999999</v>
      </c>
      <c r="F10625" s="42">
        <v>46142</v>
      </c>
    </row>
    <row r="10626" spans="1:6" x14ac:dyDescent="0.3">
      <c r="A10626" s="15" t="s">
        <v>39219</v>
      </c>
      <c r="B10626" s="15" t="s">
        <v>19208</v>
      </c>
      <c r="C10626" s="15" t="s">
        <v>800</v>
      </c>
      <c r="D10626" s="15" t="s">
        <v>19209</v>
      </c>
      <c r="E10626" s="15">
        <v>10</v>
      </c>
      <c r="F10626" s="42">
        <v>46142</v>
      </c>
    </row>
    <row r="10627" spans="1:6" x14ac:dyDescent="0.3">
      <c r="A10627" s="15" t="s">
        <v>39218</v>
      </c>
      <c r="B10627" s="15" t="s">
        <v>19210</v>
      </c>
      <c r="C10627" s="15" t="s">
        <v>800</v>
      </c>
      <c r="D10627" s="15" t="s">
        <v>19211</v>
      </c>
      <c r="E10627" s="15">
        <v>12.498699999999999</v>
      </c>
      <c r="F10627" s="42">
        <v>46142</v>
      </c>
    </row>
    <row r="10628" spans="1:6" x14ac:dyDescent="0.3">
      <c r="A10628" s="15" t="s">
        <v>39217</v>
      </c>
      <c r="B10628" s="15" t="s">
        <v>19212</v>
      </c>
      <c r="C10628" s="15" t="s">
        <v>800</v>
      </c>
      <c r="D10628" s="15" t="s">
        <v>19213</v>
      </c>
      <c r="E10628" s="15">
        <v>10</v>
      </c>
      <c r="F10628" s="42">
        <v>46142</v>
      </c>
    </row>
    <row r="10629" spans="1:6" x14ac:dyDescent="0.3">
      <c r="A10629" s="15" t="s">
        <v>39216</v>
      </c>
      <c r="B10629" s="15" t="s">
        <v>19214</v>
      </c>
      <c r="C10629" s="15" t="s">
        <v>800</v>
      </c>
      <c r="D10629" s="15" t="s">
        <v>19215</v>
      </c>
      <c r="E10629" s="15">
        <v>13.012</v>
      </c>
      <c r="F10629" s="42">
        <v>46198</v>
      </c>
    </row>
    <row r="10630" spans="1:6" x14ac:dyDescent="0.3">
      <c r="A10630" s="15" t="s">
        <v>39215</v>
      </c>
      <c r="B10630" s="15" t="s">
        <v>19216</v>
      </c>
      <c r="C10630" s="15" t="s">
        <v>800</v>
      </c>
      <c r="D10630" s="15" t="s">
        <v>19217</v>
      </c>
      <c r="E10630" s="15">
        <v>13.014200000000001</v>
      </c>
      <c r="F10630" s="42">
        <v>46198</v>
      </c>
    </row>
    <row r="10631" spans="1:6" x14ac:dyDescent="0.3">
      <c r="A10631" s="15" t="s">
        <v>39214</v>
      </c>
      <c r="B10631" s="15" t="s">
        <v>19218</v>
      </c>
      <c r="C10631" s="15" t="s">
        <v>800</v>
      </c>
      <c r="D10631" s="15" t="s">
        <v>19219</v>
      </c>
      <c r="E10631" s="15">
        <v>12.919499999999999</v>
      </c>
      <c r="F10631" s="42">
        <v>46198</v>
      </c>
    </row>
    <row r="10632" spans="1:6" x14ac:dyDescent="0.3">
      <c r="A10632" s="15" t="s">
        <v>39213</v>
      </c>
      <c r="B10632" s="15" t="s">
        <v>19220</v>
      </c>
      <c r="C10632" s="15" t="s">
        <v>800</v>
      </c>
      <c r="D10632" s="15" t="s">
        <v>19221</v>
      </c>
      <c r="E10632" s="15">
        <v>12.915800000000001</v>
      </c>
      <c r="F10632" s="42">
        <v>46198</v>
      </c>
    </row>
    <row r="10633" spans="1:6" x14ac:dyDescent="0.3">
      <c r="A10633" s="15" t="s">
        <v>39212</v>
      </c>
      <c r="B10633" s="15" t="s">
        <v>19222</v>
      </c>
      <c r="C10633" s="15" t="s">
        <v>800</v>
      </c>
      <c r="D10633" s="15" t="s">
        <v>19223</v>
      </c>
      <c r="E10633" s="15">
        <v>10.686299999999999</v>
      </c>
      <c r="F10633" s="42">
        <v>46198</v>
      </c>
    </row>
    <row r="10634" spans="1:6" x14ac:dyDescent="0.3">
      <c r="A10634" s="15" t="s">
        <v>39211</v>
      </c>
      <c r="B10634" s="15" t="s">
        <v>19224</v>
      </c>
      <c r="C10634" s="15" t="s">
        <v>800</v>
      </c>
      <c r="D10634" s="15" t="s">
        <v>19225</v>
      </c>
      <c r="E10634" s="15">
        <v>13.2758</v>
      </c>
      <c r="F10634" s="42">
        <v>46198</v>
      </c>
    </row>
    <row r="10635" spans="1:6" x14ac:dyDescent="0.3">
      <c r="A10635" s="15" t="s">
        <v>39210</v>
      </c>
      <c r="B10635" s="15" t="s">
        <v>19226</v>
      </c>
      <c r="C10635" s="15" t="s">
        <v>800</v>
      </c>
      <c r="D10635" s="15" t="s">
        <v>19227</v>
      </c>
      <c r="E10635" s="15">
        <v>10.588699999999999</v>
      </c>
      <c r="F10635" s="42">
        <v>46198</v>
      </c>
    </row>
    <row r="10636" spans="1:6" x14ac:dyDescent="0.3">
      <c r="A10636" s="15" t="s">
        <v>39209</v>
      </c>
      <c r="B10636" s="15" t="s">
        <v>19228</v>
      </c>
      <c r="C10636" s="15" t="s">
        <v>800</v>
      </c>
      <c r="D10636" s="15" t="s">
        <v>19229</v>
      </c>
      <c r="E10636" s="15">
        <v>13.3558</v>
      </c>
      <c r="F10636" s="42">
        <v>46198</v>
      </c>
    </row>
    <row r="10637" spans="1:6" x14ac:dyDescent="0.3">
      <c r="A10637" s="15" t="s">
        <v>39208</v>
      </c>
      <c r="B10637" s="15" t="s">
        <v>19230</v>
      </c>
      <c r="C10637" s="15" t="s">
        <v>800</v>
      </c>
      <c r="D10637" s="15" t="s">
        <v>19231</v>
      </c>
      <c r="E10637" s="15">
        <v>12.592499999999999</v>
      </c>
      <c r="F10637" s="42">
        <v>46198</v>
      </c>
    </row>
    <row r="10638" spans="1:6" x14ac:dyDescent="0.3">
      <c r="A10638" s="15" t="s">
        <v>39207</v>
      </c>
      <c r="B10638" s="15" t="s">
        <v>19232</v>
      </c>
      <c r="C10638" s="15" t="s">
        <v>800</v>
      </c>
      <c r="D10638" s="15" t="s">
        <v>19233</v>
      </c>
      <c r="E10638" s="15">
        <v>12.596</v>
      </c>
      <c r="F10638" s="42">
        <v>46198</v>
      </c>
    </row>
    <row r="10639" spans="1:6" x14ac:dyDescent="0.3">
      <c r="A10639" s="15" t="s">
        <v>39206</v>
      </c>
      <c r="B10639" s="15" t="s">
        <v>19234</v>
      </c>
      <c r="C10639" s="15" t="s">
        <v>800</v>
      </c>
      <c r="D10639" s="15" t="s">
        <v>19235</v>
      </c>
      <c r="E10639" s="15">
        <v>12.487</v>
      </c>
      <c r="F10639" s="42">
        <v>46198</v>
      </c>
    </row>
    <row r="10640" spans="1:6" x14ac:dyDescent="0.3">
      <c r="A10640" s="15" t="s">
        <v>39205</v>
      </c>
      <c r="B10640" s="15" t="s">
        <v>19236</v>
      </c>
      <c r="C10640" s="15" t="s">
        <v>800</v>
      </c>
      <c r="D10640" s="15" t="s">
        <v>19237</v>
      </c>
      <c r="E10640" s="15">
        <v>12.4864</v>
      </c>
      <c r="F10640" s="42">
        <v>46198</v>
      </c>
    </row>
    <row r="10641" spans="1:6" x14ac:dyDescent="0.3">
      <c r="A10641" s="15" t="s">
        <v>39204</v>
      </c>
      <c r="B10641" s="15" t="s">
        <v>19238</v>
      </c>
      <c r="C10641" s="15" t="s">
        <v>800</v>
      </c>
      <c r="D10641" s="15" t="s">
        <v>19239</v>
      </c>
      <c r="E10641" s="15">
        <v>12.1746</v>
      </c>
      <c r="F10641" s="42">
        <v>46198</v>
      </c>
    </row>
    <row r="10642" spans="1:6" x14ac:dyDescent="0.3">
      <c r="A10642" s="15" t="s">
        <v>39203</v>
      </c>
      <c r="B10642" s="15" t="s">
        <v>19240</v>
      </c>
      <c r="C10642" s="15" t="s">
        <v>800</v>
      </c>
      <c r="D10642" s="15" t="s">
        <v>19241</v>
      </c>
      <c r="E10642" s="15">
        <v>12.174300000000001</v>
      </c>
      <c r="F10642" s="42">
        <v>46198</v>
      </c>
    </row>
    <row r="10643" spans="1:6" x14ac:dyDescent="0.3">
      <c r="A10643" s="15" t="s">
        <v>39202</v>
      </c>
      <c r="B10643" s="15" t="s">
        <v>19242</v>
      </c>
      <c r="C10643" s="15" t="s">
        <v>800</v>
      </c>
      <c r="D10643" s="15" t="s">
        <v>19243</v>
      </c>
      <c r="E10643" s="15">
        <v>12.102</v>
      </c>
      <c r="F10643" s="42">
        <v>46198</v>
      </c>
    </row>
    <row r="10644" spans="1:6" x14ac:dyDescent="0.3">
      <c r="A10644" s="15" t="s">
        <v>39201</v>
      </c>
      <c r="B10644" s="15" t="s">
        <v>19244</v>
      </c>
      <c r="C10644" s="15" t="s">
        <v>800</v>
      </c>
      <c r="D10644" s="15" t="s">
        <v>19245</v>
      </c>
      <c r="E10644" s="15">
        <v>12.1022</v>
      </c>
      <c r="F10644" s="42">
        <v>46198</v>
      </c>
    </row>
    <row r="10645" spans="1:6" x14ac:dyDescent="0.3">
      <c r="A10645" s="15" t="s">
        <v>39200</v>
      </c>
      <c r="B10645" s="15" t="s">
        <v>19246</v>
      </c>
      <c r="C10645" s="15" t="s">
        <v>800</v>
      </c>
      <c r="D10645" s="15" t="s">
        <v>19247</v>
      </c>
      <c r="E10645" s="15">
        <v>11.588699999999999</v>
      </c>
      <c r="F10645" s="42">
        <v>46198</v>
      </c>
    </row>
    <row r="10646" spans="1:6" x14ac:dyDescent="0.3">
      <c r="A10646" s="15" t="s">
        <v>39199</v>
      </c>
      <c r="B10646" s="15" t="s">
        <v>19248</v>
      </c>
      <c r="C10646" s="15" t="s">
        <v>800</v>
      </c>
      <c r="D10646" s="15" t="s">
        <v>19249</v>
      </c>
      <c r="E10646" s="15">
        <v>11.5893</v>
      </c>
      <c r="F10646" s="42">
        <v>46198</v>
      </c>
    </row>
    <row r="10647" spans="1:6" x14ac:dyDescent="0.3">
      <c r="A10647" s="15" t="s">
        <v>39198</v>
      </c>
      <c r="B10647" s="15" t="s">
        <v>19250</v>
      </c>
      <c r="C10647" s="15" t="s">
        <v>800</v>
      </c>
      <c r="D10647" s="15" t="s">
        <v>19251</v>
      </c>
      <c r="E10647" s="15">
        <v>11.527200000000001</v>
      </c>
      <c r="F10647" s="42">
        <v>46198</v>
      </c>
    </row>
    <row r="10648" spans="1:6" x14ac:dyDescent="0.3">
      <c r="A10648" s="15" t="s">
        <v>39197</v>
      </c>
      <c r="B10648" s="15" t="s">
        <v>19252</v>
      </c>
      <c r="C10648" s="15" t="s">
        <v>800</v>
      </c>
      <c r="D10648" s="15" t="s">
        <v>19253</v>
      </c>
      <c r="E10648" s="15">
        <v>11.527200000000001</v>
      </c>
      <c r="F10648" s="42">
        <v>46198</v>
      </c>
    </row>
    <row r="10649" spans="1:6" x14ac:dyDescent="0.3">
      <c r="A10649" s="15" t="s">
        <v>39196</v>
      </c>
      <c r="B10649" s="15" t="s">
        <v>19254</v>
      </c>
      <c r="C10649" s="15" t="s">
        <v>800</v>
      </c>
      <c r="D10649" s="15" t="s">
        <v>19255</v>
      </c>
      <c r="E10649" s="15">
        <v>10</v>
      </c>
      <c r="F10649" s="42">
        <v>46142</v>
      </c>
    </row>
    <row r="10650" spans="1:6" x14ac:dyDescent="0.3">
      <c r="A10650" s="15" t="s">
        <v>39195</v>
      </c>
      <c r="B10650" s="15" t="s">
        <v>19256</v>
      </c>
      <c r="C10650" s="15" t="s">
        <v>800</v>
      </c>
      <c r="D10650" s="15" t="s">
        <v>19257</v>
      </c>
      <c r="E10650" s="15">
        <v>12.789400000000001</v>
      </c>
      <c r="F10650" s="42">
        <v>46142</v>
      </c>
    </row>
    <row r="10651" spans="1:6" x14ac:dyDescent="0.3">
      <c r="A10651" s="15" t="s">
        <v>39194</v>
      </c>
      <c r="B10651" s="15" t="s">
        <v>19258</v>
      </c>
      <c r="C10651" s="15" t="s">
        <v>800</v>
      </c>
      <c r="D10651" s="15" t="s">
        <v>19259</v>
      </c>
      <c r="E10651" s="15">
        <v>12.717499999999999</v>
      </c>
      <c r="F10651" s="42">
        <v>46142</v>
      </c>
    </row>
    <row r="10652" spans="1:6" x14ac:dyDescent="0.3">
      <c r="A10652" s="15" t="s">
        <v>39193</v>
      </c>
      <c r="B10652" s="15" t="s">
        <v>19260</v>
      </c>
      <c r="C10652" s="15" t="s">
        <v>800</v>
      </c>
      <c r="D10652" s="15" t="s">
        <v>19261</v>
      </c>
      <c r="E10652" s="15">
        <v>10</v>
      </c>
      <c r="F10652" s="42">
        <v>46142</v>
      </c>
    </row>
    <row r="10653" spans="1:6" x14ac:dyDescent="0.3">
      <c r="A10653" s="15" t="s">
        <v>39192</v>
      </c>
      <c r="B10653" s="15" t="s">
        <v>19262</v>
      </c>
      <c r="C10653" s="15" t="s">
        <v>800</v>
      </c>
      <c r="D10653" s="15" t="s">
        <v>19263</v>
      </c>
      <c r="E10653" s="15">
        <v>12.9655</v>
      </c>
      <c r="F10653" s="42">
        <v>46198</v>
      </c>
    </row>
    <row r="10654" spans="1:6" x14ac:dyDescent="0.3">
      <c r="A10654" s="15" t="s">
        <v>39191</v>
      </c>
      <c r="B10654" s="15" t="s">
        <v>19264</v>
      </c>
      <c r="C10654" s="15" t="s">
        <v>800</v>
      </c>
      <c r="D10654" s="15" t="s">
        <v>19265</v>
      </c>
      <c r="E10654" s="15">
        <v>12.967700000000001</v>
      </c>
      <c r="F10654" s="42">
        <v>46198</v>
      </c>
    </row>
    <row r="10655" spans="1:6" x14ac:dyDescent="0.3">
      <c r="A10655" s="15" t="s">
        <v>39190</v>
      </c>
      <c r="B10655" s="15" t="s">
        <v>19266</v>
      </c>
      <c r="C10655" s="15" t="s">
        <v>800</v>
      </c>
      <c r="D10655" s="15" t="s">
        <v>19267</v>
      </c>
      <c r="E10655" s="15">
        <v>12.8103</v>
      </c>
      <c r="F10655" s="42">
        <v>46198</v>
      </c>
    </row>
    <row r="10656" spans="1:6" x14ac:dyDescent="0.3">
      <c r="A10656" s="15" t="s">
        <v>39189</v>
      </c>
      <c r="B10656" s="15" t="s">
        <v>19268</v>
      </c>
      <c r="C10656" s="15" t="s">
        <v>800</v>
      </c>
      <c r="D10656" s="15" t="s">
        <v>19269</v>
      </c>
      <c r="E10656" s="15">
        <v>12.810499999999999</v>
      </c>
      <c r="F10656" s="42">
        <v>46198</v>
      </c>
    </row>
    <row r="10657" spans="1:6" x14ac:dyDescent="0.3">
      <c r="A10657" s="15" t="s">
        <v>39188</v>
      </c>
      <c r="B10657" s="15" t="s">
        <v>19270</v>
      </c>
      <c r="C10657" s="15" t="s">
        <v>800</v>
      </c>
      <c r="D10657" s="15" t="s">
        <v>19271</v>
      </c>
      <c r="E10657" s="15">
        <v>11.263</v>
      </c>
      <c r="F10657" s="42">
        <v>46198</v>
      </c>
    </row>
    <row r="10658" spans="1:6" x14ac:dyDescent="0.3">
      <c r="A10658" s="15" t="s">
        <v>39187</v>
      </c>
      <c r="B10658" s="15" t="s">
        <v>19272</v>
      </c>
      <c r="C10658" s="15" t="s">
        <v>800</v>
      </c>
      <c r="D10658" s="15" t="s">
        <v>19273</v>
      </c>
      <c r="E10658" s="15">
        <v>11.263199999999999</v>
      </c>
      <c r="F10658" s="42">
        <v>46198</v>
      </c>
    </row>
    <row r="10659" spans="1:6" x14ac:dyDescent="0.3">
      <c r="A10659" s="15" t="s">
        <v>39186</v>
      </c>
      <c r="B10659" s="15" t="s">
        <v>19274</v>
      </c>
      <c r="C10659" s="15" t="s">
        <v>800</v>
      </c>
      <c r="D10659" s="15" t="s">
        <v>19275</v>
      </c>
      <c r="E10659" s="15">
        <v>11.226100000000001</v>
      </c>
      <c r="F10659" s="42">
        <v>46198</v>
      </c>
    </row>
    <row r="10660" spans="1:6" x14ac:dyDescent="0.3">
      <c r="A10660" s="15" t="s">
        <v>39185</v>
      </c>
      <c r="B10660" s="15" t="s">
        <v>19276</v>
      </c>
      <c r="C10660" s="15" t="s">
        <v>800</v>
      </c>
      <c r="D10660" s="15" t="s">
        <v>19277</v>
      </c>
      <c r="E10660" s="15">
        <v>11.226100000000001</v>
      </c>
      <c r="F10660" s="42">
        <v>46198</v>
      </c>
    </row>
    <row r="10661" spans="1:6" x14ac:dyDescent="0.3">
      <c r="A10661" s="15" t="s">
        <v>39184</v>
      </c>
      <c r="B10661" s="15" t="s">
        <v>19278</v>
      </c>
      <c r="C10661" s="15" t="s">
        <v>800</v>
      </c>
      <c r="D10661" s="15" t="s">
        <v>19279</v>
      </c>
      <c r="E10661" s="15">
        <v>11.365399999999999</v>
      </c>
      <c r="F10661" s="42">
        <v>46198</v>
      </c>
    </row>
    <row r="10662" spans="1:6" x14ac:dyDescent="0.3">
      <c r="A10662" s="15" t="s">
        <v>39183</v>
      </c>
      <c r="B10662" s="15" t="s">
        <v>19280</v>
      </c>
      <c r="C10662" s="15" t="s">
        <v>800</v>
      </c>
      <c r="D10662" s="15" t="s">
        <v>19281</v>
      </c>
      <c r="E10662" s="15">
        <v>11.365399999999999</v>
      </c>
      <c r="F10662" s="42">
        <v>46198</v>
      </c>
    </row>
    <row r="10663" spans="1:6" x14ac:dyDescent="0.3">
      <c r="A10663" s="15" t="s">
        <v>39182</v>
      </c>
      <c r="B10663" s="15" t="s">
        <v>19282</v>
      </c>
      <c r="C10663" s="15" t="s">
        <v>800</v>
      </c>
      <c r="D10663" s="15" t="s">
        <v>19283</v>
      </c>
      <c r="E10663" s="15">
        <v>11.3108</v>
      </c>
      <c r="F10663" s="42">
        <v>46198</v>
      </c>
    </row>
    <row r="10664" spans="1:6" x14ac:dyDescent="0.3">
      <c r="A10664" s="15" t="s">
        <v>39181</v>
      </c>
      <c r="B10664" s="15" t="s">
        <v>19284</v>
      </c>
      <c r="C10664" s="15" t="s">
        <v>800</v>
      </c>
      <c r="D10664" s="15" t="s">
        <v>19285</v>
      </c>
      <c r="E10664" s="15">
        <v>11.3108</v>
      </c>
      <c r="F10664" s="42">
        <v>46198</v>
      </c>
    </row>
    <row r="10665" spans="1:6" x14ac:dyDescent="0.3">
      <c r="A10665" s="15" t="s">
        <v>39180</v>
      </c>
      <c r="B10665" s="15" t="s">
        <v>19286</v>
      </c>
      <c r="C10665" s="15" t="s">
        <v>800</v>
      </c>
      <c r="D10665" s="15" t="s">
        <v>19287</v>
      </c>
      <c r="E10665" s="15">
        <v>11.091900000000001</v>
      </c>
      <c r="F10665" s="42">
        <v>46198</v>
      </c>
    </row>
    <row r="10666" spans="1:6" x14ac:dyDescent="0.3">
      <c r="A10666" s="15" t="s">
        <v>39179</v>
      </c>
      <c r="B10666" s="15" t="s">
        <v>19288</v>
      </c>
      <c r="C10666" s="15" t="s">
        <v>800</v>
      </c>
      <c r="D10666" s="15" t="s">
        <v>19289</v>
      </c>
      <c r="E10666" s="15">
        <v>11.128500000000001</v>
      </c>
      <c r="F10666" s="42">
        <v>46198</v>
      </c>
    </row>
    <row r="10667" spans="1:6" x14ac:dyDescent="0.3">
      <c r="A10667" s="15" t="s">
        <v>39178</v>
      </c>
      <c r="B10667" s="15" t="s">
        <v>19290</v>
      </c>
      <c r="C10667" s="15" t="s">
        <v>800</v>
      </c>
      <c r="D10667" s="15" t="s">
        <v>19291</v>
      </c>
      <c r="E10667" s="15">
        <v>11.1286</v>
      </c>
      <c r="F10667" s="42">
        <v>46198</v>
      </c>
    </row>
    <row r="10668" spans="1:6" x14ac:dyDescent="0.3">
      <c r="A10668" s="15" t="s">
        <v>39177</v>
      </c>
      <c r="B10668" s="15" t="s">
        <v>19292</v>
      </c>
      <c r="C10668" s="15" t="s">
        <v>800</v>
      </c>
      <c r="D10668" s="15" t="s">
        <v>19293</v>
      </c>
      <c r="E10668" s="15">
        <v>11.091900000000001</v>
      </c>
      <c r="F10668" s="42">
        <v>46198</v>
      </c>
    </row>
    <row r="10669" spans="1:6" x14ac:dyDescent="0.3">
      <c r="A10669" s="15" t="s">
        <v>39176</v>
      </c>
      <c r="B10669" s="15" t="s">
        <v>19294</v>
      </c>
      <c r="C10669" s="15" t="s">
        <v>800</v>
      </c>
      <c r="D10669" s="15" t="s">
        <v>19295</v>
      </c>
      <c r="E10669" s="15">
        <v>10.899699999999999</v>
      </c>
      <c r="F10669" s="42">
        <v>46198</v>
      </c>
    </row>
    <row r="10670" spans="1:6" x14ac:dyDescent="0.3">
      <c r="A10670" s="15" t="s">
        <v>39175</v>
      </c>
      <c r="B10670" s="15" t="s">
        <v>19296</v>
      </c>
      <c r="C10670" s="15" t="s">
        <v>800</v>
      </c>
      <c r="D10670" s="15" t="s">
        <v>19297</v>
      </c>
      <c r="E10670" s="15">
        <v>10.900499999999999</v>
      </c>
      <c r="F10670" s="42">
        <v>46198</v>
      </c>
    </row>
    <row r="10671" spans="1:6" x14ac:dyDescent="0.3">
      <c r="A10671" s="15" t="s">
        <v>39174</v>
      </c>
      <c r="B10671" s="15" t="s">
        <v>19298</v>
      </c>
      <c r="C10671" s="15" t="s">
        <v>800</v>
      </c>
      <c r="D10671" s="15" t="s">
        <v>19299</v>
      </c>
      <c r="E10671" s="15">
        <v>10.8725</v>
      </c>
      <c r="F10671" s="42">
        <v>46198</v>
      </c>
    </row>
    <row r="10672" spans="1:6" x14ac:dyDescent="0.3">
      <c r="A10672" s="15" t="s">
        <v>39173</v>
      </c>
      <c r="B10672" s="15" t="s">
        <v>19300</v>
      </c>
      <c r="C10672" s="15" t="s">
        <v>800</v>
      </c>
      <c r="D10672" s="15" t="s">
        <v>19301</v>
      </c>
      <c r="E10672" s="15">
        <v>18.873100000000001</v>
      </c>
      <c r="F10672" s="42">
        <v>46198</v>
      </c>
    </row>
    <row r="10673" spans="1:6" x14ac:dyDescent="0.3">
      <c r="A10673" s="15" t="s">
        <v>39172</v>
      </c>
      <c r="B10673" s="15" t="s">
        <v>19302</v>
      </c>
      <c r="C10673" s="15" t="s">
        <v>19303</v>
      </c>
      <c r="D10673" s="15" t="s">
        <v>19304</v>
      </c>
      <c r="E10673" s="15">
        <v>18.873200000000001</v>
      </c>
      <c r="F10673" s="42">
        <v>46198</v>
      </c>
    </row>
    <row r="10674" spans="1:6" x14ac:dyDescent="0.3">
      <c r="A10674" s="15" t="s">
        <v>39171</v>
      </c>
      <c r="B10674" s="15" t="s">
        <v>19305</v>
      </c>
      <c r="C10674" s="15" t="s">
        <v>800</v>
      </c>
      <c r="D10674" s="15" t="s">
        <v>19306</v>
      </c>
      <c r="E10674" s="15">
        <v>18.281300000000002</v>
      </c>
      <c r="F10674" s="42">
        <v>46198</v>
      </c>
    </row>
    <row r="10675" spans="1:6" x14ac:dyDescent="0.3">
      <c r="A10675" s="15" t="s">
        <v>39170</v>
      </c>
      <c r="B10675" s="15" t="s">
        <v>19307</v>
      </c>
      <c r="C10675" s="15" t="s">
        <v>19308</v>
      </c>
      <c r="D10675" s="15" t="s">
        <v>19309</v>
      </c>
      <c r="E10675" s="15">
        <v>18.281099999999999</v>
      </c>
      <c r="F10675" s="42">
        <v>46198</v>
      </c>
    </row>
    <row r="10676" spans="1:6" x14ac:dyDescent="0.3">
      <c r="A10676" s="15" t="s">
        <v>39169</v>
      </c>
      <c r="B10676" s="15" t="s">
        <v>19310</v>
      </c>
      <c r="C10676" s="15" t="s">
        <v>800</v>
      </c>
      <c r="D10676" s="15" t="s">
        <v>19311</v>
      </c>
      <c r="E10676" s="15">
        <v>250.66309999999999</v>
      </c>
      <c r="F10676" s="42">
        <v>46198</v>
      </c>
    </row>
    <row r="10677" spans="1:6" x14ac:dyDescent="0.3">
      <c r="A10677" s="15" t="s">
        <v>39168</v>
      </c>
      <c r="B10677" s="15" t="s">
        <v>19312</v>
      </c>
      <c r="C10677" s="15" t="s">
        <v>800</v>
      </c>
      <c r="D10677" s="15" t="s">
        <v>19313</v>
      </c>
      <c r="E10677" s="15">
        <v>244.60050000000001</v>
      </c>
      <c r="F10677" s="42">
        <v>46198</v>
      </c>
    </row>
    <row r="10678" spans="1:6" x14ac:dyDescent="0.3">
      <c r="A10678" s="15" t="s">
        <v>39167</v>
      </c>
      <c r="B10678" s="15" t="s">
        <v>19314</v>
      </c>
      <c r="C10678" s="15" t="s">
        <v>800</v>
      </c>
      <c r="D10678" s="15" t="s">
        <v>19315</v>
      </c>
      <c r="E10678" s="15">
        <v>25.392900000000001</v>
      </c>
      <c r="F10678" s="42">
        <v>46198</v>
      </c>
    </row>
    <row r="10679" spans="1:6" x14ac:dyDescent="0.3">
      <c r="A10679" s="15" t="s">
        <v>39166</v>
      </c>
      <c r="B10679" s="15" t="s">
        <v>19316</v>
      </c>
      <c r="C10679" s="15" t="s">
        <v>19317</v>
      </c>
      <c r="D10679" s="15" t="s">
        <v>19318</v>
      </c>
      <c r="E10679" s="15">
        <v>24.492799999999999</v>
      </c>
      <c r="F10679" s="42">
        <v>46198</v>
      </c>
    </row>
    <row r="10680" spans="1:6" x14ac:dyDescent="0.3">
      <c r="A10680" s="15" t="s">
        <v>39165</v>
      </c>
      <c r="B10680" s="15" t="s">
        <v>19319</v>
      </c>
      <c r="C10680" s="15" t="s">
        <v>800</v>
      </c>
      <c r="D10680" s="15" t="s">
        <v>19320</v>
      </c>
      <c r="E10680" s="15">
        <v>13.438700000000001</v>
      </c>
      <c r="F10680" s="42">
        <v>46198</v>
      </c>
    </row>
    <row r="10681" spans="1:6" x14ac:dyDescent="0.3">
      <c r="A10681" s="15" t="s">
        <v>39164</v>
      </c>
      <c r="B10681" s="15" t="s">
        <v>19321</v>
      </c>
      <c r="C10681" s="15" t="s">
        <v>800</v>
      </c>
      <c r="D10681" s="15" t="s">
        <v>19322</v>
      </c>
      <c r="E10681" s="15">
        <v>13.4392</v>
      </c>
      <c r="F10681" s="42">
        <v>46198</v>
      </c>
    </row>
    <row r="10682" spans="1:6" x14ac:dyDescent="0.3">
      <c r="A10682" s="15" t="s">
        <v>39163</v>
      </c>
      <c r="B10682" s="15" t="s">
        <v>19323</v>
      </c>
      <c r="C10682" s="15" t="s">
        <v>800</v>
      </c>
      <c r="D10682" s="15" t="s">
        <v>19324</v>
      </c>
      <c r="E10682" s="15">
        <v>13.257999999999999</v>
      </c>
      <c r="F10682" s="42">
        <v>46198</v>
      </c>
    </row>
    <row r="10683" spans="1:6" x14ac:dyDescent="0.3">
      <c r="A10683" s="15" t="s">
        <v>39162</v>
      </c>
      <c r="B10683" s="15" t="s">
        <v>19325</v>
      </c>
      <c r="C10683" s="15" t="s">
        <v>800</v>
      </c>
      <c r="D10683" s="15" t="s">
        <v>19326</v>
      </c>
      <c r="E10683" s="15">
        <v>13.2606</v>
      </c>
      <c r="F10683" s="42">
        <v>46198</v>
      </c>
    </row>
    <row r="10684" spans="1:6" x14ac:dyDescent="0.3">
      <c r="A10684" s="15" t="s">
        <v>39161</v>
      </c>
      <c r="B10684" s="15" t="s">
        <v>19327</v>
      </c>
      <c r="C10684" s="15" t="s">
        <v>19328</v>
      </c>
      <c r="D10684" s="15" t="s">
        <v>19329</v>
      </c>
      <c r="E10684" s="15">
        <v>25.713100000000001</v>
      </c>
      <c r="F10684" s="42">
        <v>46198</v>
      </c>
    </row>
    <row r="10685" spans="1:6" x14ac:dyDescent="0.3">
      <c r="A10685" s="15" t="s">
        <v>39160</v>
      </c>
      <c r="B10685" s="15" t="s">
        <v>19330</v>
      </c>
      <c r="C10685" s="15" t="s">
        <v>19331</v>
      </c>
      <c r="D10685" s="15" t="s">
        <v>19332</v>
      </c>
      <c r="E10685" s="15">
        <v>24.899000000000001</v>
      </c>
      <c r="F10685" s="42">
        <v>46198</v>
      </c>
    </row>
    <row r="10686" spans="1:6" x14ac:dyDescent="0.3">
      <c r="A10686" s="15" t="s">
        <v>39159</v>
      </c>
      <c r="B10686" s="15" t="s">
        <v>19333</v>
      </c>
      <c r="C10686" s="15" t="s">
        <v>800</v>
      </c>
      <c r="D10686" s="15" t="s">
        <v>19334</v>
      </c>
      <c r="E10686" s="15">
        <v>25.7135</v>
      </c>
      <c r="F10686" s="42">
        <v>46198</v>
      </c>
    </row>
    <row r="10687" spans="1:6" x14ac:dyDescent="0.3">
      <c r="A10687" s="15" t="s">
        <v>39158</v>
      </c>
      <c r="B10687" s="15" t="s">
        <v>19335</v>
      </c>
      <c r="C10687" s="15" t="s">
        <v>800</v>
      </c>
      <c r="D10687" s="15" t="s">
        <v>19336</v>
      </c>
      <c r="E10687" s="15">
        <v>24.902899999999999</v>
      </c>
      <c r="F10687" s="42">
        <v>46198</v>
      </c>
    </row>
    <row r="10688" spans="1:6" x14ac:dyDescent="0.3">
      <c r="A10688" s="15" t="s">
        <v>39157</v>
      </c>
      <c r="B10688" s="15" t="s">
        <v>19337</v>
      </c>
      <c r="C10688" s="15" t="s">
        <v>800</v>
      </c>
      <c r="D10688" s="15" t="s">
        <v>19338</v>
      </c>
      <c r="E10688" s="15">
        <v>17.935600000000001</v>
      </c>
      <c r="F10688" s="42">
        <v>46198</v>
      </c>
    </row>
    <row r="10689" spans="1:6" x14ac:dyDescent="0.3">
      <c r="A10689" s="15" t="s">
        <v>39156</v>
      </c>
      <c r="B10689" s="15" t="s">
        <v>19339</v>
      </c>
      <c r="C10689" s="15" t="s">
        <v>800</v>
      </c>
      <c r="D10689" s="15" t="s">
        <v>19340</v>
      </c>
      <c r="E10689" s="15">
        <v>17.924600000000002</v>
      </c>
      <c r="F10689" s="42">
        <v>46198</v>
      </c>
    </row>
    <row r="10690" spans="1:6" x14ac:dyDescent="0.3">
      <c r="A10690" s="15" t="s">
        <v>39155</v>
      </c>
      <c r="B10690" s="15" t="s">
        <v>19341</v>
      </c>
      <c r="C10690" s="15" t="s">
        <v>800</v>
      </c>
      <c r="D10690" s="15" t="s">
        <v>19342</v>
      </c>
      <c r="E10690" s="15">
        <v>17.46</v>
      </c>
      <c r="F10690" s="42">
        <v>46198</v>
      </c>
    </row>
    <row r="10691" spans="1:6" x14ac:dyDescent="0.3">
      <c r="A10691" s="15" t="s">
        <v>39154</v>
      </c>
      <c r="B10691" s="15" t="s">
        <v>19343</v>
      </c>
      <c r="C10691" s="15" t="s">
        <v>800</v>
      </c>
      <c r="D10691" s="15" t="s">
        <v>19344</v>
      </c>
      <c r="E10691" s="15">
        <v>17.474900000000002</v>
      </c>
      <c r="F10691" s="42">
        <v>46198</v>
      </c>
    </row>
    <row r="10692" spans="1:6" x14ac:dyDescent="0.3">
      <c r="A10692" s="15" t="s">
        <v>39153</v>
      </c>
      <c r="B10692" s="15" t="s">
        <v>19345</v>
      </c>
      <c r="C10692" s="15" t="s">
        <v>800</v>
      </c>
      <c r="D10692" s="15" t="s">
        <v>19346</v>
      </c>
      <c r="E10692" s="15">
        <v>13.1876</v>
      </c>
      <c r="F10692" s="42">
        <v>46198</v>
      </c>
    </row>
    <row r="10693" spans="1:6" x14ac:dyDescent="0.3">
      <c r="A10693" s="15" t="s">
        <v>39152</v>
      </c>
      <c r="B10693" s="15" t="s">
        <v>19347</v>
      </c>
      <c r="C10693" s="15" t="s">
        <v>800</v>
      </c>
      <c r="D10693" s="15" t="s">
        <v>19348</v>
      </c>
      <c r="E10693" s="15">
        <v>13.1874</v>
      </c>
      <c r="F10693" s="42">
        <v>46198</v>
      </c>
    </row>
    <row r="10694" spans="1:6" x14ac:dyDescent="0.3">
      <c r="A10694" s="15" t="s">
        <v>39151</v>
      </c>
      <c r="B10694" s="15" t="s">
        <v>19349</v>
      </c>
      <c r="C10694" s="15" t="s">
        <v>800</v>
      </c>
      <c r="D10694" s="15" t="s">
        <v>19350</v>
      </c>
      <c r="E10694" s="15">
        <v>13.0131</v>
      </c>
      <c r="F10694" s="42">
        <v>46198</v>
      </c>
    </row>
    <row r="10695" spans="1:6" x14ac:dyDescent="0.3">
      <c r="A10695" s="15" t="s">
        <v>39150</v>
      </c>
      <c r="B10695" s="15" t="s">
        <v>19351</v>
      </c>
      <c r="C10695" s="15" t="s">
        <v>800</v>
      </c>
      <c r="D10695" s="15" t="s">
        <v>19352</v>
      </c>
      <c r="E10695" s="15">
        <v>13.0131</v>
      </c>
      <c r="F10695" s="42">
        <v>46198</v>
      </c>
    </row>
    <row r="10696" spans="1:6" x14ac:dyDescent="0.3">
      <c r="A10696" s="15" t="s">
        <v>39149</v>
      </c>
      <c r="B10696" s="15" t="s">
        <v>19353</v>
      </c>
      <c r="C10696" s="15" t="s">
        <v>800</v>
      </c>
      <c r="D10696" s="15" t="s">
        <v>19354</v>
      </c>
      <c r="E10696" s="15">
        <v>13.168900000000001</v>
      </c>
      <c r="F10696" s="42">
        <v>46198</v>
      </c>
    </row>
    <row r="10697" spans="1:6" x14ac:dyDescent="0.3">
      <c r="A10697" s="15" t="s">
        <v>39148</v>
      </c>
      <c r="B10697" s="15" t="s">
        <v>19355</v>
      </c>
      <c r="C10697" s="15" t="s">
        <v>800</v>
      </c>
      <c r="D10697" s="15" t="s">
        <v>19356</v>
      </c>
      <c r="E10697" s="15">
        <v>13.169</v>
      </c>
      <c r="F10697" s="42">
        <v>46198</v>
      </c>
    </row>
    <row r="10698" spans="1:6" x14ac:dyDescent="0.3">
      <c r="A10698" s="15" t="s">
        <v>39147</v>
      </c>
      <c r="B10698" s="15" t="s">
        <v>19357</v>
      </c>
      <c r="C10698" s="15" t="s">
        <v>800</v>
      </c>
      <c r="D10698" s="15" t="s">
        <v>19358</v>
      </c>
      <c r="E10698" s="15">
        <v>13.0725</v>
      </c>
      <c r="F10698" s="42">
        <v>46198</v>
      </c>
    </row>
    <row r="10699" spans="1:6" x14ac:dyDescent="0.3">
      <c r="A10699" s="15" t="s">
        <v>39146</v>
      </c>
      <c r="B10699" s="15" t="s">
        <v>19359</v>
      </c>
      <c r="C10699" s="15" t="s">
        <v>800</v>
      </c>
      <c r="D10699" s="15" t="s">
        <v>19360</v>
      </c>
      <c r="E10699" s="15">
        <v>13.0733</v>
      </c>
      <c r="F10699" s="42">
        <v>46198</v>
      </c>
    </row>
    <row r="10700" spans="1:6" x14ac:dyDescent="0.3">
      <c r="A10700" s="15" t="s">
        <v>39145</v>
      </c>
      <c r="B10700" s="15" t="s">
        <v>19361</v>
      </c>
      <c r="C10700" s="15" t="s">
        <v>800</v>
      </c>
      <c r="D10700" s="15" t="s">
        <v>19362</v>
      </c>
      <c r="E10700" s="15">
        <v>12.2949</v>
      </c>
      <c r="F10700" s="42">
        <v>45930</v>
      </c>
    </row>
    <row r="10701" spans="1:6" x14ac:dyDescent="0.3">
      <c r="A10701" s="15" t="s">
        <v>39144</v>
      </c>
      <c r="B10701" s="15" t="s">
        <v>19363</v>
      </c>
      <c r="C10701" s="15" t="s">
        <v>800</v>
      </c>
      <c r="D10701" s="15" t="s">
        <v>19364</v>
      </c>
      <c r="E10701" s="15">
        <v>10</v>
      </c>
      <c r="F10701" s="42">
        <v>45930</v>
      </c>
    </row>
    <row r="10702" spans="1:6" x14ac:dyDescent="0.3">
      <c r="A10702" s="15" t="s">
        <v>39143</v>
      </c>
      <c r="B10702" s="15" t="s">
        <v>19365</v>
      </c>
      <c r="C10702" s="15" t="s">
        <v>800</v>
      </c>
      <c r="D10702" s="15" t="s">
        <v>19366</v>
      </c>
      <c r="E10702" s="15">
        <v>12.235200000000001</v>
      </c>
      <c r="F10702" s="42">
        <v>45930</v>
      </c>
    </row>
    <row r="10703" spans="1:6" x14ac:dyDescent="0.3">
      <c r="A10703" s="15" t="s">
        <v>39142</v>
      </c>
      <c r="B10703" s="15" t="s">
        <v>19367</v>
      </c>
      <c r="C10703" s="15" t="s">
        <v>800</v>
      </c>
      <c r="D10703" s="15" t="s">
        <v>19368</v>
      </c>
      <c r="E10703" s="15">
        <v>10</v>
      </c>
      <c r="F10703" s="42">
        <v>45930</v>
      </c>
    </row>
    <row r="10704" spans="1:6" x14ac:dyDescent="0.3">
      <c r="A10704" s="15" t="s">
        <v>39141</v>
      </c>
      <c r="B10704" s="15" t="s">
        <v>19369</v>
      </c>
      <c r="C10704" s="15" t="s">
        <v>800</v>
      </c>
      <c r="D10704" s="15" t="s">
        <v>19370</v>
      </c>
      <c r="E10704" s="15">
        <v>12.826700000000001</v>
      </c>
      <c r="F10704" s="42">
        <v>46198</v>
      </c>
    </row>
    <row r="10705" spans="1:6" x14ac:dyDescent="0.3">
      <c r="A10705" s="15" t="s">
        <v>39140</v>
      </c>
      <c r="B10705" s="15" t="s">
        <v>19371</v>
      </c>
      <c r="C10705" s="15" t="s">
        <v>800</v>
      </c>
      <c r="D10705" s="15" t="s">
        <v>19372</v>
      </c>
      <c r="E10705" s="15">
        <v>12.8254</v>
      </c>
      <c r="F10705" s="42">
        <v>46198</v>
      </c>
    </row>
    <row r="10706" spans="1:6" x14ac:dyDescent="0.3">
      <c r="A10706" s="15" t="s">
        <v>39139</v>
      </c>
      <c r="B10706" s="15" t="s">
        <v>19373</v>
      </c>
      <c r="C10706" s="15" t="s">
        <v>800</v>
      </c>
      <c r="D10706" s="15" t="s">
        <v>19374</v>
      </c>
      <c r="E10706" s="15">
        <v>12.732200000000001</v>
      </c>
      <c r="F10706" s="42">
        <v>46198</v>
      </c>
    </row>
    <row r="10707" spans="1:6" x14ac:dyDescent="0.3">
      <c r="A10707" s="15" t="s">
        <v>39138</v>
      </c>
      <c r="B10707" s="15" t="s">
        <v>19375</v>
      </c>
      <c r="C10707" s="15" t="s">
        <v>800</v>
      </c>
      <c r="D10707" s="15" t="s">
        <v>19376</v>
      </c>
      <c r="E10707" s="15">
        <v>12.732100000000001</v>
      </c>
      <c r="F10707" s="42">
        <v>46198</v>
      </c>
    </row>
    <row r="10708" spans="1:6" x14ac:dyDescent="0.3">
      <c r="A10708" s="15" t="s">
        <v>39137</v>
      </c>
      <c r="B10708" s="15" t="s">
        <v>19377</v>
      </c>
      <c r="C10708" s="15" t="s">
        <v>19378</v>
      </c>
      <c r="D10708" s="15" t="s">
        <v>19379</v>
      </c>
      <c r="E10708" s="15">
        <v>22.729500000000002</v>
      </c>
      <c r="F10708" s="42">
        <v>46198</v>
      </c>
    </row>
    <row r="10709" spans="1:6" x14ac:dyDescent="0.3">
      <c r="A10709" s="15" t="s">
        <v>39136</v>
      </c>
      <c r="B10709" s="15" t="s">
        <v>19380</v>
      </c>
      <c r="C10709" s="15" t="s">
        <v>800</v>
      </c>
      <c r="D10709" s="15" t="s">
        <v>19381</v>
      </c>
      <c r="E10709" s="15">
        <v>22.733499999999999</v>
      </c>
      <c r="F10709" s="42">
        <v>46198</v>
      </c>
    </row>
    <row r="10710" spans="1:6" x14ac:dyDescent="0.3">
      <c r="A10710" s="15" t="s">
        <v>39135</v>
      </c>
      <c r="B10710" s="15" t="s">
        <v>19382</v>
      </c>
      <c r="C10710" s="15" t="s">
        <v>19383</v>
      </c>
      <c r="D10710" s="15" t="s">
        <v>19384</v>
      </c>
      <c r="E10710" s="15">
        <v>22.026599999999998</v>
      </c>
      <c r="F10710" s="42">
        <v>46198</v>
      </c>
    </row>
    <row r="10711" spans="1:6" x14ac:dyDescent="0.3">
      <c r="A10711" s="15" t="s">
        <v>39134</v>
      </c>
      <c r="B10711" s="15" t="s">
        <v>19385</v>
      </c>
      <c r="C10711" s="15" t="s">
        <v>800</v>
      </c>
      <c r="D10711" s="15" t="s">
        <v>19386</v>
      </c>
      <c r="E10711" s="15">
        <v>22.0244</v>
      </c>
      <c r="F10711" s="42">
        <v>46198</v>
      </c>
    </row>
    <row r="10712" spans="1:6" x14ac:dyDescent="0.3">
      <c r="A10712" s="15" t="s">
        <v>33499</v>
      </c>
      <c r="B10712" s="15" t="s">
        <v>795</v>
      </c>
      <c r="C10712" s="15" t="s">
        <v>795</v>
      </c>
      <c r="D10712" s="15" t="s">
        <v>795</v>
      </c>
      <c r="F10712" s="42"/>
    </row>
    <row r="10713" spans="1:6" x14ac:dyDescent="0.3">
      <c r="A10713" s="15" t="s">
        <v>37937</v>
      </c>
      <c r="B10713" s="15" t="s">
        <v>795</v>
      </c>
      <c r="C10713" s="15" t="s">
        <v>795</v>
      </c>
      <c r="D10713" s="15" t="s">
        <v>795</v>
      </c>
      <c r="F10713" s="42"/>
    </row>
    <row r="10714" spans="1:6" x14ac:dyDescent="0.3">
      <c r="A10714" s="15" t="s">
        <v>33499</v>
      </c>
      <c r="B10714" s="15" t="s">
        <v>795</v>
      </c>
      <c r="C10714" s="15" t="s">
        <v>795</v>
      </c>
      <c r="D10714" s="15" t="s">
        <v>795</v>
      </c>
      <c r="F10714" s="42"/>
    </row>
    <row r="10715" spans="1:6" x14ac:dyDescent="0.3">
      <c r="A10715" s="15" t="s">
        <v>39133</v>
      </c>
      <c r="B10715" s="15" t="s">
        <v>19387</v>
      </c>
      <c r="C10715" s="15" t="s">
        <v>800</v>
      </c>
      <c r="D10715" s="15" t="s">
        <v>19388</v>
      </c>
      <c r="E10715" s="15">
        <v>9.8878000000000004</v>
      </c>
      <c r="F10715" s="42">
        <v>46198</v>
      </c>
    </row>
    <row r="10716" spans="1:6" x14ac:dyDescent="0.3">
      <c r="A10716" s="15" t="s">
        <v>39132</v>
      </c>
      <c r="B10716" s="15" t="s">
        <v>19389</v>
      </c>
      <c r="C10716" s="15" t="s">
        <v>800</v>
      </c>
      <c r="D10716" s="15" t="s">
        <v>19390</v>
      </c>
      <c r="E10716" s="15">
        <v>9.8341999999999992</v>
      </c>
      <c r="F10716" s="42">
        <v>46198</v>
      </c>
    </row>
    <row r="10717" spans="1:6" x14ac:dyDescent="0.3">
      <c r="A10717" s="15" t="s">
        <v>39131</v>
      </c>
      <c r="B10717" s="15" t="s">
        <v>19391</v>
      </c>
      <c r="C10717" s="15" t="s">
        <v>800</v>
      </c>
      <c r="D10717" s="15" t="s">
        <v>19392</v>
      </c>
      <c r="E10717" s="15">
        <v>11.7631</v>
      </c>
      <c r="F10717" s="42">
        <v>46198</v>
      </c>
    </row>
    <row r="10718" spans="1:6" x14ac:dyDescent="0.3">
      <c r="A10718" s="15" t="s">
        <v>39130</v>
      </c>
      <c r="B10718" s="15" t="s">
        <v>19393</v>
      </c>
      <c r="C10718" s="15" t="s">
        <v>800</v>
      </c>
      <c r="D10718" s="15" t="s">
        <v>19394</v>
      </c>
      <c r="E10718" s="15">
        <v>11.6477</v>
      </c>
      <c r="F10718" s="42">
        <v>46198</v>
      </c>
    </row>
    <row r="10719" spans="1:6" x14ac:dyDescent="0.3">
      <c r="A10719" s="15" t="s">
        <v>39129</v>
      </c>
      <c r="B10719" s="15" t="s">
        <v>19395</v>
      </c>
      <c r="C10719" s="15" t="s">
        <v>800</v>
      </c>
      <c r="D10719" s="15" t="s">
        <v>19396</v>
      </c>
      <c r="E10719" s="15">
        <v>10.197900000000001</v>
      </c>
      <c r="F10719" s="42">
        <v>46198</v>
      </c>
    </row>
    <row r="10720" spans="1:6" x14ac:dyDescent="0.3">
      <c r="A10720" s="15" t="s">
        <v>39128</v>
      </c>
      <c r="B10720" s="15" t="s">
        <v>19397</v>
      </c>
      <c r="C10720" s="15" t="s">
        <v>800</v>
      </c>
      <c r="D10720" s="15" t="s">
        <v>19398</v>
      </c>
      <c r="E10720" s="15">
        <v>10.156000000000001</v>
      </c>
      <c r="F10720" s="42">
        <v>46198</v>
      </c>
    </row>
    <row r="10721" spans="1:6" x14ac:dyDescent="0.3">
      <c r="A10721" s="15" t="s">
        <v>33499</v>
      </c>
      <c r="B10721" s="15" t="s">
        <v>795</v>
      </c>
      <c r="C10721" s="15" t="s">
        <v>795</v>
      </c>
      <c r="D10721" s="15" t="s">
        <v>795</v>
      </c>
      <c r="F10721" s="42"/>
    </row>
    <row r="10722" spans="1:6" x14ac:dyDescent="0.3">
      <c r="A10722" s="15" t="s">
        <v>37087</v>
      </c>
      <c r="B10722" s="15" t="s">
        <v>795</v>
      </c>
      <c r="C10722" s="15" t="s">
        <v>795</v>
      </c>
      <c r="D10722" s="15" t="s">
        <v>795</v>
      </c>
      <c r="F10722" s="42"/>
    </row>
    <row r="10723" spans="1:6" x14ac:dyDescent="0.3">
      <c r="A10723" s="15" t="s">
        <v>33499</v>
      </c>
      <c r="B10723" s="15" t="s">
        <v>795</v>
      </c>
      <c r="C10723" s="15" t="s">
        <v>795</v>
      </c>
      <c r="D10723" s="15" t="s">
        <v>795</v>
      </c>
      <c r="F10723" s="42"/>
    </row>
    <row r="10724" spans="1:6" x14ac:dyDescent="0.3">
      <c r="A10724" s="15" t="s">
        <v>39127</v>
      </c>
      <c r="B10724" s="15" t="s">
        <v>19399</v>
      </c>
      <c r="C10724" s="15" t="s">
        <v>800</v>
      </c>
      <c r="D10724" s="15" t="s">
        <v>19400</v>
      </c>
      <c r="E10724" s="15">
        <v>9.5121000000000002</v>
      </c>
      <c r="F10724" s="42">
        <v>46198</v>
      </c>
    </row>
    <row r="10725" spans="1:6" x14ac:dyDescent="0.3">
      <c r="A10725" s="15" t="s">
        <v>39126</v>
      </c>
      <c r="B10725" s="15" t="s">
        <v>19401</v>
      </c>
      <c r="C10725" s="15" t="s">
        <v>800</v>
      </c>
      <c r="D10725" s="15" t="s">
        <v>19402</v>
      </c>
      <c r="E10725" s="15">
        <v>9.4842999999999993</v>
      </c>
      <c r="F10725" s="42">
        <v>46198</v>
      </c>
    </row>
    <row r="10726" spans="1:6" x14ac:dyDescent="0.3">
      <c r="A10726" s="15" t="s">
        <v>39125</v>
      </c>
      <c r="B10726" s="15" t="s">
        <v>19403</v>
      </c>
      <c r="C10726" s="15" t="s">
        <v>800</v>
      </c>
      <c r="D10726" s="15" t="s">
        <v>19404</v>
      </c>
      <c r="E10726" s="15">
        <v>10.8306</v>
      </c>
      <c r="F10726" s="42">
        <v>46198</v>
      </c>
    </row>
    <row r="10727" spans="1:6" x14ac:dyDescent="0.3">
      <c r="A10727" s="15" t="s">
        <v>39124</v>
      </c>
      <c r="B10727" s="15" t="s">
        <v>19405</v>
      </c>
      <c r="C10727" s="15" t="s">
        <v>19406</v>
      </c>
      <c r="D10727" s="15" t="s">
        <v>19407</v>
      </c>
      <c r="E10727" s="15">
        <v>10.8306</v>
      </c>
      <c r="F10727" s="42">
        <v>46198</v>
      </c>
    </row>
    <row r="10728" spans="1:6" x14ac:dyDescent="0.3">
      <c r="A10728" s="15" t="s">
        <v>39123</v>
      </c>
      <c r="B10728" s="15" t="s">
        <v>19408</v>
      </c>
      <c r="C10728" s="15" t="s">
        <v>800</v>
      </c>
      <c r="D10728" s="15" t="s">
        <v>19409</v>
      </c>
      <c r="E10728" s="15">
        <v>10.688000000000001</v>
      </c>
      <c r="F10728" s="42">
        <v>46198</v>
      </c>
    </row>
    <row r="10729" spans="1:6" x14ac:dyDescent="0.3">
      <c r="A10729" s="15" t="s">
        <v>39122</v>
      </c>
      <c r="B10729" s="15" t="s">
        <v>19410</v>
      </c>
      <c r="C10729" s="15" t="s">
        <v>19411</v>
      </c>
      <c r="D10729" s="15" t="s">
        <v>19412</v>
      </c>
      <c r="E10729" s="15">
        <v>10.6877</v>
      </c>
      <c r="F10729" s="42">
        <v>46198</v>
      </c>
    </row>
    <row r="10730" spans="1:6" x14ac:dyDescent="0.3">
      <c r="A10730" s="15" t="s">
        <v>39121</v>
      </c>
      <c r="B10730" s="15" t="s">
        <v>19413</v>
      </c>
      <c r="C10730" s="15" t="s">
        <v>800</v>
      </c>
      <c r="D10730" s="15" t="s">
        <v>19414</v>
      </c>
      <c r="E10730" s="15">
        <v>12.8286</v>
      </c>
      <c r="F10730" s="42">
        <v>46198</v>
      </c>
    </row>
    <row r="10731" spans="1:6" x14ac:dyDescent="0.3">
      <c r="A10731" s="15" t="s">
        <v>39120</v>
      </c>
      <c r="B10731" s="15" t="s">
        <v>19415</v>
      </c>
      <c r="C10731" s="15" t="s">
        <v>19416</v>
      </c>
      <c r="D10731" s="15" t="s">
        <v>19417</v>
      </c>
      <c r="E10731" s="15">
        <v>12.8338</v>
      </c>
      <c r="F10731" s="42">
        <v>46198</v>
      </c>
    </row>
    <row r="10732" spans="1:6" x14ac:dyDescent="0.3">
      <c r="A10732" s="15" t="s">
        <v>39119</v>
      </c>
      <c r="B10732" s="15" t="s">
        <v>19418</v>
      </c>
      <c r="C10732" s="15" t="s">
        <v>800</v>
      </c>
      <c r="D10732" s="15" t="s">
        <v>19419</v>
      </c>
      <c r="E10732" s="15">
        <v>12.7468</v>
      </c>
      <c r="F10732" s="42">
        <v>46198</v>
      </c>
    </row>
    <row r="10733" spans="1:6" x14ac:dyDescent="0.3">
      <c r="A10733" s="15" t="s">
        <v>39118</v>
      </c>
      <c r="B10733" s="15" t="s">
        <v>19420</v>
      </c>
      <c r="C10733" s="15" t="s">
        <v>19421</v>
      </c>
      <c r="D10733" s="15" t="s">
        <v>19422</v>
      </c>
      <c r="E10733" s="15">
        <v>12.746700000000001</v>
      </c>
      <c r="F10733" s="42">
        <v>46198</v>
      </c>
    </row>
    <row r="10734" spans="1:6" x14ac:dyDescent="0.3">
      <c r="A10734" s="15" t="s">
        <v>39117</v>
      </c>
      <c r="B10734" s="15" t="s">
        <v>19423</v>
      </c>
      <c r="C10734" s="15" t="s">
        <v>19424</v>
      </c>
      <c r="D10734" s="15" t="s">
        <v>19425</v>
      </c>
      <c r="E10734" s="15">
        <v>12.815</v>
      </c>
      <c r="F10734" s="42">
        <v>46198</v>
      </c>
    </row>
    <row r="10735" spans="1:6" x14ac:dyDescent="0.3">
      <c r="A10735" s="15" t="s">
        <v>39116</v>
      </c>
      <c r="B10735" s="15" t="s">
        <v>19426</v>
      </c>
      <c r="C10735" s="15" t="s">
        <v>800</v>
      </c>
      <c r="D10735" s="15" t="s">
        <v>19427</v>
      </c>
      <c r="E10735" s="15">
        <v>12.815200000000001</v>
      </c>
      <c r="F10735" s="42">
        <v>46198</v>
      </c>
    </row>
    <row r="10736" spans="1:6" x14ac:dyDescent="0.3">
      <c r="A10736" s="15" t="s">
        <v>39115</v>
      </c>
      <c r="B10736" s="15" t="s">
        <v>19428</v>
      </c>
      <c r="C10736" s="15" t="s">
        <v>800</v>
      </c>
      <c r="D10736" s="15" t="s">
        <v>19429</v>
      </c>
      <c r="E10736" s="15">
        <v>12.735900000000001</v>
      </c>
      <c r="F10736" s="42">
        <v>46198</v>
      </c>
    </row>
    <row r="10737" spans="1:6" x14ac:dyDescent="0.3">
      <c r="A10737" s="15" t="s">
        <v>39114</v>
      </c>
      <c r="B10737" s="15" t="s">
        <v>19430</v>
      </c>
      <c r="C10737" s="15" t="s">
        <v>19431</v>
      </c>
      <c r="D10737" s="15" t="s">
        <v>19432</v>
      </c>
      <c r="E10737" s="15">
        <v>12.731999999999999</v>
      </c>
      <c r="F10737" s="42">
        <v>46198</v>
      </c>
    </row>
    <row r="10738" spans="1:6" x14ac:dyDescent="0.3">
      <c r="A10738" s="15" t="s">
        <v>39113</v>
      </c>
      <c r="B10738" s="15" t="s">
        <v>19433</v>
      </c>
      <c r="C10738" s="15" t="s">
        <v>800</v>
      </c>
      <c r="D10738" s="15" t="s">
        <v>19434</v>
      </c>
      <c r="E10738" s="15">
        <v>13.1005</v>
      </c>
      <c r="F10738" s="42">
        <v>46198</v>
      </c>
    </row>
    <row r="10739" spans="1:6" x14ac:dyDescent="0.3">
      <c r="A10739" s="15" t="s">
        <v>39112</v>
      </c>
      <c r="B10739" s="15" t="s">
        <v>19435</v>
      </c>
      <c r="C10739" s="15" t="s">
        <v>19436</v>
      </c>
      <c r="D10739" s="15" t="s">
        <v>19437</v>
      </c>
      <c r="E10739" s="15">
        <v>13.100099999999999</v>
      </c>
      <c r="F10739" s="42">
        <v>46198</v>
      </c>
    </row>
    <row r="10740" spans="1:6" x14ac:dyDescent="0.3">
      <c r="A10740" s="15" t="s">
        <v>39111</v>
      </c>
      <c r="B10740" s="15" t="s">
        <v>19438</v>
      </c>
      <c r="C10740" s="15" t="s">
        <v>800</v>
      </c>
      <c r="D10740" s="15" t="s">
        <v>19439</v>
      </c>
      <c r="E10740" s="15">
        <v>13.021599999999999</v>
      </c>
      <c r="F10740" s="42">
        <v>46198</v>
      </c>
    </row>
    <row r="10741" spans="1:6" x14ac:dyDescent="0.3">
      <c r="A10741" s="15" t="s">
        <v>39110</v>
      </c>
      <c r="B10741" s="15" t="s">
        <v>19440</v>
      </c>
      <c r="C10741" s="15" t="s">
        <v>19441</v>
      </c>
      <c r="D10741" s="15" t="s">
        <v>19442</v>
      </c>
      <c r="E10741" s="15">
        <v>13.021699999999999</v>
      </c>
      <c r="F10741" s="42">
        <v>46198</v>
      </c>
    </row>
    <row r="10742" spans="1:6" x14ac:dyDescent="0.3">
      <c r="A10742" s="15" t="s">
        <v>39109</v>
      </c>
      <c r="B10742" s="15" t="s">
        <v>19443</v>
      </c>
      <c r="C10742" s="15" t="s">
        <v>800</v>
      </c>
      <c r="D10742" s="15" t="s">
        <v>19444</v>
      </c>
      <c r="E10742" s="15">
        <v>11.2255</v>
      </c>
      <c r="F10742" s="42">
        <v>46198</v>
      </c>
    </row>
    <row r="10743" spans="1:6" x14ac:dyDescent="0.3">
      <c r="A10743" s="15" t="s">
        <v>39108</v>
      </c>
      <c r="B10743" s="15" t="s">
        <v>19445</v>
      </c>
      <c r="C10743" s="15" t="s">
        <v>19446</v>
      </c>
      <c r="D10743" s="15" t="s">
        <v>19447</v>
      </c>
      <c r="E10743" s="15">
        <v>11.2256</v>
      </c>
      <c r="F10743" s="42">
        <v>46198</v>
      </c>
    </row>
    <row r="10744" spans="1:6" x14ac:dyDescent="0.3">
      <c r="A10744" s="15" t="s">
        <v>39107</v>
      </c>
      <c r="B10744" s="15" t="s">
        <v>19448</v>
      </c>
      <c r="C10744" s="15" t="s">
        <v>800</v>
      </c>
      <c r="D10744" s="15" t="s">
        <v>19449</v>
      </c>
      <c r="E10744" s="15">
        <v>11.208500000000001</v>
      </c>
      <c r="F10744" s="42">
        <v>46198</v>
      </c>
    </row>
    <row r="10745" spans="1:6" x14ac:dyDescent="0.3">
      <c r="A10745" s="15" t="s">
        <v>39106</v>
      </c>
      <c r="B10745" s="15" t="s">
        <v>19450</v>
      </c>
      <c r="C10745" s="15" t="s">
        <v>19451</v>
      </c>
      <c r="D10745" s="15" t="s">
        <v>19452</v>
      </c>
      <c r="E10745" s="15">
        <v>11.2081</v>
      </c>
      <c r="F10745" s="42">
        <v>46198</v>
      </c>
    </row>
    <row r="10746" spans="1:6" x14ac:dyDescent="0.3">
      <c r="A10746" s="15" t="s">
        <v>39105</v>
      </c>
      <c r="B10746" s="15" t="s">
        <v>19453</v>
      </c>
      <c r="C10746" s="15" t="s">
        <v>800</v>
      </c>
      <c r="D10746" s="15" t="s">
        <v>19454</v>
      </c>
      <c r="E10746" s="15">
        <v>11.401400000000001</v>
      </c>
      <c r="F10746" s="42">
        <v>46198</v>
      </c>
    </row>
    <row r="10747" spans="1:6" x14ac:dyDescent="0.3">
      <c r="A10747" s="15" t="s">
        <v>39104</v>
      </c>
      <c r="B10747" s="15" t="s">
        <v>19455</v>
      </c>
      <c r="C10747" s="15" t="s">
        <v>19456</v>
      </c>
      <c r="D10747" s="15" t="s">
        <v>19457</v>
      </c>
      <c r="E10747" s="15">
        <v>11.401300000000001</v>
      </c>
      <c r="F10747" s="42">
        <v>46198</v>
      </c>
    </row>
    <row r="10748" spans="1:6" x14ac:dyDescent="0.3">
      <c r="A10748" s="15" t="s">
        <v>39103</v>
      </c>
      <c r="B10748" s="15" t="s">
        <v>19458</v>
      </c>
      <c r="C10748" s="15" t="s">
        <v>800</v>
      </c>
      <c r="D10748" s="15" t="s">
        <v>19459</v>
      </c>
      <c r="E10748" s="15">
        <v>11.3363</v>
      </c>
      <c r="F10748" s="42">
        <v>46198</v>
      </c>
    </row>
    <row r="10749" spans="1:6" x14ac:dyDescent="0.3">
      <c r="A10749" s="15" t="s">
        <v>39102</v>
      </c>
      <c r="B10749" s="15" t="s">
        <v>19460</v>
      </c>
      <c r="C10749" s="15" t="s">
        <v>19461</v>
      </c>
      <c r="D10749" s="15" t="s">
        <v>19462</v>
      </c>
      <c r="E10749" s="15">
        <v>11.336399999999999</v>
      </c>
      <c r="F10749" s="42">
        <v>46198</v>
      </c>
    </row>
    <row r="10750" spans="1:6" x14ac:dyDescent="0.3">
      <c r="A10750" s="15" t="s">
        <v>39101</v>
      </c>
      <c r="B10750" s="15" t="s">
        <v>19463</v>
      </c>
      <c r="C10750" s="15" t="s">
        <v>800</v>
      </c>
      <c r="D10750" s="15" t="s">
        <v>19464</v>
      </c>
      <c r="E10750" s="15">
        <v>11.1753</v>
      </c>
      <c r="F10750" s="42">
        <v>46198</v>
      </c>
    </row>
    <row r="10751" spans="1:6" x14ac:dyDescent="0.3">
      <c r="A10751" s="15" t="s">
        <v>39100</v>
      </c>
      <c r="B10751" s="15" t="s">
        <v>19465</v>
      </c>
      <c r="C10751" s="15" t="s">
        <v>19466</v>
      </c>
      <c r="D10751" s="15" t="s">
        <v>19467</v>
      </c>
      <c r="E10751" s="15">
        <v>11.1858</v>
      </c>
      <c r="F10751" s="42">
        <v>46198</v>
      </c>
    </row>
    <row r="10752" spans="1:6" x14ac:dyDescent="0.3">
      <c r="A10752" s="15" t="s">
        <v>39099</v>
      </c>
      <c r="B10752" s="15" t="s">
        <v>19468</v>
      </c>
      <c r="C10752" s="15" t="s">
        <v>800</v>
      </c>
      <c r="D10752" s="15" t="s">
        <v>19469</v>
      </c>
      <c r="E10752" s="15">
        <v>11.1532</v>
      </c>
      <c r="F10752" s="42">
        <v>46198</v>
      </c>
    </row>
    <row r="10753" spans="1:6" x14ac:dyDescent="0.3">
      <c r="A10753" s="15" t="s">
        <v>39098</v>
      </c>
      <c r="B10753" s="15" t="s">
        <v>19470</v>
      </c>
      <c r="C10753" s="15" t="s">
        <v>19471</v>
      </c>
      <c r="D10753" s="15" t="s">
        <v>19472</v>
      </c>
      <c r="E10753" s="15">
        <v>11.1533</v>
      </c>
      <c r="F10753" s="42">
        <v>46198</v>
      </c>
    </row>
    <row r="10754" spans="1:6" x14ac:dyDescent="0.3">
      <c r="A10754" s="15" t="s">
        <v>39097</v>
      </c>
      <c r="B10754" s="15" t="s">
        <v>19473</v>
      </c>
      <c r="C10754" s="15" t="s">
        <v>800</v>
      </c>
      <c r="D10754" s="15" t="s">
        <v>19474</v>
      </c>
      <c r="E10754" s="15">
        <v>10.503399999999999</v>
      </c>
      <c r="F10754" s="42">
        <v>46198</v>
      </c>
    </row>
    <row r="10755" spans="1:6" x14ac:dyDescent="0.3">
      <c r="A10755" s="15" t="s">
        <v>39096</v>
      </c>
      <c r="B10755" s="15" t="s">
        <v>19475</v>
      </c>
      <c r="C10755" s="15" t="s">
        <v>19476</v>
      </c>
      <c r="D10755" s="15" t="s">
        <v>19477</v>
      </c>
      <c r="E10755" s="15">
        <v>10.503399999999999</v>
      </c>
      <c r="F10755" s="42">
        <v>46198</v>
      </c>
    </row>
    <row r="10756" spans="1:6" x14ac:dyDescent="0.3">
      <c r="A10756" s="15" t="s">
        <v>39095</v>
      </c>
      <c r="B10756" s="15" t="s">
        <v>19478</v>
      </c>
      <c r="C10756" s="15" t="s">
        <v>800</v>
      </c>
      <c r="D10756" s="15" t="s">
        <v>19479</v>
      </c>
      <c r="E10756" s="15">
        <v>10.4956</v>
      </c>
      <c r="F10756" s="42">
        <v>46198</v>
      </c>
    </row>
    <row r="10757" spans="1:6" x14ac:dyDescent="0.3">
      <c r="A10757" s="15" t="s">
        <v>39094</v>
      </c>
      <c r="B10757" s="15" t="s">
        <v>19480</v>
      </c>
      <c r="C10757" s="15" t="s">
        <v>19481</v>
      </c>
      <c r="D10757" s="15" t="s">
        <v>19482</v>
      </c>
      <c r="E10757" s="15">
        <v>10.4947</v>
      </c>
      <c r="F10757" s="42">
        <v>46198</v>
      </c>
    </row>
    <row r="10758" spans="1:6" x14ac:dyDescent="0.3">
      <c r="A10758" s="15" t="s">
        <v>39093</v>
      </c>
      <c r="B10758" s="15" t="s">
        <v>19483</v>
      </c>
      <c r="C10758" s="15" t="s">
        <v>800</v>
      </c>
      <c r="D10758" s="15" t="s">
        <v>19484</v>
      </c>
      <c r="E10758" s="15">
        <v>22.471299999999999</v>
      </c>
      <c r="F10758" s="42">
        <v>46198</v>
      </c>
    </row>
    <row r="10759" spans="1:6" x14ac:dyDescent="0.3">
      <c r="A10759" s="15" t="s">
        <v>39092</v>
      </c>
      <c r="B10759" s="15" t="s">
        <v>19485</v>
      </c>
      <c r="C10759" s="15" t="s">
        <v>19486</v>
      </c>
      <c r="D10759" s="15" t="s">
        <v>19487</v>
      </c>
      <c r="E10759" s="15">
        <v>21.348400000000002</v>
      </c>
      <c r="F10759" s="42">
        <v>46198</v>
      </c>
    </row>
    <row r="10760" spans="1:6" x14ac:dyDescent="0.3">
      <c r="A10760" s="15" t="s">
        <v>39091</v>
      </c>
      <c r="B10760" s="15" t="s">
        <v>19488</v>
      </c>
      <c r="C10760" s="15" t="s">
        <v>800</v>
      </c>
      <c r="D10760" s="15" t="s">
        <v>19489</v>
      </c>
      <c r="E10760" s="15">
        <v>21.351800000000001</v>
      </c>
      <c r="F10760" s="42">
        <v>46198</v>
      </c>
    </row>
    <row r="10761" spans="1:6" x14ac:dyDescent="0.3">
      <c r="A10761" s="15" t="s">
        <v>39090</v>
      </c>
      <c r="B10761" s="15" t="s">
        <v>19490</v>
      </c>
      <c r="C10761" s="15" t="s">
        <v>19491</v>
      </c>
      <c r="D10761" s="15" t="s">
        <v>19492</v>
      </c>
      <c r="E10761" s="15">
        <v>20.251899999999999</v>
      </c>
      <c r="F10761" s="42">
        <v>46198</v>
      </c>
    </row>
    <row r="10762" spans="1:6" x14ac:dyDescent="0.3">
      <c r="A10762" s="15" t="s">
        <v>39089</v>
      </c>
      <c r="B10762" s="15" t="s">
        <v>19493</v>
      </c>
      <c r="C10762" s="15" t="s">
        <v>800</v>
      </c>
      <c r="D10762" s="15" t="s">
        <v>19494</v>
      </c>
      <c r="E10762" s="15">
        <v>14.596500000000001</v>
      </c>
      <c r="F10762" s="42">
        <v>46198</v>
      </c>
    </row>
    <row r="10763" spans="1:6" x14ac:dyDescent="0.3">
      <c r="A10763" s="15" t="s">
        <v>39088</v>
      </c>
      <c r="B10763" s="15" t="s">
        <v>19495</v>
      </c>
      <c r="C10763" s="15" t="s">
        <v>19496</v>
      </c>
      <c r="D10763" s="15" t="s">
        <v>19497</v>
      </c>
      <c r="E10763" s="15">
        <v>13.8446</v>
      </c>
      <c r="F10763" s="42">
        <v>46198</v>
      </c>
    </row>
    <row r="10764" spans="1:6" x14ac:dyDescent="0.3">
      <c r="A10764" s="15" t="s">
        <v>39087</v>
      </c>
      <c r="B10764" s="15" t="s">
        <v>19498</v>
      </c>
      <c r="C10764" s="15" t="s">
        <v>800</v>
      </c>
      <c r="D10764" s="15" t="s">
        <v>19499</v>
      </c>
      <c r="E10764" s="15">
        <v>14.404299999999999</v>
      </c>
      <c r="F10764" s="42">
        <v>46198</v>
      </c>
    </row>
    <row r="10765" spans="1:6" x14ac:dyDescent="0.3">
      <c r="A10765" s="15" t="s">
        <v>39086</v>
      </c>
      <c r="B10765" s="15" t="s">
        <v>19500</v>
      </c>
      <c r="C10765" s="15" t="s">
        <v>19501</v>
      </c>
      <c r="D10765" s="15" t="s">
        <v>19502</v>
      </c>
      <c r="E10765" s="15">
        <v>13.6632</v>
      </c>
      <c r="F10765" s="42">
        <v>46198</v>
      </c>
    </row>
    <row r="10766" spans="1:6" x14ac:dyDescent="0.3">
      <c r="A10766" s="15" t="s">
        <v>39085</v>
      </c>
      <c r="B10766" s="15" t="s">
        <v>19503</v>
      </c>
      <c r="C10766" s="15" t="s">
        <v>800</v>
      </c>
      <c r="D10766" s="15" t="s">
        <v>19504</v>
      </c>
      <c r="E10766" s="15">
        <v>10.1379</v>
      </c>
      <c r="F10766" s="42">
        <v>46198</v>
      </c>
    </row>
    <row r="10767" spans="1:6" x14ac:dyDescent="0.3">
      <c r="A10767" s="15" t="s">
        <v>39084</v>
      </c>
      <c r="B10767" s="15" t="s">
        <v>19505</v>
      </c>
      <c r="C10767" s="15" t="s">
        <v>800</v>
      </c>
      <c r="D10767" s="15" t="s">
        <v>19506</v>
      </c>
      <c r="E10767" s="15">
        <v>9.9614999999999991</v>
      </c>
      <c r="F10767" s="42">
        <v>46198</v>
      </c>
    </row>
    <row r="10768" spans="1:6" x14ac:dyDescent="0.3">
      <c r="A10768" s="15" t="s">
        <v>39083</v>
      </c>
      <c r="B10768" s="15" t="s">
        <v>19507</v>
      </c>
      <c r="C10768" s="15" t="s">
        <v>800</v>
      </c>
      <c r="D10768" s="15" t="s">
        <v>19508</v>
      </c>
      <c r="E10768" s="15">
        <v>12.019299999999999</v>
      </c>
      <c r="F10768" s="42">
        <v>46198</v>
      </c>
    </row>
    <row r="10769" spans="1:6" x14ac:dyDescent="0.3">
      <c r="A10769" s="15" t="s">
        <v>39082</v>
      </c>
      <c r="B10769" s="15" t="s">
        <v>19509</v>
      </c>
      <c r="C10769" s="15" t="s">
        <v>19510</v>
      </c>
      <c r="D10769" s="15" t="s">
        <v>19511</v>
      </c>
      <c r="E10769" s="15">
        <v>12.019399999999999</v>
      </c>
      <c r="F10769" s="42">
        <v>46198</v>
      </c>
    </row>
    <row r="10770" spans="1:6" x14ac:dyDescent="0.3">
      <c r="A10770" s="15" t="s">
        <v>39081</v>
      </c>
      <c r="B10770" s="15" t="s">
        <v>19512</v>
      </c>
      <c r="C10770" s="15" t="s">
        <v>800</v>
      </c>
      <c r="D10770" s="15" t="s">
        <v>19513</v>
      </c>
      <c r="E10770" s="15">
        <v>11.8103</v>
      </c>
      <c r="F10770" s="42">
        <v>46198</v>
      </c>
    </row>
    <row r="10771" spans="1:6" x14ac:dyDescent="0.3">
      <c r="A10771" s="15" t="s">
        <v>39080</v>
      </c>
      <c r="B10771" s="15" t="s">
        <v>19514</v>
      </c>
      <c r="C10771" s="15" t="s">
        <v>19515</v>
      </c>
      <c r="D10771" s="15" t="s">
        <v>19516</v>
      </c>
      <c r="E10771" s="15">
        <v>11.81</v>
      </c>
      <c r="F10771" s="42">
        <v>46198</v>
      </c>
    </row>
    <row r="10772" spans="1:6" x14ac:dyDescent="0.3">
      <c r="A10772" s="15" t="s">
        <v>47029</v>
      </c>
      <c r="B10772" s="15" t="s">
        <v>47030</v>
      </c>
      <c r="C10772" s="15" t="s">
        <v>800</v>
      </c>
      <c r="D10772" s="15" t="s">
        <v>47031</v>
      </c>
      <c r="E10772" s="15">
        <v>9.7041000000000004</v>
      </c>
      <c r="F10772" s="42">
        <v>46198</v>
      </c>
    </row>
    <row r="10773" spans="1:6" x14ac:dyDescent="0.3">
      <c r="A10773" s="15" t="s">
        <v>47032</v>
      </c>
      <c r="B10773" s="15" t="s">
        <v>47033</v>
      </c>
      <c r="C10773" s="15" t="s">
        <v>800</v>
      </c>
      <c r="D10773" s="15" t="s">
        <v>47034</v>
      </c>
      <c r="E10773" s="15">
        <v>9.6963000000000008</v>
      </c>
      <c r="F10773" s="42">
        <v>46198</v>
      </c>
    </row>
    <row r="10774" spans="1:6" x14ac:dyDescent="0.3">
      <c r="A10774" s="15" t="s">
        <v>47019</v>
      </c>
      <c r="B10774" s="15" t="s">
        <v>47020</v>
      </c>
      <c r="C10774" s="15" t="s">
        <v>800</v>
      </c>
      <c r="D10774" s="15" t="s">
        <v>47021</v>
      </c>
      <c r="E10774" s="15">
        <v>10.414099999999999</v>
      </c>
      <c r="F10774" s="42">
        <v>46198</v>
      </c>
    </row>
    <row r="10775" spans="1:6" x14ac:dyDescent="0.3">
      <c r="A10775" s="15" t="s">
        <v>47022</v>
      </c>
      <c r="B10775" s="15" t="s">
        <v>47023</v>
      </c>
      <c r="C10775" s="15" t="s">
        <v>800</v>
      </c>
      <c r="D10775" s="15" t="s">
        <v>47024</v>
      </c>
      <c r="E10775" s="15">
        <v>10.4009</v>
      </c>
      <c r="F10775" s="42">
        <v>46198</v>
      </c>
    </row>
    <row r="10776" spans="1:6" x14ac:dyDescent="0.3">
      <c r="A10776" s="15" t="s">
        <v>39079</v>
      </c>
      <c r="B10776" s="15" t="s">
        <v>19517</v>
      </c>
      <c r="C10776" s="15" t="s">
        <v>800</v>
      </c>
      <c r="D10776" s="15" t="s">
        <v>19518</v>
      </c>
      <c r="E10776" s="15">
        <v>9.5965000000000007</v>
      </c>
      <c r="F10776" s="42">
        <v>46198</v>
      </c>
    </row>
    <row r="10777" spans="1:6" x14ac:dyDescent="0.3">
      <c r="A10777" s="15" t="s">
        <v>39078</v>
      </c>
      <c r="B10777" s="15" t="s">
        <v>19519</v>
      </c>
      <c r="C10777" s="15" t="s">
        <v>19520</v>
      </c>
      <c r="D10777" s="15" t="s">
        <v>19521</v>
      </c>
      <c r="E10777" s="15">
        <v>9.5965000000000007</v>
      </c>
      <c r="F10777" s="42">
        <v>46198</v>
      </c>
    </row>
    <row r="10778" spans="1:6" x14ac:dyDescent="0.3">
      <c r="A10778" s="15" t="s">
        <v>39077</v>
      </c>
      <c r="B10778" s="15" t="s">
        <v>19522</v>
      </c>
      <c r="C10778" s="15" t="s">
        <v>800</v>
      </c>
      <c r="D10778" s="15" t="s">
        <v>19523</v>
      </c>
      <c r="E10778" s="15">
        <v>9.4071999999999996</v>
      </c>
      <c r="F10778" s="42">
        <v>46198</v>
      </c>
    </row>
    <row r="10779" spans="1:6" x14ac:dyDescent="0.3">
      <c r="A10779" s="15" t="s">
        <v>39076</v>
      </c>
      <c r="B10779" s="15" t="s">
        <v>19524</v>
      </c>
      <c r="C10779" s="15" t="s">
        <v>19525</v>
      </c>
      <c r="D10779" s="15" t="s">
        <v>19526</v>
      </c>
      <c r="E10779" s="15">
        <v>9.4072999999999993</v>
      </c>
      <c r="F10779" s="42">
        <v>46198</v>
      </c>
    </row>
    <row r="10780" spans="1:6" x14ac:dyDescent="0.3">
      <c r="A10780" s="15" t="s">
        <v>39075</v>
      </c>
      <c r="B10780" s="15" t="s">
        <v>19527</v>
      </c>
      <c r="C10780" s="15" t="s">
        <v>800</v>
      </c>
      <c r="D10780" s="15" t="s">
        <v>19528</v>
      </c>
      <c r="E10780" s="15">
        <v>21.372</v>
      </c>
      <c r="F10780" s="42">
        <v>46198</v>
      </c>
    </row>
    <row r="10781" spans="1:6" x14ac:dyDescent="0.3">
      <c r="A10781" s="15" t="s">
        <v>39074</v>
      </c>
      <c r="B10781" s="15" t="s">
        <v>19529</v>
      </c>
      <c r="C10781" s="15" t="s">
        <v>19530</v>
      </c>
      <c r="D10781" s="15" t="s">
        <v>19531</v>
      </c>
      <c r="E10781" s="15">
        <v>21.371300000000002</v>
      </c>
      <c r="F10781" s="42">
        <v>46198</v>
      </c>
    </row>
    <row r="10782" spans="1:6" x14ac:dyDescent="0.3">
      <c r="A10782" s="15" t="s">
        <v>39073</v>
      </c>
      <c r="B10782" s="15" t="s">
        <v>19532</v>
      </c>
      <c r="C10782" s="15" t="s">
        <v>800</v>
      </c>
      <c r="D10782" s="15" t="s">
        <v>19533</v>
      </c>
      <c r="E10782" s="15">
        <v>20.709099999999999</v>
      </c>
      <c r="F10782" s="42">
        <v>46198</v>
      </c>
    </row>
    <row r="10783" spans="1:6" x14ac:dyDescent="0.3">
      <c r="A10783" s="15" t="s">
        <v>39072</v>
      </c>
      <c r="B10783" s="15" t="s">
        <v>19534</v>
      </c>
      <c r="C10783" s="15" t="s">
        <v>19535</v>
      </c>
      <c r="D10783" s="15" t="s">
        <v>19536</v>
      </c>
      <c r="E10783" s="15">
        <v>20.709099999999999</v>
      </c>
      <c r="F10783" s="42">
        <v>46198</v>
      </c>
    </row>
    <row r="10784" spans="1:6" x14ac:dyDescent="0.3">
      <c r="A10784" s="15" t="s">
        <v>39071</v>
      </c>
      <c r="B10784" s="15" t="s">
        <v>19537</v>
      </c>
      <c r="C10784" s="15" t="s">
        <v>800</v>
      </c>
      <c r="D10784" s="15" t="s">
        <v>19538</v>
      </c>
      <c r="E10784" s="15">
        <v>17.895</v>
      </c>
      <c r="F10784" s="42">
        <v>46198</v>
      </c>
    </row>
    <row r="10785" spans="1:6" x14ac:dyDescent="0.3">
      <c r="A10785" s="15" t="s">
        <v>39070</v>
      </c>
      <c r="B10785" s="15" t="s">
        <v>19539</v>
      </c>
      <c r="C10785" s="15" t="s">
        <v>19540</v>
      </c>
      <c r="D10785" s="15" t="s">
        <v>19541</v>
      </c>
      <c r="E10785" s="15">
        <v>16.980599999999999</v>
      </c>
      <c r="F10785" s="42">
        <v>46198</v>
      </c>
    </row>
    <row r="10786" spans="1:6" x14ac:dyDescent="0.3">
      <c r="A10786" s="15" t="s">
        <v>39069</v>
      </c>
      <c r="B10786" s="15" t="s">
        <v>19542</v>
      </c>
      <c r="C10786" s="15" t="s">
        <v>800</v>
      </c>
      <c r="D10786" s="15" t="s">
        <v>19543</v>
      </c>
      <c r="E10786" s="15">
        <v>17.360800000000001</v>
      </c>
      <c r="F10786" s="42">
        <v>46198</v>
      </c>
    </row>
    <row r="10787" spans="1:6" x14ac:dyDescent="0.3">
      <c r="A10787" s="15" t="s">
        <v>39068</v>
      </c>
      <c r="B10787" s="15" t="s">
        <v>19544</v>
      </c>
      <c r="C10787" s="15" t="s">
        <v>19545</v>
      </c>
      <c r="D10787" s="15" t="s">
        <v>19546</v>
      </c>
      <c r="E10787" s="15">
        <v>16.470600000000001</v>
      </c>
      <c r="F10787" s="42">
        <v>46198</v>
      </c>
    </row>
    <row r="10788" spans="1:6" x14ac:dyDescent="0.3">
      <c r="A10788" s="15" t="s">
        <v>39067</v>
      </c>
      <c r="B10788" s="15" t="s">
        <v>19547</v>
      </c>
      <c r="C10788" s="15" t="s">
        <v>800</v>
      </c>
      <c r="D10788" s="15" t="s">
        <v>19548</v>
      </c>
      <c r="E10788" s="15">
        <v>12.888500000000001</v>
      </c>
      <c r="F10788" s="42">
        <v>46198</v>
      </c>
    </row>
    <row r="10789" spans="1:6" x14ac:dyDescent="0.3">
      <c r="A10789" s="15" t="s">
        <v>39066</v>
      </c>
      <c r="B10789" s="15" t="s">
        <v>19549</v>
      </c>
      <c r="C10789" s="15" t="s">
        <v>19550</v>
      </c>
      <c r="D10789" s="15" t="s">
        <v>19551</v>
      </c>
      <c r="E10789" s="15">
        <v>12.888500000000001</v>
      </c>
      <c r="F10789" s="42">
        <v>46198</v>
      </c>
    </row>
    <row r="10790" spans="1:6" x14ac:dyDescent="0.3">
      <c r="A10790" s="15" t="s">
        <v>39065</v>
      </c>
      <c r="B10790" s="15" t="s">
        <v>19552</v>
      </c>
      <c r="C10790" s="15" t="s">
        <v>19553</v>
      </c>
      <c r="D10790" s="15" t="s">
        <v>19554</v>
      </c>
      <c r="E10790" s="15">
        <v>12.831200000000001</v>
      </c>
      <c r="F10790" s="42">
        <v>46198</v>
      </c>
    </row>
    <row r="10791" spans="1:6" x14ac:dyDescent="0.3">
      <c r="A10791" s="15" t="s">
        <v>39064</v>
      </c>
      <c r="B10791" s="15" t="s">
        <v>19555</v>
      </c>
      <c r="C10791" s="15" t="s">
        <v>800</v>
      </c>
      <c r="D10791" s="15" t="s">
        <v>19556</v>
      </c>
      <c r="E10791" s="15">
        <v>12.8325</v>
      </c>
      <c r="F10791" s="42">
        <v>46198</v>
      </c>
    </row>
    <row r="10792" spans="1:6" x14ac:dyDescent="0.3">
      <c r="A10792" s="15" t="s">
        <v>39063</v>
      </c>
      <c r="B10792" s="15" t="s">
        <v>19557</v>
      </c>
      <c r="C10792" s="15" t="s">
        <v>800</v>
      </c>
      <c r="D10792" s="15" t="s">
        <v>19558</v>
      </c>
      <c r="E10792" s="15">
        <v>19.757899999999999</v>
      </c>
      <c r="F10792" s="42">
        <v>46198</v>
      </c>
    </row>
    <row r="10793" spans="1:6" x14ac:dyDescent="0.3">
      <c r="A10793" s="15" t="s">
        <v>39062</v>
      </c>
      <c r="B10793" s="15" t="s">
        <v>19559</v>
      </c>
      <c r="C10793" s="15" t="s">
        <v>19560</v>
      </c>
      <c r="D10793" s="15" t="s">
        <v>19561</v>
      </c>
      <c r="E10793" s="15">
        <v>19.757899999999999</v>
      </c>
      <c r="F10793" s="42">
        <v>46198</v>
      </c>
    </row>
    <row r="10794" spans="1:6" x14ac:dyDescent="0.3">
      <c r="A10794" s="15" t="s">
        <v>39061</v>
      </c>
      <c r="B10794" s="15" t="s">
        <v>19562</v>
      </c>
      <c r="C10794" s="15" t="s">
        <v>800</v>
      </c>
      <c r="D10794" s="15" t="s">
        <v>19563</v>
      </c>
      <c r="E10794" s="15">
        <v>19.1462</v>
      </c>
      <c r="F10794" s="42">
        <v>46198</v>
      </c>
    </row>
    <row r="10795" spans="1:6" x14ac:dyDescent="0.3">
      <c r="A10795" s="15" t="s">
        <v>39060</v>
      </c>
      <c r="B10795" s="15" t="s">
        <v>19564</v>
      </c>
      <c r="C10795" s="15" t="s">
        <v>19565</v>
      </c>
      <c r="D10795" s="15" t="s">
        <v>19566</v>
      </c>
      <c r="E10795" s="15">
        <v>19.1464</v>
      </c>
      <c r="F10795" s="42">
        <v>46198</v>
      </c>
    </row>
    <row r="10796" spans="1:6" x14ac:dyDescent="0.3">
      <c r="A10796" s="15" t="s">
        <v>39059</v>
      </c>
      <c r="B10796" s="15" t="s">
        <v>19567</v>
      </c>
      <c r="C10796" s="15" t="s">
        <v>800</v>
      </c>
      <c r="D10796" s="15" t="s">
        <v>19568</v>
      </c>
      <c r="E10796" s="15">
        <v>11.2136</v>
      </c>
      <c r="F10796" s="42">
        <v>46198</v>
      </c>
    </row>
    <row r="10797" spans="1:6" x14ac:dyDescent="0.3">
      <c r="A10797" s="15" t="s">
        <v>39058</v>
      </c>
      <c r="B10797" s="15" t="s">
        <v>19569</v>
      </c>
      <c r="C10797" s="15" t="s">
        <v>800</v>
      </c>
      <c r="D10797" s="15" t="s">
        <v>19570</v>
      </c>
      <c r="E10797" s="15">
        <v>11.0792</v>
      </c>
      <c r="F10797" s="42">
        <v>46198</v>
      </c>
    </row>
    <row r="10798" spans="1:6" x14ac:dyDescent="0.3">
      <c r="A10798" s="15" t="s">
        <v>39057</v>
      </c>
      <c r="B10798" s="15" t="s">
        <v>19571</v>
      </c>
      <c r="C10798" s="15" t="s">
        <v>800</v>
      </c>
      <c r="D10798" s="15" t="s">
        <v>19572</v>
      </c>
      <c r="E10798" s="15">
        <v>10.1122</v>
      </c>
      <c r="F10798" s="42">
        <v>46198</v>
      </c>
    </row>
    <row r="10799" spans="1:6" x14ac:dyDescent="0.3">
      <c r="A10799" s="15" t="s">
        <v>39056</v>
      </c>
      <c r="B10799" s="15" t="s">
        <v>19573</v>
      </c>
      <c r="C10799" s="15" t="s">
        <v>800</v>
      </c>
      <c r="D10799" s="15" t="s">
        <v>19574</v>
      </c>
      <c r="E10799" s="15">
        <v>10.0458</v>
      </c>
      <c r="F10799" s="42">
        <v>46198</v>
      </c>
    </row>
    <row r="10800" spans="1:6" x14ac:dyDescent="0.3">
      <c r="A10800" s="15" t="s">
        <v>39055</v>
      </c>
      <c r="B10800" s="15" t="s">
        <v>19575</v>
      </c>
      <c r="C10800" s="15" t="s">
        <v>800</v>
      </c>
      <c r="D10800" s="15" t="s">
        <v>19576</v>
      </c>
      <c r="E10800" s="15">
        <v>11.5435</v>
      </c>
      <c r="F10800" s="42">
        <v>46198</v>
      </c>
    </row>
    <row r="10801" spans="1:6" x14ac:dyDescent="0.3">
      <c r="A10801" s="15" t="s">
        <v>39054</v>
      </c>
      <c r="B10801" s="15" t="s">
        <v>19577</v>
      </c>
      <c r="C10801" s="15" t="s">
        <v>800</v>
      </c>
      <c r="D10801" s="15" t="s">
        <v>19578</v>
      </c>
      <c r="E10801" s="15">
        <v>11.375500000000001</v>
      </c>
      <c r="F10801" s="42">
        <v>46198</v>
      </c>
    </row>
    <row r="10802" spans="1:6" x14ac:dyDescent="0.3">
      <c r="A10802" s="15" t="s">
        <v>33499</v>
      </c>
      <c r="B10802" s="15" t="s">
        <v>795</v>
      </c>
      <c r="C10802" s="15" t="s">
        <v>795</v>
      </c>
      <c r="D10802" s="15" t="s">
        <v>795</v>
      </c>
      <c r="F10802" s="42"/>
    </row>
    <row r="10803" spans="1:6" x14ac:dyDescent="0.3">
      <c r="A10803" s="15" t="s">
        <v>37923</v>
      </c>
      <c r="B10803" s="15" t="s">
        <v>795</v>
      </c>
      <c r="C10803" s="15" t="s">
        <v>795</v>
      </c>
      <c r="D10803" s="15" t="s">
        <v>795</v>
      </c>
      <c r="F10803" s="42"/>
    </row>
    <row r="10804" spans="1:6" x14ac:dyDescent="0.3">
      <c r="A10804" s="15" t="s">
        <v>33499</v>
      </c>
      <c r="B10804" s="15" t="s">
        <v>795</v>
      </c>
      <c r="C10804" s="15" t="s">
        <v>795</v>
      </c>
      <c r="D10804" s="15" t="s">
        <v>795</v>
      </c>
      <c r="F10804" s="42"/>
    </row>
    <row r="10805" spans="1:6" x14ac:dyDescent="0.3">
      <c r="A10805" s="15" t="s">
        <v>39053</v>
      </c>
      <c r="B10805" s="15" t="s">
        <v>19579</v>
      </c>
      <c r="C10805" s="15" t="s">
        <v>800</v>
      </c>
      <c r="D10805" s="15" t="s">
        <v>19580</v>
      </c>
      <c r="E10805" s="15">
        <v>9.8071000000000002</v>
      </c>
      <c r="F10805" s="42">
        <v>46198</v>
      </c>
    </row>
    <row r="10806" spans="1:6" x14ac:dyDescent="0.3">
      <c r="A10806" s="15" t="s">
        <v>39052</v>
      </c>
      <c r="B10806" s="15" t="s">
        <v>19581</v>
      </c>
      <c r="C10806" s="15" t="s">
        <v>19582</v>
      </c>
      <c r="D10806" s="15" t="s">
        <v>19583</v>
      </c>
      <c r="E10806" s="15">
        <v>9.8071000000000002</v>
      </c>
      <c r="F10806" s="42">
        <v>46198</v>
      </c>
    </row>
    <row r="10807" spans="1:6" x14ac:dyDescent="0.3">
      <c r="A10807" s="15" t="s">
        <v>39051</v>
      </c>
      <c r="B10807" s="15" t="s">
        <v>19584</v>
      </c>
      <c r="C10807" s="15" t="s">
        <v>800</v>
      </c>
      <c r="D10807" s="15" t="s">
        <v>19585</v>
      </c>
      <c r="E10807" s="15">
        <v>9.7335999999999991</v>
      </c>
      <c r="F10807" s="42">
        <v>46198</v>
      </c>
    </row>
    <row r="10808" spans="1:6" x14ac:dyDescent="0.3">
      <c r="A10808" s="15" t="s">
        <v>39050</v>
      </c>
      <c r="B10808" s="15" t="s">
        <v>19586</v>
      </c>
      <c r="C10808" s="15" t="s">
        <v>19587</v>
      </c>
      <c r="D10808" s="15" t="s">
        <v>19588</v>
      </c>
      <c r="E10808" s="15">
        <v>9.7335999999999991</v>
      </c>
      <c r="F10808" s="42">
        <v>46198</v>
      </c>
    </row>
    <row r="10809" spans="1:6" x14ac:dyDescent="0.3">
      <c r="A10809" s="15" t="s">
        <v>39049</v>
      </c>
      <c r="B10809" s="15" t="s">
        <v>19589</v>
      </c>
      <c r="C10809" s="15" t="s">
        <v>800</v>
      </c>
      <c r="D10809" s="15" t="s">
        <v>19590</v>
      </c>
      <c r="E10809" s="15">
        <v>11.4785</v>
      </c>
      <c r="F10809" s="42">
        <v>46198</v>
      </c>
    </row>
    <row r="10810" spans="1:6" x14ac:dyDescent="0.3">
      <c r="A10810" s="15" t="s">
        <v>39048</v>
      </c>
      <c r="B10810" s="15" t="s">
        <v>19591</v>
      </c>
      <c r="C10810" s="15" t="s">
        <v>19592</v>
      </c>
      <c r="D10810" s="15" t="s">
        <v>19593</v>
      </c>
      <c r="E10810" s="15">
        <v>11.4785</v>
      </c>
      <c r="F10810" s="42">
        <v>46198</v>
      </c>
    </row>
    <row r="10811" spans="1:6" x14ac:dyDescent="0.3">
      <c r="A10811" s="15" t="s">
        <v>39047</v>
      </c>
      <c r="B10811" s="15" t="s">
        <v>19594</v>
      </c>
      <c r="C10811" s="15" t="s">
        <v>800</v>
      </c>
      <c r="D10811" s="15" t="s">
        <v>19595</v>
      </c>
      <c r="E10811" s="15">
        <v>11.3934</v>
      </c>
      <c r="F10811" s="42">
        <v>46198</v>
      </c>
    </row>
    <row r="10812" spans="1:6" x14ac:dyDescent="0.3">
      <c r="A10812" s="15" t="s">
        <v>39046</v>
      </c>
      <c r="B10812" s="15" t="s">
        <v>19596</v>
      </c>
      <c r="C10812" s="15" t="s">
        <v>19597</v>
      </c>
      <c r="D10812" s="15" t="s">
        <v>19598</v>
      </c>
      <c r="E10812" s="15">
        <v>11.3934</v>
      </c>
      <c r="F10812" s="42">
        <v>46198</v>
      </c>
    </row>
    <row r="10813" spans="1:6" x14ac:dyDescent="0.3">
      <c r="A10813" s="15" t="s">
        <v>33499</v>
      </c>
      <c r="B10813" s="15" t="s">
        <v>795</v>
      </c>
      <c r="C10813" s="15" t="s">
        <v>795</v>
      </c>
      <c r="D10813" s="15" t="s">
        <v>795</v>
      </c>
      <c r="F10813" s="42"/>
    </row>
    <row r="10814" spans="1:6" x14ac:dyDescent="0.3">
      <c r="A10814" s="15" t="s">
        <v>37073</v>
      </c>
      <c r="B10814" s="15" t="s">
        <v>795</v>
      </c>
      <c r="C10814" s="15" t="s">
        <v>795</v>
      </c>
      <c r="D10814" s="15" t="s">
        <v>795</v>
      </c>
      <c r="F10814" s="42"/>
    </row>
    <row r="10815" spans="1:6" x14ac:dyDescent="0.3">
      <c r="A10815" s="15" t="s">
        <v>33499</v>
      </c>
      <c r="B10815" s="15" t="s">
        <v>795</v>
      </c>
      <c r="C10815" s="15" t="s">
        <v>795</v>
      </c>
      <c r="D10815" s="15" t="s">
        <v>795</v>
      </c>
      <c r="F10815" s="42"/>
    </row>
    <row r="10816" spans="1:6" x14ac:dyDescent="0.3">
      <c r="A10816" s="15" t="s">
        <v>39045</v>
      </c>
      <c r="B10816" s="15" t="s">
        <v>19599</v>
      </c>
      <c r="C10816" s="15" t="s">
        <v>800</v>
      </c>
      <c r="D10816" s="15" t="s">
        <v>19600</v>
      </c>
      <c r="E10816" s="15">
        <v>11.1999</v>
      </c>
      <c r="F10816" s="42">
        <v>46198</v>
      </c>
    </row>
    <row r="10817" spans="1:6" x14ac:dyDescent="0.3">
      <c r="A10817" s="15" t="s">
        <v>39044</v>
      </c>
      <c r="B10817" s="15" t="s">
        <v>19601</v>
      </c>
      <c r="C10817" s="15" t="s">
        <v>800</v>
      </c>
      <c r="D10817" s="15" t="s">
        <v>19602</v>
      </c>
      <c r="E10817" s="15">
        <v>11.0395</v>
      </c>
      <c r="F10817" s="42">
        <v>46198</v>
      </c>
    </row>
    <row r="10818" spans="1:6" x14ac:dyDescent="0.3">
      <c r="A10818" s="15" t="s">
        <v>39043</v>
      </c>
      <c r="B10818" s="15" t="s">
        <v>19603</v>
      </c>
      <c r="C10818" s="15" t="s">
        <v>800</v>
      </c>
      <c r="D10818" s="15" t="s">
        <v>19604</v>
      </c>
      <c r="E10818" s="15">
        <v>9.5965000000000007</v>
      </c>
      <c r="F10818" s="42">
        <v>46198</v>
      </c>
    </row>
    <row r="10819" spans="1:6" x14ac:dyDescent="0.3">
      <c r="A10819" s="15" t="s">
        <v>39042</v>
      </c>
      <c r="B10819" s="15" t="s">
        <v>19605</v>
      </c>
      <c r="C10819" s="15" t="s">
        <v>800</v>
      </c>
      <c r="D10819" s="15" t="s">
        <v>19606</v>
      </c>
      <c r="E10819" s="15">
        <v>9.5427</v>
      </c>
      <c r="F10819" s="42">
        <v>46198</v>
      </c>
    </row>
    <row r="10820" spans="1:6" x14ac:dyDescent="0.3">
      <c r="A10820" s="15" t="s">
        <v>39041</v>
      </c>
      <c r="B10820" s="15" t="s">
        <v>19607</v>
      </c>
      <c r="C10820" s="15" t="s">
        <v>800</v>
      </c>
      <c r="D10820" s="15" t="s">
        <v>19608</v>
      </c>
      <c r="E10820" s="15">
        <v>13.1313</v>
      </c>
      <c r="F10820" s="42">
        <v>46198</v>
      </c>
    </row>
    <row r="10821" spans="1:6" x14ac:dyDescent="0.3">
      <c r="A10821" s="15" t="s">
        <v>39040</v>
      </c>
      <c r="B10821" s="15" t="s">
        <v>19609</v>
      </c>
      <c r="C10821" s="15" t="s">
        <v>19610</v>
      </c>
      <c r="D10821" s="15" t="s">
        <v>19611</v>
      </c>
      <c r="E10821" s="15">
        <v>10.7554</v>
      </c>
      <c r="F10821" s="42">
        <v>46198</v>
      </c>
    </row>
    <row r="10822" spans="1:6" x14ac:dyDescent="0.3">
      <c r="A10822" s="15" t="s">
        <v>39039</v>
      </c>
      <c r="B10822" s="15" t="s">
        <v>19612</v>
      </c>
      <c r="C10822" s="15" t="s">
        <v>800</v>
      </c>
      <c r="D10822" s="15" t="s">
        <v>19613</v>
      </c>
      <c r="E10822" s="15">
        <v>13.049899999999999</v>
      </c>
      <c r="F10822" s="42">
        <v>46198</v>
      </c>
    </row>
    <row r="10823" spans="1:6" x14ac:dyDescent="0.3">
      <c r="A10823" s="15" t="s">
        <v>39038</v>
      </c>
      <c r="B10823" s="15" t="s">
        <v>19614</v>
      </c>
      <c r="C10823" s="15" t="s">
        <v>19615</v>
      </c>
      <c r="D10823" s="15" t="s">
        <v>19616</v>
      </c>
      <c r="E10823" s="15">
        <v>10.690899999999999</v>
      </c>
      <c r="F10823" s="42">
        <v>46198</v>
      </c>
    </row>
    <row r="10824" spans="1:6" x14ac:dyDescent="0.3">
      <c r="A10824" s="15" t="s">
        <v>39037</v>
      </c>
      <c r="B10824" s="15" t="s">
        <v>19617</v>
      </c>
      <c r="C10824" s="15" t="s">
        <v>800</v>
      </c>
      <c r="D10824" s="15" t="s">
        <v>19618</v>
      </c>
      <c r="E10824" s="15">
        <v>12.9299</v>
      </c>
      <c r="F10824" s="42">
        <v>46198</v>
      </c>
    </row>
    <row r="10825" spans="1:6" x14ac:dyDescent="0.3">
      <c r="A10825" s="15" t="s">
        <v>39036</v>
      </c>
      <c r="B10825" s="15" t="s">
        <v>19619</v>
      </c>
      <c r="C10825" s="15" t="s">
        <v>19620</v>
      </c>
      <c r="D10825" s="15" t="s">
        <v>19621</v>
      </c>
      <c r="E10825" s="15">
        <v>10.5246</v>
      </c>
      <c r="F10825" s="42">
        <v>46198</v>
      </c>
    </row>
    <row r="10826" spans="1:6" x14ac:dyDescent="0.3">
      <c r="A10826" s="15" t="s">
        <v>39035</v>
      </c>
      <c r="B10826" s="15" t="s">
        <v>19622</v>
      </c>
      <c r="C10826" s="15" t="s">
        <v>800</v>
      </c>
      <c r="D10826" s="15" t="s">
        <v>19623</v>
      </c>
      <c r="E10826" s="15">
        <v>12.8134</v>
      </c>
      <c r="F10826" s="42">
        <v>46198</v>
      </c>
    </row>
    <row r="10827" spans="1:6" x14ac:dyDescent="0.3">
      <c r="A10827" s="15" t="s">
        <v>39034</v>
      </c>
      <c r="B10827" s="15" t="s">
        <v>19624</v>
      </c>
      <c r="C10827" s="15" t="s">
        <v>19625</v>
      </c>
      <c r="D10827" s="15" t="s">
        <v>19626</v>
      </c>
      <c r="E10827" s="15">
        <v>10.382400000000001</v>
      </c>
      <c r="F10827" s="42">
        <v>46198</v>
      </c>
    </row>
    <row r="10828" spans="1:6" x14ac:dyDescent="0.3">
      <c r="A10828" s="15" t="s">
        <v>39033</v>
      </c>
      <c r="B10828" s="15" t="s">
        <v>19627</v>
      </c>
      <c r="C10828" s="15" t="s">
        <v>800</v>
      </c>
      <c r="D10828" s="15" t="s">
        <v>19628</v>
      </c>
      <c r="E10828" s="15">
        <v>13.007199999999999</v>
      </c>
      <c r="F10828" s="42">
        <v>46198</v>
      </c>
    </row>
    <row r="10829" spans="1:6" x14ac:dyDescent="0.3">
      <c r="A10829" s="15" t="s">
        <v>39032</v>
      </c>
      <c r="B10829" s="15" t="s">
        <v>19629</v>
      </c>
      <c r="C10829" s="15" t="s">
        <v>19630</v>
      </c>
      <c r="D10829" s="15" t="s">
        <v>19631</v>
      </c>
      <c r="E10829" s="15">
        <v>10.4437</v>
      </c>
      <c r="F10829" s="42">
        <v>46198</v>
      </c>
    </row>
    <row r="10830" spans="1:6" x14ac:dyDescent="0.3">
      <c r="A10830" s="15" t="s">
        <v>39031</v>
      </c>
      <c r="B10830" s="15" t="s">
        <v>19632</v>
      </c>
      <c r="C10830" s="15" t="s">
        <v>800</v>
      </c>
      <c r="D10830" s="15" t="s">
        <v>19633</v>
      </c>
      <c r="E10830" s="15">
        <v>12.8911</v>
      </c>
      <c r="F10830" s="42">
        <v>46198</v>
      </c>
    </row>
    <row r="10831" spans="1:6" x14ac:dyDescent="0.3">
      <c r="A10831" s="15" t="s">
        <v>39030</v>
      </c>
      <c r="B10831" s="15" t="s">
        <v>19634</v>
      </c>
      <c r="C10831" s="15" t="s">
        <v>19635</v>
      </c>
      <c r="D10831" s="15" t="s">
        <v>19636</v>
      </c>
      <c r="E10831" s="15">
        <v>10.4344</v>
      </c>
      <c r="F10831" s="42">
        <v>46198</v>
      </c>
    </row>
    <row r="10832" spans="1:6" x14ac:dyDescent="0.3">
      <c r="A10832" s="15" t="s">
        <v>39029</v>
      </c>
      <c r="B10832" s="15" t="s">
        <v>19637</v>
      </c>
      <c r="C10832" s="15" t="s">
        <v>800</v>
      </c>
      <c r="D10832" s="15" t="s">
        <v>19638</v>
      </c>
      <c r="E10832" s="15">
        <v>12.771125140000001</v>
      </c>
      <c r="F10832" s="42">
        <v>46142</v>
      </c>
    </row>
    <row r="10833" spans="1:6" x14ac:dyDescent="0.3">
      <c r="A10833" s="15" t="s">
        <v>39028</v>
      </c>
      <c r="B10833" s="15" t="s">
        <v>19639</v>
      </c>
      <c r="C10833" s="15" t="s">
        <v>19640</v>
      </c>
      <c r="D10833" s="15" t="s">
        <v>19641</v>
      </c>
      <c r="E10833" s="15">
        <v>10.47545502</v>
      </c>
      <c r="F10833" s="42">
        <v>46142</v>
      </c>
    </row>
    <row r="10834" spans="1:6" x14ac:dyDescent="0.3">
      <c r="A10834" s="15" t="s">
        <v>39027</v>
      </c>
      <c r="B10834" s="15" t="s">
        <v>19642</v>
      </c>
      <c r="C10834" s="15" t="s">
        <v>800</v>
      </c>
      <c r="D10834" s="15" t="s">
        <v>19643</v>
      </c>
      <c r="E10834" s="15">
        <v>12.658679530000001</v>
      </c>
      <c r="F10834" s="42">
        <v>46142</v>
      </c>
    </row>
    <row r="10835" spans="1:6" x14ac:dyDescent="0.3">
      <c r="A10835" s="15" t="s">
        <v>39026</v>
      </c>
      <c r="B10835" s="15" t="s">
        <v>19644</v>
      </c>
      <c r="C10835" s="15" t="s">
        <v>19645</v>
      </c>
      <c r="D10835" s="15" t="s">
        <v>19646</v>
      </c>
      <c r="E10835" s="15">
        <v>10.385135379999999</v>
      </c>
      <c r="F10835" s="42">
        <v>46142</v>
      </c>
    </row>
    <row r="10836" spans="1:6" x14ac:dyDescent="0.3">
      <c r="A10836" s="15" t="s">
        <v>39025</v>
      </c>
      <c r="B10836" s="15" t="s">
        <v>19647</v>
      </c>
      <c r="C10836" s="15" t="s">
        <v>800</v>
      </c>
      <c r="D10836" s="15" t="s">
        <v>19648</v>
      </c>
      <c r="E10836" s="15">
        <v>13.867800000000001</v>
      </c>
      <c r="F10836" s="42">
        <v>46198</v>
      </c>
    </row>
    <row r="10837" spans="1:6" x14ac:dyDescent="0.3">
      <c r="A10837" s="15" t="s">
        <v>39024</v>
      </c>
      <c r="B10837" s="15" t="s">
        <v>19649</v>
      </c>
      <c r="C10837" s="15" t="s">
        <v>19650</v>
      </c>
      <c r="D10837" s="15" t="s">
        <v>19651</v>
      </c>
      <c r="E10837" s="15">
        <v>10.307700000000001</v>
      </c>
      <c r="F10837" s="42">
        <v>46198</v>
      </c>
    </row>
    <row r="10838" spans="1:6" x14ac:dyDescent="0.3">
      <c r="A10838" s="15" t="s">
        <v>39023</v>
      </c>
      <c r="B10838" s="15" t="s">
        <v>19652</v>
      </c>
      <c r="C10838" s="15" t="s">
        <v>800</v>
      </c>
      <c r="D10838" s="15" t="s">
        <v>19653</v>
      </c>
      <c r="E10838" s="15">
        <v>13.686500000000001</v>
      </c>
      <c r="F10838" s="42">
        <v>46198</v>
      </c>
    </row>
    <row r="10839" spans="1:6" x14ac:dyDescent="0.3">
      <c r="A10839" s="15" t="s">
        <v>39022</v>
      </c>
      <c r="B10839" s="15" t="s">
        <v>19654</v>
      </c>
      <c r="C10839" s="15" t="s">
        <v>19655</v>
      </c>
      <c r="D10839" s="15" t="s">
        <v>19656</v>
      </c>
      <c r="E10839" s="15">
        <v>10.306699999999999</v>
      </c>
      <c r="F10839" s="42">
        <v>46198</v>
      </c>
    </row>
    <row r="10840" spans="1:6" x14ac:dyDescent="0.3">
      <c r="A10840" s="15" t="s">
        <v>39021</v>
      </c>
      <c r="B10840" s="15" t="s">
        <v>19657</v>
      </c>
      <c r="C10840" s="15" t="s">
        <v>800</v>
      </c>
      <c r="D10840" s="15" t="s">
        <v>19658</v>
      </c>
      <c r="E10840" s="15">
        <v>13.071400000000001</v>
      </c>
      <c r="F10840" s="42">
        <v>46198</v>
      </c>
    </row>
    <row r="10841" spans="1:6" x14ac:dyDescent="0.3">
      <c r="A10841" s="15" t="s">
        <v>39020</v>
      </c>
      <c r="B10841" s="15" t="s">
        <v>19659</v>
      </c>
      <c r="C10841" s="15" t="s">
        <v>19660</v>
      </c>
      <c r="D10841" s="15" t="s">
        <v>19661</v>
      </c>
      <c r="E10841" s="15">
        <v>11.079800000000001</v>
      </c>
      <c r="F10841" s="42">
        <v>46198</v>
      </c>
    </row>
    <row r="10842" spans="1:6" x14ac:dyDescent="0.3">
      <c r="A10842" s="15" t="s">
        <v>39019</v>
      </c>
      <c r="B10842" s="15" t="s">
        <v>19662</v>
      </c>
      <c r="C10842" s="15" t="s">
        <v>800</v>
      </c>
      <c r="D10842" s="15" t="s">
        <v>19663</v>
      </c>
      <c r="E10842" s="15">
        <v>12.9604</v>
      </c>
      <c r="F10842" s="42">
        <v>46198</v>
      </c>
    </row>
    <row r="10843" spans="1:6" x14ac:dyDescent="0.3">
      <c r="A10843" s="15" t="s">
        <v>39018</v>
      </c>
      <c r="B10843" s="15" t="s">
        <v>19664</v>
      </c>
      <c r="C10843" s="15" t="s">
        <v>19665</v>
      </c>
      <c r="D10843" s="15" t="s">
        <v>19666</v>
      </c>
      <c r="E10843" s="15">
        <v>10.9085</v>
      </c>
      <c r="F10843" s="42">
        <v>46198</v>
      </c>
    </row>
    <row r="10844" spans="1:6" x14ac:dyDescent="0.3">
      <c r="A10844" s="15" t="s">
        <v>39017</v>
      </c>
      <c r="B10844" s="15" t="s">
        <v>19667</v>
      </c>
      <c r="C10844" s="15" t="s">
        <v>800</v>
      </c>
      <c r="D10844" s="15" t="s">
        <v>19668</v>
      </c>
      <c r="E10844" s="15">
        <v>13.778600000000001</v>
      </c>
      <c r="F10844" s="42">
        <v>46198</v>
      </c>
    </row>
    <row r="10845" spans="1:6" x14ac:dyDescent="0.3">
      <c r="A10845" s="15" t="s">
        <v>39016</v>
      </c>
      <c r="B10845" s="15" t="s">
        <v>19669</v>
      </c>
      <c r="C10845" s="15" t="s">
        <v>19670</v>
      </c>
      <c r="D10845" s="15" t="s">
        <v>19671</v>
      </c>
      <c r="E10845" s="15">
        <v>10.318899999999999</v>
      </c>
      <c r="F10845" s="42">
        <v>46198</v>
      </c>
    </row>
    <row r="10846" spans="1:6" x14ac:dyDescent="0.3">
      <c r="A10846" s="15" t="s">
        <v>39015</v>
      </c>
      <c r="B10846" s="15" t="s">
        <v>19672</v>
      </c>
      <c r="C10846" s="15" t="s">
        <v>800</v>
      </c>
      <c r="D10846" s="15" t="s">
        <v>19673</v>
      </c>
      <c r="E10846" s="15">
        <v>13.5985</v>
      </c>
      <c r="F10846" s="42">
        <v>46198</v>
      </c>
    </row>
    <row r="10847" spans="1:6" x14ac:dyDescent="0.3">
      <c r="A10847" s="15" t="s">
        <v>39014</v>
      </c>
      <c r="B10847" s="15" t="s">
        <v>19674</v>
      </c>
      <c r="C10847" s="15" t="s">
        <v>19675</v>
      </c>
      <c r="D10847" s="15" t="s">
        <v>19676</v>
      </c>
      <c r="E10847" s="15">
        <v>10.309699999999999</v>
      </c>
      <c r="F10847" s="42">
        <v>46198</v>
      </c>
    </row>
    <row r="10848" spans="1:6" x14ac:dyDescent="0.3">
      <c r="A10848" s="15" t="s">
        <v>39013</v>
      </c>
      <c r="B10848" s="15" t="s">
        <v>19677</v>
      </c>
      <c r="C10848" s="15" t="s">
        <v>800</v>
      </c>
      <c r="D10848" s="15" t="s">
        <v>19678</v>
      </c>
      <c r="E10848" s="15">
        <v>10.9407</v>
      </c>
      <c r="F10848" s="42">
        <v>46198</v>
      </c>
    </row>
    <row r="10849" spans="1:6" x14ac:dyDescent="0.3">
      <c r="A10849" s="15" t="s">
        <v>39012</v>
      </c>
      <c r="B10849" s="15" t="s">
        <v>19679</v>
      </c>
      <c r="C10849" s="15" t="s">
        <v>19680</v>
      </c>
      <c r="D10849" s="15" t="s">
        <v>19681</v>
      </c>
      <c r="E10849" s="15">
        <v>10.375</v>
      </c>
      <c r="F10849" s="42">
        <v>46198</v>
      </c>
    </row>
    <row r="10850" spans="1:6" x14ac:dyDescent="0.3">
      <c r="A10850" s="15" t="s">
        <v>39011</v>
      </c>
      <c r="B10850" s="15" t="s">
        <v>19682</v>
      </c>
      <c r="C10850" s="15" t="s">
        <v>800</v>
      </c>
      <c r="D10850" s="15" t="s">
        <v>19683</v>
      </c>
      <c r="E10850" s="15">
        <v>10.9024</v>
      </c>
      <c r="F10850" s="42">
        <v>46198</v>
      </c>
    </row>
    <row r="10851" spans="1:6" x14ac:dyDescent="0.3">
      <c r="A10851" s="15" t="s">
        <v>39010</v>
      </c>
      <c r="B10851" s="15" t="s">
        <v>19684</v>
      </c>
      <c r="C10851" s="15" t="s">
        <v>19685</v>
      </c>
      <c r="D10851" s="15" t="s">
        <v>19686</v>
      </c>
      <c r="E10851" s="15">
        <v>10.245900000000001</v>
      </c>
      <c r="F10851" s="42">
        <v>46198</v>
      </c>
    </row>
    <row r="10852" spans="1:6" x14ac:dyDescent="0.3">
      <c r="A10852" s="15" t="s">
        <v>39009</v>
      </c>
      <c r="B10852" s="15" t="s">
        <v>19687</v>
      </c>
      <c r="C10852" s="15" t="s">
        <v>800</v>
      </c>
      <c r="D10852" s="15" t="s">
        <v>19688</v>
      </c>
      <c r="E10852" s="15">
        <v>10.9305</v>
      </c>
      <c r="F10852" s="42">
        <v>46198</v>
      </c>
    </row>
    <row r="10853" spans="1:6" x14ac:dyDescent="0.3">
      <c r="A10853" s="15" t="s">
        <v>39008</v>
      </c>
      <c r="B10853" s="15" t="s">
        <v>19689</v>
      </c>
      <c r="C10853" s="15" t="s">
        <v>800</v>
      </c>
      <c r="D10853" s="15" t="s">
        <v>19690</v>
      </c>
      <c r="E10853" s="15">
        <v>10.839399999999999</v>
      </c>
      <c r="F10853" s="42">
        <v>46198</v>
      </c>
    </row>
    <row r="10854" spans="1:6" x14ac:dyDescent="0.3">
      <c r="A10854" s="15" t="s">
        <v>39007</v>
      </c>
      <c r="B10854" s="15" t="s">
        <v>19691</v>
      </c>
      <c r="C10854" s="15" t="s">
        <v>800</v>
      </c>
      <c r="D10854" s="15" t="s">
        <v>19692</v>
      </c>
      <c r="E10854" s="15">
        <v>15.051500000000001</v>
      </c>
      <c r="F10854" s="42">
        <v>46198</v>
      </c>
    </row>
    <row r="10855" spans="1:6" x14ac:dyDescent="0.3">
      <c r="A10855" s="15" t="s">
        <v>39006</v>
      </c>
      <c r="B10855" s="15" t="s">
        <v>19693</v>
      </c>
      <c r="C10855" s="15" t="s">
        <v>19694</v>
      </c>
      <c r="D10855" s="15" t="s">
        <v>19695</v>
      </c>
      <c r="E10855" s="15">
        <v>15.0482</v>
      </c>
      <c r="F10855" s="42">
        <v>46198</v>
      </c>
    </row>
    <row r="10856" spans="1:6" x14ac:dyDescent="0.3">
      <c r="A10856" s="15" t="s">
        <v>39005</v>
      </c>
      <c r="B10856" s="15" t="s">
        <v>19696</v>
      </c>
      <c r="C10856" s="15" t="s">
        <v>800</v>
      </c>
      <c r="D10856" s="15" t="s">
        <v>19697</v>
      </c>
      <c r="E10856" s="15">
        <v>14.7325</v>
      </c>
      <c r="F10856" s="42">
        <v>46198</v>
      </c>
    </row>
    <row r="10857" spans="1:6" x14ac:dyDescent="0.3">
      <c r="A10857" s="15" t="s">
        <v>39004</v>
      </c>
      <c r="B10857" s="15" t="s">
        <v>19698</v>
      </c>
      <c r="C10857" s="15" t="s">
        <v>19699</v>
      </c>
      <c r="D10857" s="15" t="s">
        <v>19700</v>
      </c>
      <c r="E10857" s="15">
        <v>14.7348</v>
      </c>
      <c r="F10857" s="42">
        <v>46198</v>
      </c>
    </row>
    <row r="10858" spans="1:6" x14ac:dyDescent="0.3">
      <c r="A10858" s="15" t="s">
        <v>39003</v>
      </c>
      <c r="B10858" s="15" t="s">
        <v>19701</v>
      </c>
      <c r="C10858" s="15" t="s">
        <v>800</v>
      </c>
      <c r="D10858" s="15" t="s">
        <v>19702</v>
      </c>
      <c r="E10858" s="15">
        <v>9.3719999999999999</v>
      </c>
      <c r="F10858" s="42">
        <v>46198</v>
      </c>
    </row>
    <row r="10859" spans="1:6" x14ac:dyDescent="0.3">
      <c r="A10859" s="15" t="s">
        <v>39002</v>
      </c>
      <c r="B10859" s="15" t="s">
        <v>19703</v>
      </c>
      <c r="C10859" s="15" t="s">
        <v>800</v>
      </c>
      <c r="D10859" s="15" t="s">
        <v>19704</v>
      </c>
      <c r="E10859" s="15">
        <v>9.2774000000000001</v>
      </c>
      <c r="F10859" s="42">
        <v>46198</v>
      </c>
    </row>
    <row r="10860" spans="1:6" x14ac:dyDescent="0.3">
      <c r="A10860" s="15" t="s">
        <v>39001</v>
      </c>
      <c r="B10860" s="15" t="s">
        <v>19705</v>
      </c>
      <c r="C10860" s="15" t="s">
        <v>800</v>
      </c>
      <c r="D10860" s="15" t="s">
        <v>19706</v>
      </c>
      <c r="E10860" s="15">
        <v>51.948700000000002</v>
      </c>
      <c r="F10860" s="42">
        <v>46198</v>
      </c>
    </row>
    <row r="10861" spans="1:6" x14ac:dyDescent="0.3">
      <c r="A10861" s="15" t="s">
        <v>39000</v>
      </c>
      <c r="B10861" s="15" t="s">
        <v>19707</v>
      </c>
      <c r="C10861" s="15" t="s">
        <v>19708</v>
      </c>
      <c r="D10861" s="15" t="s">
        <v>19709</v>
      </c>
      <c r="E10861" s="15">
        <v>47.149700000000003</v>
      </c>
      <c r="F10861" s="42">
        <v>46198</v>
      </c>
    </row>
    <row r="10862" spans="1:6" x14ac:dyDescent="0.3">
      <c r="A10862" s="15" t="s">
        <v>38999</v>
      </c>
      <c r="B10862" s="15" t="s">
        <v>19710</v>
      </c>
      <c r="C10862" s="15" t="s">
        <v>800</v>
      </c>
      <c r="D10862" s="15" t="s">
        <v>19711</v>
      </c>
      <c r="E10862" s="15">
        <v>53.738599999999998</v>
      </c>
      <c r="F10862" s="42">
        <v>46198</v>
      </c>
    </row>
    <row r="10863" spans="1:6" x14ac:dyDescent="0.3">
      <c r="A10863" s="15" t="s">
        <v>38998</v>
      </c>
      <c r="B10863" s="15" t="s">
        <v>19712</v>
      </c>
      <c r="C10863" s="15" t="s">
        <v>19713</v>
      </c>
      <c r="D10863" s="15" t="s">
        <v>19714</v>
      </c>
      <c r="E10863" s="15">
        <v>48.842399999999998</v>
      </c>
      <c r="F10863" s="42">
        <v>46198</v>
      </c>
    </row>
    <row r="10864" spans="1:6" x14ac:dyDescent="0.3">
      <c r="A10864" s="15" t="s">
        <v>38997</v>
      </c>
      <c r="B10864" s="15" t="s">
        <v>19715</v>
      </c>
      <c r="C10864" s="15" t="s">
        <v>800</v>
      </c>
      <c r="D10864" s="15" t="s">
        <v>19716</v>
      </c>
      <c r="E10864" s="15">
        <v>9.0776000000000003</v>
      </c>
      <c r="F10864" s="42">
        <v>46198</v>
      </c>
    </row>
    <row r="10865" spans="1:6" x14ac:dyDescent="0.3">
      <c r="A10865" s="15" t="s">
        <v>38996</v>
      </c>
      <c r="B10865" s="15" t="s">
        <v>19717</v>
      </c>
      <c r="C10865" s="15" t="s">
        <v>800</v>
      </c>
      <c r="D10865" s="15" t="s">
        <v>19718</v>
      </c>
      <c r="E10865" s="15">
        <v>8.9803999999999995</v>
      </c>
      <c r="F10865" s="42">
        <v>46198</v>
      </c>
    </row>
    <row r="10866" spans="1:6" x14ac:dyDescent="0.3">
      <c r="A10866" s="15" t="s">
        <v>38995</v>
      </c>
      <c r="B10866" s="15" t="s">
        <v>19719</v>
      </c>
      <c r="C10866" s="15" t="s">
        <v>800</v>
      </c>
      <c r="D10866" s="15" t="s">
        <v>19720</v>
      </c>
      <c r="E10866" s="15">
        <v>11.4245</v>
      </c>
      <c r="F10866" s="42">
        <v>46198</v>
      </c>
    </row>
    <row r="10867" spans="1:6" x14ac:dyDescent="0.3">
      <c r="A10867" s="15" t="s">
        <v>38994</v>
      </c>
      <c r="B10867" s="15" t="s">
        <v>19721</v>
      </c>
      <c r="C10867" s="15" t="s">
        <v>800</v>
      </c>
      <c r="D10867" s="15" t="s">
        <v>19722</v>
      </c>
      <c r="E10867" s="15">
        <v>11.302099999999999</v>
      </c>
      <c r="F10867" s="42">
        <v>46198</v>
      </c>
    </row>
    <row r="10868" spans="1:6" x14ac:dyDescent="0.3">
      <c r="A10868" s="15" t="s">
        <v>38993</v>
      </c>
      <c r="B10868" s="15" t="s">
        <v>19723</v>
      </c>
      <c r="C10868" s="15" t="s">
        <v>800</v>
      </c>
      <c r="D10868" s="15" t="s">
        <v>19724</v>
      </c>
      <c r="E10868" s="15">
        <v>14.099299999999999</v>
      </c>
      <c r="F10868" s="42">
        <v>46198</v>
      </c>
    </row>
    <row r="10869" spans="1:6" x14ac:dyDescent="0.3">
      <c r="A10869" s="15" t="s">
        <v>38992</v>
      </c>
      <c r="B10869" s="15" t="s">
        <v>19725</v>
      </c>
      <c r="C10869" s="15" t="s">
        <v>19726</v>
      </c>
      <c r="D10869" s="15" t="s">
        <v>19727</v>
      </c>
      <c r="E10869" s="15">
        <v>14.0908</v>
      </c>
      <c r="F10869" s="42">
        <v>46198</v>
      </c>
    </row>
    <row r="10870" spans="1:6" x14ac:dyDescent="0.3">
      <c r="A10870" s="15" t="s">
        <v>38991</v>
      </c>
      <c r="B10870" s="15" t="s">
        <v>19728</v>
      </c>
      <c r="C10870" s="15" t="s">
        <v>800</v>
      </c>
      <c r="D10870" s="15" t="s">
        <v>19729</v>
      </c>
      <c r="E10870" s="15">
        <v>13.851900000000001</v>
      </c>
      <c r="F10870" s="42">
        <v>46198</v>
      </c>
    </row>
    <row r="10871" spans="1:6" x14ac:dyDescent="0.3">
      <c r="A10871" s="15" t="s">
        <v>38990</v>
      </c>
      <c r="B10871" s="15" t="s">
        <v>19730</v>
      </c>
      <c r="C10871" s="15" t="s">
        <v>19731</v>
      </c>
      <c r="D10871" s="15" t="s">
        <v>19732</v>
      </c>
      <c r="E10871" s="15">
        <v>13.851699999999999</v>
      </c>
      <c r="F10871" s="42">
        <v>46198</v>
      </c>
    </row>
    <row r="10872" spans="1:6" x14ac:dyDescent="0.3">
      <c r="A10872" s="15" t="s">
        <v>38989</v>
      </c>
      <c r="B10872" s="15" t="s">
        <v>19733</v>
      </c>
      <c r="C10872" s="15" t="s">
        <v>800</v>
      </c>
      <c r="D10872" s="15" t="s">
        <v>19734</v>
      </c>
      <c r="E10872" s="15">
        <v>10.1088</v>
      </c>
      <c r="F10872" s="42">
        <v>46198</v>
      </c>
    </row>
    <row r="10873" spans="1:6" x14ac:dyDescent="0.3">
      <c r="A10873" s="15" t="s">
        <v>38988</v>
      </c>
      <c r="B10873" s="15" t="s">
        <v>19735</v>
      </c>
      <c r="C10873" s="15" t="s">
        <v>800</v>
      </c>
      <c r="D10873" s="15" t="s">
        <v>19736</v>
      </c>
      <c r="E10873" s="15">
        <v>10.0016</v>
      </c>
      <c r="F10873" s="42">
        <v>46198</v>
      </c>
    </row>
    <row r="10874" spans="1:6" x14ac:dyDescent="0.3">
      <c r="A10874" s="15" t="s">
        <v>38987</v>
      </c>
      <c r="B10874" s="15" t="s">
        <v>19737</v>
      </c>
      <c r="C10874" s="15" t="s">
        <v>800</v>
      </c>
      <c r="D10874" s="15" t="s">
        <v>19738</v>
      </c>
      <c r="E10874" s="15">
        <v>11.431100000000001</v>
      </c>
      <c r="F10874" s="42">
        <v>46198</v>
      </c>
    </row>
    <row r="10875" spans="1:6" x14ac:dyDescent="0.3">
      <c r="A10875" s="15" t="s">
        <v>38986</v>
      </c>
      <c r="B10875" s="15" t="s">
        <v>19739</v>
      </c>
      <c r="C10875" s="15" t="s">
        <v>800</v>
      </c>
      <c r="D10875" s="15" t="s">
        <v>19740</v>
      </c>
      <c r="E10875" s="15">
        <v>11.264900000000001</v>
      </c>
      <c r="F10875" s="42">
        <v>46198</v>
      </c>
    </row>
    <row r="10876" spans="1:6" x14ac:dyDescent="0.3">
      <c r="A10876" s="15" t="s">
        <v>38985</v>
      </c>
      <c r="B10876" s="15" t="s">
        <v>19741</v>
      </c>
      <c r="C10876" s="15" t="s">
        <v>800</v>
      </c>
      <c r="D10876" s="15" t="s">
        <v>19742</v>
      </c>
      <c r="E10876" s="15">
        <v>9.2929999999999993</v>
      </c>
      <c r="F10876" s="42">
        <v>46198</v>
      </c>
    </row>
    <row r="10877" spans="1:6" x14ac:dyDescent="0.3">
      <c r="A10877" s="15" t="s">
        <v>38984</v>
      </c>
      <c r="B10877" s="15" t="s">
        <v>19743</v>
      </c>
      <c r="C10877" s="15" t="s">
        <v>19744</v>
      </c>
      <c r="D10877" s="15" t="s">
        <v>19745</v>
      </c>
      <c r="E10877" s="15">
        <v>9.2959999999999994</v>
      </c>
      <c r="F10877" s="42">
        <v>46198</v>
      </c>
    </row>
    <row r="10878" spans="1:6" x14ac:dyDescent="0.3">
      <c r="A10878" s="15" t="s">
        <v>38983</v>
      </c>
      <c r="B10878" s="15" t="s">
        <v>19746</v>
      </c>
      <c r="C10878" s="15" t="s">
        <v>800</v>
      </c>
      <c r="D10878" s="15" t="s">
        <v>19747</v>
      </c>
      <c r="E10878" s="15">
        <v>9.1247000000000007</v>
      </c>
      <c r="F10878" s="42">
        <v>46198</v>
      </c>
    </row>
    <row r="10879" spans="1:6" x14ac:dyDescent="0.3">
      <c r="A10879" s="15" t="s">
        <v>38982</v>
      </c>
      <c r="B10879" s="15" t="s">
        <v>19748</v>
      </c>
      <c r="C10879" s="15" t="s">
        <v>19749</v>
      </c>
      <c r="D10879" s="15" t="s">
        <v>19750</v>
      </c>
      <c r="E10879" s="15">
        <v>9.1239000000000008</v>
      </c>
      <c r="F10879" s="42">
        <v>46198</v>
      </c>
    </row>
    <row r="10880" spans="1:6" x14ac:dyDescent="0.3">
      <c r="A10880" s="15" t="s">
        <v>38981</v>
      </c>
      <c r="B10880" s="15" t="s">
        <v>19751</v>
      </c>
      <c r="C10880" s="15" t="s">
        <v>800</v>
      </c>
      <c r="D10880" s="15" t="s">
        <v>19752</v>
      </c>
      <c r="E10880" s="15">
        <v>10.3538</v>
      </c>
      <c r="F10880" s="42">
        <v>46198</v>
      </c>
    </row>
    <row r="10881" spans="1:6" x14ac:dyDescent="0.3">
      <c r="A10881" s="15" t="s">
        <v>38980</v>
      </c>
      <c r="B10881" s="15" t="s">
        <v>19753</v>
      </c>
      <c r="C10881" s="15" t="s">
        <v>800</v>
      </c>
      <c r="D10881" s="15" t="s">
        <v>19754</v>
      </c>
      <c r="E10881" s="15">
        <v>10.2262</v>
      </c>
      <c r="F10881" s="42">
        <v>46198</v>
      </c>
    </row>
    <row r="10882" spans="1:6" x14ac:dyDescent="0.3">
      <c r="A10882" s="15" t="s">
        <v>38979</v>
      </c>
      <c r="B10882" s="15" t="s">
        <v>19755</v>
      </c>
      <c r="C10882" s="15" t="s">
        <v>800</v>
      </c>
      <c r="D10882" s="15" t="s">
        <v>19756</v>
      </c>
      <c r="E10882" s="15">
        <v>12.7216</v>
      </c>
      <c r="F10882" s="42">
        <v>46198</v>
      </c>
    </row>
    <row r="10883" spans="1:6" x14ac:dyDescent="0.3">
      <c r="A10883" s="15" t="s">
        <v>38978</v>
      </c>
      <c r="B10883" s="15" t="s">
        <v>19757</v>
      </c>
      <c r="C10883" s="15" t="s">
        <v>800</v>
      </c>
      <c r="D10883" s="15" t="s">
        <v>19758</v>
      </c>
      <c r="E10883" s="15">
        <v>12.5909</v>
      </c>
      <c r="F10883" s="42">
        <v>46198</v>
      </c>
    </row>
    <row r="10884" spans="1:6" x14ac:dyDescent="0.3">
      <c r="A10884" s="15" t="s">
        <v>38977</v>
      </c>
      <c r="B10884" s="15" t="s">
        <v>19759</v>
      </c>
      <c r="C10884" s="15" t="s">
        <v>800</v>
      </c>
      <c r="D10884" s="15" t="s">
        <v>19760</v>
      </c>
      <c r="E10884" s="15">
        <v>12.8323</v>
      </c>
      <c r="F10884" s="42">
        <v>46198</v>
      </c>
    </row>
    <row r="10885" spans="1:6" x14ac:dyDescent="0.3">
      <c r="A10885" s="15" t="s">
        <v>38976</v>
      </c>
      <c r="B10885" s="15" t="s">
        <v>19761</v>
      </c>
      <c r="C10885" s="15" t="s">
        <v>19762</v>
      </c>
      <c r="D10885" s="15" t="s">
        <v>19763</v>
      </c>
      <c r="E10885" s="15">
        <v>12.8324</v>
      </c>
      <c r="F10885" s="42">
        <v>46198</v>
      </c>
    </row>
    <row r="10886" spans="1:6" x14ac:dyDescent="0.3">
      <c r="A10886" s="15" t="s">
        <v>38975</v>
      </c>
      <c r="B10886" s="15" t="s">
        <v>19764</v>
      </c>
      <c r="C10886" s="15" t="s">
        <v>800</v>
      </c>
      <c r="D10886" s="15" t="s">
        <v>19765</v>
      </c>
      <c r="E10886" s="15">
        <v>12.611499999999999</v>
      </c>
      <c r="F10886" s="42">
        <v>46198</v>
      </c>
    </row>
    <row r="10887" spans="1:6" x14ac:dyDescent="0.3">
      <c r="A10887" s="15" t="s">
        <v>38974</v>
      </c>
      <c r="B10887" s="15" t="s">
        <v>19766</v>
      </c>
      <c r="C10887" s="15" t="s">
        <v>19767</v>
      </c>
      <c r="D10887" s="15" t="s">
        <v>19768</v>
      </c>
      <c r="E10887" s="15">
        <v>12.6119</v>
      </c>
      <c r="F10887" s="42">
        <v>46198</v>
      </c>
    </row>
    <row r="10888" spans="1:6" x14ac:dyDescent="0.3">
      <c r="A10888" s="15" t="s">
        <v>38973</v>
      </c>
      <c r="B10888" s="15" t="s">
        <v>19769</v>
      </c>
      <c r="C10888" s="15" t="s">
        <v>800</v>
      </c>
      <c r="D10888" s="15" t="s">
        <v>19770</v>
      </c>
      <c r="E10888" s="15">
        <v>10.1602</v>
      </c>
      <c r="F10888" s="42">
        <v>46198</v>
      </c>
    </row>
    <row r="10889" spans="1:6" x14ac:dyDescent="0.3">
      <c r="A10889" s="15" t="s">
        <v>38972</v>
      </c>
      <c r="B10889" s="15" t="s">
        <v>19771</v>
      </c>
      <c r="C10889" s="15" t="s">
        <v>800</v>
      </c>
      <c r="D10889" s="15" t="s">
        <v>19772</v>
      </c>
      <c r="E10889" s="15">
        <v>10.0311</v>
      </c>
      <c r="F10889" s="42">
        <v>46198</v>
      </c>
    </row>
    <row r="10890" spans="1:6" x14ac:dyDescent="0.3">
      <c r="A10890" s="15" t="s">
        <v>38971</v>
      </c>
      <c r="B10890" s="15" t="s">
        <v>19773</v>
      </c>
      <c r="C10890" s="15" t="s">
        <v>800</v>
      </c>
      <c r="D10890" s="15" t="s">
        <v>19774</v>
      </c>
      <c r="E10890" s="15">
        <v>15.605600000000001</v>
      </c>
      <c r="F10890" s="42">
        <v>46198</v>
      </c>
    </row>
    <row r="10891" spans="1:6" x14ac:dyDescent="0.3">
      <c r="A10891" s="15" t="s">
        <v>38970</v>
      </c>
      <c r="B10891" s="15" t="s">
        <v>19775</v>
      </c>
      <c r="C10891" s="15" t="s">
        <v>800</v>
      </c>
      <c r="D10891" s="15" t="s">
        <v>19776</v>
      </c>
      <c r="E10891" s="15">
        <v>15.1967</v>
      </c>
      <c r="F10891" s="42">
        <v>46198</v>
      </c>
    </row>
    <row r="10892" spans="1:6" x14ac:dyDescent="0.3">
      <c r="A10892" s="15" t="s">
        <v>38969</v>
      </c>
      <c r="B10892" s="15" t="s">
        <v>19777</v>
      </c>
      <c r="C10892" s="15" t="s">
        <v>19778</v>
      </c>
      <c r="D10892" s="15" t="s">
        <v>19779</v>
      </c>
      <c r="E10892" s="15">
        <v>15.5282</v>
      </c>
      <c r="F10892" s="42">
        <v>46198</v>
      </c>
    </row>
    <row r="10893" spans="1:6" x14ac:dyDescent="0.3">
      <c r="A10893" s="15" t="s">
        <v>38968</v>
      </c>
      <c r="B10893" s="15" t="s">
        <v>19780</v>
      </c>
      <c r="C10893" s="15" t="s">
        <v>19781</v>
      </c>
      <c r="D10893" s="15" t="s">
        <v>19782</v>
      </c>
      <c r="E10893" s="15">
        <v>15.196400000000001</v>
      </c>
      <c r="F10893" s="42">
        <v>46198</v>
      </c>
    </row>
    <row r="10894" spans="1:6" x14ac:dyDescent="0.3">
      <c r="A10894" s="15" t="s">
        <v>38967</v>
      </c>
      <c r="B10894" s="15" t="s">
        <v>19783</v>
      </c>
      <c r="C10894" s="15" t="s">
        <v>800</v>
      </c>
      <c r="D10894" s="15" t="s">
        <v>19784</v>
      </c>
      <c r="E10894" s="15">
        <v>15.938000000000001</v>
      </c>
      <c r="F10894" s="42">
        <v>46198</v>
      </c>
    </row>
    <row r="10895" spans="1:6" x14ac:dyDescent="0.3">
      <c r="A10895" s="15" t="s">
        <v>38966</v>
      </c>
      <c r="B10895" s="15" t="s">
        <v>19785</v>
      </c>
      <c r="C10895" s="15" t="s">
        <v>800</v>
      </c>
      <c r="D10895" s="15" t="s">
        <v>19786</v>
      </c>
      <c r="E10895" s="15">
        <v>15.5646</v>
      </c>
      <c r="F10895" s="42">
        <v>46198</v>
      </c>
    </row>
    <row r="10896" spans="1:6" x14ac:dyDescent="0.3">
      <c r="A10896" s="15" t="s">
        <v>38965</v>
      </c>
      <c r="B10896" s="15" t="s">
        <v>19787</v>
      </c>
      <c r="C10896" s="15" t="s">
        <v>19788</v>
      </c>
      <c r="D10896" s="15" t="s">
        <v>19789</v>
      </c>
      <c r="E10896" s="15">
        <v>15.912000000000001</v>
      </c>
      <c r="F10896" s="42">
        <v>46198</v>
      </c>
    </row>
    <row r="10897" spans="1:6" x14ac:dyDescent="0.3">
      <c r="A10897" s="15" t="s">
        <v>38964</v>
      </c>
      <c r="B10897" s="15" t="s">
        <v>19790</v>
      </c>
      <c r="C10897" s="15" t="s">
        <v>19791</v>
      </c>
      <c r="D10897" s="15" t="s">
        <v>19792</v>
      </c>
      <c r="E10897" s="15">
        <v>15.564</v>
      </c>
      <c r="F10897" s="42">
        <v>46198</v>
      </c>
    </row>
    <row r="10898" spans="1:6" x14ac:dyDescent="0.3">
      <c r="A10898" s="15" t="s">
        <v>33499</v>
      </c>
      <c r="B10898" s="15" t="s">
        <v>795</v>
      </c>
      <c r="C10898" s="15" t="s">
        <v>795</v>
      </c>
      <c r="D10898" s="15" t="s">
        <v>795</v>
      </c>
      <c r="F10898" s="42"/>
    </row>
    <row r="10899" spans="1:6" x14ac:dyDescent="0.3">
      <c r="A10899" s="15" t="s">
        <v>37566</v>
      </c>
      <c r="B10899" s="15" t="s">
        <v>795</v>
      </c>
      <c r="C10899" s="15" t="s">
        <v>795</v>
      </c>
      <c r="D10899" s="15" t="s">
        <v>795</v>
      </c>
      <c r="F10899" s="42"/>
    </row>
    <row r="10900" spans="1:6" x14ac:dyDescent="0.3">
      <c r="A10900" s="15" t="s">
        <v>33499</v>
      </c>
      <c r="B10900" s="15" t="s">
        <v>795</v>
      </c>
      <c r="C10900" s="15" t="s">
        <v>795</v>
      </c>
      <c r="D10900" s="15" t="s">
        <v>795</v>
      </c>
      <c r="F10900" s="42"/>
    </row>
    <row r="10901" spans="1:6" x14ac:dyDescent="0.3">
      <c r="A10901" s="15" t="s">
        <v>38963</v>
      </c>
      <c r="B10901" s="15" t="s">
        <v>19793</v>
      </c>
      <c r="C10901" s="15" t="s">
        <v>800</v>
      </c>
      <c r="D10901" s="15" t="s">
        <v>19794</v>
      </c>
      <c r="E10901" s="15">
        <v>11.3323</v>
      </c>
      <c r="F10901" s="42">
        <v>46198</v>
      </c>
    </row>
    <row r="10902" spans="1:6" x14ac:dyDescent="0.3">
      <c r="A10902" s="15" t="s">
        <v>38962</v>
      </c>
      <c r="B10902" s="15" t="s">
        <v>19795</v>
      </c>
      <c r="C10902" s="15" t="s">
        <v>19796</v>
      </c>
      <c r="D10902" s="15" t="s">
        <v>19797</v>
      </c>
      <c r="E10902" s="15">
        <v>11.3323</v>
      </c>
      <c r="F10902" s="42">
        <v>46198</v>
      </c>
    </row>
    <row r="10903" spans="1:6" x14ac:dyDescent="0.3">
      <c r="A10903" s="15" t="s">
        <v>38961</v>
      </c>
      <c r="B10903" s="15" t="s">
        <v>19798</v>
      </c>
      <c r="C10903" s="15" t="s">
        <v>800</v>
      </c>
      <c r="D10903" s="15" t="s">
        <v>19799</v>
      </c>
      <c r="E10903" s="15">
        <v>11.226800000000001</v>
      </c>
      <c r="F10903" s="42">
        <v>46198</v>
      </c>
    </row>
    <row r="10904" spans="1:6" x14ac:dyDescent="0.3">
      <c r="A10904" s="15" t="s">
        <v>38960</v>
      </c>
      <c r="B10904" s="15" t="s">
        <v>19800</v>
      </c>
      <c r="C10904" s="15" t="s">
        <v>19801</v>
      </c>
      <c r="D10904" s="15" t="s">
        <v>19802</v>
      </c>
      <c r="E10904" s="15">
        <v>11.226800000000001</v>
      </c>
      <c r="F10904" s="42">
        <v>46198</v>
      </c>
    </row>
    <row r="10905" spans="1:6" x14ac:dyDescent="0.3">
      <c r="A10905" s="15" t="s">
        <v>38959</v>
      </c>
      <c r="B10905" s="15" t="s">
        <v>19803</v>
      </c>
      <c r="C10905" s="15" t="s">
        <v>800</v>
      </c>
      <c r="D10905" s="15" t="s">
        <v>19804</v>
      </c>
      <c r="E10905" s="15">
        <v>10.9537</v>
      </c>
      <c r="F10905" s="42">
        <v>46198</v>
      </c>
    </row>
    <row r="10906" spans="1:6" x14ac:dyDescent="0.3">
      <c r="A10906" s="15" t="s">
        <v>38958</v>
      </c>
      <c r="B10906" s="15" t="s">
        <v>19805</v>
      </c>
      <c r="C10906" s="15" t="s">
        <v>800</v>
      </c>
      <c r="D10906" s="15" t="s">
        <v>19806</v>
      </c>
      <c r="E10906" s="15">
        <v>10.8308</v>
      </c>
      <c r="F10906" s="42">
        <v>46198</v>
      </c>
    </row>
    <row r="10907" spans="1:6" x14ac:dyDescent="0.3">
      <c r="A10907" s="15" t="s">
        <v>38957</v>
      </c>
      <c r="B10907" s="15" t="s">
        <v>19807</v>
      </c>
      <c r="C10907" s="15" t="s">
        <v>800</v>
      </c>
      <c r="D10907" s="15" t="s">
        <v>19808</v>
      </c>
      <c r="E10907" s="15">
        <v>12.771699999999999</v>
      </c>
      <c r="F10907" s="42">
        <v>46198</v>
      </c>
    </row>
    <row r="10908" spans="1:6" x14ac:dyDescent="0.3">
      <c r="A10908" s="15" t="s">
        <v>38956</v>
      </c>
      <c r="B10908" s="15" t="s">
        <v>19809</v>
      </c>
      <c r="C10908" s="15" t="s">
        <v>800</v>
      </c>
      <c r="D10908" s="15" t="s">
        <v>19810</v>
      </c>
      <c r="E10908" s="15">
        <v>10</v>
      </c>
      <c r="F10908" s="42">
        <v>45471</v>
      </c>
    </row>
    <row r="10909" spans="1:6" x14ac:dyDescent="0.3">
      <c r="A10909" s="15" t="s">
        <v>38955</v>
      </c>
      <c r="B10909" s="15" t="s">
        <v>19811</v>
      </c>
      <c r="C10909" s="15" t="s">
        <v>800</v>
      </c>
      <c r="D10909" s="15" t="s">
        <v>19812</v>
      </c>
      <c r="E10909" s="15">
        <v>12.642799999999999</v>
      </c>
      <c r="F10909" s="42">
        <v>46198</v>
      </c>
    </row>
    <row r="10910" spans="1:6" x14ac:dyDescent="0.3">
      <c r="A10910" s="15" t="s">
        <v>38954</v>
      </c>
      <c r="B10910" s="15" t="s">
        <v>19813</v>
      </c>
      <c r="C10910" s="15" t="s">
        <v>800</v>
      </c>
      <c r="D10910" s="15" t="s">
        <v>19814</v>
      </c>
      <c r="E10910" s="15">
        <v>12.642899999999999</v>
      </c>
      <c r="F10910" s="42">
        <v>46198</v>
      </c>
    </row>
    <row r="10911" spans="1:6" x14ac:dyDescent="0.3">
      <c r="A10911" s="15" t="s">
        <v>38953</v>
      </c>
      <c r="B10911" s="15" t="s">
        <v>19815</v>
      </c>
      <c r="C10911" s="15" t="s">
        <v>800</v>
      </c>
      <c r="D10911" s="15" t="s">
        <v>19816</v>
      </c>
      <c r="E10911" s="15">
        <v>12.8169</v>
      </c>
      <c r="F10911" s="42">
        <v>46198</v>
      </c>
    </row>
    <row r="10912" spans="1:6" x14ac:dyDescent="0.3">
      <c r="A10912" s="15" t="s">
        <v>38952</v>
      </c>
      <c r="B10912" s="15" t="s">
        <v>19817</v>
      </c>
      <c r="C10912" s="15" t="s">
        <v>19818</v>
      </c>
      <c r="D10912" s="15" t="s">
        <v>19819</v>
      </c>
      <c r="E10912" s="15">
        <v>12.0267</v>
      </c>
      <c r="F10912" s="42">
        <v>46198</v>
      </c>
    </row>
    <row r="10913" spans="1:6" x14ac:dyDescent="0.3">
      <c r="A10913" s="15" t="s">
        <v>38951</v>
      </c>
      <c r="B10913" s="15" t="s">
        <v>19820</v>
      </c>
      <c r="C10913" s="15" t="s">
        <v>800</v>
      </c>
      <c r="D10913" s="15" t="s">
        <v>19821</v>
      </c>
      <c r="E10913" s="15">
        <v>12.6928</v>
      </c>
      <c r="F10913" s="42">
        <v>46198</v>
      </c>
    </row>
    <row r="10914" spans="1:6" x14ac:dyDescent="0.3">
      <c r="A10914" s="15" t="s">
        <v>38950</v>
      </c>
      <c r="B10914" s="15" t="s">
        <v>19822</v>
      </c>
      <c r="C10914" s="15" t="s">
        <v>19823</v>
      </c>
      <c r="D10914" s="15" t="s">
        <v>19824</v>
      </c>
      <c r="E10914" s="15">
        <v>11.835100000000001</v>
      </c>
      <c r="F10914" s="42">
        <v>46198</v>
      </c>
    </row>
    <row r="10915" spans="1:6" x14ac:dyDescent="0.3">
      <c r="A10915" s="15" t="s">
        <v>38949</v>
      </c>
      <c r="B10915" s="15" t="s">
        <v>19825</v>
      </c>
      <c r="C10915" s="15" t="s">
        <v>800</v>
      </c>
      <c r="D10915" s="15" t="s">
        <v>19826</v>
      </c>
      <c r="E10915" s="15">
        <v>8.2440999999999995</v>
      </c>
      <c r="F10915" s="42">
        <v>46198</v>
      </c>
    </row>
    <row r="10916" spans="1:6" x14ac:dyDescent="0.3">
      <c r="A10916" s="15" t="s">
        <v>38948</v>
      </c>
      <c r="B10916" s="15" t="s">
        <v>19827</v>
      </c>
      <c r="C10916" s="15" t="s">
        <v>800</v>
      </c>
      <c r="D10916" s="15" t="s">
        <v>19828</v>
      </c>
      <c r="E10916" s="15">
        <v>8.1576000000000004</v>
      </c>
      <c r="F10916" s="42">
        <v>46198</v>
      </c>
    </row>
    <row r="10917" spans="1:6" x14ac:dyDescent="0.3">
      <c r="A10917" s="15" t="s">
        <v>33499</v>
      </c>
      <c r="B10917" s="15" t="s">
        <v>795</v>
      </c>
      <c r="C10917" s="15" t="s">
        <v>795</v>
      </c>
      <c r="D10917" s="15" t="s">
        <v>795</v>
      </c>
      <c r="F10917" s="42"/>
    </row>
    <row r="10918" spans="1:6" x14ac:dyDescent="0.3">
      <c r="A10918" s="15" t="s">
        <v>38947</v>
      </c>
      <c r="B10918" s="15" t="s">
        <v>795</v>
      </c>
      <c r="C10918" s="15" t="s">
        <v>795</v>
      </c>
      <c r="D10918" s="15" t="s">
        <v>795</v>
      </c>
      <c r="F10918" s="42"/>
    </row>
    <row r="10919" spans="1:6" x14ac:dyDescent="0.3">
      <c r="A10919" s="15" t="s">
        <v>33499</v>
      </c>
      <c r="B10919" s="15" t="s">
        <v>795</v>
      </c>
      <c r="C10919" s="15" t="s">
        <v>795</v>
      </c>
      <c r="D10919" s="15" t="s">
        <v>795</v>
      </c>
      <c r="F10919" s="42"/>
    </row>
    <row r="10920" spans="1:6" x14ac:dyDescent="0.3">
      <c r="A10920" s="15" t="s">
        <v>38946</v>
      </c>
      <c r="B10920" s="15" t="s">
        <v>19829</v>
      </c>
      <c r="C10920" s="15" t="s">
        <v>800</v>
      </c>
      <c r="D10920" s="15" t="s">
        <v>19830</v>
      </c>
      <c r="E10920" s="15">
        <v>10.395899999999999</v>
      </c>
      <c r="F10920" s="42">
        <v>46198</v>
      </c>
    </row>
    <row r="10921" spans="1:6" x14ac:dyDescent="0.3">
      <c r="A10921" s="15" t="s">
        <v>38945</v>
      </c>
      <c r="B10921" s="15" t="s">
        <v>19831</v>
      </c>
      <c r="C10921" s="15" t="s">
        <v>800</v>
      </c>
      <c r="D10921" s="15" t="s">
        <v>19832</v>
      </c>
      <c r="E10921" s="15">
        <v>10.389099999999999</v>
      </c>
      <c r="F10921" s="42">
        <v>46198</v>
      </c>
    </row>
    <row r="10922" spans="1:6" x14ac:dyDescent="0.3">
      <c r="A10922" s="15" t="s">
        <v>38944</v>
      </c>
      <c r="B10922" s="15" t="s">
        <v>19833</v>
      </c>
      <c r="C10922" s="15" t="s">
        <v>800</v>
      </c>
      <c r="D10922" s="15" t="s">
        <v>19834</v>
      </c>
      <c r="E10922" s="15">
        <v>11.1997</v>
      </c>
      <c r="F10922" s="42">
        <v>46198</v>
      </c>
    </row>
    <row r="10923" spans="1:6" x14ac:dyDescent="0.3">
      <c r="A10923" s="15" t="s">
        <v>38943</v>
      </c>
      <c r="B10923" s="15" t="s">
        <v>19835</v>
      </c>
      <c r="C10923" s="15" t="s">
        <v>800</v>
      </c>
      <c r="D10923" s="15" t="s">
        <v>19836</v>
      </c>
      <c r="E10923" s="15">
        <v>11.1899</v>
      </c>
      <c r="F10923" s="42">
        <v>46198</v>
      </c>
    </row>
    <row r="10924" spans="1:6" x14ac:dyDescent="0.3">
      <c r="A10924" s="15" t="s">
        <v>33499</v>
      </c>
      <c r="B10924" s="15" t="s">
        <v>795</v>
      </c>
      <c r="C10924" s="15" t="s">
        <v>795</v>
      </c>
      <c r="D10924" s="15" t="s">
        <v>795</v>
      </c>
      <c r="F10924" s="42"/>
    </row>
    <row r="10925" spans="1:6" x14ac:dyDescent="0.3">
      <c r="A10925" s="15" t="s">
        <v>37061</v>
      </c>
      <c r="B10925" s="15" t="s">
        <v>795</v>
      </c>
      <c r="C10925" s="15" t="s">
        <v>795</v>
      </c>
      <c r="D10925" s="15" t="s">
        <v>795</v>
      </c>
      <c r="F10925" s="42"/>
    </row>
    <row r="10926" spans="1:6" x14ac:dyDescent="0.3">
      <c r="A10926" s="15" t="s">
        <v>33499</v>
      </c>
      <c r="B10926" s="15" t="s">
        <v>795</v>
      </c>
      <c r="C10926" s="15" t="s">
        <v>795</v>
      </c>
      <c r="D10926" s="15" t="s">
        <v>795</v>
      </c>
      <c r="F10926" s="42"/>
    </row>
    <row r="10927" spans="1:6" x14ac:dyDescent="0.3">
      <c r="A10927" s="15" t="s">
        <v>38942</v>
      </c>
      <c r="B10927" s="15" t="s">
        <v>19837</v>
      </c>
      <c r="C10927" s="15" t="s">
        <v>800</v>
      </c>
      <c r="D10927" s="15" t="s">
        <v>19838</v>
      </c>
      <c r="E10927" s="15">
        <v>12.038</v>
      </c>
      <c r="F10927" s="42">
        <v>46198</v>
      </c>
    </row>
    <row r="10928" spans="1:6" x14ac:dyDescent="0.3">
      <c r="A10928" s="15" t="s">
        <v>38941</v>
      </c>
      <c r="B10928" s="15" t="s">
        <v>19839</v>
      </c>
      <c r="C10928" s="15" t="s">
        <v>19840</v>
      </c>
      <c r="D10928" s="15" t="s">
        <v>19841</v>
      </c>
      <c r="E10928" s="15">
        <v>12.038</v>
      </c>
      <c r="F10928" s="42">
        <v>46198</v>
      </c>
    </row>
    <row r="10929" spans="1:6" x14ac:dyDescent="0.3">
      <c r="A10929" s="15" t="s">
        <v>38940</v>
      </c>
      <c r="B10929" s="15" t="s">
        <v>19842</v>
      </c>
      <c r="C10929" s="15" t="s">
        <v>800</v>
      </c>
      <c r="D10929" s="15" t="s">
        <v>19843</v>
      </c>
      <c r="E10929" s="15">
        <v>11.932600000000001</v>
      </c>
      <c r="F10929" s="42">
        <v>46198</v>
      </c>
    </row>
    <row r="10930" spans="1:6" x14ac:dyDescent="0.3">
      <c r="A10930" s="15" t="s">
        <v>38939</v>
      </c>
      <c r="B10930" s="15" t="s">
        <v>19844</v>
      </c>
      <c r="C10930" s="15" t="s">
        <v>19845</v>
      </c>
      <c r="D10930" s="15" t="s">
        <v>19846</v>
      </c>
      <c r="E10930" s="15">
        <v>11.932600000000001</v>
      </c>
      <c r="F10930" s="42">
        <v>46198</v>
      </c>
    </row>
    <row r="10931" spans="1:6" x14ac:dyDescent="0.3">
      <c r="A10931" s="15" t="s">
        <v>38938</v>
      </c>
      <c r="B10931" s="15" t="s">
        <v>19847</v>
      </c>
      <c r="C10931" s="15" t="s">
        <v>800</v>
      </c>
      <c r="D10931" s="15" t="s">
        <v>19848</v>
      </c>
      <c r="E10931" s="15">
        <v>13.052099999999999</v>
      </c>
      <c r="F10931" s="42">
        <v>46198</v>
      </c>
    </row>
    <row r="10932" spans="1:6" x14ac:dyDescent="0.3">
      <c r="A10932" s="15" t="s">
        <v>38937</v>
      </c>
      <c r="B10932" s="15" t="s">
        <v>19849</v>
      </c>
      <c r="C10932" s="15" t="s">
        <v>19850</v>
      </c>
      <c r="D10932" s="15" t="s">
        <v>19851</v>
      </c>
      <c r="E10932" s="15">
        <v>13.052099999999999</v>
      </c>
      <c r="F10932" s="42">
        <v>46198</v>
      </c>
    </row>
    <row r="10933" spans="1:6" x14ac:dyDescent="0.3">
      <c r="A10933" s="15" t="s">
        <v>38936</v>
      </c>
      <c r="B10933" s="15" t="s">
        <v>19852</v>
      </c>
      <c r="C10933" s="15" t="s">
        <v>800</v>
      </c>
      <c r="D10933" s="15" t="s">
        <v>19853</v>
      </c>
      <c r="E10933" s="15">
        <v>12.939</v>
      </c>
      <c r="F10933" s="42">
        <v>46198</v>
      </c>
    </row>
    <row r="10934" spans="1:6" x14ac:dyDescent="0.3">
      <c r="A10934" s="15" t="s">
        <v>38935</v>
      </c>
      <c r="B10934" s="15" t="s">
        <v>19854</v>
      </c>
      <c r="C10934" s="15" t="s">
        <v>19855</v>
      </c>
      <c r="D10934" s="15" t="s">
        <v>19856</v>
      </c>
      <c r="E10934" s="15">
        <v>12.939</v>
      </c>
      <c r="F10934" s="42">
        <v>46198</v>
      </c>
    </row>
    <row r="10935" spans="1:6" x14ac:dyDescent="0.3">
      <c r="A10935" s="15" t="s">
        <v>38934</v>
      </c>
      <c r="B10935" s="15" t="s">
        <v>19857</v>
      </c>
      <c r="C10935" s="15" t="s">
        <v>800</v>
      </c>
      <c r="D10935" s="15" t="s">
        <v>19858</v>
      </c>
      <c r="E10935" s="15">
        <v>27.206499999999998</v>
      </c>
      <c r="F10935" s="42">
        <v>46198</v>
      </c>
    </row>
    <row r="10936" spans="1:6" x14ac:dyDescent="0.3">
      <c r="A10936" s="15" t="s">
        <v>38933</v>
      </c>
      <c r="B10936" s="15" t="s">
        <v>19859</v>
      </c>
      <c r="C10936" s="15" t="s">
        <v>19860</v>
      </c>
      <c r="D10936" s="15" t="s">
        <v>19861</v>
      </c>
      <c r="E10936" s="15">
        <v>22.263100000000001</v>
      </c>
      <c r="F10936" s="42">
        <v>46198</v>
      </c>
    </row>
    <row r="10937" spans="1:6" x14ac:dyDescent="0.3">
      <c r="A10937" s="15" t="s">
        <v>38932</v>
      </c>
      <c r="B10937" s="15" t="s">
        <v>19862</v>
      </c>
      <c r="C10937" s="15" t="s">
        <v>800</v>
      </c>
      <c r="D10937" s="15" t="s">
        <v>19863</v>
      </c>
      <c r="E10937" s="15">
        <v>26.064699999999998</v>
      </c>
      <c r="F10937" s="42">
        <v>46198</v>
      </c>
    </row>
    <row r="10938" spans="1:6" x14ac:dyDescent="0.3">
      <c r="A10938" s="15" t="s">
        <v>38931</v>
      </c>
      <c r="B10938" s="15" t="s">
        <v>19864</v>
      </c>
      <c r="C10938" s="15" t="s">
        <v>19865</v>
      </c>
      <c r="D10938" s="15" t="s">
        <v>19866</v>
      </c>
      <c r="E10938" s="15">
        <v>21.382200000000001</v>
      </c>
      <c r="F10938" s="42">
        <v>46198</v>
      </c>
    </row>
    <row r="10939" spans="1:6" x14ac:dyDescent="0.3">
      <c r="A10939" s="15" t="s">
        <v>38930</v>
      </c>
      <c r="B10939" s="15" t="s">
        <v>19867</v>
      </c>
      <c r="C10939" s="15" t="s">
        <v>800</v>
      </c>
      <c r="D10939" s="15" t="s">
        <v>19868</v>
      </c>
      <c r="E10939" s="15">
        <v>23.698</v>
      </c>
      <c r="F10939" s="42">
        <v>46198</v>
      </c>
    </row>
    <row r="10940" spans="1:6" x14ac:dyDescent="0.3">
      <c r="A10940" s="15" t="s">
        <v>38929</v>
      </c>
      <c r="B10940" s="15" t="s">
        <v>19869</v>
      </c>
      <c r="C10940" s="15" t="s">
        <v>19870</v>
      </c>
      <c r="D10940" s="15" t="s">
        <v>19871</v>
      </c>
      <c r="E10940" s="15">
        <v>20.2774</v>
      </c>
      <c r="F10940" s="42">
        <v>46198</v>
      </c>
    </row>
    <row r="10941" spans="1:6" x14ac:dyDescent="0.3">
      <c r="A10941" s="15" t="s">
        <v>38928</v>
      </c>
      <c r="B10941" s="15" t="s">
        <v>19872</v>
      </c>
      <c r="C10941" s="15" t="s">
        <v>800</v>
      </c>
      <c r="D10941" s="15" t="s">
        <v>19873</v>
      </c>
      <c r="E10941" s="15">
        <v>23.356000000000002</v>
      </c>
      <c r="F10941" s="42">
        <v>46198</v>
      </c>
    </row>
    <row r="10942" spans="1:6" x14ac:dyDescent="0.3">
      <c r="A10942" s="15" t="s">
        <v>38927</v>
      </c>
      <c r="B10942" s="15" t="s">
        <v>19874</v>
      </c>
      <c r="C10942" s="15" t="s">
        <v>19875</v>
      </c>
      <c r="D10942" s="15" t="s">
        <v>19876</v>
      </c>
      <c r="E10942" s="15">
        <v>19.0459</v>
      </c>
      <c r="F10942" s="42">
        <v>46198</v>
      </c>
    </row>
    <row r="10943" spans="1:6" x14ac:dyDescent="0.3">
      <c r="A10943" s="15" t="s">
        <v>38926</v>
      </c>
      <c r="B10943" s="15" t="s">
        <v>19877</v>
      </c>
      <c r="C10943" s="15" t="s">
        <v>800</v>
      </c>
      <c r="D10943" s="15" t="s">
        <v>19878</v>
      </c>
      <c r="E10943" s="15">
        <v>9.6289999999999996</v>
      </c>
      <c r="F10943" s="42">
        <v>46198</v>
      </c>
    </row>
    <row r="10944" spans="1:6" x14ac:dyDescent="0.3">
      <c r="A10944" s="15" t="s">
        <v>38925</v>
      </c>
      <c r="B10944" s="15" t="s">
        <v>19879</v>
      </c>
      <c r="C10944" s="15" t="s">
        <v>19880</v>
      </c>
      <c r="D10944" s="15" t="s">
        <v>19881</v>
      </c>
      <c r="E10944" s="15">
        <v>9.6289999999999996</v>
      </c>
      <c r="F10944" s="42">
        <v>46198</v>
      </c>
    </row>
    <row r="10945" spans="1:6" x14ac:dyDescent="0.3">
      <c r="A10945" s="15" t="s">
        <v>38924</v>
      </c>
      <c r="B10945" s="15" t="s">
        <v>19882</v>
      </c>
      <c r="C10945" s="15" t="s">
        <v>800</v>
      </c>
      <c r="D10945" s="15" t="s">
        <v>19883</v>
      </c>
      <c r="E10945" s="15">
        <v>9.5953999999999997</v>
      </c>
      <c r="F10945" s="42">
        <v>46198</v>
      </c>
    </row>
    <row r="10946" spans="1:6" x14ac:dyDescent="0.3">
      <c r="A10946" s="15" t="s">
        <v>38923</v>
      </c>
      <c r="B10946" s="15" t="s">
        <v>19884</v>
      </c>
      <c r="C10946" s="15" t="s">
        <v>19885</v>
      </c>
      <c r="D10946" s="15" t="s">
        <v>19886</v>
      </c>
      <c r="E10946" s="15">
        <v>9.5953999999999997</v>
      </c>
      <c r="F10946" s="42">
        <v>46198</v>
      </c>
    </row>
    <row r="10947" spans="1:6" x14ac:dyDescent="0.3">
      <c r="A10947" s="15" t="s">
        <v>38922</v>
      </c>
      <c r="B10947" s="15" t="s">
        <v>19887</v>
      </c>
      <c r="C10947" s="15" t="s">
        <v>800</v>
      </c>
      <c r="D10947" s="15" t="s">
        <v>19888</v>
      </c>
      <c r="E10947" s="15">
        <v>11.984</v>
      </c>
      <c r="F10947" s="42">
        <v>46198</v>
      </c>
    </row>
    <row r="10948" spans="1:6" x14ac:dyDescent="0.3">
      <c r="A10948" s="15" t="s">
        <v>38921</v>
      </c>
      <c r="B10948" s="15" t="s">
        <v>19889</v>
      </c>
      <c r="C10948" s="15" t="s">
        <v>800</v>
      </c>
      <c r="D10948" s="15" t="s">
        <v>19890</v>
      </c>
      <c r="E10948" s="15">
        <v>11.8239</v>
      </c>
      <c r="F10948" s="42">
        <v>46198</v>
      </c>
    </row>
    <row r="10949" spans="1:6" x14ac:dyDescent="0.3">
      <c r="A10949" s="15" t="s">
        <v>38920</v>
      </c>
      <c r="B10949" s="15" t="s">
        <v>19891</v>
      </c>
      <c r="C10949" s="15" t="s">
        <v>19892</v>
      </c>
      <c r="D10949" s="15" t="s">
        <v>19893</v>
      </c>
      <c r="E10949" s="15">
        <v>11.3384</v>
      </c>
      <c r="F10949" s="42">
        <v>46198</v>
      </c>
    </row>
    <row r="10950" spans="1:6" x14ac:dyDescent="0.3">
      <c r="A10950" s="15" t="s">
        <v>38919</v>
      </c>
      <c r="B10950" s="15" t="s">
        <v>19894</v>
      </c>
      <c r="C10950" s="15" t="s">
        <v>800</v>
      </c>
      <c r="D10950" s="15" t="s">
        <v>19895</v>
      </c>
      <c r="E10950" s="15">
        <v>11.3384</v>
      </c>
      <c r="F10950" s="42">
        <v>46198</v>
      </c>
    </row>
    <row r="10951" spans="1:6" x14ac:dyDescent="0.3">
      <c r="A10951" s="15" t="s">
        <v>38918</v>
      </c>
      <c r="B10951" s="15" t="s">
        <v>19896</v>
      </c>
      <c r="C10951" s="15" t="s">
        <v>800</v>
      </c>
      <c r="D10951" s="15" t="s">
        <v>19897</v>
      </c>
      <c r="E10951" s="15">
        <v>11.260999999999999</v>
      </c>
      <c r="F10951" s="42">
        <v>46198</v>
      </c>
    </row>
    <row r="10952" spans="1:6" x14ac:dyDescent="0.3">
      <c r="A10952" s="15" t="s">
        <v>38917</v>
      </c>
      <c r="B10952" s="15" t="s">
        <v>19898</v>
      </c>
      <c r="C10952" s="15" t="s">
        <v>19899</v>
      </c>
      <c r="D10952" s="15" t="s">
        <v>19900</v>
      </c>
      <c r="E10952" s="15">
        <v>11.260999999999999</v>
      </c>
      <c r="F10952" s="42">
        <v>46198</v>
      </c>
    </row>
    <row r="10953" spans="1:6" x14ac:dyDescent="0.3">
      <c r="A10953" s="15" t="s">
        <v>38916</v>
      </c>
      <c r="B10953" s="15" t="s">
        <v>19901</v>
      </c>
      <c r="C10953" s="15" t="s">
        <v>800</v>
      </c>
      <c r="D10953" s="15" t="s">
        <v>19902</v>
      </c>
      <c r="E10953" s="15">
        <v>7.1571999999999996</v>
      </c>
      <c r="F10953" s="42">
        <v>46198</v>
      </c>
    </row>
    <row r="10954" spans="1:6" x14ac:dyDescent="0.3">
      <c r="A10954" s="15" t="s">
        <v>38915</v>
      </c>
      <c r="B10954" s="15" t="s">
        <v>19903</v>
      </c>
      <c r="C10954" s="15" t="s">
        <v>19904</v>
      </c>
      <c r="D10954" s="15" t="s">
        <v>19905</v>
      </c>
      <c r="E10954" s="15">
        <v>7.1571999999999996</v>
      </c>
      <c r="F10954" s="42">
        <v>46198</v>
      </c>
    </row>
    <row r="10955" spans="1:6" x14ac:dyDescent="0.3">
      <c r="A10955" s="15" t="s">
        <v>38914</v>
      </c>
      <c r="B10955" s="15" t="s">
        <v>19906</v>
      </c>
      <c r="C10955" s="15" t="s">
        <v>800</v>
      </c>
      <c r="D10955" s="15" t="s">
        <v>19907</v>
      </c>
      <c r="E10955" s="15">
        <v>7.1052</v>
      </c>
      <c r="F10955" s="42">
        <v>46198</v>
      </c>
    </row>
    <row r="10956" spans="1:6" x14ac:dyDescent="0.3">
      <c r="A10956" s="15" t="s">
        <v>38913</v>
      </c>
      <c r="B10956" s="15" t="s">
        <v>19908</v>
      </c>
      <c r="C10956" s="15" t="s">
        <v>19909</v>
      </c>
      <c r="D10956" s="15" t="s">
        <v>19910</v>
      </c>
      <c r="E10956" s="15">
        <v>7.1052</v>
      </c>
      <c r="F10956" s="42">
        <v>46198</v>
      </c>
    </row>
    <row r="10957" spans="1:6" x14ac:dyDescent="0.3">
      <c r="A10957" s="15" t="s">
        <v>38912</v>
      </c>
      <c r="B10957" s="15" t="s">
        <v>19911</v>
      </c>
      <c r="C10957" s="15" t="s">
        <v>800</v>
      </c>
      <c r="D10957" s="15" t="s">
        <v>19912</v>
      </c>
      <c r="E10957" s="15">
        <v>10.383900000000001</v>
      </c>
      <c r="F10957" s="42">
        <v>46198</v>
      </c>
    </row>
    <row r="10958" spans="1:6" x14ac:dyDescent="0.3">
      <c r="A10958" s="15" t="s">
        <v>38911</v>
      </c>
      <c r="B10958" s="15" t="s">
        <v>19913</v>
      </c>
      <c r="C10958" s="15" t="s">
        <v>19914</v>
      </c>
      <c r="D10958" s="15" t="s">
        <v>19915</v>
      </c>
      <c r="E10958" s="15">
        <v>10.383900000000001</v>
      </c>
      <c r="F10958" s="42">
        <v>46198</v>
      </c>
    </row>
    <row r="10959" spans="1:6" x14ac:dyDescent="0.3">
      <c r="A10959" s="15" t="s">
        <v>38910</v>
      </c>
      <c r="B10959" s="15" t="s">
        <v>19916</v>
      </c>
      <c r="C10959" s="15" t="s">
        <v>800</v>
      </c>
      <c r="D10959" s="15" t="s">
        <v>19917</v>
      </c>
      <c r="E10959" s="15">
        <v>10.3436</v>
      </c>
      <c r="F10959" s="42">
        <v>46198</v>
      </c>
    </row>
    <row r="10960" spans="1:6" x14ac:dyDescent="0.3">
      <c r="A10960" s="15" t="s">
        <v>38909</v>
      </c>
      <c r="B10960" s="15" t="s">
        <v>19918</v>
      </c>
      <c r="C10960" s="15" t="s">
        <v>19919</v>
      </c>
      <c r="D10960" s="15" t="s">
        <v>19920</v>
      </c>
      <c r="E10960" s="15">
        <v>10.3436</v>
      </c>
      <c r="F10960" s="42">
        <v>46198</v>
      </c>
    </row>
    <row r="10961" spans="1:6" x14ac:dyDescent="0.3">
      <c r="A10961" s="15" t="s">
        <v>38908</v>
      </c>
      <c r="B10961" s="15" t="s">
        <v>19921</v>
      </c>
      <c r="C10961" s="15" t="s">
        <v>800</v>
      </c>
      <c r="D10961" s="15" t="s">
        <v>19922</v>
      </c>
      <c r="E10961" s="15">
        <v>14.7791</v>
      </c>
      <c r="F10961" s="42">
        <v>46198</v>
      </c>
    </row>
    <row r="10962" spans="1:6" x14ac:dyDescent="0.3">
      <c r="A10962" s="15" t="s">
        <v>38907</v>
      </c>
      <c r="B10962" s="15" t="s">
        <v>19923</v>
      </c>
      <c r="C10962" s="15" t="s">
        <v>19924</v>
      </c>
      <c r="D10962" s="15" t="s">
        <v>19925</v>
      </c>
      <c r="E10962" s="15">
        <v>14.0398</v>
      </c>
      <c r="F10962" s="42">
        <v>46198</v>
      </c>
    </row>
    <row r="10963" spans="1:6" x14ac:dyDescent="0.3">
      <c r="A10963" s="15" t="s">
        <v>38906</v>
      </c>
      <c r="B10963" s="15" t="s">
        <v>19926</v>
      </c>
      <c r="C10963" s="15" t="s">
        <v>800</v>
      </c>
      <c r="D10963" s="15" t="s">
        <v>19927</v>
      </c>
      <c r="E10963" s="15">
        <v>14.4133</v>
      </c>
      <c r="F10963" s="42">
        <v>46198</v>
      </c>
    </row>
    <row r="10964" spans="1:6" x14ac:dyDescent="0.3">
      <c r="A10964" s="15" t="s">
        <v>38905</v>
      </c>
      <c r="B10964" s="15" t="s">
        <v>19928</v>
      </c>
      <c r="C10964" s="15" t="s">
        <v>19929</v>
      </c>
      <c r="D10964" s="15" t="s">
        <v>19930</v>
      </c>
      <c r="E10964" s="15">
        <v>12.948700000000001</v>
      </c>
      <c r="F10964" s="42">
        <v>46198</v>
      </c>
    </row>
    <row r="10965" spans="1:6" x14ac:dyDescent="0.3">
      <c r="A10965" s="15" t="s">
        <v>38904</v>
      </c>
      <c r="B10965" s="15" t="s">
        <v>19931</v>
      </c>
      <c r="C10965" s="15" t="s">
        <v>800</v>
      </c>
      <c r="D10965" s="15" t="s">
        <v>19932</v>
      </c>
      <c r="E10965" s="15">
        <v>28.5442</v>
      </c>
      <c r="F10965" s="42">
        <v>46198</v>
      </c>
    </row>
    <row r="10966" spans="1:6" x14ac:dyDescent="0.3">
      <c r="A10966" s="15" t="s">
        <v>38903</v>
      </c>
      <c r="B10966" s="15" t="s">
        <v>19933</v>
      </c>
      <c r="C10966" s="15" t="s">
        <v>19934</v>
      </c>
      <c r="D10966" s="15" t="s">
        <v>19935</v>
      </c>
      <c r="E10966" s="15">
        <v>23.3813</v>
      </c>
      <c r="F10966" s="42">
        <v>46198</v>
      </c>
    </row>
    <row r="10967" spans="1:6" x14ac:dyDescent="0.3">
      <c r="A10967" s="15" t="s">
        <v>38902</v>
      </c>
      <c r="B10967" s="15" t="s">
        <v>19936</v>
      </c>
      <c r="C10967" s="15" t="s">
        <v>800</v>
      </c>
      <c r="D10967" s="15" t="s">
        <v>19937</v>
      </c>
      <c r="E10967" s="15">
        <v>27.864000000000001</v>
      </c>
      <c r="F10967" s="42">
        <v>46198</v>
      </c>
    </row>
    <row r="10968" spans="1:6" x14ac:dyDescent="0.3">
      <c r="A10968" s="15" t="s">
        <v>38901</v>
      </c>
      <c r="B10968" s="15" t="s">
        <v>19938</v>
      </c>
      <c r="C10968" s="15" t="s">
        <v>19939</v>
      </c>
      <c r="D10968" s="15" t="s">
        <v>19940</v>
      </c>
      <c r="E10968" s="15">
        <v>22.8447</v>
      </c>
      <c r="F10968" s="42">
        <v>46198</v>
      </c>
    </row>
    <row r="10969" spans="1:6" x14ac:dyDescent="0.3">
      <c r="A10969" s="15" t="s">
        <v>38900</v>
      </c>
      <c r="B10969" s="15" t="s">
        <v>19941</v>
      </c>
      <c r="C10969" s="15" t="s">
        <v>800</v>
      </c>
      <c r="D10969" s="15" t="s">
        <v>19942</v>
      </c>
      <c r="E10969" s="15">
        <v>11.648899999999999</v>
      </c>
      <c r="F10969" s="42">
        <v>46198</v>
      </c>
    </row>
    <row r="10970" spans="1:6" x14ac:dyDescent="0.3">
      <c r="A10970" s="15" t="s">
        <v>38899</v>
      </c>
      <c r="B10970" s="15" t="s">
        <v>19943</v>
      </c>
      <c r="C10970" s="15" t="s">
        <v>19944</v>
      </c>
      <c r="D10970" s="15" t="s">
        <v>19945</v>
      </c>
      <c r="E10970" s="15">
        <v>11.056900000000001</v>
      </c>
      <c r="F10970" s="42">
        <v>46198</v>
      </c>
    </row>
    <row r="10971" spans="1:6" x14ac:dyDescent="0.3">
      <c r="A10971" s="15" t="s">
        <v>38898</v>
      </c>
      <c r="B10971" s="15" t="s">
        <v>19946</v>
      </c>
      <c r="C10971" s="15" t="s">
        <v>800</v>
      </c>
      <c r="D10971" s="15" t="s">
        <v>19947</v>
      </c>
      <c r="E10971" s="15">
        <v>11.539899999999999</v>
      </c>
      <c r="F10971" s="42">
        <v>46198</v>
      </c>
    </row>
    <row r="10972" spans="1:6" x14ac:dyDescent="0.3">
      <c r="A10972" s="15" t="s">
        <v>38897</v>
      </c>
      <c r="B10972" s="15" t="s">
        <v>19948</v>
      </c>
      <c r="C10972" s="15" t="s">
        <v>19949</v>
      </c>
      <c r="D10972" s="15" t="s">
        <v>19950</v>
      </c>
      <c r="E10972" s="15">
        <v>10.9496</v>
      </c>
      <c r="F10972" s="42">
        <v>46198</v>
      </c>
    </row>
    <row r="10973" spans="1:6" x14ac:dyDescent="0.3">
      <c r="A10973" s="15" t="s">
        <v>38896</v>
      </c>
      <c r="B10973" s="15" t="s">
        <v>19951</v>
      </c>
      <c r="C10973" s="15" t="s">
        <v>800</v>
      </c>
      <c r="D10973" s="15" t="s">
        <v>19952</v>
      </c>
      <c r="E10973" s="15">
        <v>13.2399</v>
      </c>
      <c r="F10973" s="42">
        <v>46198</v>
      </c>
    </row>
    <row r="10974" spans="1:6" x14ac:dyDescent="0.3">
      <c r="A10974" s="15" t="s">
        <v>38895</v>
      </c>
      <c r="B10974" s="15" t="s">
        <v>19953</v>
      </c>
      <c r="C10974" s="15" t="s">
        <v>19954</v>
      </c>
      <c r="D10974" s="15" t="s">
        <v>19955</v>
      </c>
      <c r="E10974" s="15">
        <v>13.2399</v>
      </c>
      <c r="F10974" s="42">
        <v>46198</v>
      </c>
    </row>
    <row r="10975" spans="1:6" x14ac:dyDescent="0.3">
      <c r="A10975" s="15" t="s">
        <v>38894</v>
      </c>
      <c r="B10975" s="15" t="s">
        <v>19956</v>
      </c>
      <c r="C10975" s="15" t="s">
        <v>800</v>
      </c>
      <c r="D10975" s="15" t="s">
        <v>19957</v>
      </c>
      <c r="E10975" s="15">
        <v>13.154999999999999</v>
      </c>
      <c r="F10975" s="42">
        <v>46198</v>
      </c>
    </row>
    <row r="10976" spans="1:6" x14ac:dyDescent="0.3">
      <c r="A10976" s="15" t="s">
        <v>38893</v>
      </c>
      <c r="B10976" s="15" t="s">
        <v>19958</v>
      </c>
      <c r="C10976" s="15" t="s">
        <v>19959</v>
      </c>
      <c r="D10976" s="15" t="s">
        <v>19960</v>
      </c>
      <c r="E10976" s="15">
        <v>13.154999999999999</v>
      </c>
      <c r="F10976" s="42">
        <v>46198</v>
      </c>
    </row>
    <row r="10977" spans="1:6" x14ac:dyDescent="0.3">
      <c r="A10977" s="15" t="s">
        <v>38892</v>
      </c>
      <c r="B10977" s="15" t="s">
        <v>19961</v>
      </c>
      <c r="C10977" s="15" t="s">
        <v>800</v>
      </c>
      <c r="D10977" s="15" t="s">
        <v>19962</v>
      </c>
      <c r="E10977" s="15">
        <v>12.842700000000001</v>
      </c>
      <c r="F10977" s="42">
        <v>46198</v>
      </c>
    </row>
    <row r="10978" spans="1:6" x14ac:dyDescent="0.3">
      <c r="A10978" s="15" t="s">
        <v>38891</v>
      </c>
      <c r="B10978" s="15" t="s">
        <v>19963</v>
      </c>
      <c r="C10978" s="15" t="s">
        <v>19964</v>
      </c>
      <c r="D10978" s="15" t="s">
        <v>19965</v>
      </c>
      <c r="E10978" s="15">
        <v>12.842700000000001</v>
      </c>
      <c r="F10978" s="42">
        <v>46198</v>
      </c>
    </row>
    <row r="10979" spans="1:6" x14ac:dyDescent="0.3">
      <c r="A10979" s="15" t="s">
        <v>38890</v>
      </c>
      <c r="B10979" s="15" t="s">
        <v>19966</v>
      </c>
      <c r="C10979" s="15" t="s">
        <v>800</v>
      </c>
      <c r="D10979" s="15" t="s">
        <v>19967</v>
      </c>
      <c r="E10979" s="15">
        <v>12.7676</v>
      </c>
      <c r="F10979" s="42">
        <v>46198</v>
      </c>
    </row>
    <row r="10980" spans="1:6" x14ac:dyDescent="0.3">
      <c r="A10980" s="15" t="s">
        <v>38889</v>
      </c>
      <c r="B10980" s="15" t="s">
        <v>19968</v>
      </c>
      <c r="C10980" s="15" t="s">
        <v>19969</v>
      </c>
      <c r="D10980" s="15" t="s">
        <v>19970</v>
      </c>
      <c r="E10980" s="15">
        <v>12.7676</v>
      </c>
      <c r="F10980" s="42">
        <v>46198</v>
      </c>
    </row>
    <row r="10981" spans="1:6" x14ac:dyDescent="0.3">
      <c r="A10981" s="15" t="s">
        <v>38888</v>
      </c>
      <c r="B10981" s="15" t="s">
        <v>19971</v>
      </c>
      <c r="C10981" s="15" t="s">
        <v>800</v>
      </c>
      <c r="D10981" s="15" t="s">
        <v>19972</v>
      </c>
      <c r="E10981" s="15">
        <v>10.8675</v>
      </c>
      <c r="F10981" s="42">
        <v>46198</v>
      </c>
    </row>
    <row r="10982" spans="1:6" x14ac:dyDescent="0.3">
      <c r="A10982" s="15" t="s">
        <v>38887</v>
      </c>
      <c r="B10982" s="15" t="s">
        <v>19973</v>
      </c>
      <c r="C10982" s="15" t="s">
        <v>19974</v>
      </c>
      <c r="D10982" s="15" t="s">
        <v>19975</v>
      </c>
      <c r="E10982" s="15">
        <v>10.8675</v>
      </c>
      <c r="F10982" s="42">
        <v>46198</v>
      </c>
    </row>
    <row r="10983" spans="1:6" x14ac:dyDescent="0.3">
      <c r="A10983" s="15" t="s">
        <v>38886</v>
      </c>
      <c r="B10983" s="15" t="s">
        <v>19976</v>
      </c>
      <c r="C10983" s="15" t="s">
        <v>800</v>
      </c>
      <c r="D10983" s="15" t="s">
        <v>19977</v>
      </c>
      <c r="E10983" s="15">
        <v>10.826499999999999</v>
      </c>
      <c r="F10983" s="42">
        <v>46198</v>
      </c>
    </row>
    <row r="10984" spans="1:6" x14ac:dyDescent="0.3">
      <c r="A10984" s="15" t="s">
        <v>38885</v>
      </c>
      <c r="B10984" s="15" t="s">
        <v>19978</v>
      </c>
      <c r="C10984" s="15" t="s">
        <v>19979</v>
      </c>
      <c r="D10984" s="15" t="s">
        <v>19980</v>
      </c>
      <c r="E10984" s="15">
        <v>10.826499999999999</v>
      </c>
      <c r="F10984" s="42">
        <v>46198</v>
      </c>
    </row>
    <row r="10985" spans="1:6" x14ac:dyDescent="0.3">
      <c r="A10985" s="15" t="s">
        <v>38884</v>
      </c>
      <c r="B10985" s="15" t="s">
        <v>19981</v>
      </c>
      <c r="C10985" s="15" t="s">
        <v>800</v>
      </c>
      <c r="D10985" s="15" t="s">
        <v>19982</v>
      </c>
      <c r="E10985" s="15">
        <v>11.0661</v>
      </c>
      <c r="F10985" s="42">
        <v>46198</v>
      </c>
    </row>
    <row r="10986" spans="1:6" x14ac:dyDescent="0.3">
      <c r="A10986" s="15" t="s">
        <v>38883</v>
      </c>
      <c r="B10986" s="15" t="s">
        <v>19983</v>
      </c>
      <c r="C10986" s="15" t="s">
        <v>19984</v>
      </c>
      <c r="D10986" s="15" t="s">
        <v>19985</v>
      </c>
      <c r="E10986" s="15">
        <v>11.0661</v>
      </c>
      <c r="F10986" s="42">
        <v>46198</v>
      </c>
    </row>
    <row r="10987" spans="1:6" x14ac:dyDescent="0.3">
      <c r="A10987" s="15" t="s">
        <v>38882</v>
      </c>
      <c r="B10987" s="15" t="s">
        <v>19986</v>
      </c>
      <c r="C10987" s="15" t="s">
        <v>800</v>
      </c>
      <c r="D10987" s="15" t="s">
        <v>19987</v>
      </c>
      <c r="E10987" s="15">
        <v>10.8741</v>
      </c>
      <c r="F10987" s="42">
        <v>46198</v>
      </c>
    </row>
    <row r="10988" spans="1:6" x14ac:dyDescent="0.3">
      <c r="A10988" s="15" t="s">
        <v>38881</v>
      </c>
      <c r="B10988" s="15" t="s">
        <v>19988</v>
      </c>
      <c r="C10988" s="15" t="s">
        <v>19989</v>
      </c>
      <c r="D10988" s="15" t="s">
        <v>19990</v>
      </c>
      <c r="E10988" s="15">
        <v>10.283899999999999</v>
      </c>
      <c r="F10988" s="42">
        <v>46198</v>
      </c>
    </row>
    <row r="10989" spans="1:6" x14ac:dyDescent="0.3">
      <c r="A10989" s="15" t="s">
        <v>38880</v>
      </c>
      <c r="B10989" s="15" t="s">
        <v>19991</v>
      </c>
      <c r="C10989" s="15" t="s">
        <v>800</v>
      </c>
      <c r="D10989" s="15" t="s">
        <v>19992</v>
      </c>
      <c r="E10989" s="15">
        <v>9.0662000000000003</v>
      </c>
      <c r="F10989" s="42">
        <v>46198</v>
      </c>
    </row>
    <row r="10990" spans="1:6" x14ac:dyDescent="0.3">
      <c r="A10990" s="15" t="s">
        <v>38879</v>
      </c>
      <c r="B10990" s="15" t="s">
        <v>19993</v>
      </c>
      <c r="C10990" s="15" t="s">
        <v>800</v>
      </c>
      <c r="D10990" s="15" t="s">
        <v>19994</v>
      </c>
      <c r="E10990" s="15">
        <v>8.9533000000000005</v>
      </c>
      <c r="F10990" s="42">
        <v>46198</v>
      </c>
    </row>
    <row r="10991" spans="1:6" x14ac:dyDescent="0.3">
      <c r="A10991" s="15" t="s">
        <v>38878</v>
      </c>
      <c r="B10991" s="15" t="s">
        <v>19995</v>
      </c>
      <c r="C10991" s="15" t="s">
        <v>800</v>
      </c>
      <c r="D10991" s="15" t="s">
        <v>19996</v>
      </c>
      <c r="E10991" s="15">
        <v>9.3641000000000005</v>
      </c>
      <c r="F10991" s="42">
        <v>46198</v>
      </c>
    </row>
    <row r="10992" spans="1:6" x14ac:dyDescent="0.3">
      <c r="A10992" s="15" t="s">
        <v>38877</v>
      </c>
      <c r="B10992" s="15" t="s">
        <v>19997</v>
      </c>
      <c r="C10992" s="15" t="s">
        <v>19998</v>
      </c>
      <c r="D10992" s="15" t="s">
        <v>19999</v>
      </c>
      <c r="E10992" s="15">
        <v>9.3641000000000005</v>
      </c>
      <c r="F10992" s="42">
        <v>46198</v>
      </c>
    </row>
    <row r="10993" spans="1:6" x14ac:dyDescent="0.3">
      <c r="A10993" s="15" t="s">
        <v>38876</v>
      </c>
      <c r="B10993" s="15" t="s">
        <v>20000</v>
      </c>
      <c r="C10993" s="15" t="s">
        <v>800</v>
      </c>
      <c r="D10993" s="15" t="s">
        <v>20001</v>
      </c>
      <c r="E10993" s="15">
        <v>9.3115000000000006</v>
      </c>
      <c r="F10993" s="42">
        <v>46198</v>
      </c>
    </row>
    <row r="10994" spans="1:6" x14ac:dyDescent="0.3">
      <c r="A10994" s="15" t="s">
        <v>38875</v>
      </c>
      <c r="B10994" s="15" t="s">
        <v>20002</v>
      </c>
      <c r="C10994" s="15" t="s">
        <v>20003</v>
      </c>
      <c r="D10994" s="15" t="s">
        <v>20004</v>
      </c>
      <c r="E10994" s="15">
        <v>9.3115000000000006</v>
      </c>
      <c r="F10994" s="42">
        <v>46198</v>
      </c>
    </row>
    <row r="10995" spans="1:6" x14ac:dyDescent="0.3">
      <c r="A10995" s="15" t="s">
        <v>33499</v>
      </c>
      <c r="B10995" s="15" t="s">
        <v>795</v>
      </c>
      <c r="C10995" s="15" t="s">
        <v>795</v>
      </c>
      <c r="D10995" s="15" t="s">
        <v>795</v>
      </c>
      <c r="F10995" s="42"/>
    </row>
    <row r="10996" spans="1:6" x14ac:dyDescent="0.3">
      <c r="A10996" s="15" t="s">
        <v>37895</v>
      </c>
      <c r="B10996" s="15" t="s">
        <v>795</v>
      </c>
      <c r="C10996" s="15" t="s">
        <v>795</v>
      </c>
      <c r="D10996" s="15" t="s">
        <v>795</v>
      </c>
      <c r="F10996" s="42"/>
    </row>
    <row r="10997" spans="1:6" x14ac:dyDescent="0.3">
      <c r="A10997" s="15" t="s">
        <v>33499</v>
      </c>
      <c r="B10997" s="15" t="s">
        <v>795</v>
      </c>
      <c r="C10997" s="15" t="s">
        <v>795</v>
      </c>
      <c r="D10997" s="15" t="s">
        <v>795</v>
      </c>
      <c r="F10997" s="42"/>
    </row>
    <row r="10998" spans="1:6" x14ac:dyDescent="0.3">
      <c r="A10998" s="15" t="s">
        <v>38874</v>
      </c>
      <c r="B10998" s="15" t="s">
        <v>20005</v>
      </c>
      <c r="C10998" s="15" t="s">
        <v>800</v>
      </c>
      <c r="D10998" s="15" t="s">
        <v>20006</v>
      </c>
      <c r="E10998" s="15">
        <v>10.451000000000001</v>
      </c>
      <c r="F10998" s="42">
        <v>46198</v>
      </c>
    </row>
    <row r="10999" spans="1:6" x14ac:dyDescent="0.3">
      <c r="A10999" s="15" t="s">
        <v>38873</v>
      </c>
      <c r="B10999" s="15" t="s">
        <v>20007</v>
      </c>
      <c r="C10999" s="15" t="s">
        <v>20008</v>
      </c>
      <c r="D10999" s="15" t="s">
        <v>20009</v>
      </c>
      <c r="E10999" s="15">
        <v>10.451000000000001</v>
      </c>
      <c r="F10999" s="42">
        <v>46198</v>
      </c>
    </row>
    <row r="11000" spans="1:6" x14ac:dyDescent="0.3">
      <c r="A11000" s="15" t="s">
        <v>38872</v>
      </c>
      <c r="B11000" s="15" t="s">
        <v>20010</v>
      </c>
      <c r="C11000" s="15" t="s">
        <v>800</v>
      </c>
      <c r="D11000" s="15" t="s">
        <v>20011</v>
      </c>
      <c r="E11000" s="15">
        <v>10.373100000000001</v>
      </c>
      <c r="F11000" s="42">
        <v>46198</v>
      </c>
    </row>
    <row r="11001" spans="1:6" x14ac:dyDescent="0.3">
      <c r="A11001" s="15" t="s">
        <v>38871</v>
      </c>
      <c r="B11001" s="15" t="s">
        <v>20012</v>
      </c>
      <c r="C11001" s="15" t="s">
        <v>20013</v>
      </c>
      <c r="D11001" s="15" t="s">
        <v>20014</v>
      </c>
      <c r="E11001" s="15">
        <v>10.373100000000001</v>
      </c>
      <c r="F11001" s="42">
        <v>46198</v>
      </c>
    </row>
    <row r="11002" spans="1:6" x14ac:dyDescent="0.3">
      <c r="A11002" s="15" t="s">
        <v>38870</v>
      </c>
      <c r="B11002" s="15" t="s">
        <v>20015</v>
      </c>
      <c r="C11002" s="15" t="s">
        <v>800</v>
      </c>
      <c r="D11002" s="15" t="s">
        <v>20016</v>
      </c>
      <c r="E11002" s="15">
        <v>13.423999999999999</v>
      </c>
      <c r="F11002" s="42">
        <v>46198</v>
      </c>
    </row>
    <row r="11003" spans="1:6" x14ac:dyDescent="0.3">
      <c r="A11003" s="15" t="s">
        <v>38869</v>
      </c>
      <c r="B11003" s="15" t="s">
        <v>20017</v>
      </c>
      <c r="C11003" s="15" t="s">
        <v>20018</v>
      </c>
      <c r="D11003" s="15" t="s">
        <v>20019</v>
      </c>
      <c r="E11003" s="15">
        <v>13.4239</v>
      </c>
      <c r="F11003" s="42">
        <v>46198</v>
      </c>
    </row>
    <row r="11004" spans="1:6" x14ac:dyDescent="0.3">
      <c r="A11004" s="15" t="s">
        <v>38868</v>
      </c>
      <c r="B11004" s="15" t="s">
        <v>20020</v>
      </c>
      <c r="C11004" s="15" t="s">
        <v>800</v>
      </c>
      <c r="D11004" s="15" t="s">
        <v>20021</v>
      </c>
      <c r="E11004" s="15">
        <v>13.285500000000001</v>
      </c>
      <c r="F11004" s="42">
        <v>46198</v>
      </c>
    </row>
    <row r="11005" spans="1:6" x14ac:dyDescent="0.3">
      <c r="A11005" s="15" t="s">
        <v>38867</v>
      </c>
      <c r="B11005" s="15" t="s">
        <v>20022</v>
      </c>
      <c r="C11005" s="15" t="s">
        <v>20023</v>
      </c>
      <c r="D11005" s="15" t="s">
        <v>20024</v>
      </c>
      <c r="E11005" s="15">
        <v>13.2857</v>
      </c>
      <c r="F11005" s="42">
        <v>46198</v>
      </c>
    </row>
    <row r="11006" spans="1:6" x14ac:dyDescent="0.3">
      <c r="A11006" s="15" t="s">
        <v>38866</v>
      </c>
      <c r="B11006" s="15" t="s">
        <v>20025</v>
      </c>
      <c r="C11006" s="15" t="s">
        <v>800</v>
      </c>
      <c r="D11006" s="15" t="s">
        <v>20026</v>
      </c>
      <c r="E11006" s="15">
        <v>13.1158</v>
      </c>
      <c r="F11006" s="42">
        <v>46198</v>
      </c>
    </row>
    <row r="11007" spans="1:6" x14ac:dyDescent="0.3">
      <c r="A11007" s="15" t="s">
        <v>38865</v>
      </c>
      <c r="B11007" s="15" t="s">
        <v>20027</v>
      </c>
      <c r="C11007" s="15" t="s">
        <v>20028</v>
      </c>
      <c r="D11007" s="15" t="s">
        <v>20029</v>
      </c>
      <c r="E11007" s="15">
        <v>13.115399999999999</v>
      </c>
      <c r="F11007" s="42">
        <v>46198</v>
      </c>
    </row>
    <row r="11008" spans="1:6" x14ac:dyDescent="0.3">
      <c r="A11008" s="15" t="s">
        <v>38864</v>
      </c>
      <c r="B11008" s="15" t="s">
        <v>20030</v>
      </c>
      <c r="C11008" s="15" t="s">
        <v>800</v>
      </c>
      <c r="D11008" s="15" t="s">
        <v>20031</v>
      </c>
      <c r="E11008" s="15">
        <v>12.9979</v>
      </c>
      <c r="F11008" s="42">
        <v>46198</v>
      </c>
    </row>
    <row r="11009" spans="1:6" x14ac:dyDescent="0.3">
      <c r="A11009" s="15" t="s">
        <v>38863</v>
      </c>
      <c r="B11009" s="15" t="s">
        <v>20032</v>
      </c>
      <c r="C11009" s="15" t="s">
        <v>20033</v>
      </c>
      <c r="D11009" s="15" t="s">
        <v>20034</v>
      </c>
      <c r="E11009" s="15">
        <v>12.9983</v>
      </c>
      <c r="F11009" s="42">
        <v>46198</v>
      </c>
    </row>
    <row r="11010" spans="1:6" x14ac:dyDescent="0.3">
      <c r="A11010" s="15" t="s">
        <v>38862</v>
      </c>
      <c r="B11010" s="15" t="s">
        <v>20035</v>
      </c>
      <c r="C11010" s="15" t="s">
        <v>800</v>
      </c>
      <c r="D11010" s="15" t="s">
        <v>20036</v>
      </c>
      <c r="E11010" s="15">
        <v>13.172499999999999</v>
      </c>
      <c r="F11010" s="42">
        <v>46198</v>
      </c>
    </row>
    <row r="11011" spans="1:6" x14ac:dyDescent="0.3">
      <c r="A11011" s="15" t="s">
        <v>38861</v>
      </c>
      <c r="B11011" s="15" t="s">
        <v>20037</v>
      </c>
      <c r="C11011" s="15" t="s">
        <v>20038</v>
      </c>
      <c r="D11011" s="15" t="s">
        <v>20039</v>
      </c>
      <c r="E11011" s="15">
        <v>13.172700000000001</v>
      </c>
      <c r="F11011" s="42">
        <v>46198</v>
      </c>
    </row>
    <row r="11012" spans="1:6" x14ac:dyDescent="0.3">
      <c r="A11012" s="15" t="s">
        <v>38860</v>
      </c>
      <c r="B11012" s="15" t="s">
        <v>20040</v>
      </c>
      <c r="C11012" s="15" t="s">
        <v>800</v>
      </c>
      <c r="D11012" s="15" t="s">
        <v>20041</v>
      </c>
      <c r="E11012" s="15">
        <v>13.0488</v>
      </c>
      <c r="F11012" s="42">
        <v>46198</v>
      </c>
    </row>
    <row r="11013" spans="1:6" x14ac:dyDescent="0.3">
      <c r="A11013" s="15" t="s">
        <v>38859</v>
      </c>
      <c r="B11013" s="15" t="s">
        <v>20042</v>
      </c>
      <c r="C11013" s="15" t="s">
        <v>20043</v>
      </c>
      <c r="D11013" s="15" t="s">
        <v>20044</v>
      </c>
      <c r="E11013" s="15">
        <v>13.0488</v>
      </c>
      <c r="F11013" s="42">
        <v>46198</v>
      </c>
    </row>
    <row r="11014" spans="1:6" x14ac:dyDescent="0.3">
      <c r="A11014" s="15" t="s">
        <v>38858</v>
      </c>
      <c r="B11014" s="15" t="s">
        <v>20045</v>
      </c>
      <c r="C11014" s="15" t="s">
        <v>800</v>
      </c>
      <c r="D11014" s="15" t="s">
        <v>20046</v>
      </c>
      <c r="E11014" s="15">
        <v>12.8089</v>
      </c>
      <c r="F11014" s="42">
        <v>46198</v>
      </c>
    </row>
    <row r="11015" spans="1:6" x14ac:dyDescent="0.3">
      <c r="A11015" s="15" t="s">
        <v>38857</v>
      </c>
      <c r="B11015" s="15" t="s">
        <v>20047</v>
      </c>
      <c r="C11015" s="15" t="s">
        <v>20048</v>
      </c>
      <c r="D11015" s="15" t="s">
        <v>20049</v>
      </c>
      <c r="E11015" s="15">
        <v>12.8094</v>
      </c>
      <c r="F11015" s="42">
        <v>46198</v>
      </c>
    </row>
    <row r="11016" spans="1:6" x14ac:dyDescent="0.3">
      <c r="A11016" s="15" t="s">
        <v>38856</v>
      </c>
      <c r="B11016" s="15" t="s">
        <v>20050</v>
      </c>
      <c r="C11016" s="15" t="s">
        <v>800</v>
      </c>
      <c r="D11016" s="15" t="s">
        <v>20051</v>
      </c>
      <c r="E11016" s="15">
        <v>12.627700000000001</v>
      </c>
      <c r="F11016" s="42">
        <v>46198</v>
      </c>
    </row>
    <row r="11017" spans="1:6" x14ac:dyDescent="0.3">
      <c r="A11017" s="15" t="s">
        <v>38855</v>
      </c>
      <c r="B11017" s="15" t="s">
        <v>20052</v>
      </c>
      <c r="C11017" s="15" t="s">
        <v>20053</v>
      </c>
      <c r="D11017" s="15" t="s">
        <v>20054</v>
      </c>
      <c r="E11017" s="15">
        <v>12.6286</v>
      </c>
      <c r="F11017" s="42">
        <v>46198</v>
      </c>
    </row>
    <row r="11018" spans="1:6" x14ac:dyDescent="0.3">
      <c r="A11018" s="15" t="s">
        <v>38854</v>
      </c>
      <c r="B11018" s="15" t="s">
        <v>20055</v>
      </c>
      <c r="C11018" s="15" t="s">
        <v>800</v>
      </c>
      <c r="D11018" s="15" t="s">
        <v>20056</v>
      </c>
      <c r="E11018" s="15">
        <v>11.067399999999999</v>
      </c>
      <c r="F11018" s="42">
        <v>46198</v>
      </c>
    </row>
    <row r="11019" spans="1:6" x14ac:dyDescent="0.3">
      <c r="A11019" s="15" t="s">
        <v>38853</v>
      </c>
      <c r="B11019" s="15" t="s">
        <v>20057</v>
      </c>
      <c r="C11019" s="15" t="s">
        <v>20058</v>
      </c>
      <c r="D11019" s="15" t="s">
        <v>20059</v>
      </c>
      <c r="E11019" s="15">
        <v>11.067399999999999</v>
      </c>
      <c r="F11019" s="42">
        <v>46198</v>
      </c>
    </row>
    <row r="11020" spans="1:6" x14ac:dyDescent="0.3">
      <c r="A11020" s="15" t="s">
        <v>38852</v>
      </c>
      <c r="B11020" s="15" t="s">
        <v>20060</v>
      </c>
      <c r="C11020" s="15" t="s">
        <v>800</v>
      </c>
      <c r="D11020" s="15" t="s">
        <v>20061</v>
      </c>
      <c r="E11020" s="15">
        <v>11.0379</v>
      </c>
      <c r="F11020" s="42">
        <v>46198</v>
      </c>
    </row>
    <row r="11021" spans="1:6" x14ac:dyDescent="0.3">
      <c r="A11021" s="15" t="s">
        <v>38851</v>
      </c>
      <c r="B11021" s="15" t="s">
        <v>20062</v>
      </c>
      <c r="C11021" s="15" t="s">
        <v>20063</v>
      </c>
      <c r="D11021" s="15" t="s">
        <v>20064</v>
      </c>
      <c r="E11021" s="15">
        <v>11.0379</v>
      </c>
      <c r="F11021" s="42">
        <v>46198</v>
      </c>
    </row>
    <row r="11022" spans="1:6" x14ac:dyDescent="0.3">
      <c r="A11022" s="15" t="s">
        <v>38850</v>
      </c>
      <c r="B11022" s="15" t="s">
        <v>20065</v>
      </c>
      <c r="C11022" s="15" t="s">
        <v>800</v>
      </c>
      <c r="D11022" s="15" t="s">
        <v>20066</v>
      </c>
      <c r="E11022" s="15">
        <v>11.239000000000001</v>
      </c>
      <c r="F11022" s="42">
        <v>46198</v>
      </c>
    </row>
    <row r="11023" spans="1:6" x14ac:dyDescent="0.3">
      <c r="A11023" s="15" t="s">
        <v>38849</v>
      </c>
      <c r="B11023" s="15" t="s">
        <v>20067</v>
      </c>
      <c r="C11023" s="15" t="s">
        <v>20068</v>
      </c>
      <c r="D11023" s="15" t="s">
        <v>20069</v>
      </c>
      <c r="E11023" s="15">
        <v>11.239000000000001</v>
      </c>
      <c r="F11023" s="42">
        <v>46198</v>
      </c>
    </row>
    <row r="11024" spans="1:6" x14ac:dyDescent="0.3">
      <c r="A11024" s="15" t="s">
        <v>38848</v>
      </c>
      <c r="B11024" s="15" t="s">
        <v>20070</v>
      </c>
      <c r="C11024" s="15" t="s">
        <v>800</v>
      </c>
      <c r="D11024" s="15" t="s">
        <v>20071</v>
      </c>
      <c r="E11024" s="15">
        <v>11.202</v>
      </c>
      <c r="F11024" s="42">
        <v>46198</v>
      </c>
    </row>
    <row r="11025" spans="1:6" x14ac:dyDescent="0.3">
      <c r="A11025" s="15" t="s">
        <v>38847</v>
      </c>
      <c r="B11025" s="15" t="s">
        <v>20072</v>
      </c>
      <c r="C11025" s="15" t="s">
        <v>20073</v>
      </c>
      <c r="D11025" s="15" t="s">
        <v>20074</v>
      </c>
      <c r="E11025" s="15">
        <v>11.202</v>
      </c>
      <c r="F11025" s="42">
        <v>46198</v>
      </c>
    </row>
    <row r="11026" spans="1:6" x14ac:dyDescent="0.3">
      <c r="A11026" s="15" t="s">
        <v>38846</v>
      </c>
      <c r="B11026" s="15" t="s">
        <v>20075</v>
      </c>
      <c r="C11026" s="15" t="s">
        <v>20076</v>
      </c>
      <c r="D11026" s="15" t="s">
        <v>20077</v>
      </c>
      <c r="E11026" s="15">
        <v>12.389200000000001</v>
      </c>
      <c r="F11026" s="42">
        <v>45961</v>
      </c>
    </row>
    <row r="11027" spans="1:6" x14ac:dyDescent="0.3">
      <c r="A11027" s="15" t="s">
        <v>38845</v>
      </c>
      <c r="B11027" s="15" t="s">
        <v>20078</v>
      </c>
      <c r="C11027" s="15" t="s">
        <v>800</v>
      </c>
      <c r="D11027" s="15" t="s">
        <v>20079</v>
      </c>
      <c r="E11027" s="15">
        <v>12.3889</v>
      </c>
      <c r="F11027" s="42">
        <v>45961</v>
      </c>
    </row>
    <row r="11028" spans="1:6" x14ac:dyDescent="0.3">
      <c r="A11028" s="15" t="s">
        <v>38844</v>
      </c>
      <c r="B11028" s="15" t="s">
        <v>20080</v>
      </c>
      <c r="C11028" s="15" t="s">
        <v>20081</v>
      </c>
      <c r="D11028" s="15" t="s">
        <v>20082</v>
      </c>
      <c r="E11028" s="15">
        <v>12.303000000000001</v>
      </c>
      <c r="F11028" s="42">
        <v>45961</v>
      </c>
    </row>
    <row r="11029" spans="1:6" x14ac:dyDescent="0.3">
      <c r="A11029" s="15" t="s">
        <v>38843</v>
      </c>
      <c r="B11029" s="15" t="s">
        <v>20083</v>
      </c>
      <c r="C11029" s="15" t="s">
        <v>800</v>
      </c>
      <c r="D11029" s="15" t="s">
        <v>20084</v>
      </c>
      <c r="E11029" s="15">
        <v>12.3027</v>
      </c>
      <c r="F11029" s="42">
        <v>45961</v>
      </c>
    </row>
    <row r="11030" spans="1:6" x14ac:dyDescent="0.3">
      <c r="A11030" s="15" t="s">
        <v>38842</v>
      </c>
      <c r="B11030" s="15" t="s">
        <v>20085</v>
      </c>
      <c r="C11030" s="15" t="s">
        <v>20086</v>
      </c>
      <c r="D11030" s="15" t="s">
        <v>20087</v>
      </c>
      <c r="E11030" s="15">
        <v>23.3019</v>
      </c>
      <c r="F11030" s="42">
        <v>46198</v>
      </c>
    </row>
    <row r="11031" spans="1:6" x14ac:dyDescent="0.3">
      <c r="A11031" s="15" t="s">
        <v>38841</v>
      </c>
      <c r="B11031" s="15" t="s">
        <v>20088</v>
      </c>
      <c r="C11031" s="15" t="s">
        <v>20089</v>
      </c>
      <c r="D11031" s="15" t="s">
        <v>20090</v>
      </c>
      <c r="E11031" s="15">
        <v>22.5656</v>
      </c>
      <c r="F11031" s="42">
        <v>46198</v>
      </c>
    </row>
    <row r="11032" spans="1:6" x14ac:dyDescent="0.3">
      <c r="A11032" s="15" t="s">
        <v>38840</v>
      </c>
      <c r="B11032" s="15" t="s">
        <v>20091</v>
      </c>
      <c r="C11032" s="15" t="s">
        <v>800</v>
      </c>
      <c r="D11032" s="15" t="s">
        <v>20092</v>
      </c>
      <c r="E11032" s="15">
        <v>23.3019</v>
      </c>
      <c r="F11032" s="42">
        <v>46198</v>
      </c>
    </row>
    <row r="11033" spans="1:6" x14ac:dyDescent="0.3">
      <c r="A11033" s="15" t="s">
        <v>38839</v>
      </c>
      <c r="B11033" s="15" t="s">
        <v>20093</v>
      </c>
      <c r="C11033" s="15" t="s">
        <v>800</v>
      </c>
      <c r="D11033" s="15" t="s">
        <v>20094</v>
      </c>
      <c r="E11033" s="15">
        <v>22.5656</v>
      </c>
      <c r="F11033" s="42">
        <v>46198</v>
      </c>
    </row>
    <row r="11034" spans="1:6" x14ac:dyDescent="0.3">
      <c r="A11034" s="15" t="s">
        <v>38838</v>
      </c>
      <c r="B11034" s="15" t="s">
        <v>20095</v>
      </c>
      <c r="C11034" s="15" t="s">
        <v>800</v>
      </c>
      <c r="D11034" s="15" t="s">
        <v>20096</v>
      </c>
      <c r="E11034" s="15">
        <v>14.234500000000001</v>
      </c>
      <c r="F11034" s="42">
        <v>46198</v>
      </c>
    </row>
    <row r="11035" spans="1:6" x14ac:dyDescent="0.3">
      <c r="A11035" s="15" t="s">
        <v>38837</v>
      </c>
      <c r="B11035" s="15" t="s">
        <v>20097</v>
      </c>
      <c r="C11035" s="15" t="s">
        <v>20098</v>
      </c>
      <c r="D11035" s="15" t="s">
        <v>20099</v>
      </c>
      <c r="E11035" s="15">
        <v>14.035399999999999</v>
      </c>
      <c r="F11035" s="42">
        <v>46198</v>
      </c>
    </row>
    <row r="11036" spans="1:6" x14ac:dyDescent="0.3">
      <c r="A11036" s="15" t="s">
        <v>38836</v>
      </c>
      <c r="B11036" s="15" t="s">
        <v>20100</v>
      </c>
      <c r="C11036" s="15" t="s">
        <v>800</v>
      </c>
      <c r="D11036" s="15" t="s">
        <v>20101</v>
      </c>
      <c r="E11036" s="15">
        <v>13.8156</v>
      </c>
      <c r="F11036" s="42">
        <v>46198</v>
      </c>
    </row>
    <row r="11037" spans="1:6" x14ac:dyDescent="0.3">
      <c r="A11037" s="15" t="s">
        <v>38835</v>
      </c>
      <c r="B11037" s="15" t="s">
        <v>20102</v>
      </c>
      <c r="C11037" s="15" t="s">
        <v>20103</v>
      </c>
      <c r="D11037" s="15" t="s">
        <v>20104</v>
      </c>
      <c r="E11037" s="15">
        <v>13.8147</v>
      </c>
      <c r="F11037" s="42">
        <v>46198</v>
      </c>
    </row>
    <row r="11038" spans="1:6" x14ac:dyDescent="0.3">
      <c r="A11038" s="15" t="s">
        <v>38834</v>
      </c>
      <c r="B11038" s="15" t="s">
        <v>20105</v>
      </c>
      <c r="C11038" s="15" t="s">
        <v>800</v>
      </c>
      <c r="D11038" s="15" t="s">
        <v>20106</v>
      </c>
      <c r="E11038" s="15">
        <v>14.226699999999999</v>
      </c>
      <c r="F11038" s="42">
        <v>46198</v>
      </c>
    </row>
    <row r="11039" spans="1:6" x14ac:dyDescent="0.3">
      <c r="A11039" s="15" t="s">
        <v>38833</v>
      </c>
      <c r="B11039" s="15" t="s">
        <v>20107</v>
      </c>
      <c r="C11039" s="15" t="s">
        <v>20108</v>
      </c>
      <c r="D11039" s="15" t="s">
        <v>20109</v>
      </c>
      <c r="E11039" s="15">
        <v>14.0298</v>
      </c>
      <c r="F11039" s="42">
        <v>46198</v>
      </c>
    </row>
    <row r="11040" spans="1:6" x14ac:dyDescent="0.3">
      <c r="A11040" s="15" t="s">
        <v>38832</v>
      </c>
      <c r="B11040" s="15" t="s">
        <v>20110</v>
      </c>
      <c r="C11040" s="15" t="s">
        <v>800</v>
      </c>
      <c r="D11040" s="15" t="s">
        <v>20111</v>
      </c>
      <c r="E11040" s="15">
        <v>13.734299999999999</v>
      </c>
      <c r="F11040" s="42">
        <v>46198</v>
      </c>
    </row>
    <row r="11041" spans="1:6" x14ac:dyDescent="0.3">
      <c r="A11041" s="15" t="s">
        <v>38831</v>
      </c>
      <c r="B11041" s="15" t="s">
        <v>20112</v>
      </c>
      <c r="C11041" s="15" t="s">
        <v>20113</v>
      </c>
      <c r="D11041" s="15" t="s">
        <v>20114</v>
      </c>
      <c r="E11041" s="15">
        <v>13.7341</v>
      </c>
      <c r="F11041" s="42">
        <v>46198</v>
      </c>
    </row>
    <row r="11042" spans="1:6" x14ac:dyDescent="0.3">
      <c r="A11042" s="15" t="s">
        <v>38830</v>
      </c>
      <c r="B11042" s="15" t="s">
        <v>20115</v>
      </c>
      <c r="C11042" s="15" t="s">
        <v>800</v>
      </c>
      <c r="D11042" s="15" t="s">
        <v>20116</v>
      </c>
      <c r="E11042" s="15">
        <v>9.9421999999999997</v>
      </c>
      <c r="F11042" s="42">
        <v>46198</v>
      </c>
    </row>
    <row r="11043" spans="1:6" x14ac:dyDescent="0.3">
      <c r="A11043" s="15" t="s">
        <v>38829</v>
      </c>
      <c r="B11043" s="15" t="s">
        <v>20117</v>
      </c>
      <c r="C11043" s="15" t="s">
        <v>20118</v>
      </c>
      <c r="D11043" s="15" t="s">
        <v>20119</v>
      </c>
      <c r="E11043" s="15">
        <v>9.9421999999999997</v>
      </c>
      <c r="F11043" s="42">
        <v>46198</v>
      </c>
    </row>
    <row r="11044" spans="1:6" x14ac:dyDescent="0.3">
      <c r="A11044" s="15" t="s">
        <v>38828</v>
      </c>
      <c r="B11044" s="15" t="s">
        <v>20120</v>
      </c>
      <c r="C11044" s="15" t="s">
        <v>800</v>
      </c>
      <c r="D11044" s="15" t="s">
        <v>20121</v>
      </c>
      <c r="E11044" s="15">
        <v>9.7897999999999996</v>
      </c>
      <c r="F11044" s="42">
        <v>46198</v>
      </c>
    </row>
    <row r="11045" spans="1:6" x14ac:dyDescent="0.3">
      <c r="A11045" s="15" t="s">
        <v>38827</v>
      </c>
      <c r="B11045" s="15" t="s">
        <v>20122</v>
      </c>
      <c r="C11045" s="15" t="s">
        <v>20123</v>
      </c>
      <c r="D11045" s="15" t="s">
        <v>20124</v>
      </c>
      <c r="E11045" s="15">
        <v>9.7897999999999996</v>
      </c>
      <c r="F11045" s="42">
        <v>46198</v>
      </c>
    </row>
    <row r="11046" spans="1:6" x14ac:dyDescent="0.3">
      <c r="A11046" s="15" t="s">
        <v>38826</v>
      </c>
      <c r="B11046" s="15" t="s">
        <v>20125</v>
      </c>
      <c r="C11046" s="15" t="s">
        <v>800</v>
      </c>
      <c r="D11046" s="15" t="s">
        <v>20126</v>
      </c>
      <c r="E11046" s="15">
        <v>17.2485</v>
      </c>
      <c r="F11046" s="42">
        <v>46198</v>
      </c>
    </row>
    <row r="11047" spans="1:6" x14ac:dyDescent="0.3">
      <c r="A11047" s="15" t="s">
        <v>38825</v>
      </c>
      <c r="B11047" s="15" t="s">
        <v>20127</v>
      </c>
      <c r="C11047" s="15" t="s">
        <v>20128</v>
      </c>
      <c r="D11047" s="15" t="s">
        <v>20129</v>
      </c>
      <c r="E11047" s="15">
        <v>17.2486</v>
      </c>
      <c r="F11047" s="42">
        <v>46198</v>
      </c>
    </row>
    <row r="11048" spans="1:6" x14ac:dyDescent="0.3">
      <c r="A11048" s="15" t="s">
        <v>38824</v>
      </c>
      <c r="B11048" s="15" t="s">
        <v>20130</v>
      </c>
      <c r="C11048" s="15" t="s">
        <v>800</v>
      </c>
      <c r="D11048" s="15" t="s">
        <v>20131</v>
      </c>
      <c r="E11048" s="15">
        <v>16.738199999999999</v>
      </c>
      <c r="F11048" s="42">
        <v>46198</v>
      </c>
    </row>
    <row r="11049" spans="1:6" x14ac:dyDescent="0.3">
      <c r="A11049" s="15" t="s">
        <v>38823</v>
      </c>
      <c r="B11049" s="15" t="s">
        <v>20132</v>
      </c>
      <c r="C11049" s="15" t="s">
        <v>20133</v>
      </c>
      <c r="D11049" s="15" t="s">
        <v>20134</v>
      </c>
      <c r="E11049" s="15">
        <v>16.737500000000001</v>
      </c>
      <c r="F11049" s="42">
        <v>46198</v>
      </c>
    </row>
    <row r="11050" spans="1:6" x14ac:dyDescent="0.3">
      <c r="A11050" s="15" t="s">
        <v>38822</v>
      </c>
      <c r="B11050" s="15" t="s">
        <v>20135</v>
      </c>
      <c r="C11050" s="15" t="s">
        <v>800</v>
      </c>
      <c r="D11050" s="15" t="s">
        <v>20136</v>
      </c>
      <c r="E11050" s="15">
        <v>10.7582</v>
      </c>
      <c r="F11050" s="42">
        <v>46198</v>
      </c>
    </row>
    <row r="11051" spans="1:6" x14ac:dyDescent="0.3">
      <c r="A11051" s="15" t="s">
        <v>38821</v>
      </c>
      <c r="B11051" s="15" t="s">
        <v>20137</v>
      </c>
      <c r="C11051" s="15" t="s">
        <v>800</v>
      </c>
      <c r="D11051" s="15" t="s">
        <v>20138</v>
      </c>
      <c r="E11051" s="15">
        <v>10.7423</v>
      </c>
      <c r="F11051" s="42">
        <v>46198</v>
      </c>
    </row>
    <row r="11052" spans="1:6" x14ac:dyDescent="0.3">
      <c r="A11052" s="15" t="s">
        <v>38820</v>
      </c>
      <c r="B11052" s="15" t="s">
        <v>20139</v>
      </c>
      <c r="C11052" s="15" t="s">
        <v>20140</v>
      </c>
      <c r="D11052" s="15" t="s">
        <v>20141</v>
      </c>
      <c r="E11052" s="15">
        <v>10.7582</v>
      </c>
      <c r="F11052" s="42">
        <v>46198</v>
      </c>
    </row>
    <row r="11053" spans="1:6" x14ac:dyDescent="0.3">
      <c r="A11053" s="15" t="s">
        <v>38819</v>
      </c>
      <c r="B11053" s="15" t="s">
        <v>20142</v>
      </c>
      <c r="C11053" s="15" t="s">
        <v>20143</v>
      </c>
      <c r="D11053" s="15" t="s">
        <v>20144</v>
      </c>
      <c r="E11053" s="15">
        <v>10.7424</v>
      </c>
      <c r="F11053" s="42">
        <v>46198</v>
      </c>
    </row>
    <row r="11054" spans="1:6" x14ac:dyDescent="0.3">
      <c r="A11054" s="15" t="s">
        <v>38818</v>
      </c>
      <c r="B11054" s="15" t="s">
        <v>20145</v>
      </c>
      <c r="C11054" s="15" t="s">
        <v>20146</v>
      </c>
      <c r="D11054" s="15" t="s">
        <v>20147</v>
      </c>
      <c r="E11054" s="15">
        <v>10.758100000000001</v>
      </c>
      <c r="F11054" s="42">
        <v>46198</v>
      </c>
    </row>
    <row r="11055" spans="1:6" x14ac:dyDescent="0.3">
      <c r="A11055" s="15" t="s">
        <v>38817</v>
      </c>
      <c r="B11055" s="15" t="s">
        <v>20148</v>
      </c>
      <c r="C11055" s="15" t="s">
        <v>20149</v>
      </c>
      <c r="D11055" s="15" t="s">
        <v>20150</v>
      </c>
      <c r="E11055" s="15">
        <v>10.7424</v>
      </c>
      <c r="F11055" s="42">
        <v>46198</v>
      </c>
    </row>
    <row r="11056" spans="1:6" x14ac:dyDescent="0.3">
      <c r="A11056" s="15" t="s">
        <v>38816</v>
      </c>
      <c r="B11056" s="15" t="s">
        <v>20151</v>
      </c>
      <c r="C11056" s="15" t="s">
        <v>800</v>
      </c>
      <c r="D11056" s="15" t="s">
        <v>20152</v>
      </c>
      <c r="E11056" s="15">
        <v>18.7636</v>
      </c>
      <c r="F11056" s="42">
        <v>46198</v>
      </c>
    </row>
    <row r="11057" spans="1:6" x14ac:dyDescent="0.3">
      <c r="A11057" s="15" t="s">
        <v>38815</v>
      </c>
      <c r="B11057" s="15" t="s">
        <v>20153</v>
      </c>
      <c r="C11057" s="15" t="s">
        <v>20154</v>
      </c>
      <c r="D11057" s="15" t="s">
        <v>20155</v>
      </c>
      <c r="E11057" s="15">
        <v>18.7667</v>
      </c>
      <c r="F11057" s="42">
        <v>46198</v>
      </c>
    </row>
    <row r="11058" spans="1:6" x14ac:dyDescent="0.3">
      <c r="A11058" s="15" t="s">
        <v>38814</v>
      </c>
      <c r="B11058" s="15" t="s">
        <v>20156</v>
      </c>
      <c r="C11058" s="15" t="s">
        <v>800</v>
      </c>
      <c r="D11058" s="15" t="s">
        <v>20157</v>
      </c>
      <c r="E11058" s="15">
        <v>18.299199999999999</v>
      </c>
      <c r="F11058" s="42">
        <v>46198</v>
      </c>
    </row>
    <row r="11059" spans="1:6" x14ac:dyDescent="0.3">
      <c r="A11059" s="15" t="s">
        <v>38813</v>
      </c>
      <c r="B11059" s="15" t="s">
        <v>20158</v>
      </c>
      <c r="C11059" s="15" t="s">
        <v>20159</v>
      </c>
      <c r="D11059" s="15" t="s">
        <v>20160</v>
      </c>
      <c r="E11059" s="15">
        <v>18.299199999999999</v>
      </c>
      <c r="F11059" s="42">
        <v>46198</v>
      </c>
    </row>
    <row r="11060" spans="1:6" x14ac:dyDescent="0.3">
      <c r="A11060" s="15" t="s">
        <v>38812</v>
      </c>
      <c r="B11060" s="15" t="s">
        <v>20161</v>
      </c>
      <c r="C11060" s="15" t="s">
        <v>800</v>
      </c>
      <c r="D11060" s="15" t="s">
        <v>20162</v>
      </c>
      <c r="E11060" s="15">
        <v>16.815799999999999</v>
      </c>
      <c r="F11060" s="42">
        <v>46198</v>
      </c>
    </row>
    <row r="11061" spans="1:6" x14ac:dyDescent="0.3">
      <c r="A11061" s="15" t="s">
        <v>38811</v>
      </c>
      <c r="B11061" s="15" t="s">
        <v>20163</v>
      </c>
      <c r="C11061" s="15" t="s">
        <v>20164</v>
      </c>
      <c r="D11061" s="15" t="s">
        <v>20165</v>
      </c>
      <c r="E11061" s="15">
        <v>16.8154</v>
      </c>
      <c r="F11061" s="42">
        <v>46198</v>
      </c>
    </row>
    <row r="11062" spans="1:6" x14ac:dyDescent="0.3">
      <c r="A11062" s="15" t="s">
        <v>38810</v>
      </c>
      <c r="B11062" s="15" t="s">
        <v>20166</v>
      </c>
      <c r="C11062" s="15" t="s">
        <v>800</v>
      </c>
      <c r="D11062" s="15" t="s">
        <v>20167</v>
      </c>
      <c r="E11062" s="15">
        <v>16.393000000000001</v>
      </c>
      <c r="F11062" s="42">
        <v>46198</v>
      </c>
    </row>
    <row r="11063" spans="1:6" x14ac:dyDescent="0.3">
      <c r="A11063" s="15" t="s">
        <v>38809</v>
      </c>
      <c r="B11063" s="15" t="s">
        <v>20168</v>
      </c>
      <c r="C11063" s="15" t="s">
        <v>20169</v>
      </c>
      <c r="D11063" s="15" t="s">
        <v>20170</v>
      </c>
      <c r="E11063" s="15">
        <v>16.393000000000001</v>
      </c>
      <c r="F11063" s="42">
        <v>46198</v>
      </c>
    </row>
    <row r="11064" spans="1:6" x14ac:dyDescent="0.3">
      <c r="A11064" s="15" t="s">
        <v>38808</v>
      </c>
      <c r="B11064" s="15" t="s">
        <v>20171</v>
      </c>
      <c r="C11064" s="15" t="s">
        <v>20172</v>
      </c>
      <c r="D11064" s="15" t="s">
        <v>20173</v>
      </c>
      <c r="E11064" s="15">
        <v>13.5913</v>
      </c>
      <c r="F11064" s="42">
        <v>46142</v>
      </c>
    </row>
    <row r="11065" spans="1:6" x14ac:dyDescent="0.3">
      <c r="A11065" s="15" t="s">
        <v>38807</v>
      </c>
      <c r="B11065" s="15" t="s">
        <v>20174</v>
      </c>
      <c r="C11065" s="15" t="s">
        <v>800</v>
      </c>
      <c r="D11065" s="15" t="s">
        <v>20175</v>
      </c>
      <c r="E11065" s="15">
        <v>13.7188</v>
      </c>
      <c r="F11065" s="42">
        <v>46142</v>
      </c>
    </row>
    <row r="11066" spans="1:6" x14ac:dyDescent="0.3">
      <c r="A11066" s="15" t="s">
        <v>38806</v>
      </c>
      <c r="B11066" s="15" t="s">
        <v>20176</v>
      </c>
      <c r="C11066" s="15" t="s">
        <v>20177</v>
      </c>
      <c r="D11066" s="15" t="s">
        <v>20178</v>
      </c>
      <c r="E11066" s="15">
        <v>13.7194</v>
      </c>
      <c r="F11066" s="42">
        <v>46142</v>
      </c>
    </row>
    <row r="11067" spans="1:6" x14ac:dyDescent="0.3">
      <c r="A11067" s="15" t="s">
        <v>38805</v>
      </c>
      <c r="B11067" s="15" t="s">
        <v>20179</v>
      </c>
      <c r="C11067" s="15" t="s">
        <v>800</v>
      </c>
      <c r="D11067" s="15" t="s">
        <v>20180</v>
      </c>
      <c r="E11067" s="15">
        <v>13.590199999999999</v>
      </c>
      <c r="F11067" s="42">
        <v>46142</v>
      </c>
    </row>
    <row r="11068" spans="1:6" x14ac:dyDescent="0.3">
      <c r="A11068" s="15" t="s">
        <v>38804</v>
      </c>
      <c r="B11068" s="15" t="s">
        <v>20181</v>
      </c>
      <c r="C11068" s="15" t="s">
        <v>20182</v>
      </c>
      <c r="D11068" s="15" t="s">
        <v>20183</v>
      </c>
      <c r="E11068" s="15">
        <v>13.2407</v>
      </c>
      <c r="F11068" s="42">
        <v>46198</v>
      </c>
    </row>
    <row r="11069" spans="1:6" x14ac:dyDescent="0.3">
      <c r="A11069" s="15" t="s">
        <v>38803</v>
      </c>
      <c r="B11069" s="15" t="s">
        <v>20184</v>
      </c>
      <c r="C11069" s="15" t="s">
        <v>800</v>
      </c>
      <c r="D11069" s="15" t="s">
        <v>20185</v>
      </c>
      <c r="E11069" s="15">
        <v>13.2425</v>
      </c>
      <c r="F11069" s="42">
        <v>46198</v>
      </c>
    </row>
    <row r="11070" spans="1:6" x14ac:dyDescent="0.3">
      <c r="A11070" s="15" t="s">
        <v>38802</v>
      </c>
      <c r="B11070" s="15" t="s">
        <v>20186</v>
      </c>
      <c r="C11070" s="15" t="s">
        <v>800</v>
      </c>
      <c r="D11070" s="15" t="s">
        <v>20187</v>
      </c>
      <c r="E11070" s="15">
        <v>13.123100000000001</v>
      </c>
      <c r="F11070" s="42">
        <v>46198</v>
      </c>
    </row>
    <row r="11071" spans="1:6" x14ac:dyDescent="0.3">
      <c r="A11071" s="15" t="s">
        <v>38801</v>
      </c>
      <c r="B11071" s="15" t="s">
        <v>20188</v>
      </c>
      <c r="C11071" s="15" t="s">
        <v>20189</v>
      </c>
      <c r="D11071" s="15" t="s">
        <v>20190</v>
      </c>
      <c r="E11071" s="15">
        <v>13.123699999999999</v>
      </c>
      <c r="F11071" s="42">
        <v>46198</v>
      </c>
    </row>
    <row r="11072" spans="1:6" x14ac:dyDescent="0.3">
      <c r="A11072" s="15" t="s">
        <v>38800</v>
      </c>
      <c r="B11072" s="15" t="s">
        <v>20191</v>
      </c>
      <c r="C11072" s="15" t="s">
        <v>800</v>
      </c>
      <c r="D11072" s="15" t="s">
        <v>20192</v>
      </c>
      <c r="E11072" s="15">
        <v>18.427399999999999</v>
      </c>
      <c r="F11072" s="42">
        <v>46198</v>
      </c>
    </row>
    <row r="11073" spans="1:6" x14ac:dyDescent="0.3">
      <c r="A11073" s="15" t="s">
        <v>38799</v>
      </c>
      <c r="B11073" s="15" t="s">
        <v>20193</v>
      </c>
      <c r="C11073" s="15" t="s">
        <v>20194</v>
      </c>
      <c r="D11073" s="15" t="s">
        <v>20195</v>
      </c>
      <c r="E11073" s="15">
        <v>18.428000000000001</v>
      </c>
      <c r="F11073" s="42">
        <v>46198</v>
      </c>
    </row>
    <row r="11074" spans="1:6" x14ac:dyDescent="0.3">
      <c r="A11074" s="15" t="s">
        <v>38798</v>
      </c>
      <c r="B11074" s="15" t="s">
        <v>20196</v>
      </c>
      <c r="C11074" s="15" t="s">
        <v>800</v>
      </c>
      <c r="D11074" s="15" t="s">
        <v>20197</v>
      </c>
      <c r="E11074" s="15">
        <v>17.9863</v>
      </c>
      <c r="F11074" s="42">
        <v>46198</v>
      </c>
    </row>
    <row r="11075" spans="1:6" x14ac:dyDescent="0.3">
      <c r="A11075" s="15" t="s">
        <v>38797</v>
      </c>
      <c r="B11075" s="15" t="s">
        <v>20198</v>
      </c>
      <c r="C11075" s="15" t="s">
        <v>20199</v>
      </c>
      <c r="D11075" s="15" t="s">
        <v>20200</v>
      </c>
      <c r="E11075" s="15">
        <v>17.9862</v>
      </c>
      <c r="F11075" s="42">
        <v>46198</v>
      </c>
    </row>
    <row r="11076" spans="1:6" x14ac:dyDescent="0.3">
      <c r="A11076" s="15" t="s">
        <v>38796</v>
      </c>
      <c r="B11076" s="15" t="s">
        <v>20201</v>
      </c>
      <c r="C11076" s="15" t="s">
        <v>800</v>
      </c>
      <c r="D11076" s="15" t="s">
        <v>20202</v>
      </c>
      <c r="E11076" s="15">
        <v>9.2448999999999995</v>
      </c>
      <c r="F11076" s="42">
        <v>46198</v>
      </c>
    </row>
    <row r="11077" spans="1:6" x14ac:dyDescent="0.3">
      <c r="A11077" s="15" t="s">
        <v>38795</v>
      </c>
      <c r="B11077" s="15" t="s">
        <v>20203</v>
      </c>
      <c r="C11077" s="15" t="s">
        <v>20204</v>
      </c>
      <c r="D11077" s="15" t="s">
        <v>20205</v>
      </c>
      <c r="E11077" s="15">
        <v>9.2448999999999995</v>
      </c>
      <c r="F11077" s="42">
        <v>46198</v>
      </c>
    </row>
    <row r="11078" spans="1:6" x14ac:dyDescent="0.3">
      <c r="A11078" s="15" t="s">
        <v>38794</v>
      </c>
      <c r="B11078" s="15" t="s">
        <v>20206</v>
      </c>
      <c r="C11078" s="15" t="s">
        <v>800</v>
      </c>
      <c r="D11078" s="15" t="s">
        <v>20207</v>
      </c>
      <c r="E11078" s="15">
        <v>9.1422000000000008</v>
      </c>
      <c r="F11078" s="42">
        <v>46198</v>
      </c>
    </row>
    <row r="11079" spans="1:6" x14ac:dyDescent="0.3">
      <c r="A11079" s="15" t="s">
        <v>38793</v>
      </c>
      <c r="B11079" s="15" t="s">
        <v>20208</v>
      </c>
      <c r="C11079" s="15" t="s">
        <v>20209</v>
      </c>
      <c r="D11079" s="15" t="s">
        <v>20210</v>
      </c>
      <c r="E11079" s="15">
        <v>9.1422000000000008</v>
      </c>
      <c r="F11079" s="42">
        <v>46198</v>
      </c>
    </row>
    <row r="11080" spans="1:6" x14ac:dyDescent="0.3">
      <c r="A11080" s="15" t="s">
        <v>33499</v>
      </c>
      <c r="B11080" s="15" t="s">
        <v>795</v>
      </c>
      <c r="C11080" s="15" t="s">
        <v>795</v>
      </c>
      <c r="D11080" s="15" t="s">
        <v>795</v>
      </c>
      <c r="F11080" s="42"/>
    </row>
    <row r="11081" spans="1:6" x14ac:dyDescent="0.3">
      <c r="A11081" s="15" t="s">
        <v>37044</v>
      </c>
      <c r="B11081" s="15" t="s">
        <v>795</v>
      </c>
      <c r="C11081" s="15" t="s">
        <v>795</v>
      </c>
      <c r="D11081" s="15" t="s">
        <v>795</v>
      </c>
      <c r="F11081" s="42"/>
    </row>
    <row r="11082" spans="1:6" x14ac:dyDescent="0.3">
      <c r="A11082" s="15" t="s">
        <v>33499</v>
      </c>
      <c r="B11082" s="15" t="s">
        <v>795</v>
      </c>
      <c r="C11082" s="15" t="s">
        <v>795</v>
      </c>
      <c r="D11082" s="15" t="s">
        <v>795</v>
      </c>
      <c r="F11082" s="42"/>
    </row>
    <row r="11083" spans="1:6" x14ac:dyDescent="0.3">
      <c r="A11083" s="15" t="s">
        <v>38792</v>
      </c>
      <c r="B11083" s="15" t="s">
        <v>20211</v>
      </c>
      <c r="C11083" s="15" t="s">
        <v>20212</v>
      </c>
      <c r="D11083" s="15" t="s">
        <v>20213</v>
      </c>
      <c r="E11083" s="15">
        <v>178.8621</v>
      </c>
      <c r="F11083" s="42">
        <v>46198</v>
      </c>
    </row>
    <row r="11084" spans="1:6" x14ac:dyDescent="0.3">
      <c r="A11084" s="15" t="s">
        <v>38791</v>
      </c>
      <c r="B11084" s="15" t="s">
        <v>20214</v>
      </c>
      <c r="C11084" s="15" t="s">
        <v>800</v>
      </c>
      <c r="D11084" s="15" t="s">
        <v>20215</v>
      </c>
      <c r="E11084" s="15">
        <v>194.78540000000001</v>
      </c>
      <c r="F11084" s="42">
        <v>46198</v>
      </c>
    </row>
    <row r="11085" spans="1:6" x14ac:dyDescent="0.3">
      <c r="A11085" s="15" t="s">
        <v>38790</v>
      </c>
      <c r="B11085" s="15" t="s">
        <v>20216</v>
      </c>
      <c r="C11085" s="15" t="s">
        <v>20217</v>
      </c>
      <c r="D11085" s="15" t="s">
        <v>20218</v>
      </c>
      <c r="E11085" s="15">
        <v>168.44059999999999</v>
      </c>
      <c r="F11085" s="42">
        <v>46198</v>
      </c>
    </row>
    <row r="11086" spans="1:6" x14ac:dyDescent="0.3">
      <c r="A11086" s="15" t="s">
        <v>38789</v>
      </c>
      <c r="B11086" s="15" t="s">
        <v>20219</v>
      </c>
      <c r="C11086" s="15" t="s">
        <v>800</v>
      </c>
      <c r="D11086" s="15" t="s">
        <v>20220</v>
      </c>
      <c r="E11086" s="15">
        <v>205.32220000000001</v>
      </c>
      <c r="F11086" s="42">
        <v>46198</v>
      </c>
    </row>
    <row r="11087" spans="1:6" x14ac:dyDescent="0.3">
      <c r="A11087" s="15" t="s">
        <v>33499</v>
      </c>
      <c r="B11087" s="15" t="s">
        <v>795</v>
      </c>
      <c r="C11087" s="15" t="s">
        <v>795</v>
      </c>
      <c r="D11087" s="15" t="s">
        <v>795</v>
      </c>
      <c r="F11087" s="42"/>
    </row>
    <row r="11088" spans="1:6" x14ac:dyDescent="0.3">
      <c r="A11088" s="15" t="s">
        <v>37881</v>
      </c>
      <c r="B11088" s="15" t="s">
        <v>795</v>
      </c>
      <c r="C11088" s="15" t="s">
        <v>795</v>
      </c>
      <c r="D11088" s="15" t="s">
        <v>795</v>
      </c>
      <c r="F11088" s="42"/>
    </row>
    <row r="11089" spans="1:6" x14ac:dyDescent="0.3">
      <c r="A11089" s="15" t="s">
        <v>33499</v>
      </c>
      <c r="B11089" s="15" t="s">
        <v>795</v>
      </c>
      <c r="C11089" s="15" t="s">
        <v>795</v>
      </c>
      <c r="D11089" s="15" t="s">
        <v>795</v>
      </c>
      <c r="F11089" s="42"/>
    </row>
    <row r="11090" spans="1:6" x14ac:dyDescent="0.3">
      <c r="A11090" s="15" t="s">
        <v>38788</v>
      </c>
      <c r="B11090" s="15" t="s">
        <v>20221</v>
      </c>
      <c r="C11090" s="15" t="s">
        <v>800</v>
      </c>
      <c r="D11090" s="15" t="s">
        <v>20222</v>
      </c>
      <c r="E11090" s="15">
        <v>9.6321999999999992</v>
      </c>
      <c r="F11090" s="42">
        <v>46198</v>
      </c>
    </row>
    <row r="11091" spans="1:6" x14ac:dyDescent="0.3">
      <c r="A11091" s="15" t="s">
        <v>38787</v>
      </c>
      <c r="B11091" s="15" t="s">
        <v>20223</v>
      </c>
      <c r="C11091" s="15" t="s">
        <v>20224</v>
      </c>
      <c r="D11091" s="15" t="s">
        <v>20225</v>
      </c>
      <c r="E11091" s="15">
        <v>9.6321999999999992</v>
      </c>
      <c r="F11091" s="42">
        <v>46198</v>
      </c>
    </row>
    <row r="11092" spans="1:6" x14ac:dyDescent="0.3">
      <c r="A11092" s="15" t="s">
        <v>38786</v>
      </c>
      <c r="B11092" s="15" t="s">
        <v>20226</v>
      </c>
      <c r="C11092" s="15" t="s">
        <v>800</v>
      </c>
      <c r="D11092" s="15" t="s">
        <v>20227</v>
      </c>
      <c r="E11092" s="15">
        <v>9.57</v>
      </c>
      <c r="F11092" s="42">
        <v>46198</v>
      </c>
    </row>
    <row r="11093" spans="1:6" x14ac:dyDescent="0.3">
      <c r="A11093" s="15" t="s">
        <v>38785</v>
      </c>
      <c r="B11093" s="15" t="s">
        <v>20228</v>
      </c>
      <c r="C11093" s="15" t="s">
        <v>20229</v>
      </c>
      <c r="D11093" s="15" t="s">
        <v>20230</v>
      </c>
      <c r="E11093" s="15">
        <v>9.57</v>
      </c>
      <c r="F11093" s="42">
        <v>46198</v>
      </c>
    </row>
    <row r="11094" spans="1:6" x14ac:dyDescent="0.3">
      <c r="A11094" s="15" t="s">
        <v>38784</v>
      </c>
      <c r="B11094" s="15" t="s">
        <v>20231</v>
      </c>
      <c r="C11094" s="15" t="s">
        <v>800</v>
      </c>
      <c r="D11094" s="15" t="s">
        <v>20232</v>
      </c>
      <c r="E11094" s="15">
        <v>7.9732000000000003</v>
      </c>
      <c r="F11094" s="42">
        <v>46198</v>
      </c>
    </row>
    <row r="11095" spans="1:6" x14ac:dyDescent="0.3">
      <c r="A11095" s="15" t="s">
        <v>38783</v>
      </c>
      <c r="B11095" s="15" t="s">
        <v>20233</v>
      </c>
      <c r="C11095" s="15" t="s">
        <v>20234</v>
      </c>
      <c r="D11095" s="15" t="s">
        <v>20235</v>
      </c>
      <c r="E11095" s="15">
        <v>7.9729000000000001</v>
      </c>
      <c r="F11095" s="42">
        <v>46198</v>
      </c>
    </row>
    <row r="11096" spans="1:6" x14ac:dyDescent="0.3">
      <c r="A11096" s="15" t="s">
        <v>38782</v>
      </c>
      <c r="B11096" s="15" t="s">
        <v>20236</v>
      </c>
      <c r="C11096" s="15" t="s">
        <v>800</v>
      </c>
      <c r="D11096" s="15" t="s">
        <v>20237</v>
      </c>
      <c r="E11096" s="15">
        <v>7.9123000000000001</v>
      </c>
      <c r="F11096" s="42">
        <v>46198</v>
      </c>
    </row>
    <row r="11097" spans="1:6" x14ac:dyDescent="0.3">
      <c r="A11097" s="15" t="s">
        <v>38781</v>
      </c>
      <c r="B11097" s="15" t="s">
        <v>20238</v>
      </c>
      <c r="C11097" s="15" t="s">
        <v>20239</v>
      </c>
      <c r="D11097" s="15" t="s">
        <v>20240</v>
      </c>
      <c r="E11097" s="15">
        <v>7.9097</v>
      </c>
      <c r="F11097" s="42">
        <v>46198</v>
      </c>
    </row>
    <row r="11098" spans="1:6" x14ac:dyDescent="0.3">
      <c r="A11098" s="15" t="s">
        <v>38780</v>
      </c>
      <c r="B11098" s="15" t="s">
        <v>20241</v>
      </c>
      <c r="C11098" s="15" t="s">
        <v>800</v>
      </c>
      <c r="D11098" s="15" t="s">
        <v>20242</v>
      </c>
      <c r="E11098" s="15">
        <v>10.1866</v>
      </c>
      <c r="F11098" s="42">
        <v>46198</v>
      </c>
    </row>
    <row r="11099" spans="1:6" x14ac:dyDescent="0.3">
      <c r="A11099" s="15" t="s">
        <v>38779</v>
      </c>
      <c r="B11099" s="15" t="s">
        <v>20243</v>
      </c>
      <c r="C11099" s="15" t="s">
        <v>20244</v>
      </c>
      <c r="D11099" s="15" t="s">
        <v>20245</v>
      </c>
      <c r="E11099" s="15">
        <v>10.1866</v>
      </c>
      <c r="F11099" s="42">
        <v>46198</v>
      </c>
    </row>
    <row r="11100" spans="1:6" x14ac:dyDescent="0.3">
      <c r="A11100" s="15" t="s">
        <v>38778</v>
      </c>
      <c r="B11100" s="15" t="s">
        <v>20246</v>
      </c>
      <c r="C11100" s="15" t="s">
        <v>800</v>
      </c>
      <c r="D11100" s="15" t="s">
        <v>20247</v>
      </c>
      <c r="E11100" s="15">
        <v>10.145799999999999</v>
      </c>
      <c r="F11100" s="42">
        <v>46198</v>
      </c>
    </row>
    <row r="11101" spans="1:6" x14ac:dyDescent="0.3">
      <c r="A11101" s="15" t="s">
        <v>38777</v>
      </c>
      <c r="B11101" s="15" t="s">
        <v>20248</v>
      </c>
      <c r="C11101" s="15" t="s">
        <v>20249</v>
      </c>
      <c r="D11101" s="15" t="s">
        <v>20250</v>
      </c>
      <c r="E11101" s="15">
        <v>10.145799999999999</v>
      </c>
      <c r="F11101" s="42">
        <v>46198</v>
      </c>
    </row>
    <row r="11102" spans="1:6" x14ac:dyDescent="0.3">
      <c r="A11102" s="15" t="s">
        <v>38776</v>
      </c>
      <c r="B11102" s="15" t="s">
        <v>20251</v>
      </c>
      <c r="C11102" s="15" t="s">
        <v>800</v>
      </c>
      <c r="D11102" s="15" t="s">
        <v>20252</v>
      </c>
      <c r="E11102" s="15">
        <v>10.6751</v>
      </c>
      <c r="F11102" s="42">
        <v>46198</v>
      </c>
    </row>
    <row r="11103" spans="1:6" x14ac:dyDescent="0.3">
      <c r="A11103" s="15" t="s">
        <v>38775</v>
      </c>
      <c r="B11103" s="15" t="s">
        <v>20253</v>
      </c>
      <c r="C11103" s="15" t="s">
        <v>20254</v>
      </c>
      <c r="D11103" s="15" t="s">
        <v>20255</v>
      </c>
      <c r="E11103" s="15">
        <v>10.6751</v>
      </c>
      <c r="F11103" s="42">
        <v>46198</v>
      </c>
    </row>
    <row r="11104" spans="1:6" x14ac:dyDescent="0.3">
      <c r="A11104" s="15" t="s">
        <v>38774</v>
      </c>
      <c r="B11104" s="15" t="s">
        <v>20256</v>
      </c>
      <c r="C11104" s="15" t="s">
        <v>800</v>
      </c>
      <c r="D11104" s="15" t="s">
        <v>20257</v>
      </c>
      <c r="E11104" s="15">
        <v>10.6134</v>
      </c>
      <c r="F11104" s="42">
        <v>46198</v>
      </c>
    </row>
    <row r="11105" spans="1:6" x14ac:dyDescent="0.3">
      <c r="A11105" s="15" t="s">
        <v>38773</v>
      </c>
      <c r="B11105" s="15" t="s">
        <v>20258</v>
      </c>
      <c r="C11105" s="15" t="s">
        <v>20259</v>
      </c>
      <c r="D11105" s="15" t="s">
        <v>20260</v>
      </c>
      <c r="E11105" s="15">
        <v>10.613300000000001</v>
      </c>
      <c r="F11105" s="42">
        <v>46198</v>
      </c>
    </row>
    <row r="11106" spans="1:6" x14ac:dyDescent="0.3">
      <c r="A11106" s="15" t="s">
        <v>38772</v>
      </c>
      <c r="B11106" s="15" t="s">
        <v>20261</v>
      </c>
      <c r="C11106" s="15" t="s">
        <v>20262</v>
      </c>
      <c r="D11106" s="15" t="s">
        <v>20263</v>
      </c>
      <c r="E11106" s="15">
        <v>10.2531</v>
      </c>
      <c r="F11106" s="42">
        <v>46198</v>
      </c>
    </row>
    <row r="11107" spans="1:6" x14ac:dyDescent="0.3">
      <c r="A11107" s="15" t="s">
        <v>38771</v>
      </c>
      <c r="B11107" s="15" t="s">
        <v>20264</v>
      </c>
      <c r="C11107" s="15" t="s">
        <v>800</v>
      </c>
      <c r="D11107" s="15" t="s">
        <v>20265</v>
      </c>
      <c r="E11107" s="15">
        <v>10.2532</v>
      </c>
      <c r="F11107" s="42">
        <v>46198</v>
      </c>
    </row>
    <row r="11108" spans="1:6" x14ac:dyDescent="0.3">
      <c r="A11108" s="15" t="s">
        <v>38770</v>
      </c>
      <c r="B11108" s="15" t="s">
        <v>20266</v>
      </c>
      <c r="C11108" s="15" t="s">
        <v>20267</v>
      </c>
      <c r="D11108" s="15" t="s">
        <v>20268</v>
      </c>
      <c r="E11108" s="15">
        <v>10.128500000000001</v>
      </c>
      <c r="F11108" s="42">
        <v>46198</v>
      </c>
    </row>
    <row r="11109" spans="1:6" x14ac:dyDescent="0.3">
      <c r="A11109" s="15" t="s">
        <v>38769</v>
      </c>
      <c r="B11109" s="15" t="s">
        <v>20269</v>
      </c>
      <c r="C11109" s="15" t="s">
        <v>800</v>
      </c>
      <c r="D11109" s="15" t="s">
        <v>20270</v>
      </c>
      <c r="E11109" s="15">
        <v>10.1296</v>
      </c>
      <c r="F11109" s="42">
        <v>46198</v>
      </c>
    </row>
    <row r="11110" spans="1:6" x14ac:dyDescent="0.3">
      <c r="A11110" s="15" t="s">
        <v>47068</v>
      </c>
      <c r="B11110" s="15" t="s">
        <v>47069</v>
      </c>
      <c r="C11110" s="15" t="s">
        <v>800</v>
      </c>
      <c r="D11110" s="15" t="s">
        <v>47070</v>
      </c>
      <c r="E11110" s="15">
        <v>10.539099999999999</v>
      </c>
      <c r="F11110" s="42">
        <v>46198</v>
      </c>
    </row>
    <row r="11111" spans="1:6" x14ac:dyDescent="0.3">
      <c r="A11111" s="15" t="s">
        <v>47071</v>
      </c>
      <c r="B11111" s="15" t="s">
        <v>47072</v>
      </c>
      <c r="C11111" s="15" t="s">
        <v>47073</v>
      </c>
      <c r="D11111" s="15" t="s">
        <v>47074</v>
      </c>
      <c r="E11111" s="15">
        <v>10.539099999999999</v>
      </c>
      <c r="F11111" s="42">
        <v>46198</v>
      </c>
    </row>
    <row r="11112" spans="1:6" x14ac:dyDescent="0.3">
      <c r="A11112" s="15" t="s">
        <v>47075</v>
      </c>
      <c r="B11112" s="15" t="s">
        <v>47076</v>
      </c>
      <c r="C11112" s="15" t="s">
        <v>800</v>
      </c>
      <c r="D11112" s="15" t="s">
        <v>47077</v>
      </c>
      <c r="E11112" s="15">
        <v>10.5329</v>
      </c>
      <c r="F11112" s="42">
        <v>46198</v>
      </c>
    </row>
    <row r="11113" spans="1:6" x14ac:dyDescent="0.3">
      <c r="A11113" s="15" t="s">
        <v>47078</v>
      </c>
      <c r="B11113" s="15" t="s">
        <v>47079</v>
      </c>
      <c r="C11113" s="15" t="s">
        <v>47080</v>
      </c>
      <c r="D11113" s="15" t="s">
        <v>47081</v>
      </c>
      <c r="E11113" s="15">
        <v>10.5329</v>
      </c>
      <c r="F11113" s="42">
        <v>46198</v>
      </c>
    </row>
    <row r="11114" spans="1:6" x14ac:dyDescent="0.3">
      <c r="A11114" s="15" t="s">
        <v>38768</v>
      </c>
      <c r="B11114" s="15" t="s">
        <v>20271</v>
      </c>
      <c r="C11114" s="15" t="s">
        <v>800</v>
      </c>
      <c r="D11114" s="15" t="s">
        <v>20272</v>
      </c>
      <c r="E11114" s="15">
        <v>10.371600000000001</v>
      </c>
      <c r="F11114" s="42">
        <v>46198</v>
      </c>
    </row>
    <row r="11115" spans="1:6" x14ac:dyDescent="0.3">
      <c r="A11115" s="15" t="s">
        <v>38767</v>
      </c>
      <c r="B11115" s="15" t="s">
        <v>20273</v>
      </c>
      <c r="C11115" s="15" t="s">
        <v>20274</v>
      </c>
      <c r="D11115" s="15" t="s">
        <v>20275</v>
      </c>
      <c r="E11115" s="15">
        <v>10.3703</v>
      </c>
      <c r="F11115" s="42">
        <v>46198</v>
      </c>
    </row>
    <row r="11116" spans="1:6" x14ac:dyDescent="0.3">
      <c r="A11116" s="15" t="s">
        <v>38766</v>
      </c>
      <c r="B11116" s="15" t="s">
        <v>20276</v>
      </c>
      <c r="C11116" s="15" t="s">
        <v>800</v>
      </c>
      <c r="D11116" s="15" t="s">
        <v>20277</v>
      </c>
      <c r="E11116" s="15">
        <v>10.3568</v>
      </c>
      <c r="F11116" s="42">
        <v>46198</v>
      </c>
    </row>
    <row r="11117" spans="1:6" x14ac:dyDescent="0.3">
      <c r="A11117" s="15" t="s">
        <v>38765</v>
      </c>
      <c r="B11117" s="15" t="s">
        <v>20278</v>
      </c>
      <c r="C11117" s="15" t="s">
        <v>20279</v>
      </c>
      <c r="D11117" s="15" t="s">
        <v>20280</v>
      </c>
      <c r="E11117" s="15">
        <v>10.3568</v>
      </c>
      <c r="F11117" s="42">
        <v>46198</v>
      </c>
    </row>
    <row r="11118" spans="1:6" x14ac:dyDescent="0.3">
      <c r="A11118" s="15" t="s">
        <v>38764</v>
      </c>
      <c r="B11118" s="15" t="s">
        <v>20281</v>
      </c>
      <c r="C11118" s="15" t="s">
        <v>800</v>
      </c>
      <c r="D11118" s="15" t="s">
        <v>20282</v>
      </c>
      <c r="E11118" s="15">
        <v>11.8064</v>
      </c>
      <c r="F11118" s="42">
        <v>46198</v>
      </c>
    </row>
    <row r="11119" spans="1:6" x14ac:dyDescent="0.3">
      <c r="A11119" s="15" t="s">
        <v>38763</v>
      </c>
      <c r="B11119" s="15" t="s">
        <v>20283</v>
      </c>
      <c r="C11119" s="15" t="s">
        <v>20284</v>
      </c>
      <c r="D11119" s="15" t="s">
        <v>20285</v>
      </c>
      <c r="E11119" s="15">
        <v>11.811299999999999</v>
      </c>
      <c r="F11119" s="42">
        <v>46198</v>
      </c>
    </row>
    <row r="11120" spans="1:6" x14ac:dyDescent="0.3">
      <c r="A11120" s="15" t="s">
        <v>38762</v>
      </c>
      <c r="B11120" s="15" t="s">
        <v>20286</v>
      </c>
      <c r="C11120" s="15" t="s">
        <v>800</v>
      </c>
      <c r="D11120" s="15" t="s">
        <v>20287</v>
      </c>
      <c r="E11120" s="15">
        <v>11.659700000000001</v>
      </c>
      <c r="F11120" s="42">
        <v>46198</v>
      </c>
    </row>
    <row r="11121" spans="1:6" x14ac:dyDescent="0.3">
      <c r="A11121" s="15" t="s">
        <v>38761</v>
      </c>
      <c r="B11121" s="15" t="s">
        <v>20288</v>
      </c>
      <c r="C11121" s="15" t="s">
        <v>20289</v>
      </c>
      <c r="D11121" s="15" t="s">
        <v>20290</v>
      </c>
      <c r="E11121" s="15">
        <v>11.6457</v>
      </c>
      <c r="F11121" s="42">
        <v>46198</v>
      </c>
    </row>
    <row r="11122" spans="1:6" x14ac:dyDescent="0.3">
      <c r="A11122" s="15" t="s">
        <v>47174</v>
      </c>
      <c r="B11122" s="15" t="s">
        <v>47175</v>
      </c>
      <c r="C11122" s="15" t="s">
        <v>800</v>
      </c>
      <c r="D11122" s="15" t="s">
        <v>47176</v>
      </c>
      <c r="E11122" s="15">
        <v>10.1114</v>
      </c>
      <c r="F11122" s="42">
        <v>46198</v>
      </c>
    </row>
    <row r="11123" spans="1:6" x14ac:dyDescent="0.3">
      <c r="A11123" s="15" t="s">
        <v>47177</v>
      </c>
      <c r="B11123" s="15" t="s">
        <v>47178</v>
      </c>
      <c r="C11123" s="15" t="s">
        <v>47179</v>
      </c>
      <c r="D11123" s="15" t="s">
        <v>47180</v>
      </c>
      <c r="E11123" s="15">
        <v>10.1114</v>
      </c>
      <c r="F11123" s="42">
        <v>46198</v>
      </c>
    </row>
    <row r="11124" spans="1:6" x14ac:dyDescent="0.3">
      <c r="A11124" s="15" t="s">
        <v>47181</v>
      </c>
      <c r="B11124" s="15" t="s">
        <v>47182</v>
      </c>
      <c r="C11124" s="15" t="s">
        <v>800</v>
      </c>
      <c r="D11124" s="15" t="s">
        <v>47183</v>
      </c>
      <c r="E11124" s="15">
        <v>10.11</v>
      </c>
      <c r="F11124" s="42">
        <v>46198</v>
      </c>
    </row>
    <row r="11125" spans="1:6" x14ac:dyDescent="0.3">
      <c r="A11125" s="15" t="s">
        <v>47184</v>
      </c>
      <c r="B11125" s="15" t="s">
        <v>47185</v>
      </c>
      <c r="C11125" s="15" t="s">
        <v>47186</v>
      </c>
      <c r="D11125" s="15" t="s">
        <v>47187</v>
      </c>
      <c r="E11125" s="15">
        <v>10.11</v>
      </c>
      <c r="F11125" s="42">
        <v>46198</v>
      </c>
    </row>
    <row r="11126" spans="1:6" x14ac:dyDescent="0.3">
      <c r="A11126" s="15" t="s">
        <v>38760</v>
      </c>
      <c r="B11126" s="15" t="s">
        <v>20291</v>
      </c>
      <c r="C11126" s="15" t="s">
        <v>800</v>
      </c>
      <c r="D11126" s="15" t="s">
        <v>20292</v>
      </c>
      <c r="E11126" s="15">
        <v>13.898199999999999</v>
      </c>
      <c r="F11126" s="42">
        <v>46198</v>
      </c>
    </row>
    <row r="11127" spans="1:6" x14ac:dyDescent="0.3">
      <c r="A11127" s="15" t="s">
        <v>38759</v>
      </c>
      <c r="B11127" s="15" t="s">
        <v>20293</v>
      </c>
      <c r="C11127" s="15" t="s">
        <v>20294</v>
      </c>
      <c r="D11127" s="15" t="s">
        <v>20295</v>
      </c>
      <c r="E11127" s="15">
        <v>13.8978</v>
      </c>
      <c r="F11127" s="42">
        <v>46198</v>
      </c>
    </row>
    <row r="11128" spans="1:6" x14ac:dyDescent="0.3">
      <c r="A11128" s="15" t="s">
        <v>38758</v>
      </c>
      <c r="B11128" s="15" t="s">
        <v>20296</v>
      </c>
      <c r="C11128" s="15" t="s">
        <v>800</v>
      </c>
      <c r="D11128" s="15" t="s">
        <v>20297</v>
      </c>
      <c r="E11128" s="15">
        <v>13.6472</v>
      </c>
      <c r="F11128" s="42">
        <v>46198</v>
      </c>
    </row>
    <row r="11129" spans="1:6" x14ac:dyDescent="0.3">
      <c r="A11129" s="15" t="s">
        <v>38757</v>
      </c>
      <c r="B11129" s="15" t="s">
        <v>20298</v>
      </c>
      <c r="C11129" s="15" t="s">
        <v>20299</v>
      </c>
      <c r="D11129" s="15" t="s">
        <v>20300</v>
      </c>
      <c r="E11129" s="15">
        <v>13.648</v>
      </c>
      <c r="F11129" s="42">
        <v>46198</v>
      </c>
    </row>
    <row r="11130" spans="1:6" x14ac:dyDescent="0.3">
      <c r="A11130" s="15" t="s">
        <v>33499</v>
      </c>
      <c r="B11130" s="15" t="s">
        <v>795</v>
      </c>
      <c r="C11130" s="15" t="s">
        <v>795</v>
      </c>
      <c r="D11130" s="15" t="s">
        <v>795</v>
      </c>
      <c r="F11130" s="42"/>
    </row>
    <row r="11131" spans="1:6" x14ac:dyDescent="0.3">
      <c r="A11131" s="15" t="s">
        <v>37043</v>
      </c>
      <c r="B11131" s="15" t="s">
        <v>795</v>
      </c>
      <c r="C11131" s="15" t="s">
        <v>795</v>
      </c>
      <c r="D11131" s="15" t="s">
        <v>795</v>
      </c>
      <c r="F11131" s="42"/>
    </row>
    <row r="11132" spans="1:6" x14ac:dyDescent="0.3">
      <c r="A11132" s="15" t="s">
        <v>33499</v>
      </c>
      <c r="B11132" s="15" t="s">
        <v>795</v>
      </c>
      <c r="C11132" s="15" t="s">
        <v>795</v>
      </c>
      <c r="D11132" s="15" t="s">
        <v>795</v>
      </c>
      <c r="F11132" s="42"/>
    </row>
    <row r="11133" spans="1:6" x14ac:dyDescent="0.3">
      <c r="A11133" s="15" t="s">
        <v>38756</v>
      </c>
      <c r="B11133" s="15" t="s">
        <v>20301</v>
      </c>
      <c r="C11133" s="15" t="s">
        <v>800</v>
      </c>
      <c r="D11133" s="15" t="s">
        <v>20302</v>
      </c>
      <c r="E11133" s="15">
        <v>15.5863</v>
      </c>
      <c r="F11133" s="42">
        <v>46198</v>
      </c>
    </row>
    <row r="11134" spans="1:6" x14ac:dyDescent="0.3">
      <c r="A11134" s="15" t="s">
        <v>38755</v>
      </c>
      <c r="B11134" s="15" t="s">
        <v>20303</v>
      </c>
      <c r="C11134" s="15" t="s">
        <v>800</v>
      </c>
      <c r="D11134" s="15" t="s">
        <v>20304</v>
      </c>
      <c r="E11134" s="15">
        <v>15.307600000000001</v>
      </c>
      <c r="F11134" s="42">
        <v>46198</v>
      </c>
    </row>
    <row r="11135" spans="1:6" x14ac:dyDescent="0.3">
      <c r="A11135" s="15" t="s">
        <v>38754</v>
      </c>
      <c r="B11135" s="15" t="s">
        <v>20305</v>
      </c>
      <c r="C11135" s="15" t="s">
        <v>800</v>
      </c>
      <c r="D11135" s="15" t="s">
        <v>20306</v>
      </c>
      <c r="E11135" s="15">
        <v>9.3818999999999999</v>
      </c>
      <c r="F11135" s="42">
        <v>46198</v>
      </c>
    </row>
    <row r="11136" spans="1:6" x14ac:dyDescent="0.3">
      <c r="A11136" s="15" t="s">
        <v>38753</v>
      </c>
      <c r="B11136" s="15" t="s">
        <v>20307</v>
      </c>
      <c r="C11136" s="15" t="s">
        <v>800</v>
      </c>
      <c r="D11136" s="15" t="s">
        <v>20308</v>
      </c>
      <c r="E11136" s="15">
        <v>9.4099000000000004</v>
      </c>
      <c r="F11136" s="42">
        <v>46198</v>
      </c>
    </row>
    <row r="11137" spans="1:6" x14ac:dyDescent="0.3">
      <c r="A11137" s="15" t="s">
        <v>38752</v>
      </c>
      <c r="B11137" s="15" t="s">
        <v>20309</v>
      </c>
      <c r="C11137" s="15" t="s">
        <v>800</v>
      </c>
      <c r="D11137" s="15" t="s">
        <v>20310</v>
      </c>
      <c r="E11137" s="15">
        <v>736.26679999999999</v>
      </c>
      <c r="F11137" s="42">
        <v>46198</v>
      </c>
    </row>
    <row r="11138" spans="1:6" x14ac:dyDescent="0.3">
      <c r="A11138" s="15" t="s">
        <v>38751</v>
      </c>
      <c r="B11138" s="15" t="s">
        <v>20311</v>
      </c>
      <c r="C11138" s="15" t="s">
        <v>800</v>
      </c>
      <c r="D11138" s="15" t="s">
        <v>20312</v>
      </c>
      <c r="E11138" s="15">
        <v>717.82510000000002</v>
      </c>
      <c r="F11138" s="42">
        <v>46198</v>
      </c>
    </row>
    <row r="11139" spans="1:6" x14ac:dyDescent="0.3">
      <c r="A11139" s="15" t="s">
        <v>38750</v>
      </c>
      <c r="B11139" s="15" t="s">
        <v>20313</v>
      </c>
      <c r="C11139" s="15" t="s">
        <v>800</v>
      </c>
      <c r="D11139" s="15" t="s">
        <v>20314</v>
      </c>
      <c r="E11139" s="15">
        <v>10.8123</v>
      </c>
      <c r="F11139" s="42">
        <v>46198</v>
      </c>
    </row>
    <row r="11140" spans="1:6" x14ac:dyDescent="0.3">
      <c r="A11140" s="15" t="s">
        <v>38749</v>
      </c>
      <c r="B11140" s="15" t="s">
        <v>20315</v>
      </c>
      <c r="C11140" s="15" t="s">
        <v>800</v>
      </c>
      <c r="D11140" s="15" t="s">
        <v>20316</v>
      </c>
      <c r="E11140" s="15">
        <v>10.7902</v>
      </c>
      <c r="F11140" s="42">
        <v>46198</v>
      </c>
    </row>
    <row r="11141" spans="1:6" x14ac:dyDescent="0.3">
      <c r="A11141" s="15" t="s">
        <v>38748</v>
      </c>
      <c r="B11141" s="15" t="s">
        <v>20317</v>
      </c>
      <c r="C11141" s="15" t="s">
        <v>800</v>
      </c>
      <c r="D11141" s="15" t="s">
        <v>20318</v>
      </c>
      <c r="E11141" s="15">
        <v>10.207599999999999</v>
      </c>
      <c r="F11141" s="42">
        <v>46198</v>
      </c>
    </row>
    <row r="11142" spans="1:6" x14ac:dyDescent="0.3">
      <c r="A11142" s="15" t="s">
        <v>38747</v>
      </c>
      <c r="B11142" s="15" t="s">
        <v>20319</v>
      </c>
      <c r="C11142" s="15" t="s">
        <v>800</v>
      </c>
      <c r="D11142" s="15" t="s">
        <v>20320</v>
      </c>
      <c r="E11142" s="15">
        <v>10.2019</v>
      </c>
      <c r="F11142" s="42">
        <v>46198</v>
      </c>
    </row>
    <row r="11143" spans="1:6" x14ac:dyDescent="0.3">
      <c r="A11143" s="15" t="s">
        <v>38746</v>
      </c>
      <c r="B11143" s="15" t="s">
        <v>20321</v>
      </c>
      <c r="C11143" s="15" t="s">
        <v>800</v>
      </c>
      <c r="D11143" s="15" t="s">
        <v>20322</v>
      </c>
      <c r="E11143" s="15">
        <v>17.421399999999998</v>
      </c>
      <c r="F11143" s="42">
        <v>46198</v>
      </c>
    </row>
    <row r="11144" spans="1:6" x14ac:dyDescent="0.3">
      <c r="A11144" s="15" t="s">
        <v>38745</v>
      </c>
      <c r="B11144" s="15" t="s">
        <v>20323</v>
      </c>
      <c r="C11144" s="15" t="s">
        <v>800</v>
      </c>
      <c r="D11144" s="15" t="s">
        <v>20324</v>
      </c>
      <c r="E11144" s="15">
        <v>17.068000000000001</v>
      </c>
      <c r="F11144" s="42">
        <v>46198</v>
      </c>
    </row>
    <row r="11145" spans="1:6" x14ac:dyDescent="0.3">
      <c r="A11145" s="15" t="s">
        <v>38744</v>
      </c>
      <c r="B11145" s="15" t="s">
        <v>20325</v>
      </c>
      <c r="C11145" s="15" t="s">
        <v>800</v>
      </c>
      <c r="D11145" s="15" t="s">
        <v>20326</v>
      </c>
      <c r="E11145" s="15">
        <v>14.9672</v>
      </c>
      <c r="F11145" s="42">
        <v>46198</v>
      </c>
    </row>
    <row r="11146" spans="1:6" x14ac:dyDescent="0.3">
      <c r="A11146" s="15" t="s">
        <v>38743</v>
      </c>
      <c r="B11146" s="15" t="s">
        <v>20327</v>
      </c>
      <c r="C11146" s="15" t="s">
        <v>800</v>
      </c>
      <c r="D11146" s="15" t="s">
        <v>20328</v>
      </c>
      <c r="E11146" s="15">
        <v>14.651199999999999</v>
      </c>
      <c r="F11146" s="42">
        <v>46198</v>
      </c>
    </row>
    <row r="11147" spans="1:6" x14ac:dyDescent="0.3">
      <c r="A11147" s="15" t="s">
        <v>38742</v>
      </c>
      <c r="B11147" s="15" t="s">
        <v>20329</v>
      </c>
      <c r="C11147" s="15" t="s">
        <v>800</v>
      </c>
      <c r="D11147" s="15" t="s">
        <v>20330</v>
      </c>
      <c r="E11147" s="15">
        <v>234.83330000000001</v>
      </c>
      <c r="F11147" s="42">
        <v>46198</v>
      </c>
    </row>
    <row r="11148" spans="1:6" x14ac:dyDescent="0.3">
      <c r="A11148" s="15" t="s">
        <v>38741</v>
      </c>
      <c r="B11148" s="15" t="s">
        <v>20331</v>
      </c>
      <c r="C11148" s="15" t="s">
        <v>800</v>
      </c>
      <c r="D11148" s="15" t="s">
        <v>20332</v>
      </c>
      <c r="E11148" s="15">
        <v>229.3759</v>
      </c>
      <c r="F11148" s="42">
        <v>46198</v>
      </c>
    </row>
    <row r="11149" spans="1:6" x14ac:dyDescent="0.3">
      <c r="A11149" s="15" t="s">
        <v>38740</v>
      </c>
      <c r="B11149" s="15" t="s">
        <v>20333</v>
      </c>
      <c r="C11149" s="15" t="s">
        <v>800</v>
      </c>
      <c r="D11149" s="15" t="s">
        <v>20334</v>
      </c>
      <c r="E11149" s="15">
        <v>12.8767</v>
      </c>
      <c r="F11149" s="42">
        <v>46198</v>
      </c>
    </row>
    <row r="11150" spans="1:6" x14ac:dyDescent="0.3">
      <c r="A11150" s="15" t="s">
        <v>38739</v>
      </c>
      <c r="B11150" s="15" t="s">
        <v>20335</v>
      </c>
      <c r="C11150" s="15" t="s">
        <v>800</v>
      </c>
      <c r="D11150" s="15" t="s">
        <v>20336</v>
      </c>
      <c r="E11150" s="15">
        <v>12.944800000000001</v>
      </c>
      <c r="F11150" s="42">
        <v>46198</v>
      </c>
    </row>
    <row r="11151" spans="1:6" x14ac:dyDescent="0.3">
      <c r="A11151" s="15" t="s">
        <v>38738</v>
      </c>
      <c r="B11151" s="15" t="s">
        <v>20337</v>
      </c>
      <c r="C11151" s="15" t="s">
        <v>800</v>
      </c>
      <c r="D11151" s="15" t="s">
        <v>20338</v>
      </c>
      <c r="E11151" s="15">
        <v>12.835599999999999</v>
      </c>
      <c r="F11151" s="42">
        <v>46198</v>
      </c>
    </row>
    <row r="11152" spans="1:6" x14ac:dyDescent="0.3">
      <c r="A11152" s="15" t="s">
        <v>38737</v>
      </c>
      <c r="B11152" s="15" t="s">
        <v>20339</v>
      </c>
      <c r="C11152" s="15" t="s">
        <v>800</v>
      </c>
      <c r="D11152" s="15" t="s">
        <v>20340</v>
      </c>
      <c r="E11152" s="15">
        <v>12.9064</v>
      </c>
      <c r="F11152" s="42">
        <v>46198</v>
      </c>
    </row>
    <row r="11153" spans="1:6" x14ac:dyDescent="0.3">
      <c r="A11153" s="15" t="s">
        <v>38736</v>
      </c>
      <c r="B11153" s="15" t="s">
        <v>20341</v>
      </c>
      <c r="C11153" s="15" t="s">
        <v>800</v>
      </c>
      <c r="D11153" s="15" t="s">
        <v>20342</v>
      </c>
      <c r="E11153" s="15">
        <v>13.216699999999999</v>
      </c>
      <c r="F11153" s="42">
        <v>46198</v>
      </c>
    </row>
    <row r="11154" spans="1:6" x14ac:dyDescent="0.3">
      <c r="A11154" s="15" t="s">
        <v>38735</v>
      </c>
      <c r="B11154" s="15" t="s">
        <v>20343</v>
      </c>
      <c r="C11154" s="15" t="s">
        <v>800</v>
      </c>
      <c r="D11154" s="15" t="s">
        <v>20344</v>
      </c>
      <c r="E11154" s="15">
        <v>13.2944</v>
      </c>
      <c r="F11154" s="42">
        <v>46198</v>
      </c>
    </row>
    <row r="11155" spans="1:6" x14ac:dyDescent="0.3">
      <c r="A11155" s="15" t="s">
        <v>38734</v>
      </c>
      <c r="B11155" s="15" t="s">
        <v>20345</v>
      </c>
      <c r="C11155" s="15" t="s">
        <v>800</v>
      </c>
      <c r="D11155" s="15" t="s">
        <v>20346</v>
      </c>
      <c r="E11155" s="15">
        <v>12.8269</v>
      </c>
      <c r="F11155" s="42">
        <v>46198</v>
      </c>
    </row>
    <row r="11156" spans="1:6" x14ac:dyDescent="0.3">
      <c r="A11156" s="15" t="s">
        <v>38733</v>
      </c>
      <c r="B11156" s="15" t="s">
        <v>20347</v>
      </c>
      <c r="C11156" s="15" t="s">
        <v>800</v>
      </c>
      <c r="D11156" s="15" t="s">
        <v>20348</v>
      </c>
      <c r="E11156" s="15">
        <v>12.896699999999999</v>
      </c>
      <c r="F11156" s="42">
        <v>46198</v>
      </c>
    </row>
    <row r="11157" spans="1:6" x14ac:dyDescent="0.3">
      <c r="A11157" s="15" t="s">
        <v>38732</v>
      </c>
      <c r="B11157" s="15" t="s">
        <v>20349</v>
      </c>
      <c r="C11157" s="15" t="s">
        <v>800</v>
      </c>
      <c r="D11157" s="15" t="s">
        <v>20350</v>
      </c>
      <c r="E11157" s="15">
        <v>13.0397</v>
      </c>
      <c r="F11157" s="42">
        <v>46198</v>
      </c>
    </row>
    <row r="11158" spans="1:6" x14ac:dyDescent="0.3">
      <c r="A11158" s="15" t="s">
        <v>38731</v>
      </c>
      <c r="B11158" s="15" t="s">
        <v>20351</v>
      </c>
      <c r="C11158" s="15" t="s">
        <v>800</v>
      </c>
      <c r="D11158" s="15" t="s">
        <v>20352</v>
      </c>
      <c r="E11158" s="15">
        <v>13.119300000000001</v>
      </c>
      <c r="F11158" s="42">
        <v>46198</v>
      </c>
    </row>
    <row r="11159" spans="1:6" x14ac:dyDescent="0.3">
      <c r="A11159" s="15" t="s">
        <v>38730</v>
      </c>
      <c r="B11159" s="15" t="s">
        <v>20353</v>
      </c>
      <c r="C11159" s="15" t="s">
        <v>800</v>
      </c>
      <c r="D11159" s="15" t="s">
        <v>20354</v>
      </c>
      <c r="E11159" s="15">
        <v>13.126300000000001</v>
      </c>
      <c r="F11159" s="42">
        <v>46198</v>
      </c>
    </row>
    <row r="11160" spans="1:6" x14ac:dyDescent="0.3">
      <c r="A11160" s="15" t="s">
        <v>38729</v>
      </c>
      <c r="B11160" s="15" t="s">
        <v>20355</v>
      </c>
      <c r="C11160" s="15" t="s">
        <v>800</v>
      </c>
      <c r="D11160" s="15" t="s">
        <v>20356</v>
      </c>
      <c r="E11160" s="15">
        <v>13.2064</v>
      </c>
      <c r="F11160" s="42">
        <v>46198</v>
      </c>
    </row>
    <row r="11161" spans="1:6" x14ac:dyDescent="0.3">
      <c r="A11161" s="15" t="s">
        <v>38728</v>
      </c>
      <c r="B11161" s="15" t="s">
        <v>20357</v>
      </c>
      <c r="C11161" s="15" t="s">
        <v>800</v>
      </c>
      <c r="D11161" s="15" t="s">
        <v>20358</v>
      </c>
      <c r="E11161" s="15">
        <v>9.7135999999999996</v>
      </c>
      <c r="F11161" s="42">
        <v>46198</v>
      </c>
    </row>
    <row r="11162" spans="1:6" x14ac:dyDescent="0.3">
      <c r="A11162" s="15" t="s">
        <v>38727</v>
      </c>
      <c r="B11162" s="15" t="s">
        <v>20359</v>
      </c>
      <c r="C11162" s="15" t="s">
        <v>800</v>
      </c>
      <c r="D11162" s="15" t="s">
        <v>20360</v>
      </c>
      <c r="E11162" s="15">
        <v>9.7292000000000005</v>
      </c>
      <c r="F11162" s="42">
        <v>46198</v>
      </c>
    </row>
    <row r="11163" spans="1:6" x14ac:dyDescent="0.3">
      <c r="A11163" s="15" t="s">
        <v>38726</v>
      </c>
      <c r="B11163" s="15" t="s">
        <v>20361</v>
      </c>
      <c r="C11163" s="15" t="s">
        <v>800</v>
      </c>
      <c r="D11163" s="15" t="s">
        <v>20362</v>
      </c>
      <c r="E11163" s="15">
        <v>7.8335999999999997</v>
      </c>
      <c r="F11163" s="42">
        <v>46198</v>
      </c>
    </row>
    <row r="11164" spans="1:6" x14ac:dyDescent="0.3">
      <c r="A11164" s="15" t="s">
        <v>38725</v>
      </c>
      <c r="B11164" s="15" t="s">
        <v>20363</v>
      </c>
      <c r="C11164" s="15" t="s">
        <v>800</v>
      </c>
      <c r="D11164" s="15" t="s">
        <v>20364</v>
      </c>
      <c r="E11164" s="15">
        <v>7.7755000000000001</v>
      </c>
      <c r="F11164" s="42">
        <v>46198</v>
      </c>
    </row>
    <row r="11165" spans="1:6" x14ac:dyDescent="0.3">
      <c r="A11165" s="15" t="s">
        <v>38724</v>
      </c>
      <c r="B11165" s="15" t="s">
        <v>20365</v>
      </c>
      <c r="C11165" s="15" t="s">
        <v>800</v>
      </c>
      <c r="D11165" s="15" t="s">
        <v>20366</v>
      </c>
      <c r="E11165" s="15">
        <v>10.0198</v>
      </c>
      <c r="F11165" s="42">
        <v>46198</v>
      </c>
    </row>
    <row r="11166" spans="1:6" x14ac:dyDescent="0.3">
      <c r="A11166" s="15" t="s">
        <v>38723</v>
      </c>
      <c r="B11166" s="15" t="s">
        <v>20367</v>
      </c>
      <c r="C11166" s="15" t="s">
        <v>800</v>
      </c>
      <c r="D11166" s="15" t="s">
        <v>20368</v>
      </c>
      <c r="E11166" s="15">
        <v>10.1031</v>
      </c>
      <c r="F11166" s="42">
        <v>46198</v>
      </c>
    </row>
    <row r="11167" spans="1:6" x14ac:dyDescent="0.3">
      <c r="A11167" s="15" t="s">
        <v>38722</v>
      </c>
      <c r="B11167" s="15" t="s">
        <v>20369</v>
      </c>
      <c r="C11167" s="15" t="s">
        <v>800</v>
      </c>
      <c r="D11167" s="15" t="s">
        <v>20370</v>
      </c>
      <c r="E11167" s="15">
        <v>19.073699999999999</v>
      </c>
      <c r="F11167" s="42">
        <v>46198</v>
      </c>
    </row>
    <row r="11168" spans="1:6" x14ac:dyDescent="0.3">
      <c r="A11168" s="15" t="s">
        <v>38721</v>
      </c>
      <c r="B11168" s="15" t="s">
        <v>20371</v>
      </c>
      <c r="C11168" s="15" t="s">
        <v>800</v>
      </c>
      <c r="D11168" s="15" t="s">
        <v>20372</v>
      </c>
      <c r="E11168" s="15">
        <v>19.419</v>
      </c>
      <c r="F11168" s="42">
        <v>46198</v>
      </c>
    </row>
    <row r="11169" spans="1:6" x14ac:dyDescent="0.3">
      <c r="A11169" s="15" t="s">
        <v>38720</v>
      </c>
      <c r="B11169" s="15" t="s">
        <v>20373</v>
      </c>
      <c r="C11169" s="15" t="s">
        <v>800</v>
      </c>
      <c r="D11169" s="15" t="s">
        <v>20374</v>
      </c>
      <c r="E11169" s="15">
        <v>17.049099999999999</v>
      </c>
      <c r="F11169" s="42">
        <v>46198</v>
      </c>
    </row>
    <row r="11170" spans="1:6" x14ac:dyDescent="0.3">
      <c r="A11170" s="15" t="s">
        <v>38719</v>
      </c>
      <c r="B11170" s="15" t="s">
        <v>20375</v>
      </c>
      <c r="C11170" s="15" t="s">
        <v>800</v>
      </c>
      <c r="D11170" s="15" t="s">
        <v>20376</v>
      </c>
      <c r="E11170" s="15">
        <v>16.713899999999999</v>
      </c>
      <c r="F11170" s="42">
        <v>46198</v>
      </c>
    </row>
    <row r="11171" spans="1:6" x14ac:dyDescent="0.3">
      <c r="A11171" s="15" t="s">
        <v>38718</v>
      </c>
      <c r="B11171" s="15" t="s">
        <v>20377</v>
      </c>
      <c r="C11171" s="15" t="s">
        <v>800</v>
      </c>
      <c r="D11171" s="15" t="s">
        <v>20378</v>
      </c>
      <c r="E11171" s="15">
        <v>9.1637000000000004</v>
      </c>
      <c r="F11171" s="42">
        <v>46198</v>
      </c>
    </row>
    <row r="11172" spans="1:6" x14ac:dyDescent="0.3">
      <c r="A11172" s="15" t="s">
        <v>38717</v>
      </c>
      <c r="B11172" s="15" t="s">
        <v>20379</v>
      </c>
      <c r="C11172" s="15" t="s">
        <v>800</v>
      </c>
      <c r="D11172" s="15" t="s">
        <v>20380</v>
      </c>
      <c r="E11172" s="15">
        <v>9.2629000000000001</v>
      </c>
      <c r="F11172" s="42">
        <v>46198</v>
      </c>
    </row>
    <row r="11173" spans="1:6" x14ac:dyDescent="0.3">
      <c r="A11173" s="15" t="s">
        <v>38716</v>
      </c>
      <c r="B11173" s="15" t="s">
        <v>20381</v>
      </c>
      <c r="C11173" s="15" t="s">
        <v>800</v>
      </c>
      <c r="D11173" s="15" t="s">
        <v>20382</v>
      </c>
      <c r="E11173" s="15">
        <v>12.6614</v>
      </c>
      <c r="F11173" s="42">
        <v>46198</v>
      </c>
    </row>
    <row r="11174" spans="1:6" x14ac:dyDescent="0.3">
      <c r="A11174" s="15" t="s">
        <v>38715</v>
      </c>
      <c r="B11174" s="15" t="s">
        <v>20383</v>
      </c>
      <c r="C11174" s="15" t="s">
        <v>800</v>
      </c>
      <c r="D11174" s="15" t="s">
        <v>20384</v>
      </c>
      <c r="E11174" s="15">
        <v>12.7273</v>
      </c>
      <c r="F11174" s="42">
        <v>46198</v>
      </c>
    </row>
    <row r="11175" spans="1:6" x14ac:dyDescent="0.3">
      <c r="A11175" s="15" t="s">
        <v>38714</v>
      </c>
      <c r="B11175" s="15" t="s">
        <v>20385</v>
      </c>
      <c r="C11175" s="15" t="s">
        <v>800</v>
      </c>
      <c r="D11175" s="15" t="s">
        <v>20386</v>
      </c>
      <c r="E11175" s="15">
        <v>12.609400000000001</v>
      </c>
      <c r="F11175" s="42">
        <v>46198</v>
      </c>
    </row>
    <row r="11176" spans="1:6" x14ac:dyDescent="0.3">
      <c r="A11176" s="15" t="s">
        <v>38713</v>
      </c>
      <c r="B11176" s="15" t="s">
        <v>20387</v>
      </c>
      <c r="C11176" s="15" t="s">
        <v>800</v>
      </c>
      <c r="D11176" s="15" t="s">
        <v>20388</v>
      </c>
      <c r="E11176" s="15">
        <v>12.669499999999999</v>
      </c>
      <c r="F11176" s="42">
        <v>46198</v>
      </c>
    </row>
    <row r="11177" spans="1:6" x14ac:dyDescent="0.3">
      <c r="A11177" s="15" t="s">
        <v>38712</v>
      </c>
      <c r="B11177" s="15" t="s">
        <v>20389</v>
      </c>
      <c r="C11177" s="15" t="s">
        <v>800</v>
      </c>
      <c r="D11177" s="15" t="s">
        <v>20390</v>
      </c>
      <c r="E11177" s="15">
        <v>18.941199999999998</v>
      </c>
      <c r="F11177" s="42">
        <v>46198</v>
      </c>
    </row>
    <row r="11178" spans="1:6" x14ac:dyDescent="0.3">
      <c r="A11178" s="15" t="s">
        <v>38711</v>
      </c>
      <c r="B11178" s="15" t="s">
        <v>20391</v>
      </c>
      <c r="C11178" s="15" t="s">
        <v>800</v>
      </c>
      <c r="D11178" s="15" t="s">
        <v>20392</v>
      </c>
      <c r="E11178" s="15">
        <v>19.275200000000002</v>
      </c>
      <c r="F11178" s="42">
        <v>46198</v>
      </c>
    </row>
    <row r="11179" spans="1:6" x14ac:dyDescent="0.3">
      <c r="A11179" s="15" t="s">
        <v>38710</v>
      </c>
      <c r="B11179" s="15" t="s">
        <v>20393</v>
      </c>
      <c r="C11179" s="15" t="s">
        <v>800</v>
      </c>
      <c r="D11179" s="15" t="s">
        <v>20394</v>
      </c>
      <c r="E11179" s="15">
        <v>9.9175000000000004</v>
      </c>
      <c r="F11179" s="42">
        <v>46198</v>
      </c>
    </row>
    <row r="11180" spans="1:6" x14ac:dyDescent="0.3">
      <c r="A11180" s="15" t="s">
        <v>38709</v>
      </c>
      <c r="B11180" s="15" t="s">
        <v>20395</v>
      </c>
      <c r="C11180" s="15" t="s">
        <v>800</v>
      </c>
      <c r="D11180" s="15" t="s">
        <v>20396</v>
      </c>
      <c r="E11180" s="15">
        <v>9.8513000000000002</v>
      </c>
      <c r="F11180" s="42">
        <v>46198</v>
      </c>
    </row>
    <row r="11181" spans="1:6" x14ac:dyDescent="0.3">
      <c r="A11181" s="15" t="s">
        <v>38708</v>
      </c>
      <c r="B11181" s="15" t="s">
        <v>20397</v>
      </c>
      <c r="C11181" s="15" t="s">
        <v>20398</v>
      </c>
      <c r="D11181" s="15" t="s">
        <v>20399</v>
      </c>
      <c r="E11181" s="15">
        <v>10.272</v>
      </c>
      <c r="F11181" s="42">
        <v>46198</v>
      </c>
    </row>
    <row r="11182" spans="1:6" x14ac:dyDescent="0.3">
      <c r="A11182" s="15" t="s">
        <v>38707</v>
      </c>
      <c r="B11182" s="15" t="s">
        <v>20400</v>
      </c>
      <c r="C11182" s="15" t="s">
        <v>800</v>
      </c>
      <c r="D11182" s="15" t="s">
        <v>20401</v>
      </c>
      <c r="E11182" s="15">
        <v>10.1708</v>
      </c>
      <c r="F11182" s="42">
        <v>46198</v>
      </c>
    </row>
    <row r="11183" spans="1:6" x14ac:dyDescent="0.3">
      <c r="A11183" s="15" t="s">
        <v>38706</v>
      </c>
      <c r="B11183" s="15" t="s">
        <v>20402</v>
      </c>
      <c r="C11183" s="15" t="s">
        <v>800</v>
      </c>
      <c r="D11183" s="15" t="s">
        <v>20403</v>
      </c>
      <c r="E11183" s="15">
        <v>10.4803</v>
      </c>
      <c r="F11183" s="42">
        <v>46198</v>
      </c>
    </row>
    <row r="11184" spans="1:6" x14ac:dyDescent="0.3">
      <c r="A11184" s="15" t="s">
        <v>38705</v>
      </c>
      <c r="B11184" s="15" t="s">
        <v>20404</v>
      </c>
      <c r="C11184" s="15" t="s">
        <v>800</v>
      </c>
      <c r="D11184" s="15" t="s">
        <v>20405</v>
      </c>
      <c r="E11184" s="15">
        <v>10.413399999999999</v>
      </c>
      <c r="F11184" s="42">
        <v>46198</v>
      </c>
    </row>
    <row r="11185" spans="1:6" x14ac:dyDescent="0.3">
      <c r="A11185" s="15" t="s">
        <v>38704</v>
      </c>
      <c r="B11185" s="15" t="s">
        <v>20406</v>
      </c>
      <c r="C11185" s="15" t="s">
        <v>800</v>
      </c>
      <c r="D11185" s="15" t="s">
        <v>20407</v>
      </c>
      <c r="E11185" s="15">
        <v>10.4537</v>
      </c>
      <c r="F11185" s="42">
        <v>46198</v>
      </c>
    </row>
    <row r="11186" spans="1:6" x14ac:dyDescent="0.3">
      <c r="A11186" s="15" t="s">
        <v>38703</v>
      </c>
      <c r="B11186" s="15" t="s">
        <v>20408</v>
      </c>
      <c r="C11186" s="15" t="s">
        <v>800</v>
      </c>
      <c r="D11186" s="15" t="s">
        <v>20409</v>
      </c>
      <c r="E11186" s="15">
        <v>10.335599999999999</v>
      </c>
      <c r="F11186" s="42">
        <v>46198</v>
      </c>
    </row>
    <row r="11187" spans="1:6" x14ac:dyDescent="0.3">
      <c r="A11187" s="15" t="s">
        <v>38702</v>
      </c>
      <c r="B11187" s="15" t="s">
        <v>20410</v>
      </c>
      <c r="C11187" s="15" t="s">
        <v>800</v>
      </c>
      <c r="D11187" s="15" t="s">
        <v>20411</v>
      </c>
      <c r="E11187" s="15">
        <v>18.451799999999999</v>
      </c>
      <c r="F11187" s="42">
        <v>46198</v>
      </c>
    </row>
    <row r="11188" spans="1:6" x14ac:dyDescent="0.3">
      <c r="A11188" s="15" t="s">
        <v>38701</v>
      </c>
      <c r="B11188" s="15" t="s">
        <v>20412</v>
      </c>
      <c r="C11188" s="15" t="s">
        <v>800</v>
      </c>
      <c r="D11188" s="15" t="s">
        <v>20413</v>
      </c>
      <c r="E11188" s="15">
        <v>17.997699999999998</v>
      </c>
      <c r="F11188" s="42">
        <v>46198</v>
      </c>
    </row>
    <row r="11189" spans="1:6" x14ac:dyDescent="0.3">
      <c r="A11189" s="15" t="s">
        <v>38700</v>
      </c>
      <c r="B11189" s="15" t="s">
        <v>20414</v>
      </c>
      <c r="C11189" s="15" t="s">
        <v>800</v>
      </c>
      <c r="D11189" s="15" t="s">
        <v>20415</v>
      </c>
      <c r="E11189" s="15">
        <v>10.026400000000001</v>
      </c>
      <c r="F11189" s="42">
        <v>46198</v>
      </c>
    </row>
    <row r="11190" spans="1:6" x14ac:dyDescent="0.3">
      <c r="A11190" s="15" t="s">
        <v>38699</v>
      </c>
      <c r="B11190" s="15" t="s">
        <v>20416</v>
      </c>
      <c r="C11190" s="15" t="s">
        <v>800</v>
      </c>
      <c r="D11190" s="15" t="s">
        <v>20417</v>
      </c>
      <c r="E11190" s="15">
        <v>9.9376999999999995</v>
      </c>
      <c r="F11190" s="42">
        <v>46198</v>
      </c>
    </row>
    <row r="11191" spans="1:6" x14ac:dyDescent="0.3">
      <c r="A11191" s="15" t="s">
        <v>33499</v>
      </c>
      <c r="B11191" s="15" t="s">
        <v>795</v>
      </c>
      <c r="C11191" s="15" t="s">
        <v>795</v>
      </c>
      <c r="D11191" s="15" t="s">
        <v>795</v>
      </c>
      <c r="F11191" s="42"/>
    </row>
    <row r="11192" spans="1:6" x14ac:dyDescent="0.3">
      <c r="A11192" s="15" t="s">
        <v>36815</v>
      </c>
      <c r="B11192" s="15" t="s">
        <v>795</v>
      </c>
      <c r="C11192" s="15" t="s">
        <v>795</v>
      </c>
      <c r="D11192" s="15" t="s">
        <v>795</v>
      </c>
      <c r="F11192" s="42"/>
    </row>
    <row r="11193" spans="1:6" x14ac:dyDescent="0.3">
      <c r="A11193" s="15" t="s">
        <v>33499</v>
      </c>
      <c r="B11193" s="15" t="s">
        <v>795</v>
      </c>
      <c r="C11193" s="15" t="s">
        <v>795</v>
      </c>
      <c r="D11193" s="15" t="s">
        <v>795</v>
      </c>
      <c r="F11193" s="42"/>
    </row>
    <row r="11194" spans="1:6" x14ac:dyDescent="0.3">
      <c r="A11194" s="15" t="s">
        <v>38698</v>
      </c>
      <c r="B11194" s="15" t="s">
        <v>20418</v>
      </c>
      <c r="C11194" s="15" t="s">
        <v>800</v>
      </c>
      <c r="D11194" s="15" t="s">
        <v>20419</v>
      </c>
      <c r="E11194" s="15">
        <v>13.227600000000001</v>
      </c>
      <c r="F11194" s="42">
        <v>46198</v>
      </c>
    </row>
    <row r="11195" spans="1:6" x14ac:dyDescent="0.3">
      <c r="A11195" s="15" t="s">
        <v>38697</v>
      </c>
      <c r="B11195" s="15" t="s">
        <v>20420</v>
      </c>
      <c r="C11195" s="15" t="s">
        <v>20421</v>
      </c>
      <c r="D11195" s="15" t="s">
        <v>20422</v>
      </c>
      <c r="E11195" s="15">
        <v>13.227600000000001</v>
      </c>
      <c r="F11195" s="42">
        <v>46198</v>
      </c>
    </row>
    <row r="11196" spans="1:6" x14ac:dyDescent="0.3">
      <c r="A11196" s="15" t="s">
        <v>38696</v>
      </c>
      <c r="B11196" s="15" t="s">
        <v>20423</v>
      </c>
      <c r="C11196" s="15" t="s">
        <v>800</v>
      </c>
      <c r="D11196" s="15" t="s">
        <v>20424</v>
      </c>
      <c r="E11196" s="15">
        <v>13.1257</v>
      </c>
      <c r="F11196" s="42">
        <v>46198</v>
      </c>
    </row>
    <row r="11197" spans="1:6" x14ac:dyDescent="0.3">
      <c r="A11197" s="15" t="s">
        <v>38695</v>
      </c>
      <c r="B11197" s="15" t="s">
        <v>20425</v>
      </c>
      <c r="C11197" s="15" t="s">
        <v>20426</v>
      </c>
      <c r="D11197" s="15" t="s">
        <v>20427</v>
      </c>
      <c r="E11197" s="15">
        <v>13.1256</v>
      </c>
      <c r="F11197" s="42">
        <v>46198</v>
      </c>
    </row>
    <row r="11198" spans="1:6" x14ac:dyDescent="0.3">
      <c r="A11198" s="15" t="s">
        <v>38694</v>
      </c>
      <c r="B11198" s="15" t="s">
        <v>20428</v>
      </c>
      <c r="C11198" s="15" t="s">
        <v>800</v>
      </c>
      <c r="D11198" s="15" t="s">
        <v>20429</v>
      </c>
      <c r="E11198" s="15">
        <v>12.6683</v>
      </c>
      <c r="F11198" s="42">
        <v>46198</v>
      </c>
    </row>
    <row r="11199" spans="1:6" x14ac:dyDescent="0.3">
      <c r="A11199" s="15" t="s">
        <v>38693</v>
      </c>
      <c r="B11199" s="15" t="s">
        <v>20430</v>
      </c>
      <c r="C11199" s="15" t="s">
        <v>20431</v>
      </c>
      <c r="D11199" s="15" t="s">
        <v>20432</v>
      </c>
      <c r="E11199" s="15">
        <v>12.6684</v>
      </c>
      <c r="F11199" s="42">
        <v>46198</v>
      </c>
    </row>
    <row r="11200" spans="1:6" x14ac:dyDescent="0.3">
      <c r="A11200" s="15" t="s">
        <v>38692</v>
      </c>
      <c r="B11200" s="15" t="s">
        <v>20433</v>
      </c>
      <c r="C11200" s="15" t="s">
        <v>800</v>
      </c>
      <c r="D11200" s="15" t="s">
        <v>20434</v>
      </c>
      <c r="E11200" s="15">
        <v>12.563499999999999</v>
      </c>
      <c r="F11200" s="42">
        <v>46198</v>
      </c>
    </row>
    <row r="11201" spans="1:6" x14ac:dyDescent="0.3">
      <c r="A11201" s="15" t="s">
        <v>38691</v>
      </c>
      <c r="B11201" s="15" t="s">
        <v>20435</v>
      </c>
      <c r="C11201" s="15" t="s">
        <v>20436</v>
      </c>
      <c r="D11201" s="15" t="s">
        <v>20437</v>
      </c>
      <c r="E11201" s="15">
        <v>12.563599999999999</v>
      </c>
      <c r="F11201" s="42">
        <v>46198</v>
      </c>
    </row>
    <row r="11202" spans="1:6" x14ac:dyDescent="0.3">
      <c r="A11202" s="15" t="s">
        <v>38690</v>
      </c>
      <c r="B11202" s="15" t="s">
        <v>20438</v>
      </c>
      <c r="C11202" s="15" t="s">
        <v>800</v>
      </c>
      <c r="D11202" s="15" t="s">
        <v>20439</v>
      </c>
      <c r="E11202" s="15">
        <v>28.415900000000001</v>
      </c>
      <c r="F11202" s="42">
        <v>46198</v>
      </c>
    </row>
    <row r="11203" spans="1:6" x14ac:dyDescent="0.3">
      <c r="A11203" s="15" t="s">
        <v>38689</v>
      </c>
      <c r="B11203" s="15" t="s">
        <v>20440</v>
      </c>
      <c r="C11203" s="15" t="s">
        <v>20441</v>
      </c>
      <c r="D11203" s="15" t="s">
        <v>20442</v>
      </c>
      <c r="E11203" s="15">
        <v>28.415800000000001</v>
      </c>
      <c r="F11203" s="42">
        <v>46198</v>
      </c>
    </row>
    <row r="11204" spans="1:6" x14ac:dyDescent="0.3">
      <c r="A11204" s="15" t="s">
        <v>38688</v>
      </c>
      <c r="B11204" s="15" t="s">
        <v>20443</v>
      </c>
      <c r="C11204" s="15" t="s">
        <v>800</v>
      </c>
      <c r="D11204" s="15" t="s">
        <v>20444</v>
      </c>
      <c r="E11204" s="15">
        <v>27.898800000000001</v>
      </c>
      <c r="F11204" s="42">
        <v>46198</v>
      </c>
    </row>
    <row r="11205" spans="1:6" x14ac:dyDescent="0.3">
      <c r="A11205" s="15" t="s">
        <v>38687</v>
      </c>
      <c r="B11205" s="15" t="s">
        <v>20445</v>
      </c>
      <c r="C11205" s="15" t="s">
        <v>20446</v>
      </c>
      <c r="D11205" s="15" t="s">
        <v>20447</v>
      </c>
      <c r="E11205" s="15">
        <v>27.898700000000002</v>
      </c>
      <c r="F11205" s="42">
        <v>46198</v>
      </c>
    </row>
    <row r="11206" spans="1:6" x14ac:dyDescent="0.3">
      <c r="A11206" s="15" t="s">
        <v>38686</v>
      </c>
      <c r="B11206" s="15" t="s">
        <v>20448</v>
      </c>
      <c r="C11206" s="15" t="s">
        <v>800</v>
      </c>
      <c r="D11206" s="15" t="s">
        <v>20449</v>
      </c>
      <c r="E11206" s="15">
        <v>31.6313</v>
      </c>
      <c r="F11206" s="42">
        <v>46198</v>
      </c>
    </row>
    <row r="11207" spans="1:6" x14ac:dyDescent="0.3">
      <c r="A11207" s="15" t="s">
        <v>38685</v>
      </c>
      <c r="B11207" s="15" t="s">
        <v>20450</v>
      </c>
      <c r="C11207" s="15" t="s">
        <v>20451</v>
      </c>
      <c r="D11207" s="15" t="s">
        <v>20452</v>
      </c>
      <c r="E11207" s="15">
        <v>31.631399999999999</v>
      </c>
      <c r="F11207" s="42">
        <v>46198</v>
      </c>
    </row>
    <row r="11208" spans="1:6" x14ac:dyDescent="0.3">
      <c r="A11208" s="15" t="s">
        <v>38684</v>
      </c>
      <c r="B11208" s="15" t="s">
        <v>20453</v>
      </c>
      <c r="C11208" s="15" t="s">
        <v>800</v>
      </c>
      <c r="D11208" s="15" t="s">
        <v>20454</v>
      </c>
      <c r="E11208" s="15">
        <v>30.785699999999999</v>
      </c>
      <c r="F11208" s="42">
        <v>46198</v>
      </c>
    </row>
    <row r="11209" spans="1:6" x14ac:dyDescent="0.3">
      <c r="A11209" s="15" t="s">
        <v>38683</v>
      </c>
      <c r="B11209" s="15" t="s">
        <v>20455</v>
      </c>
      <c r="C11209" s="15" t="s">
        <v>20456</v>
      </c>
      <c r="D11209" s="15" t="s">
        <v>20457</v>
      </c>
      <c r="E11209" s="15">
        <v>30.785900000000002</v>
      </c>
      <c r="F11209" s="42">
        <v>46198</v>
      </c>
    </row>
    <row r="11210" spans="1:6" x14ac:dyDescent="0.3">
      <c r="A11210" s="15" t="s">
        <v>33499</v>
      </c>
      <c r="B11210" s="15" t="s">
        <v>795</v>
      </c>
      <c r="C11210" s="15" t="s">
        <v>795</v>
      </c>
      <c r="D11210" s="15" t="s">
        <v>795</v>
      </c>
      <c r="F11210" s="42"/>
    </row>
    <row r="11211" spans="1:6" x14ac:dyDescent="0.3">
      <c r="A11211" s="15" t="s">
        <v>36764</v>
      </c>
      <c r="B11211" s="15" t="s">
        <v>795</v>
      </c>
      <c r="C11211" s="15" t="s">
        <v>795</v>
      </c>
      <c r="D11211" s="15" t="s">
        <v>795</v>
      </c>
      <c r="F11211" s="42"/>
    </row>
    <row r="11212" spans="1:6" x14ac:dyDescent="0.3">
      <c r="A11212" s="15" t="s">
        <v>33499</v>
      </c>
      <c r="B11212" s="15" t="s">
        <v>795</v>
      </c>
      <c r="C11212" s="15" t="s">
        <v>795</v>
      </c>
      <c r="D11212" s="15" t="s">
        <v>795</v>
      </c>
      <c r="F11212" s="42"/>
    </row>
    <row r="11213" spans="1:6" x14ac:dyDescent="0.3">
      <c r="A11213" s="15" t="s">
        <v>38682</v>
      </c>
      <c r="B11213" s="15" t="s">
        <v>20458</v>
      </c>
      <c r="C11213" s="15" t="s">
        <v>800</v>
      </c>
      <c r="D11213" s="15" t="s">
        <v>20459</v>
      </c>
      <c r="E11213" s="15">
        <v>25.3522</v>
      </c>
      <c r="F11213" s="42">
        <v>46198</v>
      </c>
    </row>
    <row r="11214" spans="1:6" x14ac:dyDescent="0.3">
      <c r="A11214" s="15" t="s">
        <v>38681</v>
      </c>
      <c r="B11214" s="15" t="s">
        <v>20460</v>
      </c>
      <c r="C11214" s="15" t="s">
        <v>800</v>
      </c>
      <c r="D11214" s="15" t="s">
        <v>20461</v>
      </c>
      <c r="E11214" s="15">
        <v>25.698</v>
      </c>
      <c r="F11214" s="42">
        <v>46198</v>
      </c>
    </row>
    <row r="11215" spans="1:6" x14ac:dyDescent="0.3">
      <c r="A11215" s="15" t="s">
        <v>38680</v>
      </c>
      <c r="B11215" s="15" t="s">
        <v>20462</v>
      </c>
      <c r="C11215" s="15" t="s">
        <v>800</v>
      </c>
      <c r="D11215" s="15" t="s">
        <v>20463</v>
      </c>
      <c r="E11215" s="15">
        <v>25.697800000000001</v>
      </c>
      <c r="F11215" s="42">
        <v>46198</v>
      </c>
    </row>
    <row r="11216" spans="1:6" x14ac:dyDescent="0.3">
      <c r="A11216" s="15" t="s">
        <v>38679</v>
      </c>
      <c r="B11216" s="15" t="s">
        <v>20464</v>
      </c>
      <c r="C11216" s="15" t="s">
        <v>800</v>
      </c>
      <c r="D11216" s="15" t="s">
        <v>20465</v>
      </c>
      <c r="E11216" s="15">
        <v>25.352900000000002</v>
      </c>
      <c r="F11216" s="42">
        <v>46198</v>
      </c>
    </row>
    <row r="11217" spans="1:6" x14ac:dyDescent="0.3">
      <c r="A11217" s="15" t="s">
        <v>38678</v>
      </c>
      <c r="B11217" s="15" t="s">
        <v>20466</v>
      </c>
      <c r="C11217" s="15" t="s">
        <v>20467</v>
      </c>
      <c r="D11217" s="15" t="s">
        <v>20468</v>
      </c>
      <c r="E11217" s="15">
        <v>10.6539</v>
      </c>
      <c r="F11217" s="42">
        <v>45975</v>
      </c>
    </row>
    <row r="11218" spans="1:6" x14ac:dyDescent="0.3">
      <c r="A11218" s="15" t="s">
        <v>38677</v>
      </c>
      <c r="B11218" s="15" t="s">
        <v>20469</v>
      </c>
      <c r="C11218" s="15" t="s">
        <v>800</v>
      </c>
      <c r="D11218" s="15" t="s">
        <v>20470</v>
      </c>
      <c r="E11218" s="15">
        <v>10.6539</v>
      </c>
      <c r="F11218" s="42">
        <v>45975</v>
      </c>
    </row>
    <row r="11219" spans="1:6" x14ac:dyDescent="0.3">
      <c r="A11219" s="15" t="s">
        <v>38676</v>
      </c>
      <c r="B11219" s="15" t="s">
        <v>20471</v>
      </c>
      <c r="C11219" s="15" t="s">
        <v>20472</v>
      </c>
      <c r="D11219" s="15" t="s">
        <v>20473</v>
      </c>
      <c r="E11219" s="15">
        <v>10.668200000000001</v>
      </c>
      <c r="F11219" s="42">
        <v>45975</v>
      </c>
    </row>
    <row r="11220" spans="1:6" x14ac:dyDescent="0.3">
      <c r="A11220" s="15" t="s">
        <v>38675</v>
      </c>
      <c r="B11220" s="15" t="s">
        <v>20474</v>
      </c>
      <c r="C11220" s="15" t="s">
        <v>800</v>
      </c>
      <c r="D11220" s="15" t="s">
        <v>20475</v>
      </c>
      <c r="E11220" s="15">
        <v>10.668200000000001</v>
      </c>
      <c r="F11220" s="42">
        <v>45975</v>
      </c>
    </row>
    <row r="11221" spans="1:6" x14ac:dyDescent="0.3">
      <c r="A11221" s="15" t="s">
        <v>38674</v>
      </c>
      <c r="B11221" s="15" t="s">
        <v>20476</v>
      </c>
      <c r="C11221" s="15" t="s">
        <v>20477</v>
      </c>
      <c r="D11221" s="15" t="s">
        <v>20478</v>
      </c>
      <c r="E11221" s="15">
        <v>10.899800000000001</v>
      </c>
      <c r="F11221" s="42">
        <v>46198</v>
      </c>
    </row>
    <row r="11222" spans="1:6" x14ac:dyDescent="0.3">
      <c r="A11222" s="15" t="s">
        <v>38673</v>
      </c>
      <c r="B11222" s="15" t="s">
        <v>20479</v>
      </c>
      <c r="C11222" s="15" t="s">
        <v>20480</v>
      </c>
      <c r="D11222" s="15" t="s">
        <v>20481</v>
      </c>
      <c r="E11222" s="15">
        <v>10.919600000000001</v>
      </c>
      <c r="F11222" s="42">
        <v>46198</v>
      </c>
    </row>
    <row r="11223" spans="1:6" x14ac:dyDescent="0.3">
      <c r="A11223" s="15" t="s">
        <v>38672</v>
      </c>
      <c r="B11223" s="15" t="s">
        <v>20482</v>
      </c>
      <c r="C11223" s="15" t="s">
        <v>800</v>
      </c>
      <c r="D11223" s="15" t="s">
        <v>20483</v>
      </c>
      <c r="E11223" s="15">
        <v>10.919600000000001</v>
      </c>
      <c r="F11223" s="42">
        <v>46198</v>
      </c>
    </row>
    <row r="11224" spans="1:6" x14ac:dyDescent="0.3">
      <c r="A11224" s="15" t="s">
        <v>38671</v>
      </c>
      <c r="B11224" s="15" t="s">
        <v>20484</v>
      </c>
      <c r="C11224" s="15" t="s">
        <v>800</v>
      </c>
      <c r="D11224" s="15" t="s">
        <v>20485</v>
      </c>
      <c r="E11224" s="15">
        <v>10.899800000000001</v>
      </c>
      <c r="F11224" s="42">
        <v>46198</v>
      </c>
    </row>
    <row r="11225" spans="1:6" x14ac:dyDescent="0.3">
      <c r="A11225" s="15" t="s">
        <v>38670</v>
      </c>
      <c r="B11225" s="15" t="s">
        <v>20486</v>
      </c>
      <c r="C11225" s="15" t="s">
        <v>800</v>
      </c>
      <c r="D11225" s="15" t="s">
        <v>20487</v>
      </c>
      <c r="E11225" s="15">
        <v>24.212700000000002</v>
      </c>
      <c r="F11225" s="42">
        <v>46198</v>
      </c>
    </row>
    <row r="11226" spans="1:6" x14ac:dyDescent="0.3">
      <c r="A11226" s="15" t="s">
        <v>38669</v>
      </c>
      <c r="B11226" s="15" t="s">
        <v>20488</v>
      </c>
      <c r="C11226" s="15" t="s">
        <v>20489</v>
      </c>
      <c r="D11226" s="15" t="s">
        <v>20490</v>
      </c>
      <c r="E11226" s="15">
        <v>24.2105</v>
      </c>
      <c r="F11226" s="42">
        <v>46198</v>
      </c>
    </row>
    <row r="11227" spans="1:6" x14ac:dyDescent="0.3">
      <c r="A11227" s="15" t="s">
        <v>38668</v>
      </c>
      <c r="B11227" s="15" t="s">
        <v>20491</v>
      </c>
      <c r="C11227" s="15" t="s">
        <v>800</v>
      </c>
      <c r="D11227" s="15" t="s">
        <v>20492</v>
      </c>
      <c r="E11227" s="15">
        <v>23.680900000000001</v>
      </c>
      <c r="F11227" s="42">
        <v>46198</v>
      </c>
    </row>
    <row r="11228" spans="1:6" x14ac:dyDescent="0.3">
      <c r="A11228" s="15" t="s">
        <v>38667</v>
      </c>
      <c r="B11228" s="15" t="s">
        <v>20493</v>
      </c>
      <c r="C11228" s="15" t="s">
        <v>20494</v>
      </c>
      <c r="D11228" s="15" t="s">
        <v>20495</v>
      </c>
      <c r="E11228" s="15">
        <v>23.680499999999999</v>
      </c>
      <c r="F11228" s="42">
        <v>46198</v>
      </c>
    </row>
    <row r="11229" spans="1:6" x14ac:dyDescent="0.3">
      <c r="A11229" s="15" t="s">
        <v>38666</v>
      </c>
      <c r="B11229" s="15" t="s">
        <v>20496</v>
      </c>
      <c r="C11229" s="15" t="s">
        <v>800</v>
      </c>
      <c r="D11229" s="15" t="s">
        <v>20497</v>
      </c>
      <c r="E11229" s="15">
        <v>16.974499999999999</v>
      </c>
      <c r="F11229" s="42">
        <v>46198</v>
      </c>
    </row>
    <row r="11230" spans="1:6" x14ac:dyDescent="0.3">
      <c r="A11230" s="15" t="s">
        <v>38665</v>
      </c>
      <c r="B11230" s="15" t="s">
        <v>20498</v>
      </c>
      <c r="C11230" s="15" t="s">
        <v>20499</v>
      </c>
      <c r="D11230" s="15" t="s">
        <v>20500</v>
      </c>
      <c r="E11230" s="15">
        <v>16.972000000000001</v>
      </c>
      <c r="F11230" s="42">
        <v>46198</v>
      </c>
    </row>
    <row r="11231" spans="1:6" x14ac:dyDescent="0.3">
      <c r="A11231" s="15" t="s">
        <v>38664</v>
      </c>
      <c r="B11231" s="15" t="s">
        <v>20501</v>
      </c>
      <c r="C11231" s="15" t="s">
        <v>800</v>
      </c>
      <c r="D11231" s="15" t="s">
        <v>20502</v>
      </c>
      <c r="E11231" s="15">
        <v>16.565200000000001</v>
      </c>
      <c r="F11231" s="42">
        <v>46198</v>
      </c>
    </row>
    <row r="11232" spans="1:6" x14ac:dyDescent="0.3">
      <c r="A11232" s="15" t="s">
        <v>38663</v>
      </c>
      <c r="B11232" s="15" t="s">
        <v>20503</v>
      </c>
      <c r="C11232" s="15" t="s">
        <v>20504</v>
      </c>
      <c r="D11232" s="15" t="s">
        <v>20505</v>
      </c>
      <c r="E11232" s="15">
        <v>16.564800000000002</v>
      </c>
      <c r="F11232" s="42">
        <v>46198</v>
      </c>
    </row>
    <row r="11233" spans="1:6" x14ac:dyDescent="0.3">
      <c r="A11233" s="15" t="s">
        <v>38662</v>
      </c>
      <c r="B11233" s="15" t="s">
        <v>20506</v>
      </c>
      <c r="C11233" s="15" t="s">
        <v>800</v>
      </c>
      <c r="D11233" s="15" t="s">
        <v>20507</v>
      </c>
      <c r="E11233" s="15">
        <v>243.28819999999999</v>
      </c>
      <c r="F11233" s="42">
        <v>46198</v>
      </c>
    </row>
    <row r="11234" spans="1:6" x14ac:dyDescent="0.3">
      <c r="A11234" s="15" t="s">
        <v>38661</v>
      </c>
      <c r="B11234" s="15" t="s">
        <v>20508</v>
      </c>
      <c r="C11234" s="15" t="s">
        <v>800</v>
      </c>
      <c r="D11234" s="15" t="s">
        <v>20509</v>
      </c>
      <c r="E11234" s="15">
        <v>253.91990000000001</v>
      </c>
      <c r="F11234" s="42">
        <v>46198</v>
      </c>
    </row>
    <row r="11235" spans="1:6" x14ac:dyDescent="0.3">
      <c r="A11235" s="15" t="s">
        <v>38660</v>
      </c>
      <c r="B11235" s="15" t="s">
        <v>20510</v>
      </c>
      <c r="C11235" s="15" t="s">
        <v>20511</v>
      </c>
      <c r="D11235" s="15" t="s">
        <v>20512</v>
      </c>
      <c r="E11235" s="15">
        <v>34.146599999999999</v>
      </c>
      <c r="F11235" s="42">
        <v>46198</v>
      </c>
    </row>
    <row r="11236" spans="1:6" x14ac:dyDescent="0.3">
      <c r="A11236" s="15" t="s">
        <v>38659</v>
      </c>
      <c r="B11236" s="15" t="s">
        <v>20513</v>
      </c>
      <c r="C11236" s="15" t="s">
        <v>20514</v>
      </c>
      <c r="D11236" s="15" t="s">
        <v>20515</v>
      </c>
      <c r="E11236" s="15">
        <v>32.4116</v>
      </c>
      <c r="F11236" s="42">
        <v>46198</v>
      </c>
    </row>
    <row r="11237" spans="1:6" x14ac:dyDescent="0.3">
      <c r="A11237" s="15" t="s">
        <v>38658</v>
      </c>
      <c r="B11237" s="15" t="s">
        <v>20516</v>
      </c>
      <c r="C11237" s="15" t="s">
        <v>800</v>
      </c>
      <c r="D11237" s="15" t="s">
        <v>20517</v>
      </c>
      <c r="E11237" s="15">
        <v>10.4298</v>
      </c>
      <c r="F11237" s="42">
        <v>46198</v>
      </c>
    </row>
    <row r="11238" spans="1:6" x14ac:dyDescent="0.3">
      <c r="A11238" s="15" t="s">
        <v>38657</v>
      </c>
      <c r="B11238" s="15" t="s">
        <v>20518</v>
      </c>
      <c r="C11238" s="15" t="s">
        <v>20519</v>
      </c>
      <c r="D11238" s="15" t="s">
        <v>20520</v>
      </c>
      <c r="E11238" s="15">
        <v>10.429600000000001</v>
      </c>
      <c r="F11238" s="42">
        <v>46198</v>
      </c>
    </row>
    <row r="11239" spans="1:6" x14ac:dyDescent="0.3">
      <c r="A11239" s="15" t="s">
        <v>38656</v>
      </c>
      <c r="B11239" s="15" t="s">
        <v>20521</v>
      </c>
      <c r="C11239" s="15" t="s">
        <v>800</v>
      </c>
      <c r="D11239" s="15" t="s">
        <v>20522</v>
      </c>
      <c r="E11239" s="15">
        <v>10.339700000000001</v>
      </c>
      <c r="F11239" s="42">
        <v>46198</v>
      </c>
    </row>
    <row r="11240" spans="1:6" x14ac:dyDescent="0.3">
      <c r="A11240" s="15" t="s">
        <v>38655</v>
      </c>
      <c r="B11240" s="15" t="s">
        <v>20523</v>
      </c>
      <c r="C11240" s="15" t="s">
        <v>20524</v>
      </c>
      <c r="D11240" s="15" t="s">
        <v>20525</v>
      </c>
      <c r="E11240" s="15">
        <v>10.3398</v>
      </c>
      <c r="F11240" s="42">
        <v>46198</v>
      </c>
    </row>
    <row r="11241" spans="1:6" x14ac:dyDescent="0.3">
      <c r="A11241" s="15" t="s">
        <v>38654</v>
      </c>
      <c r="B11241" s="15" t="s">
        <v>20526</v>
      </c>
      <c r="C11241" s="15" t="s">
        <v>800</v>
      </c>
      <c r="D11241" s="15" t="s">
        <v>20527</v>
      </c>
      <c r="E11241" s="15">
        <v>21.7149</v>
      </c>
      <c r="F11241" s="42">
        <v>46198</v>
      </c>
    </row>
    <row r="11242" spans="1:6" x14ac:dyDescent="0.3">
      <c r="A11242" s="15" t="s">
        <v>38653</v>
      </c>
      <c r="B11242" s="15" t="s">
        <v>20528</v>
      </c>
      <c r="C11242" s="15" t="s">
        <v>20529</v>
      </c>
      <c r="D11242" s="15" t="s">
        <v>20530</v>
      </c>
      <c r="E11242" s="15">
        <v>21.7148</v>
      </c>
      <c r="F11242" s="42">
        <v>46198</v>
      </c>
    </row>
    <row r="11243" spans="1:6" x14ac:dyDescent="0.3">
      <c r="A11243" s="15" t="s">
        <v>38652</v>
      </c>
      <c r="B11243" s="15" t="s">
        <v>20531</v>
      </c>
      <c r="C11243" s="15" t="s">
        <v>800</v>
      </c>
      <c r="D11243" s="15" t="s">
        <v>20532</v>
      </c>
      <c r="E11243" s="15">
        <v>21.276599999999998</v>
      </c>
      <c r="F11243" s="42">
        <v>46198</v>
      </c>
    </row>
    <row r="11244" spans="1:6" x14ac:dyDescent="0.3">
      <c r="A11244" s="15" t="s">
        <v>38651</v>
      </c>
      <c r="B11244" s="15" t="s">
        <v>20533</v>
      </c>
      <c r="C11244" s="15" t="s">
        <v>20534</v>
      </c>
      <c r="D11244" s="15" t="s">
        <v>20535</v>
      </c>
      <c r="E11244" s="15">
        <v>21.277100000000001</v>
      </c>
      <c r="F11244" s="42">
        <v>46198</v>
      </c>
    </row>
    <row r="11245" spans="1:6" x14ac:dyDescent="0.3">
      <c r="A11245" s="15" t="s">
        <v>38650</v>
      </c>
      <c r="B11245" s="15" t="s">
        <v>20536</v>
      </c>
      <c r="C11245" s="15" t="s">
        <v>800</v>
      </c>
      <c r="D11245" s="15" t="s">
        <v>20537</v>
      </c>
      <c r="E11245" s="15">
        <v>16.780999999999999</v>
      </c>
      <c r="F11245" s="42">
        <v>46198</v>
      </c>
    </row>
    <row r="11246" spans="1:6" x14ac:dyDescent="0.3">
      <c r="A11246" s="15" t="s">
        <v>38649</v>
      </c>
      <c r="B11246" s="15" t="s">
        <v>20538</v>
      </c>
      <c r="C11246" s="15" t="s">
        <v>20539</v>
      </c>
      <c r="D11246" s="15" t="s">
        <v>20540</v>
      </c>
      <c r="E11246" s="15">
        <v>16.780799999999999</v>
      </c>
      <c r="F11246" s="42">
        <v>46198</v>
      </c>
    </row>
    <row r="11247" spans="1:6" x14ac:dyDescent="0.3">
      <c r="A11247" s="15" t="s">
        <v>38648</v>
      </c>
      <c r="B11247" s="15" t="s">
        <v>20541</v>
      </c>
      <c r="C11247" s="15" t="s">
        <v>800</v>
      </c>
      <c r="D11247" s="15" t="s">
        <v>20542</v>
      </c>
      <c r="E11247" s="15">
        <v>16.314699999999998</v>
      </c>
      <c r="F11247" s="42">
        <v>46198</v>
      </c>
    </row>
    <row r="11248" spans="1:6" x14ac:dyDescent="0.3">
      <c r="A11248" s="15" t="s">
        <v>38647</v>
      </c>
      <c r="B11248" s="15" t="s">
        <v>20543</v>
      </c>
      <c r="C11248" s="15" t="s">
        <v>20544</v>
      </c>
      <c r="D11248" s="15" t="s">
        <v>20545</v>
      </c>
      <c r="E11248" s="15">
        <v>16.314599999999999</v>
      </c>
      <c r="F11248" s="42">
        <v>46198</v>
      </c>
    </row>
    <row r="11249" spans="1:6" x14ac:dyDescent="0.3">
      <c r="A11249" s="15" t="s">
        <v>38646</v>
      </c>
      <c r="B11249" s="15" t="s">
        <v>20546</v>
      </c>
      <c r="C11249" s="15" t="s">
        <v>20547</v>
      </c>
      <c r="D11249" s="15" t="s">
        <v>20548</v>
      </c>
      <c r="E11249" s="15">
        <v>13.264699999999999</v>
      </c>
      <c r="F11249" s="42">
        <v>46198</v>
      </c>
    </row>
    <row r="11250" spans="1:6" x14ac:dyDescent="0.3">
      <c r="A11250" s="15" t="s">
        <v>38645</v>
      </c>
      <c r="B11250" s="15" t="s">
        <v>20549</v>
      </c>
      <c r="C11250" s="15" t="s">
        <v>20550</v>
      </c>
      <c r="D11250" s="15" t="s">
        <v>20551</v>
      </c>
      <c r="E11250" s="15">
        <v>13.355700000000001</v>
      </c>
      <c r="F11250" s="42">
        <v>46198</v>
      </c>
    </row>
    <row r="11251" spans="1:6" x14ac:dyDescent="0.3">
      <c r="A11251" s="15" t="s">
        <v>38644</v>
      </c>
      <c r="B11251" s="15" t="s">
        <v>20552</v>
      </c>
      <c r="C11251" s="15" t="s">
        <v>800</v>
      </c>
      <c r="D11251" s="15" t="s">
        <v>20553</v>
      </c>
      <c r="E11251" s="15">
        <v>13.3565</v>
      </c>
      <c r="F11251" s="42">
        <v>46198</v>
      </c>
    </row>
    <row r="11252" spans="1:6" x14ac:dyDescent="0.3">
      <c r="A11252" s="15" t="s">
        <v>38643</v>
      </c>
      <c r="B11252" s="15" t="s">
        <v>20554</v>
      </c>
      <c r="C11252" s="15" t="s">
        <v>800</v>
      </c>
      <c r="D11252" s="15" t="s">
        <v>20555</v>
      </c>
      <c r="E11252" s="15">
        <v>13.2646</v>
      </c>
      <c r="F11252" s="42">
        <v>46198</v>
      </c>
    </row>
    <row r="11253" spans="1:6" x14ac:dyDescent="0.3">
      <c r="A11253" s="15" t="s">
        <v>38642</v>
      </c>
      <c r="B11253" s="15" t="s">
        <v>20556</v>
      </c>
      <c r="C11253" s="15" t="s">
        <v>800</v>
      </c>
      <c r="D11253" s="15" t="s">
        <v>20557</v>
      </c>
      <c r="E11253" s="15">
        <v>9.6942000000000004</v>
      </c>
      <c r="F11253" s="42">
        <v>46198</v>
      </c>
    </row>
    <row r="11254" spans="1:6" x14ac:dyDescent="0.3">
      <c r="A11254" s="15" t="s">
        <v>38641</v>
      </c>
      <c r="B11254" s="15" t="s">
        <v>20558</v>
      </c>
      <c r="C11254" s="15" t="s">
        <v>20559</v>
      </c>
      <c r="D11254" s="15" t="s">
        <v>20560</v>
      </c>
      <c r="E11254" s="15">
        <v>9.6989000000000001</v>
      </c>
      <c r="F11254" s="42">
        <v>46198</v>
      </c>
    </row>
    <row r="11255" spans="1:6" x14ac:dyDescent="0.3">
      <c r="A11255" s="15" t="s">
        <v>38640</v>
      </c>
      <c r="B11255" s="15" t="s">
        <v>20561</v>
      </c>
      <c r="C11255" s="15" t="s">
        <v>800</v>
      </c>
      <c r="D11255" s="15" t="s">
        <v>20562</v>
      </c>
      <c r="E11255" s="15">
        <v>9.4962999999999997</v>
      </c>
      <c r="F11255" s="42">
        <v>46198</v>
      </c>
    </row>
    <row r="11256" spans="1:6" x14ac:dyDescent="0.3">
      <c r="A11256" s="15" t="s">
        <v>38639</v>
      </c>
      <c r="B11256" s="15" t="s">
        <v>20563</v>
      </c>
      <c r="C11256" s="15" t="s">
        <v>20564</v>
      </c>
      <c r="D11256" s="15" t="s">
        <v>20565</v>
      </c>
      <c r="E11256" s="15">
        <v>9.4962999999999997</v>
      </c>
      <c r="F11256" s="42">
        <v>46198</v>
      </c>
    </row>
    <row r="11257" spans="1:6" x14ac:dyDescent="0.3">
      <c r="A11257" s="15" t="s">
        <v>38638</v>
      </c>
      <c r="B11257" s="15" t="s">
        <v>20566</v>
      </c>
      <c r="C11257" s="15" t="s">
        <v>800</v>
      </c>
      <c r="D11257" s="15" t="s">
        <v>20567</v>
      </c>
      <c r="E11257" s="15">
        <v>12.412800000000001</v>
      </c>
      <c r="F11257" s="42">
        <v>46198</v>
      </c>
    </row>
    <row r="11258" spans="1:6" x14ac:dyDescent="0.3">
      <c r="A11258" s="15" t="s">
        <v>38637</v>
      </c>
      <c r="B11258" s="15" t="s">
        <v>20568</v>
      </c>
      <c r="C11258" s="15" t="s">
        <v>20569</v>
      </c>
      <c r="D11258" s="15" t="s">
        <v>20570</v>
      </c>
      <c r="E11258" s="15">
        <v>12.412800000000001</v>
      </c>
      <c r="F11258" s="42">
        <v>46198</v>
      </c>
    </row>
    <row r="11259" spans="1:6" x14ac:dyDescent="0.3">
      <c r="A11259" s="15" t="s">
        <v>38636</v>
      </c>
      <c r="B11259" s="15" t="s">
        <v>20571</v>
      </c>
      <c r="C11259" s="15" t="s">
        <v>800</v>
      </c>
      <c r="D11259" s="15" t="s">
        <v>20572</v>
      </c>
      <c r="E11259" s="15">
        <v>12.262499999999999</v>
      </c>
      <c r="F11259" s="42">
        <v>46198</v>
      </c>
    </row>
    <row r="11260" spans="1:6" x14ac:dyDescent="0.3">
      <c r="A11260" s="15" t="s">
        <v>38635</v>
      </c>
      <c r="B11260" s="15" t="s">
        <v>20573</v>
      </c>
      <c r="C11260" s="15" t="s">
        <v>20574</v>
      </c>
      <c r="D11260" s="15" t="s">
        <v>20575</v>
      </c>
      <c r="E11260" s="15">
        <v>12.2621</v>
      </c>
      <c r="F11260" s="42">
        <v>46198</v>
      </c>
    </row>
    <row r="11261" spans="1:6" x14ac:dyDescent="0.3">
      <c r="A11261" s="15" t="s">
        <v>38634</v>
      </c>
      <c r="B11261" s="15" t="s">
        <v>20576</v>
      </c>
      <c r="C11261" s="15" t="s">
        <v>800</v>
      </c>
      <c r="D11261" s="15" t="s">
        <v>20577</v>
      </c>
      <c r="E11261" s="15">
        <v>20.333600000000001</v>
      </c>
      <c r="F11261" s="42">
        <v>46198</v>
      </c>
    </row>
    <row r="11262" spans="1:6" x14ac:dyDescent="0.3">
      <c r="A11262" s="15" t="s">
        <v>38633</v>
      </c>
      <c r="B11262" s="15" t="s">
        <v>20578</v>
      </c>
      <c r="C11262" s="15" t="s">
        <v>20579</v>
      </c>
      <c r="D11262" s="15" t="s">
        <v>20580</v>
      </c>
      <c r="E11262" s="15">
        <v>20.333200000000001</v>
      </c>
      <c r="F11262" s="42">
        <v>46198</v>
      </c>
    </row>
    <row r="11263" spans="1:6" x14ac:dyDescent="0.3">
      <c r="A11263" s="15" t="s">
        <v>38632</v>
      </c>
      <c r="B11263" s="15" t="s">
        <v>20581</v>
      </c>
      <c r="C11263" s="15" t="s">
        <v>800</v>
      </c>
      <c r="D11263" s="15" t="s">
        <v>20582</v>
      </c>
      <c r="E11263" s="15">
        <v>19.7011</v>
      </c>
      <c r="F11263" s="42">
        <v>46198</v>
      </c>
    </row>
    <row r="11264" spans="1:6" x14ac:dyDescent="0.3">
      <c r="A11264" s="15" t="s">
        <v>38631</v>
      </c>
      <c r="B11264" s="15" t="s">
        <v>20583</v>
      </c>
      <c r="C11264" s="15" t="s">
        <v>20584</v>
      </c>
      <c r="D11264" s="15" t="s">
        <v>20585</v>
      </c>
      <c r="E11264" s="15">
        <v>19.700800000000001</v>
      </c>
      <c r="F11264" s="42">
        <v>46198</v>
      </c>
    </row>
    <row r="11265" spans="1:6" x14ac:dyDescent="0.3">
      <c r="A11265" s="15" t="s">
        <v>38630</v>
      </c>
      <c r="B11265" s="15" t="s">
        <v>20586</v>
      </c>
      <c r="C11265" s="15" t="s">
        <v>800</v>
      </c>
      <c r="D11265" s="15" t="s">
        <v>20587</v>
      </c>
      <c r="E11265" s="15">
        <v>67.015699999999995</v>
      </c>
      <c r="F11265" s="42">
        <v>46198</v>
      </c>
    </row>
    <row r="11266" spans="1:6" x14ac:dyDescent="0.3">
      <c r="A11266" s="15" t="s">
        <v>38629</v>
      </c>
      <c r="B11266" s="15" t="s">
        <v>20588</v>
      </c>
      <c r="C11266" s="15" t="s">
        <v>20589</v>
      </c>
      <c r="D11266" s="15" t="s">
        <v>20590</v>
      </c>
      <c r="E11266" s="15">
        <v>66.990499999999997</v>
      </c>
      <c r="F11266" s="42">
        <v>46198</v>
      </c>
    </row>
    <row r="11267" spans="1:6" x14ac:dyDescent="0.3">
      <c r="A11267" s="15" t="s">
        <v>38628</v>
      </c>
      <c r="B11267" s="15" t="s">
        <v>20591</v>
      </c>
      <c r="C11267" s="15" t="s">
        <v>800</v>
      </c>
      <c r="D11267" s="15" t="s">
        <v>20592</v>
      </c>
      <c r="E11267" s="15">
        <v>63.367600000000003</v>
      </c>
      <c r="F11267" s="42">
        <v>46198</v>
      </c>
    </row>
    <row r="11268" spans="1:6" x14ac:dyDescent="0.3">
      <c r="A11268" s="15" t="s">
        <v>38627</v>
      </c>
      <c r="B11268" s="15" t="s">
        <v>20593</v>
      </c>
      <c r="C11268" s="15" t="s">
        <v>20594</v>
      </c>
      <c r="D11268" s="15" t="s">
        <v>20595</v>
      </c>
      <c r="E11268" s="15">
        <v>63.366799999999998</v>
      </c>
      <c r="F11268" s="42">
        <v>46198</v>
      </c>
    </row>
    <row r="11269" spans="1:6" x14ac:dyDescent="0.3">
      <c r="A11269" s="15" t="s">
        <v>38626</v>
      </c>
      <c r="B11269" s="15" t="s">
        <v>20596</v>
      </c>
      <c r="C11269" s="15" t="s">
        <v>800</v>
      </c>
      <c r="D11269" s="15" t="s">
        <v>20597</v>
      </c>
      <c r="E11269" s="15">
        <v>19.309899999999999</v>
      </c>
      <c r="F11269" s="42">
        <v>46198</v>
      </c>
    </row>
    <row r="11270" spans="1:6" x14ac:dyDescent="0.3">
      <c r="A11270" s="15" t="s">
        <v>38625</v>
      </c>
      <c r="B11270" s="15" t="s">
        <v>20598</v>
      </c>
      <c r="C11270" s="15" t="s">
        <v>20599</v>
      </c>
      <c r="D11270" s="15" t="s">
        <v>20600</v>
      </c>
      <c r="E11270" s="15">
        <v>19.3108</v>
      </c>
      <c r="F11270" s="42">
        <v>46198</v>
      </c>
    </row>
    <row r="11271" spans="1:6" x14ac:dyDescent="0.3">
      <c r="A11271" s="15" t="s">
        <v>38624</v>
      </c>
      <c r="B11271" s="15" t="s">
        <v>20601</v>
      </c>
      <c r="C11271" s="15" t="s">
        <v>800</v>
      </c>
      <c r="D11271" s="15" t="s">
        <v>20602</v>
      </c>
      <c r="E11271" s="15">
        <v>18.881699999999999</v>
      </c>
      <c r="F11271" s="42">
        <v>46198</v>
      </c>
    </row>
    <row r="11272" spans="1:6" x14ac:dyDescent="0.3">
      <c r="A11272" s="15" t="s">
        <v>38623</v>
      </c>
      <c r="B11272" s="15" t="s">
        <v>20603</v>
      </c>
      <c r="C11272" s="15" t="s">
        <v>20604</v>
      </c>
      <c r="D11272" s="15" t="s">
        <v>20605</v>
      </c>
      <c r="E11272" s="15">
        <v>18.881799999999998</v>
      </c>
      <c r="F11272" s="42">
        <v>46198</v>
      </c>
    </row>
    <row r="11273" spans="1:6" x14ac:dyDescent="0.3">
      <c r="A11273" s="15" t="s">
        <v>38622</v>
      </c>
      <c r="B11273" s="15" t="s">
        <v>20606</v>
      </c>
      <c r="C11273" s="15" t="s">
        <v>800</v>
      </c>
      <c r="D11273" s="15" t="s">
        <v>20607</v>
      </c>
      <c r="E11273" s="15">
        <v>10.162800000000001</v>
      </c>
      <c r="F11273" s="42">
        <v>46198</v>
      </c>
    </row>
    <row r="11274" spans="1:6" x14ac:dyDescent="0.3">
      <c r="A11274" s="15" t="s">
        <v>38621</v>
      </c>
      <c r="B11274" s="15" t="s">
        <v>20608</v>
      </c>
      <c r="C11274" s="15" t="s">
        <v>800</v>
      </c>
      <c r="D11274" s="15" t="s">
        <v>20609</v>
      </c>
      <c r="E11274" s="15">
        <v>10.1099</v>
      </c>
      <c r="F11274" s="42">
        <v>46198</v>
      </c>
    </row>
    <row r="11275" spans="1:6" x14ac:dyDescent="0.3">
      <c r="A11275" s="15" t="s">
        <v>38620</v>
      </c>
      <c r="B11275" s="15" t="s">
        <v>20610</v>
      </c>
      <c r="C11275" s="15" t="s">
        <v>20611</v>
      </c>
      <c r="D11275" s="15" t="s">
        <v>20612</v>
      </c>
      <c r="E11275" s="15">
        <v>13.1075</v>
      </c>
      <c r="F11275" s="42">
        <v>46198</v>
      </c>
    </row>
    <row r="11276" spans="1:6" x14ac:dyDescent="0.3">
      <c r="A11276" s="15" t="s">
        <v>38619</v>
      </c>
      <c r="B11276" s="15" t="s">
        <v>20613</v>
      </c>
      <c r="C11276" s="15" t="s">
        <v>20614</v>
      </c>
      <c r="D11276" s="15" t="s">
        <v>20615</v>
      </c>
      <c r="E11276" s="15">
        <v>13.226699999999999</v>
      </c>
      <c r="F11276" s="42">
        <v>46198</v>
      </c>
    </row>
    <row r="11277" spans="1:6" x14ac:dyDescent="0.3">
      <c r="A11277" s="15" t="s">
        <v>38618</v>
      </c>
      <c r="B11277" s="15" t="s">
        <v>20616</v>
      </c>
      <c r="C11277" s="15" t="s">
        <v>800</v>
      </c>
      <c r="D11277" s="15" t="s">
        <v>20617</v>
      </c>
      <c r="E11277" s="15">
        <v>13.226699999999999</v>
      </c>
      <c r="F11277" s="42">
        <v>46198</v>
      </c>
    </row>
    <row r="11278" spans="1:6" x14ac:dyDescent="0.3">
      <c r="A11278" s="15" t="s">
        <v>38617</v>
      </c>
      <c r="B11278" s="15" t="s">
        <v>20618</v>
      </c>
      <c r="C11278" s="15" t="s">
        <v>20619</v>
      </c>
      <c r="D11278" s="15" t="s">
        <v>20620</v>
      </c>
      <c r="E11278" s="15">
        <v>10.1235</v>
      </c>
      <c r="F11278" s="42">
        <v>44820</v>
      </c>
    </row>
    <row r="11279" spans="1:6" x14ac:dyDescent="0.3">
      <c r="A11279" s="15" t="s">
        <v>38616</v>
      </c>
      <c r="B11279" s="15" t="s">
        <v>20621</v>
      </c>
      <c r="C11279" s="15" t="s">
        <v>20622</v>
      </c>
      <c r="D11279" s="15" t="s">
        <v>20623</v>
      </c>
      <c r="E11279" s="15">
        <v>9.9459999999999997</v>
      </c>
      <c r="F11279" s="42">
        <v>44820</v>
      </c>
    </row>
    <row r="11280" spans="1:6" x14ac:dyDescent="0.3">
      <c r="A11280" s="15" t="s">
        <v>38615</v>
      </c>
      <c r="B11280" s="15" t="s">
        <v>20624</v>
      </c>
      <c r="C11280" s="15" t="s">
        <v>800</v>
      </c>
      <c r="D11280" s="15" t="s">
        <v>20625</v>
      </c>
      <c r="E11280" s="15">
        <v>13.107699999999999</v>
      </c>
      <c r="F11280" s="42">
        <v>46198</v>
      </c>
    </row>
    <row r="11281" spans="1:6" x14ac:dyDescent="0.3">
      <c r="A11281" s="15" t="s">
        <v>38614</v>
      </c>
      <c r="B11281" s="15" t="s">
        <v>20626</v>
      </c>
      <c r="C11281" s="15" t="s">
        <v>20627</v>
      </c>
      <c r="D11281" s="15" t="s">
        <v>20628</v>
      </c>
      <c r="E11281" s="15">
        <v>10.103999999999999</v>
      </c>
      <c r="F11281" s="42">
        <v>44820</v>
      </c>
    </row>
    <row r="11282" spans="1:6" x14ac:dyDescent="0.3">
      <c r="A11282" s="15" t="s">
        <v>38613</v>
      </c>
      <c r="B11282" s="15" t="s">
        <v>20629</v>
      </c>
      <c r="C11282" s="15" t="s">
        <v>20630</v>
      </c>
      <c r="D11282" s="15" t="s">
        <v>20631</v>
      </c>
      <c r="E11282" s="15">
        <v>9.9457000000000004</v>
      </c>
      <c r="F11282" s="42">
        <v>44820</v>
      </c>
    </row>
    <row r="11283" spans="1:6" x14ac:dyDescent="0.3">
      <c r="A11283" s="15" t="s">
        <v>38612</v>
      </c>
      <c r="B11283" s="15" t="s">
        <v>20632</v>
      </c>
      <c r="C11283" s="15" t="s">
        <v>20633</v>
      </c>
      <c r="D11283" s="15" t="s">
        <v>20634</v>
      </c>
      <c r="E11283" s="15">
        <v>13.215400000000001</v>
      </c>
      <c r="F11283" s="42">
        <v>46198</v>
      </c>
    </row>
    <row r="11284" spans="1:6" x14ac:dyDescent="0.3">
      <c r="A11284" s="15" t="s">
        <v>38611</v>
      </c>
      <c r="B11284" s="15" t="s">
        <v>20635</v>
      </c>
      <c r="C11284" s="15" t="s">
        <v>20636</v>
      </c>
      <c r="D11284" s="15" t="s">
        <v>20637</v>
      </c>
      <c r="E11284" s="15">
        <v>13.303000000000001</v>
      </c>
      <c r="F11284" s="42">
        <v>46198</v>
      </c>
    </row>
    <row r="11285" spans="1:6" x14ac:dyDescent="0.3">
      <c r="A11285" s="15" t="s">
        <v>38610</v>
      </c>
      <c r="B11285" s="15" t="s">
        <v>20638</v>
      </c>
      <c r="C11285" s="15" t="s">
        <v>800</v>
      </c>
      <c r="D11285" s="15" t="s">
        <v>20639</v>
      </c>
      <c r="E11285" s="15">
        <v>13.3027</v>
      </c>
      <c r="F11285" s="42">
        <v>46198</v>
      </c>
    </row>
    <row r="11286" spans="1:6" x14ac:dyDescent="0.3">
      <c r="A11286" s="15" t="s">
        <v>38609</v>
      </c>
      <c r="B11286" s="15" t="s">
        <v>20640</v>
      </c>
      <c r="C11286" s="15" t="s">
        <v>800</v>
      </c>
      <c r="D11286" s="15" t="s">
        <v>20641</v>
      </c>
      <c r="E11286" s="15">
        <v>13.215400000000001</v>
      </c>
      <c r="F11286" s="42">
        <v>46198</v>
      </c>
    </row>
    <row r="11287" spans="1:6" x14ac:dyDescent="0.3">
      <c r="A11287" s="15" t="s">
        <v>38608</v>
      </c>
      <c r="B11287" s="15" t="s">
        <v>20642</v>
      </c>
      <c r="C11287" s="15" t="s">
        <v>20643</v>
      </c>
      <c r="D11287" s="15" t="s">
        <v>20644</v>
      </c>
      <c r="E11287" s="15">
        <v>12.6881</v>
      </c>
      <c r="F11287" s="42">
        <v>46198</v>
      </c>
    </row>
    <row r="11288" spans="1:6" x14ac:dyDescent="0.3">
      <c r="A11288" s="15" t="s">
        <v>38607</v>
      </c>
      <c r="B11288" s="15" t="s">
        <v>20645</v>
      </c>
      <c r="C11288" s="15" t="s">
        <v>20646</v>
      </c>
      <c r="D11288" s="15" t="s">
        <v>20647</v>
      </c>
      <c r="E11288" s="15">
        <v>12.777699999999999</v>
      </c>
      <c r="F11288" s="42">
        <v>46198</v>
      </c>
    </row>
    <row r="11289" spans="1:6" x14ac:dyDescent="0.3">
      <c r="A11289" s="15" t="s">
        <v>38606</v>
      </c>
      <c r="B11289" s="15" t="s">
        <v>20648</v>
      </c>
      <c r="C11289" s="15" t="s">
        <v>800</v>
      </c>
      <c r="D11289" s="15" t="s">
        <v>20649</v>
      </c>
      <c r="E11289" s="15">
        <v>12.777799999999999</v>
      </c>
      <c r="F11289" s="42">
        <v>46198</v>
      </c>
    </row>
    <row r="11290" spans="1:6" x14ac:dyDescent="0.3">
      <c r="A11290" s="15" t="s">
        <v>38605</v>
      </c>
      <c r="B11290" s="15" t="s">
        <v>20650</v>
      </c>
      <c r="C11290" s="15" t="s">
        <v>800</v>
      </c>
      <c r="D11290" s="15" t="s">
        <v>20651</v>
      </c>
      <c r="E11290" s="15">
        <v>12.6883</v>
      </c>
      <c r="F11290" s="42">
        <v>46198</v>
      </c>
    </row>
    <row r="11291" spans="1:6" x14ac:dyDescent="0.3">
      <c r="A11291" s="15" t="s">
        <v>38604</v>
      </c>
      <c r="B11291" s="15" t="s">
        <v>20652</v>
      </c>
      <c r="C11291" s="15" t="s">
        <v>20653</v>
      </c>
      <c r="D11291" s="15" t="s">
        <v>20654</v>
      </c>
      <c r="E11291" s="15">
        <v>13.0404</v>
      </c>
      <c r="F11291" s="42">
        <v>46198</v>
      </c>
    </row>
    <row r="11292" spans="1:6" x14ac:dyDescent="0.3">
      <c r="A11292" s="15" t="s">
        <v>38603</v>
      </c>
      <c r="B11292" s="15" t="s">
        <v>20655</v>
      </c>
      <c r="C11292" s="15" t="s">
        <v>20656</v>
      </c>
      <c r="D11292" s="15" t="s">
        <v>20657</v>
      </c>
      <c r="E11292" s="15">
        <v>13.122999999999999</v>
      </c>
      <c r="F11292" s="42">
        <v>46198</v>
      </c>
    </row>
    <row r="11293" spans="1:6" x14ac:dyDescent="0.3">
      <c r="A11293" s="15" t="s">
        <v>38602</v>
      </c>
      <c r="B11293" s="15" t="s">
        <v>20658</v>
      </c>
      <c r="C11293" s="15" t="s">
        <v>800</v>
      </c>
      <c r="D11293" s="15" t="s">
        <v>20659</v>
      </c>
      <c r="E11293" s="15">
        <v>13.1229</v>
      </c>
      <c r="F11293" s="42">
        <v>46198</v>
      </c>
    </row>
    <row r="11294" spans="1:6" x14ac:dyDescent="0.3">
      <c r="A11294" s="15" t="s">
        <v>38601</v>
      </c>
      <c r="B11294" s="15" t="s">
        <v>20660</v>
      </c>
      <c r="C11294" s="15" t="s">
        <v>800</v>
      </c>
      <c r="D11294" s="15" t="s">
        <v>20661</v>
      </c>
      <c r="E11294" s="15">
        <v>13.0404</v>
      </c>
      <c r="F11294" s="42">
        <v>46198</v>
      </c>
    </row>
    <row r="11295" spans="1:6" x14ac:dyDescent="0.3">
      <c r="A11295" s="15" t="s">
        <v>38600</v>
      </c>
      <c r="B11295" s="15" t="s">
        <v>20662</v>
      </c>
      <c r="C11295" s="15" t="s">
        <v>800</v>
      </c>
      <c r="D11295" s="15" t="s">
        <v>20663</v>
      </c>
      <c r="E11295" s="15">
        <v>18.1557</v>
      </c>
      <c r="F11295" s="42">
        <v>46198</v>
      </c>
    </row>
    <row r="11296" spans="1:6" x14ac:dyDescent="0.3">
      <c r="A11296" s="15" t="s">
        <v>38599</v>
      </c>
      <c r="B11296" s="15" t="s">
        <v>20664</v>
      </c>
      <c r="C11296" s="15" t="s">
        <v>20665</v>
      </c>
      <c r="D11296" s="15" t="s">
        <v>20666</v>
      </c>
      <c r="E11296" s="15">
        <v>18.155100000000001</v>
      </c>
      <c r="F11296" s="42">
        <v>46198</v>
      </c>
    </row>
    <row r="11297" spans="1:6" x14ac:dyDescent="0.3">
      <c r="A11297" s="15" t="s">
        <v>38598</v>
      </c>
      <c r="B11297" s="15" t="s">
        <v>20667</v>
      </c>
      <c r="C11297" s="15" t="s">
        <v>800</v>
      </c>
      <c r="D11297" s="15" t="s">
        <v>20668</v>
      </c>
      <c r="E11297" s="15">
        <v>17.654</v>
      </c>
      <c r="F11297" s="42">
        <v>46198</v>
      </c>
    </row>
    <row r="11298" spans="1:6" x14ac:dyDescent="0.3">
      <c r="A11298" s="15" t="s">
        <v>38597</v>
      </c>
      <c r="B11298" s="15" t="s">
        <v>20669</v>
      </c>
      <c r="C11298" s="15" t="s">
        <v>20670</v>
      </c>
      <c r="D11298" s="15" t="s">
        <v>20671</v>
      </c>
      <c r="E11298" s="15">
        <v>17.654699999999998</v>
      </c>
      <c r="F11298" s="42">
        <v>46198</v>
      </c>
    </row>
    <row r="11299" spans="1:6" x14ac:dyDescent="0.3">
      <c r="A11299" s="15" t="s">
        <v>38596</v>
      </c>
      <c r="B11299" s="15" t="s">
        <v>20672</v>
      </c>
      <c r="C11299" s="15" t="s">
        <v>800</v>
      </c>
      <c r="D11299" s="15" t="s">
        <v>20673</v>
      </c>
      <c r="E11299" s="15">
        <v>9.4466000000000001</v>
      </c>
      <c r="F11299" s="42">
        <v>46198</v>
      </c>
    </row>
    <row r="11300" spans="1:6" x14ac:dyDescent="0.3">
      <c r="A11300" s="15" t="s">
        <v>38595</v>
      </c>
      <c r="B11300" s="15" t="s">
        <v>20674</v>
      </c>
      <c r="C11300" s="15" t="s">
        <v>20675</v>
      </c>
      <c r="D11300" s="15" t="s">
        <v>20676</v>
      </c>
      <c r="E11300" s="15">
        <v>9.4471000000000007</v>
      </c>
      <c r="F11300" s="42">
        <v>46198</v>
      </c>
    </row>
    <row r="11301" spans="1:6" x14ac:dyDescent="0.3">
      <c r="A11301" s="15" t="s">
        <v>38594</v>
      </c>
      <c r="B11301" s="15" t="s">
        <v>20677</v>
      </c>
      <c r="C11301" s="15" t="s">
        <v>800</v>
      </c>
      <c r="D11301" s="15" t="s">
        <v>20678</v>
      </c>
      <c r="E11301" s="15">
        <v>9.3937000000000008</v>
      </c>
      <c r="F11301" s="42">
        <v>46198</v>
      </c>
    </row>
    <row r="11302" spans="1:6" x14ac:dyDescent="0.3">
      <c r="A11302" s="15" t="s">
        <v>38593</v>
      </c>
      <c r="B11302" s="15" t="s">
        <v>20679</v>
      </c>
      <c r="C11302" s="15" t="s">
        <v>20680</v>
      </c>
      <c r="D11302" s="15" t="s">
        <v>20681</v>
      </c>
      <c r="E11302" s="15">
        <v>9.3938000000000006</v>
      </c>
      <c r="F11302" s="42">
        <v>46198</v>
      </c>
    </row>
    <row r="11303" spans="1:6" x14ac:dyDescent="0.3">
      <c r="A11303" s="15" t="s">
        <v>38592</v>
      </c>
      <c r="B11303" s="15" t="s">
        <v>20682</v>
      </c>
      <c r="C11303" s="15" t="s">
        <v>800</v>
      </c>
      <c r="D11303" s="15" t="s">
        <v>20683</v>
      </c>
      <c r="E11303" s="15">
        <v>9.5921000000000003</v>
      </c>
      <c r="F11303" s="42">
        <v>46198</v>
      </c>
    </row>
    <row r="11304" spans="1:6" x14ac:dyDescent="0.3">
      <c r="A11304" s="15" t="s">
        <v>38591</v>
      </c>
      <c r="B11304" s="15" t="s">
        <v>20684</v>
      </c>
      <c r="C11304" s="15" t="s">
        <v>20685</v>
      </c>
      <c r="D11304" s="15" t="s">
        <v>20686</v>
      </c>
      <c r="E11304" s="15">
        <v>9.5916999999999994</v>
      </c>
      <c r="F11304" s="42">
        <v>46198</v>
      </c>
    </row>
    <row r="11305" spans="1:6" x14ac:dyDescent="0.3">
      <c r="A11305" s="15" t="s">
        <v>38590</v>
      </c>
      <c r="B11305" s="15" t="s">
        <v>20687</v>
      </c>
      <c r="C11305" s="15" t="s">
        <v>800</v>
      </c>
      <c r="D11305" s="15" t="s">
        <v>20688</v>
      </c>
      <c r="E11305" s="15">
        <v>9.5446000000000009</v>
      </c>
      <c r="F11305" s="42">
        <v>46198</v>
      </c>
    </row>
    <row r="11306" spans="1:6" x14ac:dyDescent="0.3">
      <c r="A11306" s="15" t="s">
        <v>38589</v>
      </c>
      <c r="B11306" s="15" t="s">
        <v>20689</v>
      </c>
      <c r="C11306" s="15" t="s">
        <v>20690</v>
      </c>
      <c r="D11306" s="15" t="s">
        <v>20691</v>
      </c>
      <c r="E11306" s="15">
        <v>9.5442999999999998</v>
      </c>
      <c r="F11306" s="42">
        <v>46198</v>
      </c>
    </row>
    <row r="11307" spans="1:6" x14ac:dyDescent="0.3">
      <c r="A11307" s="15" t="s">
        <v>38588</v>
      </c>
      <c r="B11307" s="15" t="s">
        <v>20692</v>
      </c>
      <c r="C11307" s="15" t="s">
        <v>800</v>
      </c>
      <c r="D11307" s="15" t="s">
        <v>20693</v>
      </c>
      <c r="E11307" s="15">
        <v>11.2219</v>
      </c>
      <c r="F11307" s="42">
        <v>46198</v>
      </c>
    </row>
    <row r="11308" spans="1:6" x14ac:dyDescent="0.3">
      <c r="A11308" s="15" t="s">
        <v>38587</v>
      </c>
      <c r="B11308" s="15" t="s">
        <v>20694</v>
      </c>
      <c r="C11308" s="15" t="s">
        <v>20695</v>
      </c>
      <c r="D11308" s="15" t="s">
        <v>20696</v>
      </c>
      <c r="E11308" s="15">
        <v>11.2218</v>
      </c>
      <c r="F11308" s="42">
        <v>46198</v>
      </c>
    </row>
    <row r="11309" spans="1:6" x14ac:dyDescent="0.3">
      <c r="A11309" s="15" t="s">
        <v>38586</v>
      </c>
      <c r="B11309" s="15" t="s">
        <v>20697</v>
      </c>
      <c r="C11309" s="15" t="s">
        <v>800</v>
      </c>
      <c r="D11309" s="15" t="s">
        <v>20698</v>
      </c>
      <c r="E11309" s="15">
        <v>11.116</v>
      </c>
      <c r="F11309" s="42">
        <v>46198</v>
      </c>
    </row>
    <row r="11310" spans="1:6" x14ac:dyDescent="0.3">
      <c r="A11310" s="15" t="s">
        <v>38585</v>
      </c>
      <c r="B11310" s="15" t="s">
        <v>20699</v>
      </c>
      <c r="C11310" s="15" t="s">
        <v>20700</v>
      </c>
      <c r="D11310" s="15" t="s">
        <v>20701</v>
      </c>
      <c r="E11310" s="15">
        <v>11.116</v>
      </c>
      <c r="F11310" s="42">
        <v>46198</v>
      </c>
    </row>
    <row r="11311" spans="1:6" x14ac:dyDescent="0.3">
      <c r="A11311" s="15" t="s">
        <v>38584</v>
      </c>
      <c r="B11311" s="15" t="s">
        <v>20702</v>
      </c>
      <c r="C11311" s="15" t="s">
        <v>800</v>
      </c>
      <c r="D11311" s="15" t="s">
        <v>20703</v>
      </c>
      <c r="E11311" s="15">
        <v>16.982199999999999</v>
      </c>
      <c r="F11311" s="42">
        <v>46198</v>
      </c>
    </row>
    <row r="11312" spans="1:6" x14ac:dyDescent="0.3">
      <c r="A11312" s="15" t="s">
        <v>38583</v>
      </c>
      <c r="B11312" s="15" t="s">
        <v>20704</v>
      </c>
      <c r="C11312" s="15" t="s">
        <v>20705</v>
      </c>
      <c r="D11312" s="15" t="s">
        <v>20706</v>
      </c>
      <c r="E11312" s="15">
        <v>16.981999999999999</v>
      </c>
      <c r="F11312" s="42">
        <v>46198</v>
      </c>
    </row>
    <row r="11313" spans="1:6" x14ac:dyDescent="0.3">
      <c r="A11313" s="15" t="s">
        <v>38582</v>
      </c>
      <c r="B11313" s="15" t="s">
        <v>20707</v>
      </c>
      <c r="C11313" s="15" t="s">
        <v>800</v>
      </c>
      <c r="D11313" s="15" t="s">
        <v>20708</v>
      </c>
      <c r="E11313" s="15">
        <v>16.603200000000001</v>
      </c>
      <c r="F11313" s="42">
        <v>46198</v>
      </c>
    </row>
    <row r="11314" spans="1:6" x14ac:dyDescent="0.3">
      <c r="A11314" s="15" t="s">
        <v>38581</v>
      </c>
      <c r="B11314" s="15" t="s">
        <v>20709</v>
      </c>
      <c r="C11314" s="15" t="s">
        <v>20710</v>
      </c>
      <c r="D11314" s="15" t="s">
        <v>20711</v>
      </c>
      <c r="E11314" s="15">
        <v>16.603100000000001</v>
      </c>
      <c r="F11314" s="42">
        <v>46198</v>
      </c>
    </row>
    <row r="11315" spans="1:6" x14ac:dyDescent="0.3">
      <c r="A11315" s="15" t="s">
        <v>38580</v>
      </c>
      <c r="B11315" s="15" t="s">
        <v>20712</v>
      </c>
      <c r="C11315" s="15" t="s">
        <v>800</v>
      </c>
      <c r="D11315" s="15" t="s">
        <v>20713</v>
      </c>
      <c r="E11315" s="15">
        <v>10.249000000000001</v>
      </c>
      <c r="F11315" s="42">
        <v>46198</v>
      </c>
    </row>
    <row r="11316" spans="1:6" x14ac:dyDescent="0.3">
      <c r="A11316" s="15" t="s">
        <v>38579</v>
      </c>
      <c r="B11316" s="15" t="s">
        <v>20714</v>
      </c>
      <c r="C11316" s="15" t="s">
        <v>20715</v>
      </c>
      <c r="D11316" s="15" t="s">
        <v>20716</v>
      </c>
      <c r="E11316" s="15">
        <v>10.248900000000001</v>
      </c>
      <c r="F11316" s="42">
        <v>46198</v>
      </c>
    </row>
    <row r="11317" spans="1:6" x14ac:dyDescent="0.3">
      <c r="A11317" s="15" t="s">
        <v>38578</v>
      </c>
      <c r="B11317" s="15" t="s">
        <v>20717</v>
      </c>
      <c r="C11317" s="15" t="s">
        <v>800</v>
      </c>
      <c r="D11317" s="15" t="s">
        <v>20718</v>
      </c>
      <c r="E11317" s="15">
        <v>10.1402</v>
      </c>
      <c r="F11317" s="42">
        <v>46198</v>
      </c>
    </row>
    <row r="11318" spans="1:6" x14ac:dyDescent="0.3">
      <c r="A11318" s="15" t="s">
        <v>38577</v>
      </c>
      <c r="B11318" s="15" t="s">
        <v>20719</v>
      </c>
      <c r="C11318" s="15" t="s">
        <v>20720</v>
      </c>
      <c r="D11318" s="15" t="s">
        <v>20721</v>
      </c>
      <c r="E11318" s="15">
        <v>10.1402</v>
      </c>
      <c r="F11318" s="42">
        <v>46198</v>
      </c>
    </row>
    <row r="11319" spans="1:6" x14ac:dyDescent="0.3">
      <c r="A11319" s="15" t="s">
        <v>33499</v>
      </c>
      <c r="B11319" s="15" t="s">
        <v>795</v>
      </c>
      <c r="C11319" s="15" t="s">
        <v>795</v>
      </c>
      <c r="D11319" s="15" t="s">
        <v>795</v>
      </c>
      <c r="F11319" s="42"/>
    </row>
    <row r="11320" spans="1:6" x14ac:dyDescent="0.3">
      <c r="A11320" s="15" t="s">
        <v>37807</v>
      </c>
      <c r="B11320" s="15" t="s">
        <v>795</v>
      </c>
      <c r="C11320" s="15" t="s">
        <v>795</v>
      </c>
      <c r="D11320" s="15" t="s">
        <v>795</v>
      </c>
      <c r="F11320" s="42"/>
    </row>
    <row r="11321" spans="1:6" x14ac:dyDescent="0.3">
      <c r="A11321" s="15" t="s">
        <v>33499</v>
      </c>
      <c r="B11321" s="15" t="s">
        <v>795</v>
      </c>
      <c r="C11321" s="15" t="s">
        <v>795</v>
      </c>
      <c r="D11321" s="15" t="s">
        <v>795</v>
      </c>
      <c r="F11321" s="42"/>
    </row>
    <row r="11322" spans="1:6" x14ac:dyDescent="0.3">
      <c r="A11322" s="15" t="s">
        <v>47035</v>
      </c>
      <c r="B11322" s="15" t="s">
        <v>47036</v>
      </c>
      <c r="C11322" s="15" t="s">
        <v>800</v>
      </c>
      <c r="D11322" s="15" t="s">
        <v>47037</v>
      </c>
      <c r="E11322" s="15">
        <v>10.103400000000001</v>
      </c>
      <c r="F11322" s="42">
        <v>46198</v>
      </c>
    </row>
    <row r="11323" spans="1:6" x14ac:dyDescent="0.3">
      <c r="A11323" s="15" t="s">
        <v>47038</v>
      </c>
      <c r="B11323" s="15" t="s">
        <v>47039</v>
      </c>
      <c r="C11323" s="15" t="s">
        <v>800</v>
      </c>
      <c r="D11323" s="15" t="s">
        <v>47040</v>
      </c>
      <c r="E11323" s="15">
        <v>10.0974</v>
      </c>
      <c r="F11323" s="42">
        <v>46198</v>
      </c>
    </row>
    <row r="11324" spans="1:6" x14ac:dyDescent="0.3">
      <c r="A11324" s="15" t="s">
        <v>47041</v>
      </c>
      <c r="B11324" s="15" t="s">
        <v>47042</v>
      </c>
      <c r="C11324" s="15" t="s">
        <v>800</v>
      </c>
      <c r="D11324" s="15" t="s">
        <v>47043</v>
      </c>
      <c r="E11324" s="15">
        <v>10.7348</v>
      </c>
      <c r="F11324" s="42">
        <v>46198</v>
      </c>
    </row>
    <row r="11325" spans="1:6" x14ac:dyDescent="0.3">
      <c r="A11325" s="15" t="s">
        <v>47044</v>
      </c>
      <c r="B11325" s="15" t="s">
        <v>47045</v>
      </c>
      <c r="C11325" s="15" t="s">
        <v>800</v>
      </c>
      <c r="D11325" s="15" t="s">
        <v>47046</v>
      </c>
      <c r="E11325" s="15">
        <v>10.727</v>
      </c>
      <c r="F11325" s="42">
        <v>46198</v>
      </c>
    </row>
    <row r="11326" spans="1:6" x14ac:dyDescent="0.3">
      <c r="A11326" s="15" t="s">
        <v>38576</v>
      </c>
      <c r="B11326" s="15" t="s">
        <v>20722</v>
      </c>
      <c r="C11326" s="15" t="s">
        <v>800</v>
      </c>
      <c r="D11326" s="15" t="s">
        <v>20723</v>
      </c>
      <c r="E11326" s="15">
        <v>1266.4557</v>
      </c>
      <c r="F11326" s="42">
        <v>46198</v>
      </c>
    </row>
    <row r="11327" spans="1:6" x14ac:dyDescent="0.3">
      <c r="A11327" s="15" t="s">
        <v>38575</v>
      </c>
      <c r="B11327" s="15" t="s">
        <v>20724</v>
      </c>
      <c r="C11327" s="15" t="s">
        <v>800</v>
      </c>
      <c r="D11327" s="15" t="s">
        <v>20725</v>
      </c>
      <c r="E11327" s="15">
        <v>1266.4550999999999</v>
      </c>
      <c r="F11327" s="42">
        <v>46198</v>
      </c>
    </row>
    <row r="11328" spans="1:6" x14ac:dyDescent="0.3">
      <c r="A11328" s="15" t="s">
        <v>38574</v>
      </c>
      <c r="B11328" s="15" t="s">
        <v>20726</v>
      </c>
      <c r="C11328" s="15" t="s">
        <v>800</v>
      </c>
      <c r="D11328" s="15" t="s">
        <v>20727</v>
      </c>
      <c r="E11328" s="15">
        <v>1260.3782000000001</v>
      </c>
      <c r="F11328" s="42">
        <v>46198</v>
      </c>
    </row>
    <row r="11329" spans="1:6" x14ac:dyDescent="0.3">
      <c r="A11329" s="15" t="s">
        <v>38573</v>
      </c>
      <c r="B11329" s="15" t="s">
        <v>20728</v>
      </c>
      <c r="C11329" s="15" t="s">
        <v>800</v>
      </c>
      <c r="D11329" s="15" t="s">
        <v>20729</v>
      </c>
      <c r="E11329" s="15">
        <v>1260.3936000000001</v>
      </c>
      <c r="F11329" s="42">
        <v>46198</v>
      </c>
    </row>
    <row r="11330" spans="1:6" x14ac:dyDescent="0.3">
      <c r="A11330" s="15" t="s">
        <v>38572</v>
      </c>
      <c r="B11330" s="15" t="s">
        <v>20730</v>
      </c>
      <c r="C11330" s="15" t="s">
        <v>800</v>
      </c>
      <c r="D11330" s="15" t="s">
        <v>20731</v>
      </c>
      <c r="E11330" s="15">
        <v>1291.6791000000001</v>
      </c>
      <c r="F11330" s="42">
        <v>46198</v>
      </c>
    </row>
    <row r="11331" spans="1:6" x14ac:dyDescent="0.3">
      <c r="A11331" s="15" t="s">
        <v>38571</v>
      </c>
      <c r="B11331" s="15" t="s">
        <v>20732</v>
      </c>
      <c r="C11331" s="15" t="s">
        <v>800</v>
      </c>
      <c r="D11331" s="15" t="s">
        <v>20733</v>
      </c>
      <c r="E11331" s="15">
        <v>1291.6811</v>
      </c>
      <c r="F11331" s="42">
        <v>46198</v>
      </c>
    </row>
    <row r="11332" spans="1:6" x14ac:dyDescent="0.3">
      <c r="A11332" s="15" t="s">
        <v>38570</v>
      </c>
      <c r="B11332" s="15" t="s">
        <v>20734</v>
      </c>
      <c r="C11332" s="15" t="s">
        <v>800</v>
      </c>
      <c r="D11332" s="15" t="s">
        <v>20735</v>
      </c>
      <c r="E11332" s="15">
        <v>1285.5273999999999</v>
      </c>
      <c r="F11332" s="42">
        <v>46198</v>
      </c>
    </row>
    <row r="11333" spans="1:6" x14ac:dyDescent="0.3">
      <c r="A11333" s="15" t="s">
        <v>38569</v>
      </c>
      <c r="B11333" s="15" t="s">
        <v>20736</v>
      </c>
      <c r="C11333" s="15" t="s">
        <v>800</v>
      </c>
      <c r="D11333" s="15" t="s">
        <v>20737</v>
      </c>
      <c r="E11333" s="15">
        <v>1285.5119999999999</v>
      </c>
      <c r="F11333" s="42">
        <v>46198</v>
      </c>
    </row>
    <row r="11334" spans="1:6" x14ac:dyDescent="0.3">
      <c r="A11334" s="15" t="s">
        <v>33499</v>
      </c>
      <c r="B11334" s="15" t="s">
        <v>795</v>
      </c>
      <c r="C11334" s="15" t="s">
        <v>795</v>
      </c>
      <c r="D11334" s="15" t="s">
        <v>795</v>
      </c>
      <c r="F11334" s="42"/>
    </row>
    <row r="11335" spans="1:6" x14ac:dyDescent="0.3">
      <c r="A11335" s="15" t="s">
        <v>38568</v>
      </c>
      <c r="B11335" s="15" t="s">
        <v>795</v>
      </c>
      <c r="C11335" s="15" t="s">
        <v>795</v>
      </c>
      <c r="D11335" s="15" t="s">
        <v>795</v>
      </c>
      <c r="F11335" s="42"/>
    </row>
    <row r="11336" spans="1:6" x14ac:dyDescent="0.3">
      <c r="A11336" s="15" t="s">
        <v>33499</v>
      </c>
      <c r="B11336" s="15" t="s">
        <v>795</v>
      </c>
      <c r="C11336" s="15" t="s">
        <v>795</v>
      </c>
      <c r="D11336" s="15" t="s">
        <v>795</v>
      </c>
      <c r="F11336" s="42"/>
    </row>
    <row r="11337" spans="1:6" x14ac:dyDescent="0.3">
      <c r="A11337" s="15" t="s">
        <v>38567</v>
      </c>
      <c r="B11337" s="15" t="s">
        <v>20738</v>
      </c>
      <c r="C11337" s="15" t="s">
        <v>800</v>
      </c>
      <c r="D11337" s="15" t="s">
        <v>20739</v>
      </c>
      <c r="E11337" s="15">
        <v>9.7302999999999997</v>
      </c>
      <c r="F11337" s="42">
        <v>46198</v>
      </c>
    </row>
    <row r="11338" spans="1:6" x14ac:dyDescent="0.3">
      <c r="A11338" s="15" t="s">
        <v>38566</v>
      </c>
      <c r="B11338" s="15" t="s">
        <v>20740</v>
      </c>
      <c r="C11338" s="15" t="s">
        <v>800</v>
      </c>
      <c r="D11338" s="15" t="s">
        <v>20741</v>
      </c>
      <c r="E11338" s="15">
        <v>10.3759</v>
      </c>
      <c r="F11338" s="42">
        <v>46198</v>
      </c>
    </row>
    <row r="11339" spans="1:6" x14ac:dyDescent="0.3">
      <c r="A11339" s="15" t="s">
        <v>38565</v>
      </c>
      <c r="B11339" s="15" t="s">
        <v>20742</v>
      </c>
      <c r="C11339" s="15" t="s">
        <v>800</v>
      </c>
      <c r="D11339" s="15" t="s">
        <v>20743</v>
      </c>
      <c r="E11339" s="15">
        <v>10.713200000000001</v>
      </c>
      <c r="F11339" s="42">
        <v>46198</v>
      </c>
    </row>
    <row r="11340" spans="1:6" x14ac:dyDescent="0.3">
      <c r="A11340" s="15" t="s">
        <v>38564</v>
      </c>
      <c r="B11340" s="15" t="s">
        <v>20744</v>
      </c>
      <c r="C11340" s="15" t="s">
        <v>800</v>
      </c>
      <c r="D11340" s="15" t="s">
        <v>20745</v>
      </c>
      <c r="E11340" s="15">
        <v>10.752599999999999</v>
      </c>
      <c r="F11340" s="42">
        <v>46198</v>
      </c>
    </row>
    <row r="11341" spans="1:6" x14ac:dyDescent="0.3">
      <c r="A11341" s="15" t="s">
        <v>38563</v>
      </c>
      <c r="B11341" s="15" t="s">
        <v>20746</v>
      </c>
      <c r="C11341" s="15" t="s">
        <v>800</v>
      </c>
      <c r="D11341" s="15" t="s">
        <v>20747</v>
      </c>
      <c r="E11341" s="15">
        <v>10.487</v>
      </c>
      <c r="F11341" s="42">
        <v>46198</v>
      </c>
    </row>
    <row r="11342" spans="1:6" x14ac:dyDescent="0.3">
      <c r="A11342" s="15" t="s">
        <v>33499</v>
      </c>
      <c r="B11342" s="15" t="s">
        <v>795</v>
      </c>
      <c r="C11342" s="15" t="s">
        <v>795</v>
      </c>
      <c r="D11342" s="15" t="s">
        <v>795</v>
      </c>
      <c r="F11342" s="42"/>
    </row>
    <row r="11343" spans="1:6" x14ac:dyDescent="0.3">
      <c r="A11343" s="15" t="s">
        <v>139</v>
      </c>
      <c r="B11343" s="15" t="s">
        <v>795</v>
      </c>
      <c r="C11343" s="15" t="s">
        <v>795</v>
      </c>
      <c r="D11343" s="15" t="s">
        <v>795</v>
      </c>
      <c r="F11343" s="42"/>
    </row>
    <row r="11344" spans="1:6" x14ac:dyDescent="0.3">
      <c r="A11344" s="15" t="s">
        <v>33499</v>
      </c>
      <c r="B11344" s="15" t="s">
        <v>795</v>
      </c>
      <c r="C11344" s="15" t="s">
        <v>795</v>
      </c>
      <c r="D11344" s="15" t="s">
        <v>795</v>
      </c>
      <c r="F11344" s="42"/>
    </row>
    <row r="11345" spans="1:6" x14ac:dyDescent="0.3">
      <c r="A11345" s="15" t="s">
        <v>38562</v>
      </c>
      <c r="B11345" s="15" t="s">
        <v>20748</v>
      </c>
      <c r="C11345" s="15" t="s">
        <v>800</v>
      </c>
      <c r="D11345" s="15" t="s">
        <v>20749</v>
      </c>
      <c r="E11345" s="15">
        <v>12.762</v>
      </c>
      <c r="F11345" s="42">
        <v>46198</v>
      </c>
    </row>
    <row r="11346" spans="1:6" x14ac:dyDescent="0.3">
      <c r="A11346" s="15" t="s">
        <v>38561</v>
      </c>
      <c r="B11346" s="15" t="s">
        <v>20750</v>
      </c>
      <c r="C11346" s="15" t="s">
        <v>20751</v>
      </c>
      <c r="D11346" s="15" t="s">
        <v>20752</v>
      </c>
      <c r="E11346" s="15">
        <v>12.763</v>
      </c>
      <c r="F11346" s="42">
        <v>46198</v>
      </c>
    </row>
    <row r="11347" spans="1:6" x14ac:dyDescent="0.3">
      <c r="A11347" s="15" t="s">
        <v>38560</v>
      </c>
      <c r="B11347" s="15" t="s">
        <v>20753</v>
      </c>
      <c r="C11347" s="15" t="s">
        <v>800</v>
      </c>
      <c r="D11347" s="15" t="s">
        <v>20754</v>
      </c>
      <c r="E11347" s="15">
        <v>12.957000000000001</v>
      </c>
      <c r="F11347" s="42">
        <v>46198</v>
      </c>
    </row>
    <row r="11348" spans="1:6" x14ac:dyDescent="0.3">
      <c r="A11348" s="15" t="s">
        <v>38559</v>
      </c>
      <c r="B11348" s="15" t="s">
        <v>20755</v>
      </c>
      <c r="C11348" s="15" t="s">
        <v>20756</v>
      </c>
      <c r="D11348" s="15" t="s">
        <v>20757</v>
      </c>
      <c r="E11348" s="15">
        <v>12.956</v>
      </c>
      <c r="F11348" s="42">
        <v>46198</v>
      </c>
    </row>
    <row r="11349" spans="1:6" x14ac:dyDescent="0.3">
      <c r="A11349" s="15" t="s">
        <v>38558</v>
      </c>
      <c r="B11349" s="15" t="s">
        <v>20758</v>
      </c>
      <c r="C11349" s="15" t="s">
        <v>800</v>
      </c>
      <c r="D11349" s="15" t="s">
        <v>20759</v>
      </c>
      <c r="E11349" s="15">
        <v>9.5229999999999997</v>
      </c>
      <c r="F11349" s="42">
        <v>46198</v>
      </c>
    </row>
    <row r="11350" spans="1:6" x14ac:dyDescent="0.3">
      <c r="A11350" s="15" t="s">
        <v>38557</v>
      </c>
      <c r="B11350" s="15" t="s">
        <v>20760</v>
      </c>
      <c r="C11350" s="15" t="s">
        <v>20761</v>
      </c>
      <c r="D11350" s="15" t="s">
        <v>20762</v>
      </c>
      <c r="E11350" s="15">
        <v>9.5229999999999997</v>
      </c>
      <c r="F11350" s="42">
        <v>46198</v>
      </c>
    </row>
    <row r="11351" spans="1:6" x14ac:dyDescent="0.3">
      <c r="A11351" s="15" t="s">
        <v>38556</v>
      </c>
      <c r="B11351" s="15" t="s">
        <v>20763</v>
      </c>
      <c r="C11351" s="15" t="s">
        <v>800</v>
      </c>
      <c r="D11351" s="15" t="s">
        <v>20764</v>
      </c>
      <c r="E11351" s="15">
        <v>9.4060000000000006</v>
      </c>
      <c r="F11351" s="42">
        <v>46198</v>
      </c>
    </row>
    <row r="11352" spans="1:6" x14ac:dyDescent="0.3">
      <c r="A11352" s="15" t="s">
        <v>38555</v>
      </c>
      <c r="B11352" s="15" t="s">
        <v>20765</v>
      </c>
      <c r="C11352" s="15" t="s">
        <v>20766</v>
      </c>
      <c r="D11352" s="15" t="s">
        <v>20767</v>
      </c>
      <c r="E11352" s="15">
        <v>9.4060000000000006</v>
      </c>
      <c r="F11352" s="42">
        <v>46198</v>
      </c>
    </row>
    <row r="11353" spans="1:6" x14ac:dyDescent="0.3">
      <c r="A11353" s="15" t="s">
        <v>38554</v>
      </c>
      <c r="B11353" s="15" t="s">
        <v>20768</v>
      </c>
      <c r="C11353" s="15" t="s">
        <v>800</v>
      </c>
      <c r="D11353" s="15" t="s">
        <v>20769</v>
      </c>
      <c r="E11353" s="15">
        <v>10.256</v>
      </c>
      <c r="F11353" s="42">
        <v>46198</v>
      </c>
    </row>
    <row r="11354" spans="1:6" x14ac:dyDescent="0.3">
      <c r="A11354" s="15" t="s">
        <v>38553</v>
      </c>
      <c r="B11354" s="15" t="s">
        <v>20770</v>
      </c>
      <c r="C11354" s="15" t="s">
        <v>20771</v>
      </c>
      <c r="D11354" s="15" t="s">
        <v>20772</v>
      </c>
      <c r="E11354" s="15">
        <v>10.257</v>
      </c>
      <c r="F11354" s="42">
        <v>46198</v>
      </c>
    </row>
    <row r="11355" spans="1:6" x14ac:dyDescent="0.3">
      <c r="A11355" s="15" t="s">
        <v>38552</v>
      </c>
      <c r="B11355" s="15" t="s">
        <v>20773</v>
      </c>
      <c r="C11355" s="15" t="s">
        <v>800</v>
      </c>
      <c r="D11355" s="15" t="s">
        <v>20774</v>
      </c>
      <c r="E11355" s="15">
        <v>10.28</v>
      </c>
      <c r="F11355" s="42">
        <v>46198</v>
      </c>
    </row>
    <row r="11356" spans="1:6" x14ac:dyDescent="0.3">
      <c r="A11356" s="15" t="s">
        <v>38551</v>
      </c>
      <c r="B11356" s="15" t="s">
        <v>20775</v>
      </c>
      <c r="C11356" s="15" t="s">
        <v>20776</v>
      </c>
      <c r="D11356" s="15" t="s">
        <v>20777</v>
      </c>
      <c r="E11356" s="15">
        <v>10.28</v>
      </c>
      <c r="F11356" s="42">
        <v>46198</v>
      </c>
    </row>
    <row r="11357" spans="1:6" x14ac:dyDescent="0.3">
      <c r="A11357" s="15" t="s">
        <v>38550</v>
      </c>
      <c r="B11357" s="15" t="s">
        <v>20778</v>
      </c>
      <c r="C11357" s="15" t="s">
        <v>800</v>
      </c>
      <c r="D11357" s="15" t="s">
        <v>20779</v>
      </c>
      <c r="E11357" s="15">
        <v>11.030900000000001</v>
      </c>
      <c r="F11357" s="42">
        <v>46198</v>
      </c>
    </row>
    <row r="11358" spans="1:6" x14ac:dyDescent="0.3">
      <c r="A11358" s="15" t="s">
        <v>38549</v>
      </c>
      <c r="B11358" s="15" t="s">
        <v>20780</v>
      </c>
      <c r="C11358" s="15" t="s">
        <v>20781</v>
      </c>
      <c r="D11358" s="15" t="s">
        <v>20782</v>
      </c>
      <c r="E11358" s="15">
        <v>11.0307</v>
      </c>
      <c r="F11358" s="42">
        <v>46198</v>
      </c>
    </row>
    <row r="11359" spans="1:6" x14ac:dyDescent="0.3">
      <c r="A11359" s="15" t="s">
        <v>38548</v>
      </c>
      <c r="B11359" s="15" t="s">
        <v>20783</v>
      </c>
      <c r="C11359" s="15" t="s">
        <v>800</v>
      </c>
      <c r="D11359" s="15" t="s">
        <v>20784</v>
      </c>
      <c r="E11359" s="15">
        <v>11.001200000000001</v>
      </c>
      <c r="F11359" s="42">
        <v>46198</v>
      </c>
    </row>
    <row r="11360" spans="1:6" x14ac:dyDescent="0.3">
      <c r="A11360" s="15" t="s">
        <v>38547</v>
      </c>
      <c r="B11360" s="15" t="s">
        <v>20785</v>
      </c>
      <c r="C11360" s="15" t="s">
        <v>20786</v>
      </c>
      <c r="D11360" s="15" t="s">
        <v>20787</v>
      </c>
      <c r="E11360" s="15">
        <v>11.001200000000001</v>
      </c>
      <c r="F11360" s="42">
        <v>46198</v>
      </c>
    </row>
    <row r="11361" spans="1:6" x14ac:dyDescent="0.3">
      <c r="A11361" s="15" t="s">
        <v>38546</v>
      </c>
      <c r="B11361" s="15" t="s">
        <v>20788</v>
      </c>
      <c r="C11361" s="15" t="s">
        <v>800</v>
      </c>
      <c r="D11361" s="15" t="s">
        <v>20789</v>
      </c>
      <c r="E11361" s="15">
        <v>11.438700000000001</v>
      </c>
      <c r="F11361" s="42">
        <v>46198</v>
      </c>
    </row>
    <row r="11362" spans="1:6" x14ac:dyDescent="0.3">
      <c r="A11362" s="15" t="s">
        <v>38545</v>
      </c>
      <c r="B11362" s="15" t="s">
        <v>20790</v>
      </c>
      <c r="C11362" s="15" t="s">
        <v>20791</v>
      </c>
      <c r="D11362" s="15" t="s">
        <v>20792</v>
      </c>
      <c r="E11362" s="15">
        <v>11.436999999999999</v>
      </c>
      <c r="F11362" s="42">
        <v>46198</v>
      </c>
    </row>
    <row r="11363" spans="1:6" x14ac:dyDescent="0.3">
      <c r="A11363" s="15" t="s">
        <v>38544</v>
      </c>
      <c r="B11363" s="15" t="s">
        <v>20793</v>
      </c>
      <c r="C11363" s="15" t="s">
        <v>800</v>
      </c>
      <c r="D11363" s="15" t="s">
        <v>20794</v>
      </c>
      <c r="E11363" s="15">
        <v>11.3956</v>
      </c>
      <c r="F11363" s="42">
        <v>46198</v>
      </c>
    </row>
    <row r="11364" spans="1:6" x14ac:dyDescent="0.3">
      <c r="A11364" s="15" t="s">
        <v>38543</v>
      </c>
      <c r="B11364" s="15" t="s">
        <v>20795</v>
      </c>
      <c r="C11364" s="15" t="s">
        <v>20796</v>
      </c>
      <c r="D11364" s="15" t="s">
        <v>20797</v>
      </c>
      <c r="E11364" s="15">
        <v>11.3955</v>
      </c>
      <c r="F11364" s="42">
        <v>46198</v>
      </c>
    </row>
    <row r="11365" spans="1:6" x14ac:dyDescent="0.3">
      <c r="A11365" s="15" t="s">
        <v>38542</v>
      </c>
      <c r="B11365" s="15" t="s">
        <v>20798</v>
      </c>
      <c r="C11365" s="15" t="s">
        <v>800</v>
      </c>
      <c r="D11365" s="15" t="s">
        <v>20799</v>
      </c>
      <c r="E11365" s="15">
        <v>10.930899999999999</v>
      </c>
      <c r="F11365" s="42">
        <v>46198</v>
      </c>
    </row>
    <row r="11366" spans="1:6" x14ac:dyDescent="0.3">
      <c r="A11366" s="15" t="s">
        <v>38541</v>
      </c>
      <c r="B11366" s="15" t="s">
        <v>20800</v>
      </c>
      <c r="C11366" s="15" t="s">
        <v>20801</v>
      </c>
      <c r="D11366" s="15" t="s">
        <v>20802</v>
      </c>
      <c r="E11366" s="15">
        <v>10.9312</v>
      </c>
      <c r="F11366" s="42">
        <v>46198</v>
      </c>
    </row>
    <row r="11367" spans="1:6" x14ac:dyDescent="0.3">
      <c r="A11367" s="15" t="s">
        <v>38540</v>
      </c>
      <c r="B11367" s="15" t="s">
        <v>20803</v>
      </c>
      <c r="C11367" s="15" t="s">
        <v>800</v>
      </c>
      <c r="D11367" s="15" t="s">
        <v>20804</v>
      </c>
      <c r="E11367" s="15">
        <v>10.898</v>
      </c>
      <c r="F11367" s="42">
        <v>46198</v>
      </c>
    </row>
    <row r="11368" spans="1:6" x14ac:dyDescent="0.3">
      <c r="A11368" s="15" t="s">
        <v>38539</v>
      </c>
      <c r="B11368" s="15" t="s">
        <v>20805</v>
      </c>
      <c r="C11368" s="15" t="s">
        <v>20806</v>
      </c>
      <c r="D11368" s="15" t="s">
        <v>20807</v>
      </c>
      <c r="E11368" s="15">
        <v>10.898</v>
      </c>
      <c r="F11368" s="42">
        <v>46198</v>
      </c>
    </row>
    <row r="11369" spans="1:6" x14ac:dyDescent="0.3">
      <c r="A11369" s="15" t="s">
        <v>38538</v>
      </c>
      <c r="B11369" s="15" t="s">
        <v>20808</v>
      </c>
      <c r="C11369" s="15" t="s">
        <v>800</v>
      </c>
      <c r="D11369" s="15" t="s">
        <v>20809</v>
      </c>
      <c r="E11369" s="15">
        <v>10.4603</v>
      </c>
      <c r="F11369" s="42">
        <v>46198</v>
      </c>
    </row>
    <row r="11370" spans="1:6" x14ac:dyDescent="0.3">
      <c r="A11370" s="15" t="s">
        <v>38537</v>
      </c>
      <c r="B11370" s="15" t="s">
        <v>20810</v>
      </c>
      <c r="C11370" s="15" t="s">
        <v>20811</v>
      </c>
      <c r="D11370" s="15" t="s">
        <v>20812</v>
      </c>
      <c r="E11370" s="15">
        <v>10.4604</v>
      </c>
      <c r="F11370" s="42">
        <v>46198</v>
      </c>
    </row>
    <row r="11371" spans="1:6" x14ac:dyDescent="0.3">
      <c r="A11371" s="15" t="s">
        <v>38536</v>
      </c>
      <c r="B11371" s="15" t="s">
        <v>20813</v>
      </c>
      <c r="C11371" s="15" t="s">
        <v>800</v>
      </c>
      <c r="D11371" s="15" t="s">
        <v>20814</v>
      </c>
      <c r="E11371" s="15">
        <v>10.4445</v>
      </c>
      <c r="F11371" s="42">
        <v>46198</v>
      </c>
    </row>
    <row r="11372" spans="1:6" x14ac:dyDescent="0.3">
      <c r="A11372" s="15" t="s">
        <v>38535</v>
      </c>
      <c r="B11372" s="15" t="s">
        <v>20815</v>
      </c>
      <c r="C11372" s="15" t="s">
        <v>20816</v>
      </c>
      <c r="D11372" s="15" t="s">
        <v>20817</v>
      </c>
      <c r="E11372" s="15">
        <v>10.442399999999999</v>
      </c>
      <c r="F11372" s="42">
        <v>46198</v>
      </c>
    </row>
    <row r="11373" spans="1:6" x14ac:dyDescent="0.3">
      <c r="A11373" s="15" t="s">
        <v>38534</v>
      </c>
      <c r="B11373" s="15" t="s">
        <v>20818</v>
      </c>
      <c r="C11373" s="15" t="s">
        <v>800</v>
      </c>
      <c r="D11373" s="15" t="s">
        <v>20819</v>
      </c>
      <c r="E11373" s="15">
        <v>11.003</v>
      </c>
      <c r="F11373" s="42">
        <v>46198</v>
      </c>
    </row>
    <row r="11374" spans="1:6" x14ac:dyDescent="0.3">
      <c r="A11374" s="15" t="s">
        <v>38533</v>
      </c>
      <c r="B11374" s="15" t="s">
        <v>20820</v>
      </c>
      <c r="C11374" s="15" t="s">
        <v>20821</v>
      </c>
      <c r="D11374" s="15" t="s">
        <v>20822</v>
      </c>
      <c r="E11374" s="15">
        <v>11.003</v>
      </c>
      <c r="F11374" s="42">
        <v>46198</v>
      </c>
    </row>
    <row r="11375" spans="1:6" x14ac:dyDescent="0.3">
      <c r="A11375" s="15" t="s">
        <v>38532</v>
      </c>
      <c r="B11375" s="15" t="s">
        <v>20823</v>
      </c>
      <c r="C11375" s="15" t="s">
        <v>800</v>
      </c>
      <c r="D11375" s="15" t="s">
        <v>20824</v>
      </c>
      <c r="E11375" s="15">
        <v>10.92</v>
      </c>
      <c r="F11375" s="42">
        <v>46198</v>
      </c>
    </row>
    <row r="11376" spans="1:6" x14ac:dyDescent="0.3">
      <c r="A11376" s="15" t="s">
        <v>38531</v>
      </c>
      <c r="B11376" s="15" t="s">
        <v>20825</v>
      </c>
      <c r="C11376" s="15" t="s">
        <v>20826</v>
      </c>
      <c r="D11376" s="15" t="s">
        <v>20827</v>
      </c>
      <c r="E11376" s="15">
        <v>10.92</v>
      </c>
      <c r="F11376" s="42">
        <v>46198</v>
      </c>
    </row>
    <row r="11377" spans="1:6" x14ac:dyDescent="0.3">
      <c r="A11377" s="15" t="s">
        <v>38530</v>
      </c>
      <c r="B11377" s="15" t="s">
        <v>20828</v>
      </c>
      <c r="C11377" s="15" t="s">
        <v>800</v>
      </c>
      <c r="D11377" s="15" t="s">
        <v>20829</v>
      </c>
      <c r="E11377" s="15">
        <v>10.710100000000001</v>
      </c>
      <c r="F11377" s="42">
        <v>46198</v>
      </c>
    </row>
    <row r="11378" spans="1:6" x14ac:dyDescent="0.3">
      <c r="A11378" s="15" t="s">
        <v>38529</v>
      </c>
      <c r="B11378" s="15" t="s">
        <v>20830</v>
      </c>
      <c r="C11378" s="15" t="s">
        <v>20831</v>
      </c>
      <c r="D11378" s="15" t="s">
        <v>20832</v>
      </c>
      <c r="E11378" s="15">
        <v>10.7102</v>
      </c>
      <c r="F11378" s="42">
        <v>46198</v>
      </c>
    </row>
    <row r="11379" spans="1:6" x14ac:dyDescent="0.3">
      <c r="A11379" s="15" t="s">
        <v>38528</v>
      </c>
      <c r="B11379" s="15" t="s">
        <v>20833</v>
      </c>
      <c r="C11379" s="15" t="s">
        <v>800</v>
      </c>
      <c r="D11379" s="15" t="s">
        <v>20834</v>
      </c>
      <c r="E11379" s="15">
        <v>10.572900000000001</v>
      </c>
      <c r="F11379" s="42">
        <v>46198</v>
      </c>
    </row>
    <row r="11380" spans="1:6" x14ac:dyDescent="0.3">
      <c r="A11380" s="15" t="s">
        <v>38527</v>
      </c>
      <c r="B11380" s="15" t="s">
        <v>20835</v>
      </c>
      <c r="C11380" s="15" t="s">
        <v>20836</v>
      </c>
      <c r="D11380" s="15" t="s">
        <v>20837</v>
      </c>
      <c r="E11380" s="15">
        <v>10.572900000000001</v>
      </c>
      <c r="F11380" s="42">
        <v>46198</v>
      </c>
    </row>
    <row r="11381" spans="1:6" x14ac:dyDescent="0.3">
      <c r="A11381" s="15" t="s">
        <v>38526</v>
      </c>
      <c r="B11381" s="15" t="s">
        <v>20838</v>
      </c>
      <c r="C11381" s="15" t="s">
        <v>800</v>
      </c>
      <c r="D11381" s="15" t="s">
        <v>20839</v>
      </c>
      <c r="E11381" s="15">
        <v>14.891</v>
      </c>
      <c r="F11381" s="42">
        <v>46198</v>
      </c>
    </row>
    <row r="11382" spans="1:6" x14ac:dyDescent="0.3">
      <c r="A11382" s="15" t="s">
        <v>38525</v>
      </c>
      <c r="B11382" s="15" t="s">
        <v>20840</v>
      </c>
      <c r="C11382" s="15" t="s">
        <v>20841</v>
      </c>
      <c r="D11382" s="15" t="s">
        <v>20842</v>
      </c>
      <c r="E11382" s="15">
        <v>14.891</v>
      </c>
      <c r="F11382" s="42">
        <v>46198</v>
      </c>
    </row>
    <row r="11383" spans="1:6" x14ac:dyDescent="0.3">
      <c r="A11383" s="15" t="s">
        <v>38524</v>
      </c>
      <c r="B11383" s="15" t="s">
        <v>20843</v>
      </c>
      <c r="C11383" s="15" t="s">
        <v>800</v>
      </c>
      <c r="D11383" s="15" t="s">
        <v>20844</v>
      </c>
      <c r="E11383" s="15">
        <v>14.673</v>
      </c>
      <c r="F11383" s="42">
        <v>46198</v>
      </c>
    </row>
    <row r="11384" spans="1:6" x14ac:dyDescent="0.3">
      <c r="A11384" s="15" t="s">
        <v>38523</v>
      </c>
      <c r="B11384" s="15" t="s">
        <v>20845</v>
      </c>
      <c r="C11384" s="15" t="s">
        <v>20846</v>
      </c>
      <c r="D11384" s="15" t="s">
        <v>20847</v>
      </c>
      <c r="E11384" s="15">
        <v>14.673</v>
      </c>
      <c r="F11384" s="42">
        <v>46198</v>
      </c>
    </row>
    <row r="11385" spans="1:6" x14ac:dyDescent="0.3">
      <c r="A11385" s="15" t="s">
        <v>38522</v>
      </c>
      <c r="B11385" s="15" t="s">
        <v>20848</v>
      </c>
      <c r="C11385" s="15" t="s">
        <v>800</v>
      </c>
      <c r="D11385" s="15" t="s">
        <v>20849</v>
      </c>
      <c r="E11385" s="15">
        <v>9.6140000000000008</v>
      </c>
      <c r="F11385" s="42">
        <v>46198</v>
      </c>
    </row>
    <row r="11386" spans="1:6" x14ac:dyDescent="0.3">
      <c r="A11386" s="15" t="s">
        <v>38521</v>
      </c>
      <c r="B11386" s="15" t="s">
        <v>20850</v>
      </c>
      <c r="C11386" s="15" t="s">
        <v>20851</v>
      </c>
      <c r="D11386" s="15" t="s">
        <v>20852</v>
      </c>
      <c r="E11386" s="15">
        <v>9.6140000000000008</v>
      </c>
      <c r="F11386" s="42">
        <v>46198</v>
      </c>
    </row>
    <row r="11387" spans="1:6" x14ac:dyDescent="0.3">
      <c r="A11387" s="15" t="s">
        <v>38520</v>
      </c>
      <c r="B11387" s="15" t="s">
        <v>20853</v>
      </c>
      <c r="C11387" s="15" t="s">
        <v>800</v>
      </c>
      <c r="D11387" s="15" t="s">
        <v>20854</v>
      </c>
      <c r="E11387" s="15">
        <v>9.5790000000000006</v>
      </c>
      <c r="F11387" s="42">
        <v>46198</v>
      </c>
    </row>
    <row r="11388" spans="1:6" x14ac:dyDescent="0.3">
      <c r="A11388" s="15" t="s">
        <v>38519</v>
      </c>
      <c r="B11388" s="15" t="s">
        <v>20855</v>
      </c>
      <c r="C11388" s="15" t="s">
        <v>20856</v>
      </c>
      <c r="D11388" s="15" t="s">
        <v>20857</v>
      </c>
      <c r="E11388" s="15">
        <v>9.5790000000000006</v>
      </c>
      <c r="F11388" s="42">
        <v>46198</v>
      </c>
    </row>
    <row r="11389" spans="1:6" x14ac:dyDescent="0.3">
      <c r="A11389" s="15" t="s">
        <v>38518</v>
      </c>
      <c r="B11389" s="15" t="s">
        <v>20858</v>
      </c>
      <c r="C11389" s="15" t="s">
        <v>800</v>
      </c>
      <c r="D11389" s="15" t="s">
        <v>20859</v>
      </c>
      <c r="E11389" s="15">
        <v>11.108000000000001</v>
      </c>
      <c r="F11389" s="42">
        <v>46198</v>
      </c>
    </row>
    <row r="11390" spans="1:6" x14ac:dyDescent="0.3">
      <c r="A11390" s="15" t="s">
        <v>38517</v>
      </c>
      <c r="B11390" s="15" t="s">
        <v>20860</v>
      </c>
      <c r="C11390" s="15" t="s">
        <v>20861</v>
      </c>
      <c r="D11390" s="15" t="s">
        <v>20862</v>
      </c>
      <c r="E11390" s="15">
        <v>11.11</v>
      </c>
      <c r="F11390" s="42">
        <v>46198</v>
      </c>
    </row>
    <row r="11391" spans="1:6" x14ac:dyDescent="0.3">
      <c r="A11391" s="15" t="s">
        <v>38516</v>
      </c>
      <c r="B11391" s="15" t="s">
        <v>20863</v>
      </c>
      <c r="C11391" s="15" t="s">
        <v>800</v>
      </c>
      <c r="D11391" s="15" t="s">
        <v>20864</v>
      </c>
      <c r="E11391" s="15">
        <v>11.023999999999999</v>
      </c>
      <c r="F11391" s="42">
        <v>46198</v>
      </c>
    </row>
    <row r="11392" spans="1:6" x14ac:dyDescent="0.3">
      <c r="A11392" s="15" t="s">
        <v>38515</v>
      </c>
      <c r="B11392" s="15" t="s">
        <v>20865</v>
      </c>
      <c r="C11392" s="15" t="s">
        <v>20866</v>
      </c>
      <c r="D11392" s="15" t="s">
        <v>20867</v>
      </c>
      <c r="E11392" s="15">
        <v>11.023999999999999</v>
      </c>
      <c r="F11392" s="42">
        <v>46198</v>
      </c>
    </row>
    <row r="11393" spans="1:6" x14ac:dyDescent="0.3">
      <c r="A11393" s="15" t="s">
        <v>38514</v>
      </c>
      <c r="B11393" s="15" t="s">
        <v>20868</v>
      </c>
      <c r="C11393" s="15" t="s">
        <v>800</v>
      </c>
      <c r="D11393" s="15" t="s">
        <v>20869</v>
      </c>
      <c r="E11393" s="15">
        <v>15.948</v>
      </c>
      <c r="F11393" s="42">
        <v>46198</v>
      </c>
    </row>
    <row r="11394" spans="1:6" x14ac:dyDescent="0.3">
      <c r="A11394" s="15" t="s">
        <v>38513</v>
      </c>
      <c r="B11394" s="15" t="s">
        <v>20870</v>
      </c>
      <c r="C11394" s="15" t="s">
        <v>20871</v>
      </c>
      <c r="D11394" s="15" t="s">
        <v>20872</v>
      </c>
      <c r="E11394" s="15">
        <v>15.944000000000001</v>
      </c>
      <c r="F11394" s="42">
        <v>46198</v>
      </c>
    </row>
    <row r="11395" spans="1:6" x14ac:dyDescent="0.3">
      <c r="A11395" s="15" t="s">
        <v>38512</v>
      </c>
      <c r="B11395" s="15" t="s">
        <v>20873</v>
      </c>
      <c r="C11395" s="15" t="s">
        <v>800</v>
      </c>
      <c r="D11395" s="15" t="s">
        <v>20874</v>
      </c>
      <c r="E11395" s="15">
        <v>15.702999999999999</v>
      </c>
      <c r="F11395" s="42">
        <v>46198</v>
      </c>
    </row>
    <row r="11396" spans="1:6" x14ac:dyDescent="0.3">
      <c r="A11396" s="15" t="s">
        <v>38511</v>
      </c>
      <c r="B11396" s="15" t="s">
        <v>20875</v>
      </c>
      <c r="C11396" s="15" t="s">
        <v>20876</v>
      </c>
      <c r="D11396" s="15" t="s">
        <v>20877</v>
      </c>
      <c r="E11396" s="15">
        <v>15.702999999999999</v>
      </c>
      <c r="F11396" s="42">
        <v>46198</v>
      </c>
    </row>
    <row r="11397" spans="1:6" x14ac:dyDescent="0.3">
      <c r="A11397" s="15" t="s">
        <v>38510</v>
      </c>
      <c r="B11397" s="15" t="s">
        <v>20878</v>
      </c>
      <c r="C11397" s="15" t="s">
        <v>800</v>
      </c>
      <c r="D11397" s="15" t="s">
        <v>20879</v>
      </c>
      <c r="E11397" s="15">
        <v>10.548500000000001</v>
      </c>
      <c r="F11397" s="42">
        <v>46198</v>
      </c>
    </row>
    <row r="11398" spans="1:6" x14ac:dyDescent="0.3">
      <c r="A11398" s="15" t="s">
        <v>38509</v>
      </c>
      <c r="B11398" s="15" t="s">
        <v>20880</v>
      </c>
      <c r="C11398" s="15" t="s">
        <v>20881</v>
      </c>
      <c r="D11398" s="15" t="s">
        <v>20882</v>
      </c>
      <c r="E11398" s="15">
        <v>10.548299999999999</v>
      </c>
      <c r="F11398" s="42">
        <v>46198</v>
      </c>
    </row>
    <row r="11399" spans="1:6" x14ac:dyDescent="0.3">
      <c r="A11399" s="15" t="s">
        <v>38508</v>
      </c>
      <c r="B11399" s="15" t="s">
        <v>20883</v>
      </c>
      <c r="C11399" s="15" t="s">
        <v>800</v>
      </c>
      <c r="D11399" s="15" t="s">
        <v>20884</v>
      </c>
      <c r="E11399" s="15">
        <v>10.5273</v>
      </c>
      <c r="F11399" s="42">
        <v>46198</v>
      </c>
    </row>
    <row r="11400" spans="1:6" x14ac:dyDescent="0.3">
      <c r="A11400" s="15" t="s">
        <v>38507</v>
      </c>
      <c r="B11400" s="15" t="s">
        <v>20885</v>
      </c>
      <c r="C11400" s="15" t="s">
        <v>20886</v>
      </c>
      <c r="D11400" s="15" t="s">
        <v>20887</v>
      </c>
      <c r="E11400" s="15">
        <v>10.5273</v>
      </c>
      <c r="F11400" s="42">
        <v>46198</v>
      </c>
    </row>
    <row r="11401" spans="1:6" x14ac:dyDescent="0.3">
      <c r="A11401" s="15" t="s">
        <v>38506</v>
      </c>
      <c r="B11401" s="15" t="s">
        <v>20888</v>
      </c>
      <c r="C11401" s="15" t="s">
        <v>800</v>
      </c>
      <c r="D11401" s="15" t="s">
        <v>20889</v>
      </c>
      <c r="E11401" s="15">
        <v>10.4</v>
      </c>
      <c r="F11401" s="42">
        <v>46198</v>
      </c>
    </row>
    <row r="11402" spans="1:6" x14ac:dyDescent="0.3">
      <c r="A11402" s="15" t="s">
        <v>38505</v>
      </c>
      <c r="B11402" s="15" t="s">
        <v>20890</v>
      </c>
      <c r="C11402" s="15" t="s">
        <v>20891</v>
      </c>
      <c r="D11402" s="15" t="s">
        <v>20892</v>
      </c>
      <c r="E11402" s="15">
        <v>10.4</v>
      </c>
      <c r="F11402" s="42">
        <v>46198</v>
      </c>
    </row>
    <row r="11403" spans="1:6" x14ac:dyDescent="0.3">
      <c r="A11403" s="15" t="s">
        <v>38504</v>
      </c>
      <c r="B11403" s="15" t="s">
        <v>20893</v>
      </c>
      <c r="C11403" s="15" t="s">
        <v>800</v>
      </c>
      <c r="D11403" s="15" t="s">
        <v>20894</v>
      </c>
      <c r="E11403" s="15">
        <v>10.348000000000001</v>
      </c>
      <c r="F11403" s="42">
        <v>46198</v>
      </c>
    </row>
    <row r="11404" spans="1:6" x14ac:dyDescent="0.3">
      <c r="A11404" s="15" t="s">
        <v>38503</v>
      </c>
      <c r="B11404" s="15" t="s">
        <v>20895</v>
      </c>
      <c r="C11404" s="15" t="s">
        <v>20896</v>
      </c>
      <c r="D11404" s="15" t="s">
        <v>20897</v>
      </c>
      <c r="E11404" s="15">
        <v>10.348000000000001</v>
      </c>
      <c r="F11404" s="42">
        <v>46198</v>
      </c>
    </row>
    <row r="11405" spans="1:6" x14ac:dyDescent="0.3">
      <c r="A11405" s="15" t="s">
        <v>47235</v>
      </c>
      <c r="B11405" s="15" t="s">
        <v>47236</v>
      </c>
      <c r="C11405" s="15" t="s">
        <v>800</v>
      </c>
      <c r="D11405" s="15" t="s">
        <v>47237</v>
      </c>
      <c r="E11405" s="15">
        <v>10.076000000000001</v>
      </c>
      <c r="F11405" s="42">
        <v>46198</v>
      </c>
    </row>
    <row r="11406" spans="1:6" x14ac:dyDescent="0.3">
      <c r="A11406" s="15" t="s">
        <v>47238</v>
      </c>
      <c r="B11406" s="15" t="s">
        <v>47239</v>
      </c>
      <c r="C11406" s="15" t="s">
        <v>47240</v>
      </c>
      <c r="D11406" s="15" t="s">
        <v>47241</v>
      </c>
      <c r="E11406" s="15">
        <v>10.076000000000001</v>
      </c>
      <c r="F11406" s="42">
        <v>46198</v>
      </c>
    </row>
    <row r="11407" spans="1:6" x14ac:dyDescent="0.3">
      <c r="A11407" s="15" t="s">
        <v>47242</v>
      </c>
      <c r="B11407" s="15" t="s">
        <v>47243</v>
      </c>
      <c r="C11407" s="15" t="s">
        <v>800</v>
      </c>
      <c r="D11407" s="15" t="s">
        <v>47244</v>
      </c>
      <c r="E11407" s="15">
        <v>10.074</v>
      </c>
      <c r="F11407" s="42">
        <v>46198</v>
      </c>
    </row>
    <row r="11408" spans="1:6" x14ac:dyDescent="0.3">
      <c r="A11408" s="15" t="s">
        <v>47245</v>
      </c>
      <c r="B11408" s="15" t="s">
        <v>47246</v>
      </c>
      <c r="C11408" s="15" t="s">
        <v>47247</v>
      </c>
      <c r="D11408" s="15" t="s">
        <v>47248</v>
      </c>
      <c r="E11408" s="15">
        <v>10.074</v>
      </c>
      <c r="F11408" s="42">
        <v>46198</v>
      </c>
    </row>
    <row r="11409" spans="1:6" x14ac:dyDescent="0.3">
      <c r="A11409" s="15" t="s">
        <v>38502</v>
      </c>
      <c r="B11409" s="15" t="s">
        <v>20898</v>
      </c>
      <c r="C11409" s="15" t="s">
        <v>800</v>
      </c>
      <c r="D11409" s="15" t="s">
        <v>20899</v>
      </c>
      <c r="E11409" s="15">
        <v>12.321999999999999</v>
      </c>
      <c r="F11409" s="42">
        <v>46198</v>
      </c>
    </row>
    <row r="11410" spans="1:6" x14ac:dyDescent="0.3">
      <c r="A11410" s="15" t="s">
        <v>38501</v>
      </c>
      <c r="B11410" s="15" t="s">
        <v>20900</v>
      </c>
      <c r="C11410" s="15" t="s">
        <v>20901</v>
      </c>
      <c r="D11410" s="15" t="s">
        <v>20902</v>
      </c>
      <c r="E11410" s="15">
        <v>12.323</v>
      </c>
      <c r="F11410" s="42">
        <v>46198</v>
      </c>
    </row>
    <row r="11411" spans="1:6" x14ac:dyDescent="0.3">
      <c r="A11411" s="15" t="s">
        <v>38500</v>
      </c>
      <c r="B11411" s="15" t="s">
        <v>20903</v>
      </c>
      <c r="C11411" s="15" t="s">
        <v>800</v>
      </c>
      <c r="D11411" s="15" t="s">
        <v>20904</v>
      </c>
      <c r="E11411" s="15">
        <v>12.28</v>
      </c>
      <c r="F11411" s="42">
        <v>46198</v>
      </c>
    </row>
    <row r="11412" spans="1:6" x14ac:dyDescent="0.3">
      <c r="A11412" s="15" t="s">
        <v>38499</v>
      </c>
      <c r="B11412" s="15" t="s">
        <v>20905</v>
      </c>
      <c r="C11412" s="15" t="s">
        <v>20906</v>
      </c>
      <c r="D11412" s="15" t="s">
        <v>20907</v>
      </c>
      <c r="E11412" s="15">
        <v>12.28</v>
      </c>
      <c r="F11412" s="42">
        <v>46198</v>
      </c>
    </row>
    <row r="11413" spans="1:6" x14ac:dyDescent="0.3">
      <c r="A11413" s="15" t="s">
        <v>38498</v>
      </c>
      <c r="B11413" s="15" t="s">
        <v>20908</v>
      </c>
      <c r="C11413" s="15" t="s">
        <v>800</v>
      </c>
      <c r="D11413" s="15" t="s">
        <v>20909</v>
      </c>
      <c r="E11413" s="15">
        <v>16.446000000000002</v>
      </c>
      <c r="F11413" s="42">
        <v>46198</v>
      </c>
    </row>
    <row r="11414" spans="1:6" x14ac:dyDescent="0.3">
      <c r="A11414" s="15" t="s">
        <v>38497</v>
      </c>
      <c r="B11414" s="15" t="s">
        <v>20910</v>
      </c>
      <c r="C11414" s="15" t="s">
        <v>20911</v>
      </c>
      <c r="D11414" s="15" t="s">
        <v>20912</v>
      </c>
      <c r="E11414" s="15">
        <v>16.446000000000002</v>
      </c>
      <c r="F11414" s="42">
        <v>46198</v>
      </c>
    </row>
    <row r="11415" spans="1:6" x14ac:dyDescent="0.3">
      <c r="A11415" s="15" t="s">
        <v>38496</v>
      </c>
      <c r="B11415" s="15" t="s">
        <v>20913</v>
      </c>
      <c r="C11415" s="15" t="s">
        <v>800</v>
      </c>
      <c r="D11415" s="15" t="s">
        <v>20914</v>
      </c>
      <c r="E11415" s="15">
        <v>16.190999999999999</v>
      </c>
      <c r="F11415" s="42">
        <v>46198</v>
      </c>
    </row>
    <row r="11416" spans="1:6" x14ac:dyDescent="0.3">
      <c r="A11416" s="15" t="s">
        <v>38495</v>
      </c>
      <c r="B11416" s="15" t="s">
        <v>20915</v>
      </c>
      <c r="C11416" s="15" t="s">
        <v>20916</v>
      </c>
      <c r="D11416" s="15" t="s">
        <v>20917</v>
      </c>
      <c r="E11416" s="15">
        <v>16.192</v>
      </c>
      <c r="F11416" s="42">
        <v>46198</v>
      </c>
    </row>
    <row r="11417" spans="1:6" x14ac:dyDescent="0.3">
      <c r="A11417" s="15" t="s">
        <v>38494</v>
      </c>
      <c r="B11417" s="15" t="s">
        <v>20918</v>
      </c>
      <c r="C11417" s="15" t="s">
        <v>800</v>
      </c>
      <c r="D11417" s="15" t="s">
        <v>20919</v>
      </c>
      <c r="E11417" s="15">
        <v>12.445399999999999</v>
      </c>
      <c r="F11417" s="42">
        <v>46198</v>
      </c>
    </row>
    <row r="11418" spans="1:6" x14ac:dyDescent="0.3">
      <c r="A11418" s="15" t="s">
        <v>38493</v>
      </c>
      <c r="B11418" s="15" t="s">
        <v>20920</v>
      </c>
      <c r="C11418" s="15" t="s">
        <v>20921</v>
      </c>
      <c r="D11418" s="15" t="s">
        <v>20922</v>
      </c>
      <c r="E11418" s="15">
        <v>12.445499999999999</v>
      </c>
      <c r="F11418" s="42">
        <v>46198</v>
      </c>
    </row>
    <row r="11419" spans="1:6" x14ac:dyDescent="0.3">
      <c r="A11419" s="15" t="s">
        <v>38492</v>
      </c>
      <c r="B11419" s="15" t="s">
        <v>20923</v>
      </c>
      <c r="C11419" s="15" t="s">
        <v>800</v>
      </c>
      <c r="D11419" s="15" t="s">
        <v>20924</v>
      </c>
      <c r="E11419" s="15">
        <v>12.361599999999999</v>
      </c>
      <c r="F11419" s="42">
        <v>46198</v>
      </c>
    </row>
    <row r="11420" spans="1:6" x14ac:dyDescent="0.3">
      <c r="A11420" s="15" t="s">
        <v>38491</v>
      </c>
      <c r="B11420" s="15" t="s">
        <v>20925</v>
      </c>
      <c r="C11420" s="15" t="s">
        <v>20926</v>
      </c>
      <c r="D11420" s="15" t="s">
        <v>20927</v>
      </c>
      <c r="E11420" s="15">
        <v>12.361499999999999</v>
      </c>
      <c r="F11420" s="42">
        <v>46198</v>
      </c>
    </row>
    <row r="11421" spans="1:6" x14ac:dyDescent="0.3">
      <c r="A11421" s="15" t="s">
        <v>38490</v>
      </c>
      <c r="B11421" s="15" t="s">
        <v>20928</v>
      </c>
      <c r="C11421" s="15" t="s">
        <v>20929</v>
      </c>
      <c r="D11421" s="15" t="s">
        <v>20930</v>
      </c>
      <c r="E11421" s="15">
        <v>8.6649999999999991</v>
      </c>
      <c r="F11421" s="42">
        <v>46198</v>
      </c>
    </row>
    <row r="11422" spans="1:6" x14ac:dyDescent="0.3">
      <c r="A11422" s="15" t="s">
        <v>38489</v>
      </c>
      <c r="B11422" s="15" t="s">
        <v>20931</v>
      </c>
      <c r="C11422" s="15" t="s">
        <v>800</v>
      </c>
      <c r="D11422" s="15" t="s">
        <v>20932</v>
      </c>
      <c r="E11422" s="15">
        <v>8.6630000000000003</v>
      </c>
      <c r="F11422" s="42">
        <v>46198</v>
      </c>
    </row>
    <row r="11423" spans="1:6" x14ac:dyDescent="0.3">
      <c r="A11423" s="15" t="s">
        <v>38488</v>
      </c>
      <c r="B11423" s="15" t="s">
        <v>20933</v>
      </c>
      <c r="C11423" s="15" t="s">
        <v>800</v>
      </c>
      <c r="D11423" s="15" t="s">
        <v>20934</v>
      </c>
      <c r="E11423" s="15">
        <v>8.5660000000000007</v>
      </c>
      <c r="F11423" s="42">
        <v>46198</v>
      </c>
    </row>
    <row r="11424" spans="1:6" x14ac:dyDescent="0.3">
      <c r="A11424" s="15" t="s">
        <v>38487</v>
      </c>
      <c r="B11424" s="15" t="s">
        <v>20935</v>
      </c>
      <c r="C11424" s="15" t="s">
        <v>20936</v>
      </c>
      <c r="D11424" s="15" t="s">
        <v>20937</v>
      </c>
      <c r="E11424" s="15">
        <v>8.5660000000000007</v>
      </c>
      <c r="F11424" s="42">
        <v>46198</v>
      </c>
    </row>
    <row r="11425" spans="1:6" x14ac:dyDescent="0.3">
      <c r="A11425" s="15" t="s">
        <v>38486</v>
      </c>
      <c r="B11425" s="15" t="s">
        <v>20938</v>
      </c>
      <c r="C11425" s="15" t="s">
        <v>800</v>
      </c>
      <c r="D11425" s="15" t="s">
        <v>20939</v>
      </c>
      <c r="E11425" s="15">
        <v>11.686</v>
      </c>
      <c r="F11425" s="42">
        <v>46198</v>
      </c>
    </row>
    <row r="11426" spans="1:6" x14ac:dyDescent="0.3">
      <c r="A11426" s="15" t="s">
        <v>38485</v>
      </c>
      <c r="B11426" s="15" t="s">
        <v>20940</v>
      </c>
      <c r="C11426" s="15" t="s">
        <v>20941</v>
      </c>
      <c r="D11426" s="15" t="s">
        <v>20942</v>
      </c>
      <c r="E11426" s="15">
        <v>11.685</v>
      </c>
      <c r="F11426" s="42">
        <v>46198</v>
      </c>
    </row>
    <row r="11427" spans="1:6" x14ac:dyDescent="0.3">
      <c r="A11427" s="15" t="s">
        <v>38484</v>
      </c>
      <c r="B11427" s="15" t="s">
        <v>20943</v>
      </c>
      <c r="C11427" s="15" t="s">
        <v>800</v>
      </c>
      <c r="D11427" s="15" t="s">
        <v>20944</v>
      </c>
      <c r="E11427" s="15">
        <v>11.614000000000001</v>
      </c>
      <c r="F11427" s="42">
        <v>46198</v>
      </c>
    </row>
    <row r="11428" spans="1:6" x14ac:dyDescent="0.3">
      <c r="A11428" s="15" t="s">
        <v>38483</v>
      </c>
      <c r="B11428" s="15" t="s">
        <v>20945</v>
      </c>
      <c r="C11428" s="15" t="s">
        <v>20946</v>
      </c>
      <c r="D11428" s="15" t="s">
        <v>20947</v>
      </c>
      <c r="E11428" s="15">
        <v>11.614000000000001</v>
      </c>
      <c r="F11428" s="42">
        <v>46198</v>
      </c>
    </row>
    <row r="11429" spans="1:6" x14ac:dyDescent="0.3">
      <c r="A11429" s="15" t="s">
        <v>38482</v>
      </c>
      <c r="B11429" s="15" t="s">
        <v>20948</v>
      </c>
      <c r="C11429" s="15" t="s">
        <v>800</v>
      </c>
      <c r="D11429" s="15" t="s">
        <v>20949</v>
      </c>
      <c r="E11429" s="15">
        <v>9.6280000000000001</v>
      </c>
      <c r="F11429" s="42">
        <v>46198</v>
      </c>
    </row>
    <row r="11430" spans="1:6" x14ac:dyDescent="0.3">
      <c r="A11430" s="15" t="s">
        <v>38481</v>
      </c>
      <c r="B11430" s="15" t="s">
        <v>20950</v>
      </c>
      <c r="C11430" s="15" t="s">
        <v>20951</v>
      </c>
      <c r="D11430" s="15" t="s">
        <v>20952</v>
      </c>
      <c r="E11430" s="15">
        <v>9.6280000000000001</v>
      </c>
      <c r="F11430" s="42">
        <v>46198</v>
      </c>
    </row>
    <row r="11431" spans="1:6" x14ac:dyDescent="0.3">
      <c r="A11431" s="15" t="s">
        <v>38480</v>
      </c>
      <c r="B11431" s="15" t="s">
        <v>20953</v>
      </c>
      <c r="C11431" s="15" t="s">
        <v>800</v>
      </c>
      <c r="D11431" s="15" t="s">
        <v>20954</v>
      </c>
      <c r="E11431" s="15">
        <v>9.5210000000000008</v>
      </c>
      <c r="F11431" s="42">
        <v>46198</v>
      </c>
    </row>
    <row r="11432" spans="1:6" x14ac:dyDescent="0.3">
      <c r="A11432" s="15" t="s">
        <v>38479</v>
      </c>
      <c r="B11432" s="15" t="s">
        <v>20955</v>
      </c>
      <c r="C11432" s="15" t="s">
        <v>20956</v>
      </c>
      <c r="D11432" s="15" t="s">
        <v>20957</v>
      </c>
      <c r="E11432" s="15">
        <v>9.5210000000000008</v>
      </c>
      <c r="F11432" s="42">
        <v>46198</v>
      </c>
    </row>
    <row r="11433" spans="1:6" x14ac:dyDescent="0.3">
      <c r="A11433" s="15" t="s">
        <v>38478</v>
      </c>
      <c r="B11433" s="15" t="s">
        <v>20958</v>
      </c>
      <c r="C11433" s="15" t="s">
        <v>800</v>
      </c>
      <c r="D11433" s="15" t="s">
        <v>20959</v>
      </c>
      <c r="E11433" s="15">
        <v>10.81</v>
      </c>
      <c r="F11433" s="42">
        <v>46198</v>
      </c>
    </row>
    <row r="11434" spans="1:6" x14ac:dyDescent="0.3">
      <c r="A11434" s="15" t="s">
        <v>38477</v>
      </c>
      <c r="B11434" s="15" t="s">
        <v>20960</v>
      </c>
      <c r="C11434" s="15" t="s">
        <v>20961</v>
      </c>
      <c r="D11434" s="15" t="s">
        <v>20962</v>
      </c>
      <c r="E11434" s="15">
        <v>10.81</v>
      </c>
      <c r="F11434" s="42">
        <v>46198</v>
      </c>
    </row>
    <row r="11435" spans="1:6" x14ac:dyDescent="0.3">
      <c r="A11435" s="15" t="s">
        <v>38476</v>
      </c>
      <c r="B11435" s="15" t="s">
        <v>20963</v>
      </c>
      <c r="C11435" s="15" t="s">
        <v>800</v>
      </c>
      <c r="D11435" s="15" t="s">
        <v>20964</v>
      </c>
      <c r="E11435" s="15">
        <v>10.688000000000001</v>
      </c>
      <c r="F11435" s="42">
        <v>46198</v>
      </c>
    </row>
    <row r="11436" spans="1:6" x14ac:dyDescent="0.3">
      <c r="A11436" s="15" t="s">
        <v>38475</v>
      </c>
      <c r="B11436" s="15" t="s">
        <v>20965</v>
      </c>
      <c r="C11436" s="15" t="s">
        <v>20966</v>
      </c>
      <c r="D11436" s="15" t="s">
        <v>20967</v>
      </c>
      <c r="E11436" s="15">
        <v>10.688000000000001</v>
      </c>
      <c r="F11436" s="42">
        <v>46198</v>
      </c>
    </row>
    <row r="11437" spans="1:6" x14ac:dyDescent="0.3">
      <c r="A11437" s="15" t="s">
        <v>38474</v>
      </c>
      <c r="B11437" s="15" t="s">
        <v>20968</v>
      </c>
      <c r="C11437" s="15" t="s">
        <v>800</v>
      </c>
      <c r="D11437" s="15" t="s">
        <v>20969</v>
      </c>
      <c r="E11437" s="15">
        <v>21.127600000000001</v>
      </c>
      <c r="F11437" s="42">
        <v>46198</v>
      </c>
    </row>
    <row r="11438" spans="1:6" x14ac:dyDescent="0.3">
      <c r="A11438" s="15" t="s">
        <v>38473</v>
      </c>
      <c r="B11438" s="15" t="s">
        <v>20970</v>
      </c>
      <c r="C11438" s="15" t="s">
        <v>20971</v>
      </c>
      <c r="D11438" s="15" t="s">
        <v>20972</v>
      </c>
      <c r="E11438" s="15">
        <v>21.127400000000002</v>
      </c>
      <c r="F11438" s="42">
        <v>46198</v>
      </c>
    </row>
    <row r="11439" spans="1:6" x14ac:dyDescent="0.3">
      <c r="A11439" s="15" t="s">
        <v>38472</v>
      </c>
      <c r="B11439" s="15" t="s">
        <v>20973</v>
      </c>
      <c r="C11439" s="15" t="s">
        <v>800</v>
      </c>
      <c r="D11439" s="15" t="s">
        <v>20974</v>
      </c>
      <c r="E11439" s="15">
        <v>20.578399999999998</v>
      </c>
      <c r="F11439" s="42">
        <v>46198</v>
      </c>
    </row>
    <row r="11440" spans="1:6" x14ac:dyDescent="0.3">
      <c r="A11440" s="15" t="s">
        <v>38471</v>
      </c>
      <c r="B11440" s="15" t="s">
        <v>20975</v>
      </c>
      <c r="C11440" s="15" t="s">
        <v>20976</v>
      </c>
      <c r="D11440" s="15" t="s">
        <v>20977</v>
      </c>
      <c r="E11440" s="15">
        <v>20.578900000000001</v>
      </c>
      <c r="F11440" s="42">
        <v>46198</v>
      </c>
    </row>
    <row r="11441" spans="1:6" x14ac:dyDescent="0.3">
      <c r="A11441" s="15" t="s">
        <v>38470</v>
      </c>
      <c r="B11441" s="15" t="s">
        <v>20978</v>
      </c>
      <c r="C11441" s="15" t="s">
        <v>800</v>
      </c>
      <c r="D11441" s="15" t="s">
        <v>20979</v>
      </c>
      <c r="E11441" s="15">
        <v>13.1029</v>
      </c>
      <c r="F11441" s="42">
        <v>46198</v>
      </c>
    </row>
    <row r="11442" spans="1:6" x14ac:dyDescent="0.3">
      <c r="A11442" s="15" t="s">
        <v>38469</v>
      </c>
      <c r="B11442" s="15" t="s">
        <v>20980</v>
      </c>
      <c r="C11442" s="15" t="s">
        <v>800</v>
      </c>
      <c r="D11442" s="15" t="s">
        <v>20981</v>
      </c>
      <c r="E11442" s="15">
        <v>13.0151</v>
      </c>
      <c r="F11442" s="42">
        <v>46198</v>
      </c>
    </row>
    <row r="11443" spans="1:6" x14ac:dyDescent="0.3">
      <c r="A11443" s="15" t="s">
        <v>38468</v>
      </c>
      <c r="B11443" s="15" t="s">
        <v>20982</v>
      </c>
      <c r="C11443" s="15" t="s">
        <v>20983</v>
      </c>
      <c r="D11443" s="15" t="s">
        <v>20984</v>
      </c>
      <c r="E11443" s="15">
        <v>13.0154</v>
      </c>
      <c r="F11443" s="42">
        <v>46198</v>
      </c>
    </row>
    <row r="11444" spans="1:6" x14ac:dyDescent="0.3">
      <c r="A11444" s="15" t="s">
        <v>38467</v>
      </c>
      <c r="B11444" s="15" t="s">
        <v>20985</v>
      </c>
      <c r="C11444" s="15" t="s">
        <v>20986</v>
      </c>
      <c r="D11444" s="15" t="s">
        <v>20987</v>
      </c>
      <c r="E11444" s="15">
        <v>13.1022</v>
      </c>
      <c r="F11444" s="42">
        <v>46198</v>
      </c>
    </row>
    <row r="11445" spans="1:6" x14ac:dyDescent="0.3">
      <c r="A11445" s="15" t="s">
        <v>38466</v>
      </c>
      <c r="B11445" s="15" t="s">
        <v>20988</v>
      </c>
      <c r="C11445" s="15" t="s">
        <v>800</v>
      </c>
      <c r="D11445" s="15" t="s">
        <v>20989</v>
      </c>
      <c r="E11445" s="15">
        <v>13.3964</v>
      </c>
      <c r="F11445" s="42">
        <v>46198</v>
      </c>
    </row>
    <row r="11446" spans="1:6" x14ac:dyDescent="0.3">
      <c r="A11446" s="15" t="s">
        <v>38465</v>
      </c>
      <c r="B11446" s="15" t="s">
        <v>20990</v>
      </c>
      <c r="C11446" s="15" t="s">
        <v>20991</v>
      </c>
      <c r="D11446" s="15" t="s">
        <v>20992</v>
      </c>
      <c r="E11446" s="15">
        <v>13.3949</v>
      </c>
      <c r="F11446" s="42">
        <v>46198</v>
      </c>
    </row>
    <row r="11447" spans="1:6" x14ac:dyDescent="0.3">
      <c r="A11447" s="15" t="s">
        <v>38464</v>
      </c>
      <c r="B11447" s="15" t="s">
        <v>20993</v>
      </c>
      <c r="C11447" s="15" t="s">
        <v>800</v>
      </c>
      <c r="D11447" s="15" t="s">
        <v>20994</v>
      </c>
      <c r="E11447" s="15">
        <v>13.297599999999999</v>
      </c>
      <c r="F11447" s="42">
        <v>46198</v>
      </c>
    </row>
    <row r="11448" spans="1:6" x14ac:dyDescent="0.3">
      <c r="A11448" s="15" t="s">
        <v>38463</v>
      </c>
      <c r="B11448" s="15" t="s">
        <v>20995</v>
      </c>
      <c r="C11448" s="15" t="s">
        <v>20996</v>
      </c>
      <c r="D11448" s="15" t="s">
        <v>20997</v>
      </c>
      <c r="E11448" s="15">
        <v>13.301600000000001</v>
      </c>
      <c r="F11448" s="42">
        <v>46198</v>
      </c>
    </row>
    <row r="11449" spans="1:6" x14ac:dyDescent="0.3">
      <c r="A11449" s="15" t="s">
        <v>38462</v>
      </c>
      <c r="B11449" s="15" t="s">
        <v>20998</v>
      </c>
      <c r="C11449" s="15" t="s">
        <v>800</v>
      </c>
      <c r="D11449" s="15" t="s">
        <v>20999</v>
      </c>
      <c r="E11449" s="15">
        <v>12.7491</v>
      </c>
      <c r="F11449" s="42">
        <v>46198</v>
      </c>
    </row>
    <row r="11450" spans="1:6" x14ac:dyDescent="0.3">
      <c r="A11450" s="15" t="s">
        <v>38461</v>
      </c>
      <c r="B11450" s="15" t="s">
        <v>21000</v>
      </c>
      <c r="C11450" s="15" t="s">
        <v>21001</v>
      </c>
      <c r="D11450" s="15" t="s">
        <v>21002</v>
      </c>
      <c r="E11450" s="15">
        <v>12.305999999999999</v>
      </c>
      <c r="F11450" s="42">
        <v>46198</v>
      </c>
    </row>
    <row r="11451" spans="1:6" x14ac:dyDescent="0.3">
      <c r="A11451" s="15" t="s">
        <v>38460</v>
      </c>
      <c r="B11451" s="15" t="s">
        <v>21003</v>
      </c>
      <c r="C11451" s="15" t="s">
        <v>800</v>
      </c>
      <c r="D11451" s="15" t="s">
        <v>21004</v>
      </c>
      <c r="E11451" s="15">
        <v>12.6561</v>
      </c>
      <c r="F11451" s="42">
        <v>46198</v>
      </c>
    </row>
    <row r="11452" spans="1:6" x14ac:dyDescent="0.3">
      <c r="A11452" s="15" t="s">
        <v>38459</v>
      </c>
      <c r="B11452" s="15" t="s">
        <v>21005</v>
      </c>
      <c r="C11452" s="15" t="s">
        <v>21006</v>
      </c>
      <c r="D11452" s="15" t="s">
        <v>21007</v>
      </c>
      <c r="E11452" s="15">
        <v>12.6562</v>
      </c>
      <c r="F11452" s="42">
        <v>46198</v>
      </c>
    </row>
    <row r="11453" spans="1:6" x14ac:dyDescent="0.3">
      <c r="A11453" s="15" t="s">
        <v>38458</v>
      </c>
      <c r="B11453" s="15" t="s">
        <v>21008</v>
      </c>
      <c r="C11453" s="15" t="s">
        <v>800</v>
      </c>
      <c r="D11453" s="15" t="s">
        <v>21009</v>
      </c>
      <c r="E11453" s="15">
        <v>12.9214</v>
      </c>
      <c r="F11453" s="42">
        <v>46198</v>
      </c>
    </row>
    <row r="11454" spans="1:6" x14ac:dyDescent="0.3">
      <c r="A11454" s="15" t="s">
        <v>38457</v>
      </c>
      <c r="B11454" s="15" t="s">
        <v>21010</v>
      </c>
      <c r="C11454" s="15" t="s">
        <v>21011</v>
      </c>
      <c r="D11454" s="15" t="s">
        <v>21012</v>
      </c>
      <c r="E11454" s="15">
        <v>12.541499999999999</v>
      </c>
      <c r="F11454" s="42">
        <v>46198</v>
      </c>
    </row>
    <row r="11455" spans="1:6" x14ac:dyDescent="0.3">
      <c r="A11455" s="15" t="s">
        <v>38456</v>
      </c>
      <c r="B11455" s="15" t="s">
        <v>21013</v>
      </c>
      <c r="C11455" s="15" t="s">
        <v>800</v>
      </c>
      <c r="D11455" s="15" t="s">
        <v>21014</v>
      </c>
      <c r="E11455" s="15">
        <v>12.819900000000001</v>
      </c>
      <c r="F11455" s="42">
        <v>46198</v>
      </c>
    </row>
    <row r="11456" spans="1:6" x14ac:dyDescent="0.3">
      <c r="A11456" s="15" t="s">
        <v>38455</v>
      </c>
      <c r="B11456" s="15" t="s">
        <v>21015</v>
      </c>
      <c r="C11456" s="15" t="s">
        <v>21016</v>
      </c>
      <c r="D11456" s="15" t="s">
        <v>21017</v>
      </c>
      <c r="E11456" s="15">
        <v>12.8184</v>
      </c>
      <c r="F11456" s="42">
        <v>46198</v>
      </c>
    </row>
    <row r="11457" spans="1:6" x14ac:dyDescent="0.3">
      <c r="A11457" s="15" t="s">
        <v>38454</v>
      </c>
      <c r="B11457" s="15" t="s">
        <v>21018</v>
      </c>
      <c r="C11457" s="15" t="s">
        <v>800</v>
      </c>
      <c r="D11457" s="15" t="s">
        <v>21019</v>
      </c>
      <c r="E11457" s="15">
        <v>13.148300000000001</v>
      </c>
      <c r="F11457" s="42">
        <v>46198</v>
      </c>
    </row>
    <row r="11458" spans="1:6" x14ac:dyDescent="0.3">
      <c r="A11458" s="15" t="s">
        <v>38453</v>
      </c>
      <c r="B11458" s="15" t="s">
        <v>21020</v>
      </c>
      <c r="C11458" s="15" t="s">
        <v>21021</v>
      </c>
      <c r="D11458" s="15" t="s">
        <v>21022</v>
      </c>
      <c r="E11458" s="15">
        <v>13.148300000000001</v>
      </c>
      <c r="F11458" s="42">
        <v>46198</v>
      </c>
    </row>
    <row r="11459" spans="1:6" x14ac:dyDescent="0.3">
      <c r="A11459" s="15" t="s">
        <v>38452</v>
      </c>
      <c r="B11459" s="15" t="s">
        <v>21023</v>
      </c>
      <c r="C11459" s="15" t="s">
        <v>800</v>
      </c>
      <c r="D11459" s="15" t="s">
        <v>21024</v>
      </c>
      <c r="E11459" s="15">
        <v>13.054399999999999</v>
      </c>
      <c r="F11459" s="42">
        <v>46198</v>
      </c>
    </row>
    <row r="11460" spans="1:6" x14ac:dyDescent="0.3">
      <c r="A11460" s="15" t="s">
        <v>38451</v>
      </c>
      <c r="B11460" s="15" t="s">
        <v>21025</v>
      </c>
      <c r="C11460" s="15" t="s">
        <v>21026</v>
      </c>
      <c r="D11460" s="15" t="s">
        <v>21027</v>
      </c>
      <c r="E11460" s="15">
        <v>13.0503</v>
      </c>
      <c r="F11460" s="42">
        <v>46198</v>
      </c>
    </row>
    <row r="11461" spans="1:6" x14ac:dyDescent="0.3">
      <c r="A11461" s="15" t="s">
        <v>38450</v>
      </c>
      <c r="B11461" s="15" t="s">
        <v>21028</v>
      </c>
      <c r="C11461" s="15" t="s">
        <v>21029</v>
      </c>
      <c r="D11461" s="15" t="s">
        <v>21030</v>
      </c>
      <c r="E11461" s="15">
        <v>11.497</v>
      </c>
      <c r="F11461" s="42">
        <v>46198</v>
      </c>
    </row>
    <row r="11462" spans="1:6" x14ac:dyDescent="0.3">
      <c r="A11462" s="15" t="s">
        <v>38449</v>
      </c>
      <c r="B11462" s="15" t="s">
        <v>21031</v>
      </c>
      <c r="C11462" s="15" t="s">
        <v>800</v>
      </c>
      <c r="D11462" s="15" t="s">
        <v>21032</v>
      </c>
      <c r="E11462" s="15">
        <v>11.496</v>
      </c>
      <c r="F11462" s="42">
        <v>46198</v>
      </c>
    </row>
    <row r="11463" spans="1:6" x14ac:dyDescent="0.3">
      <c r="A11463" s="15" t="s">
        <v>38448</v>
      </c>
      <c r="B11463" s="15" t="s">
        <v>21033</v>
      </c>
      <c r="C11463" s="15" t="s">
        <v>800</v>
      </c>
      <c r="D11463" s="15" t="s">
        <v>21034</v>
      </c>
      <c r="E11463" s="15">
        <v>11.417999999999999</v>
      </c>
      <c r="F11463" s="42">
        <v>46198</v>
      </c>
    </row>
    <row r="11464" spans="1:6" x14ac:dyDescent="0.3">
      <c r="A11464" s="15" t="s">
        <v>38447</v>
      </c>
      <c r="B11464" s="15" t="s">
        <v>21035</v>
      </c>
      <c r="C11464" s="15" t="s">
        <v>21036</v>
      </c>
      <c r="D11464" s="15" t="s">
        <v>21037</v>
      </c>
      <c r="E11464" s="15">
        <v>11.417999999999999</v>
      </c>
      <c r="F11464" s="42">
        <v>46198</v>
      </c>
    </row>
    <row r="11465" spans="1:6" x14ac:dyDescent="0.3">
      <c r="A11465" s="15" t="s">
        <v>38446</v>
      </c>
      <c r="B11465" s="15" t="s">
        <v>21038</v>
      </c>
      <c r="C11465" s="15" t="s">
        <v>800</v>
      </c>
      <c r="D11465" s="15" t="s">
        <v>21039</v>
      </c>
      <c r="E11465" s="15">
        <v>21.699000000000002</v>
      </c>
      <c r="F11465" s="42">
        <v>46198</v>
      </c>
    </row>
    <row r="11466" spans="1:6" x14ac:dyDescent="0.3">
      <c r="A11466" s="15" t="s">
        <v>38445</v>
      </c>
      <c r="B11466" s="15" t="s">
        <v>21040</v>
      </c>
      <c r="C11466" s="15" t="s">
        <v>21041</v>
      </c>
      <c r="D11466" s="15" t="s">
        <v>21042</v>
      </c>
      <c r="E11466" s="15">
        <v>21.710999999999999</v>
      </c>
      <c r="F11466" s="42">
        <v>46198</v>
      </c>
    </row>
    <row r="11467" spans="1:6" x14ac:dyDescent="0.3">
      <c r="A11467" s="15" t="s">
        <v>38444</v>
      </c>
      <c r="B11467" s="15" t="s">
        <v>21043</v>
      </c>
      <c r="C11467" s="15" t="s">
        <v>800</v>
      </c>
      <c r="D11467" s="15" t="s">
        <v>21044</v>
      </c>
      <c r="E11467" s="15">
        <v>21.263000000000002</v>
      </c>
      <c r="F11467" s="42">
        <v>46198</v>
      </c>
    </row>
    <row r="11468" spans="1:6" x14ac:dyDescent="0.3">
      <c r="A11468" s="15" t="s">
        <v>38443</v>
      </c>
      <c r="B11468" s="15" t="s">
        <v>21045</v>
      </c>
      <c r="C11468" s="15" t="s">
        <v>21046</v>
      </c>
      <c r="D11468" s="15" t="s">
        <v>21047</v>
      </c>
      <c r="E11468" s="15">
        <v>21.263000000000002</v>
      </c>
      <c r="F11468" s="42">
        <v>46198</v>
      </c>
    </row>
    <row r="11469" spans="1:6" x14ac:dyDescent="0.3">
      <c r="A11469" s="15" t="s">
        <v>38442</v>
      </c>
      <c r="B11469" s="15" t="s">
        <v>21048</v>
      </c>
      <c r="C11469" s="15" t="s">
        <v>800</v>
      </c>
      <c r="D11469" s="15" t="s">
        <v>21049</v>
      </c>
      <c r="E11469" s="15">
        <v>9.1829999999999998</v>
      </c>
      <c r="F11469" s="42">
        <v>46198</v>
      </c>
    </row>
    <row r="11470" spans="1:6" x14ac:dyDescent="0.3">
      <c r="A11470" s="15" t="s">
        <v>38441</v>
      </c>
      <c r="B11470" s="15" t="s">
        <v>21050</v>
      </c>
      <c r="C11470" s="15" t="s">
        <v>21051</v>
      </c>
      <c r="D11470" s="15" t="s">
        <v>21052</v>
      </c>
      <c r="E11470" s="15">
        <v>9.1829999999999998</v>
      </c>
      <c r="F11470" s="42">
        <v>46198</v>
      </c>
    </row>
    <row r="11471" spans="1:6" x14ac:dyDescent="0.3">
      <c r="A11471" s="15" t="s">
        <v>38440</v>
      </c>
      <c r="B11471" s="15" t="s">
        <v>21053</v>
      </c>
      <c r="C11471" s="15" t="s">
        <v>800</v>
      </c>
      <c r="D11471" s="15" t="s">
        <v>21054</v>
      </c>
      <c r="E11471" s="15">
        <v>9.1080000000000005</v>
      </c>
      <c r="F11471" s="42">
        <v>46198</v>
      </c>
    </row>
    <row r="11472" spans="1:6" x14ac:dyDescent="0.3">
      <c r="A11472" s="15" t="s">
        <v>38439</v>
      </c>
      <c r="B11472" s="15" t="s">
        <v>21055</v>
      </c>
      <c r="C11472" s="15" t="s">
        <v>21056</v>
      </c>
      <c r="D11472" s="15" t="s">
        <v>21057</v>
      </c>
      <c r="E11472" s="15">
        <v>9.1080000000000005</v>
      </c>
      <c r="F11472" s="42">
        <v>46198</v>
      </c>
    </row>
    <row r="11473" spans="1:6" x14ac:dyDescent="0.3">
      <c r="A11473" s="15" t="s">
        <v>38438</v>
      </c>
      <c r="B11473" s="15" t="s">
        <v>21058</v>
      </c>
      <c r="C11473" s="15" t="s">
        <v>800</v>
      </c>
      <c r="D11473" s="15" t="s">
        <v>21059</v>
      </c>
      <c r="E11473" s="15">
        <v>9.8149999999999995</v>
      </c>
      <c r="F11473" s="42">
        <v>46198</v>
      </c>
    </row>
    <row r="11474" spans="1:6" x14ac:dyDescent="0.3">
      <c r="A11474" s="15" t="s">
        <v>38437</v>
      </c>
      <c r="B11474" s="15" t="s">
        <v>21060</v>
      </c>
      <c r="C11474" s="15" t="s">
        <v>21061</v>
      </c>
      <c r="D11474" s="15" t="s">
        <v>21062</v>
      </c>
      <c r="E11474" s="15">
        <v>9.8149999999999995</v>
      </c>
      <c r="F11474" s="42">
        <v>46198</v>
      </c>
    </row>
    <row r="11475" spans="1:6" x14ac:dyDescent="0.3">
      <c r="A11475" s="15" t="s">
        <v>38436</v>
      </c>
      <c r="B11475" s="15" t="s">
        <v>21063</v>
      </c>
      <c r="C11475" s="15" t="s">
        <v>800</v>
      </c>
      <c r="D11475" s="15" t="s">
        <v>21064</v>
      </c>
      <c r="E11475" s="15">
        <v>9.8030000000000008</v>
      </c>
      <c r="F11475" s="42">
        <v>46198</v>
      </c>
    </row>
    <row r="11476" spans="1:6" x14ac:dyDescent="0.3">
      <c r="A11476" s="15" t="s">
        <v>38435</v>
      </c>
      <c r="B11476" s="15" t="s">
        <v>21065</v>
      </c>
      <c r="C11476" s="15" t="s">
        <v>21066</v>
      </c>
      <c r="D11476" s="15" t="s">
        <v>21067</v>
      </c>
      <c r="E11476" s="15">
        <v>9.8030000000000008</v>
      </c>
      <c r="F11476" s="42">
        <v>46198</v>
      </c>
    </row>
    <row r="11477" spans="1:6" x14ac:dyDescent="0.3">
      <c r="A11477" s="15" t="s">
        <v>38434</v>
      </c>
      <c r="B11477" s="15" t="s">
        <v>21068</v>
      </c>
      <c r="C11477" s="15" t="s">
        <v>800</v>
      </c>
      <c r="D11477" s="15" t="s">
        <v>21069</v>
      </c>
      <c r="E11477" s="15">
        <v>10.254</v>
      </c>
      <c r="F11477" s="42">
        <v>46198</v>
      </c>
    </row>
    <row r="11478" spans="1:6" x14ac:dyDescent="0.3">
      <c r="A11478" s="15" t="s">
        <v>38433</v>
      </c>
      <c r="B11478" s="15" t="s">
        <v>21070</v>
      </c>
      <c r="C11478" s="15" t="s">
        <v>21071</v>
      </c>
      <c r="D11478" s="15" t="s">
        <v>21072</v>
      </c>
      <c r="E11478" s="15">
        <v>10.254</v>
      </c>
      <c r="F11478" s="42">
        <v>46198</v>
      </c>
    </row>
    <row r="11479" spans="1:6" x14ac:dyDescent="0.3">
      <c r="A11479" s="15" t="s">
        <v>38432</v>
      </c>
      <c r="B11479" s="15" t="s">
        <v>21073</v>
      </c>
      <c r="C11479" s="15" t="s">
        <v>800</v>
      </c>
      <c r="D11479" s="15" t="s">
        <v>21074</v>
      </c>
      <c r="E11479" s="15">
        <v>10.236000000000001</v>
      </c>
      <c r="F11479" s="42">
        <v>46198</v>
      </c>
    </row>
    <row r="11480" spans="1:6" x14ac:dyDescent="0.3">
      <c r="A11480" s="15" t="s">
        <v>38431</v>
      </c>
      <c r="B11480" s="15" t="s">
        <v>21075</v>
      </c>
      <c r="C11480" s="15" t="s">
        <v>21076</v>
      </c>
      <c r="D11480" s="15" t="s">
        <v>21077</v>
      </c>
      <c r="E11480" s="15">
        <v>10.236000000000001</v>
      </c>
      <c r="F11480" s="42">
        <v>46198</v>
      </c>
    </row>
    <row r="11481" spans="1:6" x14ac:dyDescent="0.3">
      <c r="A11481" s="15" t="s">
        <v>33499</v>
      </c>
      <c r="B11481" s="15" t="s">
        <v>795</v>
      </c>
      <c r="C11481" s="15" t="s">
        <v>795</v>
      </c>
      <c r="D11481" s="15" t="s">
        <v>795</v>
      </c>
      <c r="F11481" s="42"/>
    </row>
    <row r="11482" spans="1:6" x14ac:dyDescent="0.3">
      <c r="A11482" s="15" t="s">
        <v>37618</v>
      </c>
      <c r="B11482" s="15" t="s">
        <v>795</v>
      </c>
      <c r="C11482" s="15" t="s">
        <v>795</v>
      </c>
      <c r="D11482" s="15" t="s">
        <v>795</v>
      </c>
      <c r="F11482" s="42"/>
    </row>
    <row r="11483" spans="1:6" x14ac:dyDescent="0.3">
      <c r="A11483" s="15" t="s">
        <v>33499</v>
      </c>
      <c r="B11483" s="15" t="s">
        <v>795</v>
      </c>
      <c r="C11483" s="15" t="s">
        <v>795</v>
      </c>
      <c r="D11483" s="15" t="s">
        <v>795</v>
      </c>
      <c r="F11483" s="42"/>
    </row>
    <row r="11484" spans="1:6" x14ac:dyDescent="0.3">
      <c r="A11484" s="15" t="s">
        <v>38430</v>
      </c>
      <c r="B11484" s="15" t="s">
        <v>21078</v>
      </c>
      <c r="C11484" s="15" t="s">
        <v>800</v>
      </c>
      <c r="D11484" s="15" t="s">
        <v>21079</v>
      </c>
      <c r="E11484" s="15">
        <v>155.33340000000001</v>
      </c>
      <c r="F11484" s="42">
        <v>46198</v>
      </c>
    </row>
    <row r="11485" spans="1:6" x14ac:dyDescent="0.3">
      <c r="A11485" s="15" t="s">
        <v>38429</v>
      </c>
      <c r="B11485" s="15" t="s">
        <v>21080</v>
      </c>
      <c r="C11485" s="15" t="s">
        <v>21081</v>
      </c>
      <c r="D11485" s="15" t="s">
        <v>21082</v>
      </c>
      <c r="E11485" s="15">
        <v>52.075299999999999</v>
      </c>
      <c r="F11485" s="42">
        <v>46198</v>
      </c>
    </row>
    <row r="11486" spans="1:6" x14ac:dyDescent="0.3">
      <c r="A11486" s="15" t="s">
        <v>38428</v>
      </c>
      <c r="B11486" s="15" t="s">
        <v>21083</v>
      </c>
      <c r="C11486" s="15" t="s">
        <v>800</v>
      </c>
      <c r="D11486" s="15" t="s">
        <v>21084</v>
      </c>
      <c r="E11486" s="15">
        <v>144.2723</v>
      </c>
      <c r="F11486" s="42">
        <v>46198</v>
      </c>
    </row>
    <row r="11487" spans="1:6" x14ac:dyDescent="0.3">
      <c r="A11487" s="15" t="s">
        <v>38427</v>
      </c>
      <c r="B11487" s="15" t="s">
        <v>21085</v>
      </c>
      <c r="C11487" s="15" t="s">
        <v>21086</v>
      </c>
      <c r="D11487" s="15" t="s">
        <v>21087</v>
      </c>
      <c r="E11487" s="15">
        <v>49.450299999999999</v>
      </c>
      <c r="F11487" s="42">
        <v>46198</v>
      </c>
    </row>
    <row r="11488" spans="1:6" x14ac:dyDescent="0.3">
      <c r="A11488" s="15" t="s">
        <v>38426</v>
      </c>
      <c r="B11488" s="15" t="s">
        <v>21088</v>
      </c>
      <c r="C11488" s="15" t="s">
        <v>800</v>
      </c>
      <c r="D11488" s="15" t="s">
        <v>21089</v>
      </c>
      <c r="E11488" s="15">
        <v>143.8879</v>
      </c>
      <c r="F11488" s="42">
        <v>46198</v>
      </c>
    </row>
    <row r="11489" spans="1:6" x14ac:dyDescent="0.3">
      <c r="A11489" s="15" t="s">
        <v>38425</v>
      </c>
      <c r="B11489" s="15" t="s">
        <v>21090</v>
      </c>
      <c r="C11489" s="15" t="s">
        <v>21091</v>
      </c>
      <c r="D11489" s="15" t="s">
        <v>21092</v>
      </c>
      <c r="E11489" s="15">
        <v>53.014899999999997</v>
      </c>
      <c r="F11489" s="42">
        <v>46198</v>
      </c>
    </row>
    <row r="11490" spans="1:6" x14ac:dyDescent="0.3">
      <c r="A11490" s="15" t="s">
        <v>38424</v>
      </c>
      <c r="B11490" s="15" t="s">
        <v>21093</v>
      </c>
      <c r="C11490" s="15" t="s">
        <v>800</v>
      </c>
      <c r="D11490" s="15" t="s">
        <v>21094</v>
      </c>
      <c r="E11490" s="15">
        <v>132.88030000000001</v>
      </c>
      <c r="F11490" s="42">
        <v>46198</v>
      </c>
    </row>
    <row r="11491" spans="1:6" x14ac:dyDescent="0.3">
      <c r="A11491" s="15" t="s">
        <v>38423</v>
      </c>
      <c r="B11491" s="15" t="s">
        <v>21095</v>
      </c>
      <c r="C11491" s="15" t="s">
        <v>21096</v>
      </c>
      <c r="D11491" s="15" t="s">
        <v>21097</v>
      </c>
      <c r="E11491" s="15">
        <v>49.019199999999998</v>
      </c>
      <c r="F11491" s="42">
        <v>46198</v>
      </c>
    </row>
    <row r="11492" spans="1:6" x14ac:dyDescent="0.3">
      <c r="A11492" s="15" t="s">
        <v>38422</v>
      </c>
      <c r="B11492" s="15" t="s">
        <v>21098</v>
      </c>
      <c r="C11492" s="15" t="s">
        <v>800</v>
      </c>
      <c r="D11492" s="15" t="s">
        <v>21099</v>
      </c>
      <c r="E11492" s="15">
        <v>59.182000000000002</v>
      </c>
      <c r="F11492" s="42">
        <v>46198</v>
      </c>
    </row>
    <row r="11493" spans="1:6" x14ac:dyDescent="0.3">
      <c r="A11493" s="15" t="s">
        <v>38421</v>
      </c>
      <c r="B11493" s="15" t="s">
        <v>21100</v>
      </c>
      <c r="C11493" s="15" t="s">
        <v>21101</v>
      </c>
      <c r="D11493" s="15" t="s">
        <v>21102</v>
      </c>
      <c r="E11493" s="15">
        <v>59.182000000000002</v>
      </c>
      <c r="F11493" s="42">
        <v>46198</v>
      </c>
    </row>
    <row r="11494" spans="1:6" x14ac:dyDescent="0.3">
      <c r="A11494" s="15" t="s">
        <v>38420</v>
      </c>
      <c r="B11494" s="15" t="s">
        <v>21103</v>
      </c>
      <c r="C11494" s="15" t="s">
        <v>800</v>
      </c>
      <c r="D11494" s="15" t="s">
        <v>21104</v>
      </c>
      <c r="E11494" s="15">
        <v>53.677999999999997</v>
      </c>
      <c r="F11494" s="42">
        <v>46198</v>
      </c>
    </row>
    <row r="11495" spans="1:6" x14ac:dyDescent="0.3">
      <c r="A11495" s="15" t="s">
        <v>38419</v>
      </c>
      <c r="B11495" s="15" t="s">
        <v>21105</v>
      </c>
      <c r="C11495" s="15" t="s">
        <v>21106</v>
      </c>
      <c r="D11495" s="15" t="s">
        <v>21107</v>
      </c>
      <c r="E11495" s="15">
        <v>53.677999999999997</v>
      </c>
      <c r="F11495" s="42">
        <v>46198</v>
      </c>
    </row>
    <row r="11496" spans="1:6" x14ac:dyDescent="0.3">
      <c r="A11496" s="15" t="s">
        <v>33499</v>
      </c>
      <c r="B11496" s="15" t="s">
        <v>795</v>
      </c>
      <c r="C11496" s="15" t="s">
        <v>795</v>
      </c>
      <c r="D11496" s="15" t="s">
        <v>795</v>
      </c>
      <c r="F11496" s="42"/>
    </row>
    <row r="11497" spans="1:6" x14ac:dyDescent="0.3">
      <c r="A11497" s="15" t="s">
        <v>37780</v>
      </c>
      <c r="B11497" s="15" t="s">
        <v>795</v>
      </c>
      <c r="C11497" s="15" t="s">
        <v>795</v>
      </c>
      <c r="D11497" s="15" t="s">
        <v>795</v>
      </c>
      <c r="F11497" s="42"/>
    </row>
    <row r="11498" spans="1:6" x14ac:dyDescent="0.3">
      <c r="A11498" s="15" t="s">
        <v>33499</v>
      </c>
      <c r="B11498" s="15" t="s">
        <v>795</v>
      </c>
      <c r="C11498" s="15" t="s">
        <v>795</v>
      </c>
      <c r="D11498" s="15" t="s">
        <v>795</v>
      </c>
      <c r="F11498" s="42"/>
    </row>
    <row r="11499" spans="1:6" x14ac:dyDescent="0.3">
      <c r="A11499" s="15" t="s">
        <v>38418</v>
      </c>
      <c r="B11499" s="15" t="s">
        <v>21108</v>
      </c>
      <c r="C11499" s="15" t="s">
        <v>800</v>
      </c>
      <c r="D11499" s="15" t="s">
        <v>21109</v>
      </c>
      <c r="E11499" s="15">
        <v>13.4306</v>
      </c>
      <c r="F11499" s="42">
        <v>46198</v>
      </c>
    </row>
    <row r="11500" spans="1:6" x14ac:dyDescent="0.3">
      <c r="A11500" s="15" t="s">
        <v>38417</v>
      </c>
      <c r="B11500" s="15" t="s">
        <v>21110</v>
      </c>
      <c r="C11500" s="15" t="s">
        <v>21111</v>
      </c>
      <c r="D11500" s="15" t="s">
        <v>21112</v>
      </c>
      <c r="E11500" s="15">
        <v>13.426600000000001</v>
      </c>
      <c r="F11500" s="42">
        <v>46198</v>
      </c>
    </row>
    <row r="11501" spans="1:6" x14ac:dyDescent="0.3">
      <c r="A11501" s="15" t="s">
        <v>38416</v>
      </c>
      <c r="B11501" s="15" t="s">
        <v>21113</v>
      </c>
      <c r="C11501" s="15" t="s">
        <v>800</v>
      </c>
      <c r="D11501" s="15" t="s">
        <v>21114</v>
      </c>
      <c r="E11501" s="15">
        <v>13.2889</v>
      </c>
      <c r="F11501" s="42">
        <v>46198</v>
      </c>
    </row>
    <row r="11502" spans="1:6" x14ac:dyDescent="0.3">
      <c r="A11502" s="15" t="s">
        <v>38415</v>
      </c>
      <c r="B11502" s="15" t="s">
        <v>21115</v>
      </c>
      <c r="C11502" s="15" t="s">
        <v>21116</v>
      </c>
      <c r="D11502" s="15" t="s">
        <v>21117</v>
      </c>
      <c r="E11502" s="15">
        <v>13.2898</v>
      </c>
      <c r="F11502" s="42">
        <v>46198</v>
      </c>
    </row>
    <row r="11503" spans="1:6" x14ac:dyDescent="0.3">
      <c r="A11503" s="15" t="s">
        <v>38414</v>
      </c>
      <c r="B11503" s="15" t="s">
        <v>21118</v>
      </c>
      <c r="C11503" s="15" t="s">
        <v>800</v>
      </c>
      <c r="D11503" s="15" t="s">
        <v>21119</v>
      </c>
      <c r="E11503" s="15">
        <v>10.62</v>
      </c>
      <c r="F11503" s="42">
        <v>46198</v>
      </c>
    </row>
    <row r="11504" spans="1:6" x14ac:dyDescent="0.3">
      <c r="A11504" s="15" t="s">
        <v>38413</v>
      </c>
      <c r="B11504" s="15" t="s">
        <v>21120</v>
      </c>
      <c r="C11504" s="15" t="s">
        <v>21121</v>
      </c>
      <c r="D11504" s="15" t="s">
        <v>21122</v>
      </c>
      <c r="E11504" s="15">
        <v>10.6188</v>
      </c>
      <c r="F11504" s="42">
        <v>46198</v>
      </c>
    </row>
    <row r="11505" spans="1:6" x14ac:dyDescent="0.3">
      <c r="A11505" s="15" t="s">
        <v>38412</v>
      </c>
      <c r="B11505" s="15" t="s">
        <v>21123</v>
      </c>
      <c r="C11505" s="15" t="s">
        <v>800</v>
      </c>
      <c r="D11505" s="15" t="s">
        <v>21124</v>
      </c>
      <c r="E11505" s="15">
        <v>10.599600000000001</v>
      </c>
      <c r="F11505" s="42">
        <v>46198</v>
      </c>
    </row>
    <row r="11506" spans="1:6" x14ac:dyDescent="0.3">
      <c r="A11506" s="15" t="s">
        <v>38411</v>
      </c>
      <c r="B11506" s="15" t="s">
        <v>21125</v>
      </c>
      <c r="C11506" s="15" t="s">
        <v>21126</v>
      </c>
      <c r="D11506" s="15" t="s">
        <v>21127</v>
      </c>
      <c r="E11506" s="15">
        <v>10.5998</v>
      </c>
      <c r="F11506" s="42">
        <v>46198</v>
      </c>
    </row>
    <row r="11507" spans="1:6" x14ac:dyDescent="0.3">
      <c r="A11507" s="15" t="s">
        <v>38410</v>
      </c>
      <c r="B11507" s="15" t="s">
        <v>21128</v>
      </c>
      <c r="C11507" s="15" t="s">
        <v>800</v>
      </c>
      <c r="D11507" s="15" t="s">
        <v>21129</v>
      </c>
      <c r="E11507" s="15">
        <v>10.0129</v>
      </c>
      <c r="F11507" s="42">
        <v>46198</v>
      </c>
    </row>
    <row r="11508" spans="1:6" x14ac:dyDescent="0.3">
      <c r="A11508" s="15" t="s">
        <v>38409</v>
      </c>
      <c r="B11508" s="15" t="s">
        <v>21130</v>
      </c>
      <c r="C11508" s="15" t="s">
        <v>21131</v>
      </c>
      <c r="D11508" s="15" t="s">
        <v>21132</v>
      </c>
      <c r="E11508" s="15">
        <v>10.0131</v>
      </c>
      <c r="F11508" s="42">
        <v>46198</v>
      </c>
    </row>
    <row r="11509" spans="1:6" x14ac:dyDescent="0.3">
      <c r="A11509" s="15" t="s">
        <v>38408</v>
      </c>
      <c r="B11509" s="15" t="s">
        <v>21133</v>
      </c>
      <c r="C11509" s="15" t="s">
        <v>800</v>
      </c>
      <c r="D11509" s="15" t="s">
        <v>21134</v>
      </c>
      <c r="E11509" s="15">
        <v>9.9076000000000004</v>
      </c>
      <c r="F11509" s="42">
        <v>46198</v>
      </c>
    </row>
    <row r="11510" spans="1:6" x14ac:dyDescent="0.3">
      <c r="A11510" s="15" t="s">
        <v>38407</v>
      </c>
      <c r="B11510" s="15" t="s">
        <v>21135</v>
      </c>
      <c r="C11510" s="15" t="s">
        <v>21136</v>
      </c>
      <c r="D11510" s="15" t="s">
        <v>21137</v>
      </c>
      <c r="E11510" s="15">
        <v>9.9093</v>
      </c>
      <c r="F11510" s="42">
        <v>46198</v>
      </c>
    </row>
    <row r="11511" spans="1:6" x14ac:dyDescent="0.3">
      <c r="A11511" s="15" t="s">
        <v>38406</v>
      </c>
      <c r="B11511" s="15" t="s">
        <v>21138</v>
      </c>
      <c r="C11511" s="15" t="s">
        <v>800</v>
      </c>
      <c r="D11511" s="15" t="s">
        <v>21139</v>
      </c>
      <c r="E11511" s="15">
        <v>10.4939</v>
      </c>
      <c r="F11511" s="42">
        <v>46198</v>
      </c>
    </row>
    <row r="11512" spans="1:6" x14ac:dyDescent="0.3">
      <c r="A11512" s="15" t="s">
        <v>38405</v>
      </c>
      <c r="B11512" s="15" t="s">
        <v>21140</v>
      </c>
      <c r="C11512" s="15" t="s">
        <v>21141</v>
      </c>
      <c r="D11512" s="15" t="s">
        <v>21142</v>
      </c>
      <c r="E11512" s="15">
        <v>10.4948</v>
      </c>
      <c r="F11512" s="42">
        <v>46198</v>
      </c>
    </row>
    <row r="11513" spans="1:6" x14ac:dyDescent="0.3">
      <c r="A11513" s="15" t="s">
        <v>38404</v>
      </c>
      <c r="B11513" s="15" t="s">
        <v>21143</v>
      </c>
      <c r="C11513" s="15" t="s">
        <v>800</v>
      </c>
      <c r="D11513" s="15" t="s">
        <v>21144</v>
      </c>
      <c r="E11513" s="15">
        <v>10.382199999999999</v>
      </c>
      <c r="F11513" s="42">
        <v>46198</v>
      </c>
    </row>
    <row r="11514" spans="1:6" x14ac:dyDescent="0.3">
      <c r="A11514" s="15" t="s">
        <v>38403</v>
      </c>
      <c r="B11514" s="15" t="s">
        <v>21145</v>
      </c>
      <c r="C11514" s="15" t="s">
        <v>21146</v>
      </c>
      <c r="D11514" s="15" t="s">
        <v>21147</v>
      </c>
      <c r="E11514" s="15">
        <v>10.381600000000001</v>
      </c>
      <c r="F11514" s="42">
        <v>46198</v>
      </c>
    </row>
    <row r="11515" spans="1:6" x14ac:dyDescent="0.3">
      <c r="A11515" s="15" t="s">
        <v>38402</v>
      </c>
      <c r="B11515" s="15" t="s">
        <v>21148</v>
      </c>
      <c r="C11515" s="15" t="s">
        <v>21149</v>
      </c>
      <c r="D11515" s="15" t="s">
        <v>21150</v>
      </c>
      <c r="E11515" s="15">
        <v>13.1195</v>
      </c>
      <c r="F11515" s="42">
        <v>46198</v>
      </c>
    </row>
    <row r="11516" spans="1:6" x14ac:dyDescent="0.3">
      <c r="A11516" s="15" t="s">
        <v>38401</v>
      </c>
      <c r="B11516" s="15" t="s">
        <v>21151</v>
      </c>
      <c r="C11516" s="15" t="s">
        <v>800</v>
      </c>
      <c r="D11516" s="15" t="s">
        <v>21152</v>
      </c>
      <c r="E11516" s="15">
        <v>13.029199999999999</v>
      </c>
      <c r="F11516" s="42">
        <v>46198</v>
      </c>
    </row>
    <row r="11517" spans="1:6" x14ac:dyDescent="0.3">
      <c r="A11517" s="15" t="s">
        <v>38400</v>
      </c>
      <c r="B11517" s="15" t="s">
        <v>21153</v>
      </c>
      <c r="C11517" s="15" t="s">
        <v>21154</v>
      </c>
      <c r="D11517" s="15" t="s">
        <v>21155</v>
      </c>
      <c r="E11517" s="15">
        <v>13.0298</v>
      </c>
      <c r="F11517" s="42">
        <v>46198</v>
      </c>
    </row>
    <row r="11518" spans="1:6" x14ac:dyDescent="0.3">
      <c r="A11518" s="15" t="s">
        <v>38399</v>
      </c>
      <c r="B11518" s="15" t="s">
        <v>21156</v>
      </c>
      <c r="C11518" s="15" t="s">
        <v>800</v>
      </c>
      <c r="D11518" s="15" t="s">
        <v>21157</v>
      </c>
      <c r="E11518" s="15">
        <v>13.119</v>
      </c>
      <c r="F11518" s="42">
        <v>46198</v>
      </c>
    </row>
    <row r="11519" spans="1:6" x14ac:dyDescent="0.3">
      <c r="A11519" s="15" t="s">
        <v>38398</v>
      </c>
      <c r="B11519" s="15" t="s">
        <v>21158</v>
      </c>
      <c r="C11519" s="15" t="s">
        <v>800</v>
      </c>
      <c r="D11519" s="15" t="s">
        <v>21159</v>
      </c>
      <c r="E11519" s="15">
        <v>12.719200000000001</v>
      </c>
      <c r="F11519" s="42">
        <v>46198</v>
      </c>
    </row>
    <row r="11520" spans="1:6" x14ac:dyDescent="0.3">
      <c r="A11520" s="15" t="s">
        <v>38397</v>
      </c>
      <c r="B11520" s="15" t="s">
        <v>21160</v>
      </c>
      <c r="C11520" s="15" t="s">
        <v>21161</v>
      </c>
      <c r="D11520" s="15" t="s">
        <v>21162</v>
      </c>
      <c r="E11520" s="15">
        <v>12.7186</v>
      </c>
      <c r="F11520" s="42">
        <v>46198</v>
      </c>
    </row>
    <row r="11521" spans="1:6" x14ac:dyDescent="0.3">
      <c r="A11521" s="15" t="s">
        <v>38396</v>
      </c>
      <c r="B11521" s="15" t="s">
        <v>21163</v>
      </c>
      <c r="C11521" s="15" t="s">
        <v>21164</v>
      </c>
      <c r="D11521" s="15" t="s">
        <v>21165</v>
      </c>
      <c r="E11521" s="15">
        <v>12.5669</v>
      </c>
      <c r="F11521" s="42">
        <v>46198</v>
      </c>
    </row>
    <row r="11522" spans="1:6" x14ac:dyDescent="0.3">
      <c r="A11522" s="15" t="s">
        <v>38395</v>
      </c>
      <c r="B11522" s="15" t="s">
        <v>21166</v>
      </c>
      <c r="C11522" s="15" t="s">
        <v>800</v>
      </c>
      <c r="D11522" s="15" t="s">
        <v>21167</v>
      </c>
      <c r="E11522" s="15">
        <v>12.566599999999999</v>
      </c>
      <c r="F11522" s="42">
        <v>46198</v>
      </c>
    </row>
    <row r="11523" spans="1:6" x14ac:dyDescent="0.3">
      <c r="A11523" s="15" t="s">
        <v>38394</v>
      </c>
      <c r="B11523" s="15" t="s">
        <v>21168</v>
      </c>
      <c r="C11523" s="15" t="s">
        <v>800</v>
      </c>
      <c r="D11523" s="15" t="s">
        <v>21169</v>
      </c>
      <c r="E11523" s="15">
        <v>10.340299999999999</v>
      </c>
      <c r="F11523" s="42">
        <v>46198</v>
      </c>
    </row>
    <row r="11524" spans="1:6" x14ac:dyDescent="0.3">
      <c r="A11524" s="15" t="s">
        <v>38393</v>
      </c>
      <c r="B11524" s="15" t="s">
        <v>21170</v>
      </c>
      <c r="C11524" s="15" t="s">
        <v>21171</v>
      </c>
      <c r="D11524" s="15" t="s">
        <v>21172</v>
      </c>
      <c r="E11524" s="15">
        <v>10.34</v>
      </c>
      <c r="F11524" s="42">
        <v>46198</v>
      </c>
    </row>
    <row r="11525" spans="1:6" x14ac:dyDescent="0.3">
      <c r="A11525" s="15" t="s">
        <v>38392</v>
      </c>
      <c r="B11525" s="15" t="s">
        <v>21173</v>
      </c>
      <c r="C11525" s="15" t="s">
        <v>800</v>
      </c>
      <c r="D11525" s="15" t="s">
        <v>21174</v>
      </c>
      <c r="E11525" s="15">
        <v>10.222799999999999</v>
      </c>
      <c r="F11525" s="42">
        <v>46198</v>
      </c>
    </row>
    <row r="11526" spans="1:6" x14ac:dyDescent="0.3">
      <c r="A11526" s="15" t="s">
        <v>38391</v>
      </c>
      <c r="B11526" s="15" t="s">
        <v>21175</v>
      </c>
      <c r="C11526" s="15" t="s">
        <v>21176</v>
      </c>
      <c r="D11526" s="15" t="s">
        <v>21177</v>
      </c>
      <c r="E11526" s="15">
        <v>10.2224</v>
      </c>
      <c r="F11526" s="42">
        <v>46198</v>
      </c>
    </row>
    <row r="11527" spans="1:6" x14ac:dyDescent="0.3">
      <c r="A11527" s="15" t="s">
        <v>33499</v>
      </c>
      <c r="B11527" s="15" t="s">
        <v>795</v>
      </c>
      <c r="C11527" s="15" t="s">
        <v>795</v>
      </c>
      <c r="D11527" s="15" t="s">
        <v>795</v>
      </c>
      <c r="F11527" s="42"/>
    </row>
    <row r="11528" spans="1:6" x14ac:dyDescent="0.3">
      <c r="A11528" s="15" t="s">
        <v>37742</v>
      </c>
      <c r="B11528" s="15" t="s">
        <v>795</v>
      </c>
      <c r="C11528" s="15" t="s">
        <v>795</v>
      </c>
      <c r="D11528" s="15" t="s">
        <v>795</v>
      </c>
      <c r="F11528" s="42"/>
    </row>
    <row r="11529" spans="1:6" x14ac:dyDescent="0.3">
      <c r="A11529" s="15" t="s">
        <v>33499</v>
      </c>
      <c r="B11529" s="15" t="s">
        <v>795</v>
      </c>
      <c r="C11529" s="15" t="s">
        <v>795</v>
      </c>
      <c r="D11529" s="15" t="s">
        <v>795</v>
      </c>
      <c r="F11529" s="42"/>
    </row>
    <row r="11530" spans="1:6" x14ac:dyDescent="0.3">
      <c r="A11530" s="15" t="s">
        <v>38390</v>
      </c>
      <c r="B11530" s="15" t="s">
        <v>21178</v>
      </c>
      <c r="C11530" s="15" t="s">
        <v>800</v>
      </c>
      <c r="D11530" s="15" t="s">
        <v>21179</v>
      </c>
      <c r="E11530" s="15">
        <v>9.9877000000000002</v>
      </c>
      <c r="F11530" s="42">
        <v>46198</v>
      </c>
    </row>
    <row r="11531" spans="1:6" x14ac:dyDescent="0.3">
      <c r="A11531" s="15" t="s">
        <v>38389</v>
      </c>
      <c r="B11531" s="15" t="s">
        <v>21180</v>
      </c>
      <c r="C11531" s="15" t="s">
        <v>800</v>
      </c>
      <c r="D11531" s="15" t="s">
        <v>21181</v>
      </c>
      <c r="E11531" s="15">
        <v>9.9158000000000008</v>
      </c>
      <c r="F11531" s="42">
        <v>46198</v>
      </c>
    </row>
    <row r="11532" spans="1:6" x14ac:dyDescent="0.3">
      <c r="A11532" s="15" t="s">
        <v>38388</v>
      </c>
      <c r="B11532" s="15" t="s">
        <v>21182</v>
      </c>
      <c r="C11532" s="15" t="s">
        <v>800</v>
      </c>
      <c r="D11532" s="15" t="s">
        <v>21183</v>
      </c>
      <c r="E11532" s="15">
        <v>27.957000000000001</v>
      </c>
      <c r="F11532" s="42">
        <v>46198</v>
      </c>
    </row>
    <row r="11533" spans="1:6" x14ac:dyDescent="0.3">
      <c r="A11533" s="15" t="s">
        <v>38387</v>
      </c>
      <c r="B11533" s="15" t="s">
        <v>21184</v>
      </c>
      <c r="C11533" s="15" t="s">
        <v>800</v>
      </c>
      <c r="D11533" s="15" t="s">
        <v>21185</v>
      </c>
      <c r="E11533" s="15">
        <v>27.237500000000001</v>
      </c>
      <c r="F11533" s="42">
        <v>46198</v>
      </c>
    </row>
    <row r="11534" spans="1:6" x14ac:dyDescent="0.3">
      <c r="A11534" s="15" t="s">
        <v>38386</v>
      </c>
      <c r="B11534" s="15" t="s">
        <v>21186</v>
      </c>
      <c r="C11534" s="15" t="s">
        <v>800</v>
      </c>
      <c r="D11534" s="15" t="s">
        <v>21187</v>
      </c>
      <c r="E11534" s="15">
        <v>17.463699999999999</v>
      </c>
      <c r="F11534" s="42">
        <v>46198</v>
      </c>
    </row>
    <row r="11535" spans="1:6" x14ac:dyDescent="0.3">
      <c r="A11535" s="15" t="s">
        <v>38385</v>
      </c>
      <c r="B11535" s="15" t="s">
        <v>21188</v>
      </c>
      <c r="C11535" s="15" t="s">
        <v>800</v>
      </c>
      <c r="D11535" s="15" t="s">
        <v>21189</v>
      </c>
      <c r="E11535" s="15">
        <v>17.002500000000001</v>
      </c>
      <c r="F11535" s="42">
        <v>46198</v>
      </c>
    </row>
    <row r="11536" spans="1:6" x14ac:dyDescent="0.3">
      <c r="A11536" s="15" t="s">
        <v>38384</v>
      </c>
      <c r="B11536" s="15" t="s">
        <v>21190</v>
      </c>
      <c r="C11536" s="15" t="s">
        <v>800</v>
      </c>
      <c r="D11536" s="15" t="s">
        <v>21191</v>
      </c>
      <c r="E11536" s="15">
        <v>16.231400000000001</v>
      </c>
      <c r="F11536" s="42">
        <v>46198</v>
      </c>
    </row>
    <row r="11537" spans="1:6" x14ac:dyDescent="0.3">
      <c r="A11537" s="15" t="s">
        <v>38383</v>
      </c>
      <c r="B11537" s="15" t="s">
        <v>21192</v>
      </c>
      <c r="C11537" s="15" t="s">
        <v>800</v>
      </c>
      <c r="D11537" s="15" t="s">
        <v>21193</v>
      </c>
      <c r="E11537" s="15">
        <v>15.785399999999999</v>
      </c>
      <c r="F11537" s="42">
        <v>46198</v>
      </c>
    </row>
    <row r="11538" spans="1:6" x14ac:dyDescent="0.3">
      <c r="A11538" s="15" t="s">
        <v>38382</v>
      </c>
      <c r="B11538" s="15" t="s">
        <v>21194</v>
      </c>
      <c r="C11538" s="15" t="s">
        <v>800</v>
      </c>
      <c r="D11538" s="15" t="s">
        <v>21195</v>
      </c>
      <c r="E11538" s="15">
        <v>17.522600000000001</v>
      </c>
      <c r="F11538" s="42">
        <v>46198</v>
      </c>
    </row>
    <row r="11539" spans="1:6" x14ac:dyDescent="0.3">
      <c r="A11539" s="15" t="s">
        <v>38381</v>
      </c>
      <c r="B11539" s="15" t="s">
        <v>21196</v>
      </c>
      <c r="C11539" s="15" t="s">
        <v>800</v>
      </c>
      <c r="D11539" s="15" t="s">
        <v>21197</v>
      </c>
      <c r="E11539" s="15">
        <v>17.066800000000001</v>
      </c>
      <c r="F11539" s="42">
        <v>46198</v>
      </c>
    </row>
    <row r="11540" spans="1:6" x14ac:dyDescent="0.3">
      <c r="A11540" s="15" t="s">
        <v>38380</v>
      </c>
      <c r="B11540" s="15" t="s">
        <v>21198</v>
      </c>
      <c r="C11540" s="15" t="s">
        <v>800</v>
      </c>
      <c r="D11540" s="15" t="s">
        <v>21199</v>
      </c>
      <c r="E11540" s="15">
        <v>15.5649</v>
      </c>
      <c r="F11540" s="42">
        <v>46198</v>
      </c>
    </row>
    <row r="11541" spans="1:6" x14ac:dyDescent="0.3">
      <c r="A11541" s="15" t="s">
        <v>38379</v>
      </c>
      <c r="B11541" s="15" t="s">
        <v>21200</v>
      </c>
      <c r="C11541" s="15" t="s">
        <v>800</v>
      </c>
      <c r="D11541" s="15" t="s">
        <v>21201</v>
      </c>
      <c r="E11541" s="15">
        <v>15.1097</v>
      </c>
      <c r="F11541" s="42">
        <v>46198</v>
      </c>
    </row>
    <row r="11542" spans="1:6" x14ac:dyDescent="0.3">
      <c r="A11542" s="15" t="s">
        <v>38378</v>
      </c>
      <c r="B11542" s="15" t="s">
        <v>21202</v>
      </c>
      <c r="C11542" s="15" t="s">
        <v>800</v>
      </c>
      <c r="D11542" s="15" t="s">
        <v>21203</v>
      </c>
      <c r="E11542" s="15">
        <v>20.944600000000001</v>
      </c>
      <c r="F11542" s="42">
        <v>46198</v>
      </c>
    </row>
    <row r="11543" spans="1:6" x14ac:dyDescent="0.3">
      <c r="A11543" s="15" t="s">
        <v>38377</v>
      </c>
      <c r="B11543" s="15" t="s">
        <v>21204</v>
      </c>
      <c r="C11543" s="15" t="s">
        <v>800</v>
      </c>
      <c r="D11543" s="15" t="s">
        <v>21205</v>
      </c>
      <c r="E11543" s="15">
        <v>20.3933</v>
      </c>
      <c r="F11543" s="42">
        <v>46198</v>
      </c>
    </row>
    <row r="11544" spans="1:6" x14ac:dyDescent="0.3">
      <c r="A11544" s="15" t="s">
        <v>38376</v>
      </c>
      <c r="B11544" s="15" t="s">
        <v>21206</v>
      </c>
      <c r="C11544" s="15" t="s">
        <v>800</v>
      </c>
      <c r="D11544" s="15" t="s">
        <v>21207</v>
      </c>
      <c r="E11544" s="15">
        <v>26.953199999999999</v>
      </c>
      <c r="F11544" s="42">
        <v>46198</v>
      </c>
    </row>
    <row r="11545" spans="1:6" x14ac:dyDescent="0.3">
      <c r="A11545" s="15" t="s">
        <v>38375</v>
      </c>
      <c r="B11545" s="15" t="s">
        <v>21208</v>
      </c>
      <c r="C11545" s="15" t="s">
        <v>800</v>
      </c>
      <c r="D11545" s="15" t="s">
        <v>21209</v>
      </c>
      <c r="E11545" s="15">
        <v>25.7395</v>
      </c>
      <c r="F11545" s="42">
        <v>46198</v>
      </c>
    </row>
    <row r="11546" spans="1:6" x14ac:dyDescent="0.3">
      <c r="A11546" s="15" t="s">
        <v>38374</v>
      </c>
      <c r="B11546" s="15" t="s">
        <v>21210</v>
      </c>
      <c r="C11546" s="15" t="s">
        <v>800</v>
      </c>
      <c r="D11546" s="15" t="s">
        <v>21211</v>
      </c>
      <c r="E11546" s="15">
        <v>8.4129000000000005</v>
      </c>
      <c r="F11546" s="42">
        <v>46198</v>
      </c>
    </row>
    <row r="11547" spans="1:6" x14ac:dyDescent="0.3">
      <c r="A11547" s="15" t="s">
        <v>38373</v>
      </c>
      <c r="B11547" s="15" t="s">
        <v>21212</v>
      </c>
      <c r="C11547" s="15" t="s">
        <v>800</v>
      </c>
      <c r="D11547" s="15" t="s">
        <v>21213</v>
      </c>
      <c r="E11547" s="15">
        <v>8.3120999999999992</v>
      </c>
      <c r="F11547" s="42">
        <v>46198</v>
      </c>
    </row>
    <row r="11548" spans="1:6" x14ac:dyDescent="0.3">
      <c r="A11548" s="15" t="s">
        <v>38372</v>
      </c>
      <c r="B11548" s="15" t="s">
        <v>21214</v>
      </c>
      <c r="C11548" s="15" t="s">
        <v>800</v>
      </c>
      <c r="D11548" s="15" t="s">
        <v>21215</v>
      </c>
      <c r="E11548" s="15">
        <v>20.6021</v>
      </c>
      <c r="F11548" s="42">
        <v>46198</v>
      </c>
    </row>
    <row r="11549" spans="1:6" x14ac:dyDescent="0.3">
      <c r="A11549" s="15" t="s">
        <v>38371</v>
      </c>
      <c r="B11549" s="15" t="s">
        <v>21216</v>
      </c>
      <c r="C11549" s="15" t="s">
        <v>800</v>
      </c>
      <c r="D11549" s="15" t="s">
        <v>21217</v>
      </c>
      <c r="E11549" s="15">
        <v>21.627400000000002</v>
      </c>
      <c r="F11549" s="42">
        <v>46198</v>
      </c>
    </row>
    <row r="11550" spans="1:6" x14ac:dyDescent="0.3">
      <c r="A11550" s="15" t="s">
        <v>38370</v>
      </c>
      <c r="B11550" s="15" t="s">
        <v>21218</v>
      </c>
      <c r="C11550" s="15" t="s">
        <v>800</v>
      </c>
      <c r="D11550" s="15" t="s">
        <v>21219</v>
      </c>
      <c r="E11550" s="15">
        <v>12.921200000000001</v>
      </c>
      <c r="F11550" s="42">
        <v>46198</v>
      </c>
    </row>
    <row r="11551" spans="1:6" x14ac:dyDescent="0.3">
      <c r="A11551" s="15" t="s">
        <v>38369</v>
      </c>
      <c r="B11551" s="15" t="s">
        <v>21220</v>
      </c>
      <c r="C11551" s="15" t="s">
        <v>800</v>
      </c>
      <c r="D11551" s="15" t="s">
        <v>21221</v>
      </c>
      <c r="E11551" s="15">
        <v>12.793699999999999</v>
      </c>
      <c r="F11551" s="42">
        <v>46198</v>
      </c>
    </row>
    <row r="11552" spans="1:6" x14ac:dyDescent="0.3">
      <c r="A11552" s="15" t="s">
        <v>38368</v>
      </c>
      <c r="B11552" s="15" t="s">
        <v>21222</v>
      </c>
      <c r="C11552" s="15" t="s">
        <v>800</v>
      </c>
      <c r="D11552" s="15" t="s">
        <v>21223</v>
      </c>
      <c r="E11552" s="15">
        <v>12.314</v>
      </c>
      <c r="F11552" s="42">
        <v>46198</v>
      </c>
    </row>
    <row r="11553" spans="1:6" x14ac:dyDescent="0.3">
      <c r="A11553" s="15" t="s">
        <v>38367</v>
      </c>
      <c r="B11553" s="15" t="s">
        <v>21224</v>
      </c>
      <c r="C11553" s="15" t="s">
        <v>800</v>
      </c>
      <c r="D11553" s="15" t="s">
        <v>21225</v>
      </c>
      <c r="E11553" s="15">
        <v>12.145899999999999</v>
      </c>
      <c r="F11553" s="42">
        <v>46198</v>
      </c>
    </row>
    <row r="11554" spans="1:6" x14ac:dyDescent="0.3">
      <c r="A11554" s="15" t="s">
        <v>38366</v>
      </c>
      <c r="B11554" s="15" t="s">
        <v>21226</v>
      </c>
      <c r="C11554" s="15" t="s">
        <v>800</v>
      </c>
      <c r="D11554" s="15" t="s">
        <v>21227</v>
      </c>
      <c r="E11554" s="15">
        <v>18.224900000000002</v>
      </c>
      <c r="F11554" s="42">
        <v>46198</v>
      </c>
    </row>
    <row r="11555" spans="1:6" x14ac:dyDescent="0.3">
      <c r="A11555" s="15" t="s">
        <v>38365</v>
      </c>
      <c r="B11555" s="15" t="s">
        <v>21228</v>
      </c>
      <c r="C11555" s="15" t="s">
        <v>800</v>
      </c>
      <c r="D11555" s="15" t="s">
        <v>21229</v>
      </c>
      <c r="E11555" s="15">
        <v>17.883500000000002</v>
      </c>
      <c r="F11555" s="42">
        <v>46198</v>
      </c>
    </row>
    <row r="11556" spans="1:6" x14ac:dyDescent="0.3">
      <c r="A11556" s="15" t="s">
        <v>38364</v>
      </c>
      <c r="B11556" s="15" t="s">
        <v>21230</v>
      </c>
      <c r="C11556" s="15" t="s">
        <v>800</v>
      </c>
      <c r="D11556" s="15" t="s">
        <v>21231</v>
      </c>
      <c r="E11556" s="15">
        <v>41.239400000000003</v>
      </c>
      <c r="F11556" s="42">
        <v>46198</v>
      </c>
    </row>
    <row r="11557" spans="1:6" x14ac:dyDescent="0.3">
      <c r="A11557" s="15" t="s">
        <v>38363</v>
      </c>
      <c r="B11557" s="15" t="s">
        <v>21232</v>
      </c>
      <c r="C11557" s="15" t="s">
        <v>800</v>
      </c>
      <c r="D11557" s="15" t="s">
        <v>21233</v>
      </c>
      <c r="E11557" s="15">
        <v>39.238500000000002</v>
      </c>
      <c r="F11557" s="42">
        <v>46198</v>
      </c>
    </row>
    <row r="11558" spans="1:6" x14ac:dyDescent="0.3">
      <c r="A11558" s="15" t="s">
        <v>38362</v>
      </c>
      <c r="B11558" s="15" t="s">
        <v>21234</v>
      </c>
      <c r="C11558" s="15" t="s">
        <v>800</v>
      </c>
      <c r="D11558" s="15" t="s">
        <v>21235</v>
      </c>
      <c r="E11558" s="15">
        <v>14.498200000000001</v>
      </c>
      <c r="F11558" s="42">
        <v>46198</v>
      </c>
    </row>
    <row r="11559" spans="1:6" x14ac:dyDescent="0.3">
      <c r="A11559" s="15" t="s">
        <v>38361</v>
      </c>
      <c r="B11559" s="15" t="s">
        <v>21236</v>
      </c>
      <c r="C11559" s="15" t="s">
        <v>800</v>
      </c>
      <c r="D11559" s="15" t="s">
        <v>21237</v>
      </c>
      <c r="E11559" s="15">
        <v>14.387600000000001</v>
      </c>
      <c r="F11559" s="42">
        <v>46198</v>
      </c>
    </row>
    <row r="11560" spans="1:6" x14ac:dyDescent="0.3">
      <c r="A11560" s="15" t="s">
        <v>38360</v>
      </c>
      <c r="B11560" s="15" t="s">
        <v>21238</v>
      </c>
      <c r="C11560" s="15" t="s">
        <v>800</v>
      </c>
      <c r="D11560" s="15" t="s">
        <v>21239</v>
      </c>
      <c r="E11560" s="15">
        <v>11.828099999999999</v>
      </c>
      <c r="F11560" s="42">
        <v>46198</v>
      </c>
    </row>
    <row r="11561" spans="1:6" x14ac:dyDescent="0.3">
      <c r="A11561" s="15" t="s">
        <v>38359</v>
      </c>
      <c r="B11561" s="15" t="s">
        <v>21240</v>
      </c>
      <c r="C11561" s="15" t="s">
        <v>800</v>
      </c>
      <c r="D11561" s="15" t="s">
        <v>21241</v>
      </c>
      <c r="E11561" s="15">
        <v>11.7393</v>
      </c>
      <c r="F11561" s="42">
        <v>46198</v>
      </c>
    </row>
    <row r="11562" spans="1:6" x14ac:dyDescent="0.3">
      <c r="A11562" s="15" t="s">
        <v>38358</v>
      </c>
      <c r="B11562" s="15" t="s">
        <v>21242</v>
      </c>
      <c r="C11562" s="15" t="s">
        <v>800</v>
      </c>
      <c r="D11562" s="15" t="s">
        <v>21243</v>
      </c>
      <c r="E11562" s="15">
        <v>9.4214000000000002</v>
      </c>
      <c r="F11562" s="42">
        <v>46198</v>
      </c>
    </row>
    <row r="11563" spans="1:6" x14ac:dyDescent="0.3">
      <c r="A11563" s="15" t="s">
        <v>38357</v>
      </c>
      <c r="B11563" s="15" t="s">
        <v>21244</v>
      </c>
      <c r="C11563" s="15" t="s">
        <v>800</v>
      </c>
      <c r="D11563" s="15" t="s">
        <v>21245</v>
      </c>
      <c r="E11563" s="15">
        <v>9.3498999999999999</v>
      </c>
      <c r="F11563" s="42">
        <v>46198</v>
      </c>
    </row>
    <row r="11564" spans="1:6" x14ac:dyDescent="0.3">
      <c r="A11564" s="15" t="s">
        <v>38356</v>
      </c>
      <c r="B11564" s="15" t="s">
        <v>21246</v>
      </c>
      <c r="C11564" s="15" t="s">
        <v>800</v>
      </c>
      <c r="D11564" s="15" t="s">
        <v>21247</v>
      </c>
      <c r="E11564" s="15">
        <v>9.1539999999999999</v>
      </c>
      <c r="F11564" s="42">
        <v>46198</v>
      </c>
    </row>
    <row r="11565" spans="1:6" x14ac:dyDescent="0.3">
      <c r="A11565" s="15" t="s">
        <v>38355</v>
      </c>
      <c r="B11565" s="15" t="s">
        <v>21248</v>
      </c>
      <c r="C11565" s="15" t="s">
        <v>800</v>
      </c>
      <c r="D11565" s="15" t="s">
        <v>21249</v>
      </c>
      <c r="E11565" s="15">
        <v>9.0836000000000006</v>
      </c>
      <c r="F11565" s="42">
        <v>46198</v>
      </c>
    </row>
    <row r="11566" spans="1:6" x14ac:dyDescent="0.3">
      <c r="A11566" s="15" t="s">
        <v>38354</v>
      </c>
      <c r="B11566" s="15" t="s">
        <v>21250</v>
      </c>
      <c r="C11566" s="15" t="s">
        <v>800</v>
      </c>
      <c r="D11566" s="15" t="s">
        <v>21251</v>
      </c>
      <c r="E11566" s="15">
        <v>25.897200000000002</v>
      </c>
      <c r="F11566" s="42">
        <v>46198</v>
      </c>
    </row>
    <row r="11567" spans="1:6" x14ac:dyDescent="0.3">
      <c r="A11567" s="15" t="s">
        <v>38353</v>
      </c>
      <c r="B11567" s="15" t="s">
        <v>21252</v>
      </c>
      <c r="C11567" s="15" t="s">
        <v>800</v>
      </c>
      <c r="D11567" s="15" t="s">
        <v>21253</v>
      </c>
      <c r="E11567" s="15">
        <v>24.765699999999999</v>
      </c>
      <c r="F11567" s="42">
        <v>46198</v>
      </c>
    </row>
    <row r="11568" spans="1:6" x14ac:dyDescent="0.3">
      <c r="A11568" s="15" t="s">
        <v>38352</v>
      </c>
      <c r="B11568" s="15" t="s">
        <v>21254</v>
      </c>
      <c r="C11568" s="15" t="s">
        <v>800</v>
      </c>
      <c r="D11568" s="15" t="s">
        <v>21255</v>
      </c>
      <c r="E11568" s="15">
        <v>37.792099999999998</v>
      </c>
      <c r="F11568" s="42">
        <v>46198</v>
      </c>
    </row>
    <row r="11569" spans="1:6" x14ac:dyDescent="0.3">
      <c r="A11569" s="15" t="s">
        <v>38351</v>
      </c>
      <c r="B11569" s="15" t="s">
        <v>21256</v>
      </c>
      <c r="C11569" s="15" t="s">
        <v>800</v>
      </c>
      <c r="D11569" s="15" t="s">
        <v>21257</v>
      </c>
      <c r="E11569" s="15">
        <v>39.619399999999999</v>
      </c>
      <c r="F11569" s="42">
        <v>46198</v>
      </c>
    </row>
    <row r="11570" spans="1:6" x14ac:dyDescent="0.3">
      <c r="A11570" s="15" t="s">
        <v>38350</v>
      </c>
      <c r="B11570" s="15" t="s">
        <v>21258</v>
      </c>
      <c r="C11570" s="15" t="s">
        <v>800</v>
      </c>
      <c r="D11570" s="15" t="s">
        <v>21259</v>
      </c>
      <c r="E11570" s="15">
        <v>32.048200000000001</v>
      </c>
      <c r="F11570" s="42">
        <v>46198</v>
      </c>
    </row>
    <row r="11571" spans="1:6" x14ac:dyDescent="0.3">
      <c r="A11571" s="15" t="s">
        <v>38349</v>
      </c>
      <c r="B11571" s="15" t="s">
        <v>21260</v>
      </c>
      <c r="C11571" s="15" t="s">
        <v>800</v>
      </c>
      <c r="D11571" s="15" t="s">
        <v>21261</v>
      </c>
      <c r="E11571" s="15">
        <v>30.9346</v>
      </c>
      <c r="F11571" s="42">
        <v>46198</v>
      </c>
    </row>
    <row r="11572" spans="1:6" x14ac:dyDescent="0.3">
      <c r="A11572" s="15" t="s">
        <v>33499</v>
      </c>
      <c r="B11572" s="15" t="s">
        <v>795</v>
      </c>
      <c r="C11572" s="15" t="s">
        <v>795</v>
      </c>
      <c r="D11572" s="15" t="s">
        <v>795</v>
      </c>
      <c r="F11572" s="42"/>
    </row>
    <row r="11573" spans="1:6" x14ac:dyDescent="0.3">
      <c r="A11573" s="15" t="s">
        <v>38348</v>
      </c>
      <c r="B11573" s="15" t="s">
        <v>795</v>
      </c>
      <c r="C11573" s="15" t="s">
        <v>795</v>
      </c>
      <c r="D11573" s="15" t="s">
        <v>795</v>
      </c>
      <c r="F11573" s="42"/>
    </row>
    <row r="11574" spans="1:6" x14ac:dyDescent="0.3">
      <c r="A11574" s="15" t="s">
        <v>33499</v>
      </c>
      <c r="B11574" s="15" t="s">
        <v>795</v>
      </c>
      <c r="C11574" s="15" t="s">
        <v>795</v>
      </c>
      <c r="D11574" s="15" t="s">
        <v>795</v>
      </c>
      <c r="F11574" s="42"/>
    </row>
    <row r="11575" spans="1:6" x14ac:dyDescent="0.3">
      <c r="A11575" s="15" t="s">
        <v>38347</v>
      </c>
      <c r="B11575" s="15" t="s">
        <v>21262</v>
      </c>
      <c r="C11575" s="15" t="s">
        <v>800</v>
      </c>
      <c r="D11575" s="15" t="s">
        <v>21263</v>
      </c>
      <c r="E11575" s="15">
        <v>12.0008</v>
      </c>
      <c r="F11575" s="42">
        <v>46198</v>
      </c>
    </row>
    <row r="11576" spans="1:6" x14ac:dyDescent="0.3">
      <c r="A11576" s="15" t="s">
        <v>38346</v>
      </c>
      <c r="B11576" s="15" t="s">
        <v>21264</v>
      </c>
      <c r="C11576" s="15" t="s">
        <v>800</v>
      </c>
      <c r="D11576" s="15" t="s">
        <v>21265</v>
      </c>
      <c r="E11576" s="15">
        <v>11.7744</v>
      </c>
      <c r="F11576" s="42">
        <v>46198</v>
      </c>
    </row>
    <row r="11577" spans="1:6" x14ac:dyDescent="0.3">
      <c r="A11577" s="15" t="s">
        <v>38345</v>
      </c>
      <c r="B11577" s="15" t="s">
        <v>21266</v>
      </c>
      <c r="C11577" s="15" t="s">
        <v>800</v>
      </c>
      <c r="D11577" s="15" t="s">
        <v>21267</v>
      </c>
      <c r="E11577" s="15">
        <v>15.844200000000001</v>
      </c>
      <c r="F11577" s="42">
        <v>46198</v>
      </c>
    </row>
    <row r="11578" spans="1:6" x14ac:dyDescent="0.3">
      <c r="A11578" s="15" t="s">
        <v>38344</v>
      </c>
      <c r="B11578" s="15" t="s">
        <v>21268</v>
      </c>
      <c r="C11578" s="15" t="s">
        <v>800</v>
      </c>
      <c r="D11578" s="15" t="s">
        <v>21269</v>
      </c>
      <c r="E11578" s="15">
        <v>15.6843</v>
      </c>
      <c r="F11578" s="42">
        <v>46198</v>
      </c>
    </row>
    <row r="11579" spans="1:6" x14ac:dyDescent="0.3">
      <c r="A11579" s="15" t="s">
        <v>38343</v>
      </c>
      <c r="B11579" s="15" t="s">
        <v>21270</v>
      </c>
      <c r="C11579" s="15" t="s">
        <v>800</v>
      </c>
      <c r="D11579" s="15" t="s">
        <v>21271</v>
      </c>
      <c r="E11579" s="15">
        <v>10.098000000000001</v>
      </c>
      <c r="F11579" s="42">
        <v>46198</v>
      </c>
    </row>
    <row r="11580" spans="1:6" x14ac:dyDescent="0.3">
      <c r="A11580" s="15" t="s">
        <v>38342</v>
      </c>
      <c r="B11580" s="15" t="s">
        <v>21272</v>
      </c>
      <c r="C11580" s="15" t="s">
        <v>800</v>
      </c>
      <c r="D11580" s="15" t="s">
        <v>21273</v>
      </c>
      <c r="E11580" s="15">
        <v>9.9674999999999994</v>
      </c>
      <c r="F11580" s="42">
        <v>46198</v>
      </c>
    </row>
    <row r="11581" spans="1:6" x14ac:dyDescent="0.3">
      <c r="A11581" s="15" t="s">
        <v>38341</v>
      </c>
      <c r="B11581" s="15" t="s">
        <v>21274</v>
      </c>
      <c r="C11581" s="15" t="s">
        <v>800</v>
      </c>
      <c r="D11581" s="15" t="s">
        <v>21275</v>
      </c>
      <c r="E11581" s="15">
        <v>15.3352</v>
      </c>
      <c r="F11581" s="42">
        <v>46198</v>
      </c>
    </row>
    <row r="11582" spans="1:6" x14ac:dyDescent="0.3">
      <c r="A11582" s="15" t="s">
        <v>38340</v>
      </c>
      <c r="B11582" s="15" t="s">
        <v>21276</v>
      </c>
      <c r="C11582" s="15" t="s">
        <v>800</v>
      </c>
      <c r="D11582" s="15" t="s">
        <v>21277</v>
      </c>
      <c r="E11582" s="15">
        <v>14.8505</v>
      </c>
      <c r="F11582" s="42">
        <v>46198</v>
      </c>
    </row>
    <row r="11583" spans="1:6" x14ac:dyDescent="0.3">
      <c r="A11583" s="15" t="s">
        <v>38339</v>
      </c>
      <c r="B11583" s="15" t="s">
        <v>21278</v>
      </c>
      <c r="C11583" s="15" t="s">
        <v>800</v>
      </c>
      <c r="D11583" s="15" t="s">
        <v>21279</v>
      </c>
      <c r="E11583" s="15">
        <v>19.3583</v>
      </c>
      <c r="F11583" s="42">
        <v>46198</v>
      </c>
    </row>
    <row r="11584" spans="1:6" x14ac:dyDescent="0.3">
      <c r="A11584" s="15" t="s">
        <v>38338</v>
      </c>
      <c r="B11584" s="15" t="s">
        <v>21280</v>
      </c>
      <c r="C11584" s="15" t="s">
        <v>800</v>
      </c>
      <c r="D11584" s="15" t="s">
        <v>21281</v>
      </c>
      <c r="E11584" s="15">
        <v>18.7971</v>
      </c>
      <c r="F11584" s="42">
        <v>46198</v>
      </c>
    </row>
    <row r="11585" spans="1:6" x14ac:dyDescent="0.3">
      <c r="A11585" s="15" t="s">
        <v>38337</v>
      </c>
      <c r="B11585" s="15" t="s">
        <v>21282</v>
      </c>
      <c r="C11585" s="15" t="s">
        <v>800</v>
      </c>
      <c r="D11585" s="15" t="s">
        <v>21283</v>
      </c>
      <c r="E11585" s="15">
        <v>21.530899999999999</v>
      </c>
      <c r="F11585" s="42">
        <v>46198</v>
      </c>
    </row>
    <row r="11586" spans="1:6" x14ac:dyDescent="0.3">
      <c r="A11586" s="15" t="s">
        <v>38336</v>
      </c>
      <c r="B11586" s="15" t="s">
        <v>21284</v>
      </c>
      <c r="C11586" s="15" t="s">
        <v>800</v>
      </c>
      <c r="D11586" s="15" t="s">
        <v>21285</v>
      </c>
      <c r="E11586" s="15">
        <v>20.762699999999999</v>
      </c>
      <c r="F11586" s="42">
        <v>46198</v>
      </c>
    </row>
    <row r="11587" spans="1:6" x14ac:dyDescent="0.3">
      <c r="A11587" s="15" t="s">
        <v>38335</v>
      </c>
      <c r="B11587" s="15" t="s">
        <v>21286</v>
      </c>
      <c r="C11587" s="15" t="s">
        <v>800</v>
      </c>
      <c r="D11587" s="15" t="s">
        <v>21287</v>
      </c>
      <c r="E11587" s="15">
        <v>10.543200000000001</v>
      </c>
      <c r="F11587" s="42">
        <v>46198</v>
      </c>
    </row>
    <row r="11588" spans="1:6" x14ac:dyDescent="0.3">
      <c r="A11588" s="15" t="s">
        <v>38334</v>
      </c>
      <c r="B11588" s="15" t="s">
        <v>21288</v>
      </c>
      <c r="C11588" s="15" t="s">
        <v>800</v>
      </c>
      <c r="D11588" s="15" t="s">
        <v>21289</v>
      </c>
      <c r="E11588" s="15">
        <v>10.5914</v>
      </c>
      <c r="F11588" s="42">
        <v>46198</v>
      </c>
    </row>
    <row r="11589" spans="1:6" x14ac:dyDescent="0.3">
      <c r="A11589" s="15" t="s">
        <v>38333</v>
      </c>
      <c r="B11589" s="15" t="s">
        <v>21290</v>
      </c>
      <c r="C11589" s="15" t="s">
        <v>800</v>
      </c>
      <c r="D11589" s="15" t="s">
        <v>21291</v>
      </c>
      <c r="E11589" s="15">
        <v>17.176200000000001</v>
      </c>
      <c r="F11589" s="42">
        <v>46198</v>
      </c>
    </row>
    <row r="11590" spans="1:6" x14ac:dyDescent="0.3">
      <c r="A11590" s="15" t="s">
        <v>38332</v>
      </c>
      <c r="B11590" s="15" t="s">
        <v>21292</v>
      </c>
      <c r="C11590" s="15" t="s">
        <v>800</v>
      </c>
      <c r="D11590" s="15" t="s">
        <v>21293</v>
      </c>
      <c r="E11590" s="15">
        <v>16.757100000000001</v>
      </c>
      <c r="F11590" s="42">
        <v>46198</v>
      </c>
    </row>
    <row r="11591" spans="1:6" x14ac:dyDescent="0.3">
      <c r="A11591" s="15" t="s">
        <v>38331</v>
      </c>
      <c r="B11591" s="15" t="s">
        <v>21294</v>
      </c>
      <c r="C11591" s="15" t="s">
        <v>800</v>
      </c>
      <c r="D11591" s="15" t="s">
        <v>21295</v>
      </c>
      <c r="E11591" s="15">
        <v>11.7037</v>
      </c>
      <c r="F11591" s="42">
        <v>46198</v>
      </c>
    </row>
    <row r="11592" spans="1:6" x14ac:dyDescent="0.3">
      <c r="A11592" s="15" t="s">
        <v>38330</v>
      </c>
      <c r="B11592" s="15" t="s">
        <v>21296</v>
      </c>
      <c r="C11592" s="15" t="s">
        <v>800</v>
      </c>
      <c r="D11592" s="15" t="s">
        <v>21297</v>
      </c>
      <c r="E11592" s="15">
        <v>11.6013</v>
      </c>
      <c r="F11592" s="42">
        <v>46198</v>
      </c>
    </row>
    <row r="11593" spans="1:6" x14ac:dyDescent="0.3">
      <c r="A11593" s="15" t="s">
        <v>38329</v>
      </c>
      <c r="B11593" s="15" t="s">
        <v>21298</v>
      </c>
      <c r="C11593" s="15" t="s">
        <v>800</v>
      </c>
      <c r="D11593" s="15" t="s">
        <v>21299</v>
      </c>
      <c r="E11593" s="15">
        <v>8.1562000000000001</v>
      </c>
      <c r="F11593" s="42">
        <v>46198</v>
      </c>
    </row>
    <row r="11594" spans="1:6" x14ac:dyDescent="0.3">
      <c r="A11594" s="15" t="s">
        <v>38328</v>
      </c>
      <c r="B11594" s="15" t="s">
        <v>21300</v>
      </c>
      <c r="C11594" s="15" t="s">
        <v>800</v>
      </c>
      <c r="D11594" s="15" t="s">
        <v>21301</v>
      </c>
      <c r="E11594" s="15">
        <v>8.0257000000000005</v>
      </c>
      <c r="F11594" s="42">
        <v>46198</v>
      </c>
    </row>
    <row r="11595" spans="1:6" x14ac:dyDescent="0.3">
      <c r="A11595" s="15" t="s">
        <v>33499</v>
      </c>
      <c r="B11595" s="15" t="s">
        <v>795</v>
      </c>
      <c r="C11595" s="15" t="s">
        <v>795</v>
      </c>
      <c r="D11595" s="15" t="s">
        <v>795</v>
      </c>
      <c r="F11595" s="42"/>
    </row>
    <row r="11596" spans="1:6" x14ac:dyDescent="0.3">
      <c r="A11596" s="15" t="s">
        <v>208</v>
      </c>
      <c r="B11596" s="15" t="s">
        <v>795</v>
      </c>
      <c r="C11596" s="15" t="s">
        <v>795</v>
      </c>
      <c r="D11596" s="15" t="s">
        <v>795</v>
      </c>
      <c r="F11596" s="42"/>
    </row>
    <row r="11597" spans="1:6" x14ac:dyDescent="0.3">
      <c r="A11597" s="15" t="s">
        <v>33499</v>
      </c>
      <c r="B11597" s="15" t="s">
        <v>795</v>
      </c>
      <c r="C11597" s="15" t="s">
        <v>795</v>
      </c>
      <c r="D11597" s="15" t="s">
        <v>795</v>
      </c>
      <c r="F11597" s="42"/>
    </row>
    <row r="11598" spans="1:6" x14ac:dyDescent="0.3">
      <c r="A11598" s="15" t="s">
        <v>38327</v>
      </c>
      <c r="B11598" s="15" t="s">
        <v>21302</v>
      </c>
      <c r="C11598" s="15" t="s">
        <v>21303</v>
      </c>
      <c r="D11598" s="15" t="s">
        <v>21304</v>
      </c>
      <c r="E11598" s="15">
        <v>10.827400000000001</v>
      </c>
      <c r="F11598" s="42">
        <v>46198</v>
      </c>
    </row>
    <row r="11599" spans="1:6" x14ac:dyDescent="0.3">
      <c r="A11599" s="15" t="s">
        <v>38326</v>
      </c>
      <c r="B11599" s="15" t="s">
        <v>21305</v>
      </c>
      <c r="C11599" s="15" t="s">
        <v>800</v>
      </c>
      <c r="D11599" s="15" t="s">
        <v>21306</v>
      </c>
      <c r="E11599" s="15">
        <v>10.7912</v>
      </c>
      <c r="F11599" s="42">
        <v>46198</v>
      </c>
    </row>
    <row r="11600" spans="1:6" x14ac:dyDescent="0.3">
      <c r="A11600" s="15" t="s">
        <v>38325</v>
      </c>
      <c r="B11600" s="15" t="s">
        <v>21307</v>
      </c>
      <c r="C11600" s="15" t="s">
        <v>21308</v>
      </c>
      <c r="D11600" s="15" t="s">
        <v>21309</v>
      </c>
      <c r="E11600" s="15">
        <v>10.7912</v>
      </c>
      <c r="F11600" s="42">
        <v>46198</v>
      </c>
    </row>
    <row r="11601" spans="1:6" x14ac:dyDescent="0.3">
      <c r="A11601" s="15" t="s">
        <v>38324</v>
      </c>
      <c r="B11601" s="15" t="s">
        <v>21310</v>
      </c>
      <c r="C11601" s="15" t="s">
        <v>800</v>
      </c>
      <c r="D11601" s="15" t="s">
        <v>21311</v>
      </c>
      <c r="E11601" s="15">
        <v>10.827400000000001</v>
      </c>
      <c r="F11601" s="42">
        <v>46198</v>
      </c>
    </row>
    <row r="11602" spans="1:6" x14ac:dyDescent="0.3">
      <c r="A11602" s="15" t="s">
        <v>38323</v>
      </c>
      <c r="B11602" s="15" t="s">
        <v>21312</v>
      </c>
      <c r="C11602" s="15" t="s">
        <v>800</v>
      </c>
      <c r="D11602" s="15" t="s">
        <v>21313</v>
      </c>
      <c r="E11602" s="15">
        <v>11.303100000000001</v>
      </c>
      <c r="F11602" s="42">
        <v>46198</v>
      </c>
    </row>
    <row r="11603" spans="1:6" x14ac:dyDescent="0.3">
      <c r="A11603" s="15" t="s">
        <v>38322</v>
      </c>
      <c r="B11603" s="15" t="s">
        <v>21314</v>
      </c>
      <c r="C11603" s="15" t="s">
        <v>21315</v>
      </c>
      <c r="D11603" s="15" t="s">
        <v>21316</v>
      </c>
      <c r="E11603" s="15">
        <v>11.303100000000001</v>
      </c>
      <c r="F11603" s="42">
        <v>46198</v>
      </c>
    </row>
    <row r="11604" spans="1:6" x14ac:dyDescent="0.3">
      <c r="A11604" s="15" t="s">
        <v>38321</v>
      </c>
      <c r="B11604" s="15" t="s">
        <v>21317</v>
      </c>
      <c r="C11604" s="15" t="s">
        <v>800</v>
      </c>
      <c r="D11604" s="15" t="s">
        <v>21318</v>
      </c>
      <c r="E11604" s="15">
        <v>11.265599999999999</v>
      </c>
      <c r="F11604" s="42">
        <v>46198</v>
      </c>
    </row>
    <row r="11605" spans="1:6" x14ac:dyDescent="0.3">
      <c r="A11605" s="15" t="s">
        <v>38320</v>
      </c>
      <c r="B11605" s="15" t="s">
        <v>21319</v>
      </c>
      <c r="C11605" s="15" t="s">
        <v>21320</v>
      </c>
      <c r="D11605" s="15" t="s">
        <v>21321</v>
      </c>
      <c r="E11605" s="15">
        <v>11.265599999999999</v>
      </c>
      <c r="F11605" s="42">
        <v>46198</v>
      </c>
    </row>
    <row r="11606" spans="1:6" x14ac:dyDescent="0.3">
      <c r="A11606" s="15" t="s">
        <v>38319</v>
      </c>
      <c r="B11606" s="15" t="s">
        <v>21322</v>
      </c>
      <c r="C11606" s="15" t="s">
        <v>800</v>
      </c>
      <c r="D11606" s="15" t="s">
        <v>21323</v>
      </c>
      <c r="E11606" s="15">
        <v>11.306699999999999</v>
      </c>
      <c r="F11606" s="42">
        <v>46198</v>
      </c>
    </row>
    <row r="11607" spans="1:6" x14ac:dyDescent="0.3">
      <c r="A11607" s="15" t="s">
        <v>38318</v>
      </c>
      <c r="B11607" s="15" t="s">
        <v>21324</v>
      </c>
      <c r="C11607" s="15" t="s">
        <v>21325</v>
      </c>
      <c r="D11607" s="15" t="s">
        <v>21326</v>
      </c>
      <c r="E11607" s="15">
        <v>11.306699999999999</v>
      </c>
      <c r="F11607" s="42">
        <v>46198</v>
      </c>
    </row>
    <row r="11608" spans="1:6" x14ac:dyDescent="0.3">
      <c r="A11608" s="15" t="s">
        <v>38317</v>
      </c>
      <c r="B11608" s="15" t="s">
        <v>21327</v>
      </c>
      <c r="C11608" s="15" t="s">
        <v>800</v>
      </c>
      <c r="D11608" s="15" t="s">
        <v>21328</v>
      </c>
      <c r="E11608" s="15">
        <v>11.2654</v>
      </c>
      <c r="F11608" s="42">
        <v>46198</v>
      </c>
    </row>
    <row r="11609" spans="1:6" x14ac:dyDescent="0.3">
      <c r="A11609" s="15" t="s">
        <v>38316</v>
      </c>
      <c r="B11609" s="15" t="s">
        <v>21329</v>
      </c>
      <c r="C11609" s="15" t="s">
        <v>21330</v>
      </c>
      <c r="D11609" s="15" t="s">
        <v>21331</v>
      </c>
      <c r="E11609" s="15">
        <v>11.2654</v>
      </c>
      <c r="F11609" s="42">
        <v>46198</v>
      </c>
    </row>
    <row r="11610" spans="1:6" x14ac:dyDescent="0.3">
      <c r="A11610" s="15" t="s">
        <v>38315</v>
      </c>
      <c r="B11610" s="15" t="s">
        <v>21332</v>
      </c>
      <c r="C11610" s="15" t="s">
        <v>800</v>
      </c>
      <c r="D11610" s="15" t="s">
        <v>21333</v>
      </c>
      <c r="E11610" s="15">
        <v>10.2302</v>
      </c>
      <c r="F11610" s="42">
        <v>46198</v>
      </c>
    </row>
    <row r="11611" spans="1:6" x14ac:dyDescent="0.3">
      <c r="A11611" s="15" t="s">
        <v>38314</v>
      </c>
      <c r="B11611" s="15" t="s">
        <v>21334</v>
      </c>
      <c r="C11611" s="15" t="s">
        <v>21335</v>
      </c>
      <c r="D11611" s="15" t="s">
        <v>21336</v>
      </c>
      <c r="E11611" s="15">
        <v>10.2302</v>
      </c>
      <c r="F11611" s="42">
        <v>46198</v>
      </c>
    </row>
    <row r="11612" spans="1:6" x14ac:dyDescent="0.3">
      <c r="A11612" s="15" t="s">
        <v>38313</v>
      </c>
      <c r="B11612" s="15" t="s">
        <v>21337</v>
      </c>
      <c r="C11612" s="15" t="s">
        <v>800</v>
      </c>
      <c r="D11612" s="15" t="s">
        <v>21338</v>
      </c>
      <c r="E11612" s="15">
        <v>10.224600000000001</v>
      </c>
      <c r="F11612" s="42">
        <v>46198</v>
      </c>
    </row>
    <row r="11613" spans="1:6" x14ac:dyDescent="0.3">
      <c r="A11613" s="15" t="s">
        <v>38312</v>
      </c>
      <c r="B11613" s="15" t="s">
        <v>21339</v>
      </c>
      <c r="C11613" s="15" t="s">
        <v>21340</v>
      </c>
      <c r="D11613" s="15" t="s">
        <v>21341</v>
      </c>
      <c r="E11613" s="15">
        <v>10.224600000000001</v>
      </c>
      <c r="F11613" s="42">
        <v>46198</v>
      </c>
    </row>
    <row r="11614" spans="1:6" x14ac:dyDescent="0.3">
      <c r="A11614" s="15" t="s">
        <v>38311</v>
      </c>
      <c r="B11614" s="15" t="s">
        <v>21342</v>
      </c>
      <c r="C11614" s="15" t="s">
        <v>800</v>
      </c>
      <c r="D11614" s="15" t="s">
        <v>21343</v>
      </c>
      <c r="E11614" s="15">
        <v>10.215400000000001</v>
      </c>
      <c r="F11614" s="42">
        <v>46198</v>
      </c>
    </row>
    <row r="11615" spans="1:6" x14ac:dyDescent="0.3">
      <c r="A11615" s="15" t="s">
        <v>38310</v>
      </c>
      <c r="B11615" s="15" t="s">
        <v>21344</v>
      </c>
      <c r="C11615" s="15" t="s">
        <v>21345</v>
      </c>
      <c r="D11615" s="15" t="s">
        <v>21346</v>
      </c>
      <c r="E11615" s="15">
        <v>10.215400000000001</v>
      </c>
      <c r="F11615" s="42">
        <v>46198</v>
      </c>
    </row>
    <row r="11616" spans="1:6" x14ac:dyDescent="0.3">
      <c r="A11616" s="15" t="s">
        <v>38309</v>
      </c>
      <c r="B11616" s="15" t="s">
        <v>21347</v>
      </c>
      <c r="C11616" s="15" t="s">
        <v>800</v>
      </c>
      <c r="D11616" s="15" t="s">
        <v>21348</v>
      </c>
      <c r="E11616" s="15">
        <v>10.209</v>
      </c>
      <c r="F11616" s="42">
        <v>46198</v>
      </c>
    </row>
    <row r="11617" spans="1:6" x14ac:dyDescent="0.3">
      <c r="A11617" s="15" t="s">
        <v>38308</v>
      </c>
      <c r="B11617" s="15" t="s">
        <v>21349</v>
      </c>
      <c r="C11617" s="15" t="s">
        <v>21350</v>
      </c>
      <c r="D11617" s="15" t="s">
        <v>21351</v>
      </c>
      <c r="E11617" s="15">
        <v>10.209</v>
      </c>
      <c r="F11617" s="42">
        <v>46198</v>
      </c>
    </row>
    <row r="11618" spans="1:6" x14ac:dyDescent="0.3">
      <c r="A11618" s="15" t="s">
        <v>38307</v>
      </c>
      <c r="B11618" s="15" t="s">
        <v>21352</v>
      </c>
      <c r="C11618" s="15" t="s">
        <v>21353</v>
      </c>
      <c r="D11618" s="15" t="s">
        <v>21354</v>
      </c>
      <c r="E11618" s="15">
        <v>31.049800000000001</v>
      </c>
      <c r="F11618" s="42">
        <v>46198</v>
      </c>
    </row>
    <row r="11619" spans="1:6" x14ac:dyDescent="0.3">
      <c r="A11619" s="15" t="s">
        <v>38306</v>
      </c>
      <c r="B11619" s="15" t="s">
        <v>21355</v>
      </c>
      <c r="C11619" s="15" t="s">
        <v>21356</v>
      </c>
      <c r="D11619" s="15" t="s">
        <v>21357</v>
      </c>
      <c r="E11619" s="15">
        <v>33.297600000000003</v>
      </c>
      <c r="F11619" s="42">
        <v>46198</v>
      </c>
    </row>
    <row r="11620" spans="1:6" x14ac:dyDescent="0.3">
      <c r="A11620" s="15" t="s">
        <v>38305</v>
      </c>
      <c r="B11620" s="15" t="s">
        <v>21358</v>
      </c>
      <c r="C11620" s="15" t="s">
        <v>21359</v>
      </c>
      <c r="D11620" s="15" t="s">
        <v>21360</v>
      </c>
      <c r="E11620" s="15">
        <v>33.2545</v>
      </c>
      <c r="F11620" s="42">
        <v>46198</v>
      </c>
    </row>
    <row r="11621" spans="1:6" x14ac:dyDescent="0.3">
      <c r="A11621" s="15" t="s">
        <v>38304</v>
      </c>
      <c r="B11621" s="15" t="s">
        <v>21361</v>
      </c>
      <c r="C11621" s="15" t="s">
        <v>21362</v>
      </c>
      <c r="D11621" s="15" t="s">
        <v>21363</v>
      </c>
      <c r="E11621" s="15">
        <v>33.299999999999997</v>
      </c>
      <c r="F11621" s="42">
        <v>46198</v>
      </c>
    </row>
    <row r="11622" spans="1:6" x14ac:dyDescent="0.3">
      <c r="A11622" s="15" t="s">
        <v>38303</v>
      </c>
      <c r="B11622" s="15" t="s">
        <v>21364</v>
      </c>
      <c r="C11622" s="15" t="s">
        <v>800</v>
      </c>
      <c r="D11622" s="15" t="s">
        <v>21365</v>
      </c>
      <c r="E11622" s="15">
        <v>41.8596</v>
      </c>
      <c r="F11622" s="42">
        <v>46198</v>
      </c>
    </row>
    <row r="11623" spans="1:6" x14ac:dyDescent="0.3">
      <c r="A11623" s="15" t="s">
        <v>38302</v>
      </c>
      <c r="B11623" s="15" t="s">
        <v>21366</v>
      </c>
      <c r="C11623" s="15" t="s">
        <v>800</v>
      </c>
      <c r="D11623" s="15" t="s">
        <v>21367</v>
      </c>
      <c r="E11623" s="15">
        <v>41.8596</v>
      </c>
      <c r="F11623" s="42">
        <v>46198</v>
      </c>
    </row>
    <row r="11624" spans="1:6" x14ac:dyDescent="0.3">
      <c r="A11624" s="15" t="s">
        <v>38301</v>
      </c>
      <c r="B11624" s="15" t="s">
        <v>21368</v>
      </c>
      <c r="C11624" s="15" t="s">
        <v>800</v>
      </c>
      <c r="D11624" s="15" t="s">
        <v>21369</v>
      </c>
      <c r="E11624" s="15">
        <v>39.392299999999999</v>
      </c>
      <c r="F11624" s="42">
        <v>46198</v>
      </c>
    </row>
    <row r="11625" spans="1:6" x14ac:dyDescent="0.3">
      <c r="A11625" s="15" t="s">
        <v>38300</v>
      </c>
      <c r="B11625" s="15" t="s">
        <v>21370</v>
      </c>
      <c r="C11625" s="15" t="s">
        <v>800</v>
      </c>
      <c r="D11625" s="15" t="s">
        <v>21371</v>
      </c>
      <c r="E11625" s="15">
        <v>39.392299999999999</v>
      </c>
      <c r="F11625" s="42">
        <v>46198</v>
      </c>
    </row>
    <row r="11626" spans="1:6" x14ac:dyDescent="0.3">
      <c r="A11626" s="15" t="s">
        <v>38299</v>
      </c>
      <c r="B11626" s="15" t="s">
        <v>21372</v>
      </c>
      <c r="C11626" s="15" t="s">
        <v>21373</v>
      </c>
      <c r="D11626" s="15" t="s">
        <v>21374</v>
      </c>
      <c r="E11626" s="15">
        <v>31.060500000000001</v>
      </c>
      <c r="F11626" s="42">
        <v>46198</v>
      </c>
    </row>
    <row r="11627" spans="1:6" x14ac:dyDescent="0.3">
      <c r="A11627" s="15" t="s">
        <v>38298</v>
      </c>
      <c r="B11627" s="15" t="s">
        <v>21375</v>
      </c>
      <c r="C11627" s="15" t="s">
        <v>21376</v>
      </c>
      <c r="D11627" s="15" t="s">
        <v>21377</v>
      </c>
      <c r="E11627" s="15">
        <v>31.053599999999999</v>
      </c>
      <c r="F11627" s="42">
        <v>46198</v>
      </c>
    </row>
    <row r="11628" spans="1:6" x14ac:dyDescent="0.3">
      <c r="A11628" s="15" t="s">
        <v>38297</v>
      </c>
      <c r="B11628" s="15" t="s">
        <v>21378</v>
      </c>
      <c r="C11628" s="15" t="s">
        <v>21379</v>
      </c>
      <c r="D11628" s="15" t="s">
        <v>21380</v>
      </c>
      <c r="E11628" s="15">
        <v>32.235900000000001</v>
      </c>
      <c r="F11628" s="42">
        <v>46198</v>
      </c>
    </row>
    <row r="11629" spans="1:6" x14ac:dyDescent="0.3">
      <c r="A11629" s="15" t="s">
        <v>38296</v>
      </c>
      <c r="B11629" s="15" t="s">
        <v>21381</v>
      </c>
      <c r="C11629" s="15" t="s">
        <v>21382</v>
      </c>
      <c r="D11629" s="15" t="s">
        <v>21383</v>
      </c>
      <c r="E11629" s="15">
        <v>35.351599999999998</v>
      </c>
      <c r="F11629" s="42">
        <v>46198</v>
      </c>
    </row>
    <row r="11630" spans="1:6" x14ac:dyDescent="0.3">
      <c r="A11630" s="15" t="s">
        <v>38295</v>
      </c>
      <c r="B11630" s="15" t="s">
        <v>21384</v>
      </c>
      <c r="C11630" s="15" t="s">
        <v>21385</v>
      </c>
      <c r="D11630" s="15" t="s">
        <v>21386</v>
      </c>
      <c r="E11630" s="15">
        <v>35.300800000000002</v>
      </c>
      <c r="F11630" s="42">
        <v>46198</v>
      </c>
    </row>
    <row r="11631" spans="1:6" x14ac:dyDescent="0.3">
      <c r="A11631" s="15" t="s">
        <v>38294</v>
      </c>
      <c r="B11631" s="15" t="s">
        <v>21387</v>
      </c>
      <c r="C11631" s="15" t="s">
        <v>21388</v>
      </c>
      <c r="D11631" s="15" t="s">
        <v>21389</v>
      </c>
      <c r="E11631" s="15">
        <v>35.2928</v>
      </c>
      <c r="F11631" s="42">
        <v>46198</v>
      </c>
    </row>
    <row r="11632" spans="1:6" x14ac:dyDescent="0.3">
      <c r="A11632" s="15" t="s">
        <v>38293</v>
      </c>
      <c r="B11632" s="15" t="s">
        <v>21390</v>
      </c>
      <c r="C11632" s="15" t="s">
        <v>800</v>
      </c>
      <c r="D11632" s="15" t="s">
        <v>21391</v>
      </c>
      <c r="E11632" s="15">
        <v>44.307099999999998</v>
      </c>
      <c r="F11632" s="42">
        <v>46198</v>
      </c>
    </row>
    <row r="11633" spans="1:6" x14ac:dyDescent="0.3">
      <c r="A11633" s="15" t="s">
        <v>38292</v>
      </c>
      <c r="B11633" s="15" t="s">
        <v>21392</v>
      </c>
      <c r="C11633" s="15" t="s">
        <v>800</v>
      </c>
      <c r="D11633" s="15" t="s">
        <v>21393</v>
      </c>
      <c r="E11633" s="15">
        <v>44.307099999999998</v>
      </c>
      <c r="F11633" s="42">
        <v>46198</v>
      </c>
    </row>
    <row r="11634" spans="1:6" x14ac:dyDescent="0.3">
      <c r="A11634" s="15" t="s">
        <v>38291</v>
      </c>
      <c r="B11634" s="15" t="s">
        <v>21394</v>
      </c>
      <c r="C11634" s="15" t="s">
        <v>800</v>
      </c>
      <c r="D11634" s="15" t="s">
        <v>21395</v>
      </c>
      <c r="E11634" s="15">
        <v>41.010599999999997</v>
      </c>
      <c r="F11634" s="42">
        <v>46198</v>
      </c>
    </row>
    <row r="11635" spans="1:6" x14ac:dyDescent="0.3">
      <c r="A11635" s="15" t="s">
        <v>38290</v>
      </c>
      <c r="B11635" s="15" t="s">
        <v>21396</v>
      </c>
      <c r="C11635" s="15" t="s">
        <v>800</v>
      </c>
      <c r="D11635" s="15" t="s">
        <v>21397</v>
      </c>
      <c r="E11635" s="15">
        <v>41.010599999999997</v>
      </c>
      <c r="F11635" s="42">
        <v>46198</v>
      </c>
    </row>
    <row r="11636" spans="1:6" x14ac:dyDescent="0.3">
      <c r="A11636" s="15" t="s">
        <v>38289</v>
      </c>
      <c r="B11636" s="15" t="s">
        <v>21398</v>
      </c>
      <c r="C11636" s="15" t="s">
        <v>21399</v>
      </c>
      <c r="D11636" s="15" t="s">
        <v>21400</v>
      </c>
      <c r="E11636" s="15">
        <v>32.343299999999999</v>
      </c>
      <c r="F11636" s="42">
        <v>46198</v>
      </c>
    </row>
    <row r="11637" spans="1:6" x14ac:dyDescent="0.3">
      <c r="A11637" s="15" t="s">
        <v>38288</v>
      </c>
      <c r="B11637" s="15" t="s">
        <v>21401</v>
      </c>
      <c r="C11637" s="15" t="s">
        <v>21402</v>
      </c>
      <c r="D11637" s="15" t="s">
        <v>21403</v>
      </c>
      <c r="E11637" s="15">
        <v>32.341900000000003</v>
      </c>
      <c r="F11637" s="42">
        <v>46198</v>
      </c>
    </row>
    <row r="11638" spans="1:6" x14ac:dyDescent="0.3">
      <c r="A11638" s="15" t="s">
        <v>38287</v>
      </c>
      <c r="B11638" s="15" t="s">
        <v>21404</v>
      </c>
      <c r="C11638" s="15" t="s">
        <v>800</v>
      </c>
      <c r="D11638" s="15" t="s">
        <v>21405</v>
      </c>
      <c r="E11638" s="15">
        <v>17.896999999999998</v>
      </c>
      <c r="F11638" s="42">
        <v>46198</v>
      </c>
    </row>
    <row r="11639" spans="1:6" x14ac:dyDescent="0.3">
      <c r="A11639" s="15" t="s">
        <v>38286</v>
      </c>
      <c r="B11639" s="15" t="s">
        <v>21406</v>
      </c>
      <c r="C11639" s="15" t="s">
        <v>21407</v>
      </c>
      <c r="D11639" s="15" t="s">
        <v>21408</v>
      </c>
      <c r="E11639" s="15">
        <v>17.896999999999998</v>
      </c>
      <c r="F11639" s="42">
        <v>46198</v>
      </c>
    </row>
    <row r="11640" spans="1:6" x14ac:dyDescent="0.3">
      <c r="A11640" s="15" t="s">
        <v>38285</v>
      </c>
      <c r="B11640" s="15" t="s">
        <v>21409</v>
      </c>
      <c r="C11640" s="15" t="s">
        <v>21410</v>
      </c>
      <c r="D11640" s="15" t="s">
        <v>21411</v>
      </c>
      <c r="E11640" s="15">
        <v>17.3705</v>
      </c>
      <c r="F11640" s="42">
        <v>46198</v>
      </c>
    </row>
    <row r="11641" spans="1:6" x14ac:dyDescent="0.3">
      <c r="A11641" s="15" t="s">
        <v>38284</v>
      </c>
      <c r="B11641" s="15" t="s">
        <v>21412</v>
      </c>
      <c r="C11641" s="15" t="s">
        <v>800</v>
      </c>
      <c r="D11641" s="15" t="s">
        <v>21413</v>
      </c>
      <c r="E11641" s="15">
        <v>17.3705</v>
      </c>
      <c r="F11641" s="42">
        <v>46198</v>
      </c>
    </row>
    <row r="11642" spans="1:6" x14ac:dyDescent="0.3">
      <c r="A11642" s="15" t="s">
        <v>38283</v>
      </c>
      <c r="B11642" s="15" t="s">
        <v>21414</v>
      </c>
      <c r="C11642" s="15" t="s">
        <v>800</v>
      </c>
      <c r="D11642" s="15" t="s">
        <v>21415</v>
      </c>
      <c r="E11642" s="15">
        <v>9.734</v>
      </c>
      <c r="F11642" s="42">
        <v>46198</v>
      </c>
    </row>
    <row r="11643" spans="1:6" x14ac:dyDescent="0.3">
      <c r="A11643" s="15" t="s">
        <v>38282</v>
      </c>
      <c r="B11643" s="15" t="s">
        <v>21416</v>
      </c>
      <c r="C11643" s="15" t="s">
        <v>21417</v>
      </c>
      <c r="D11643" s="15" t="s">
        <v>21418</v>
      </c>
      <c r="E11643" s="15">
        <v>9.734</v>
      </c>
      <c r="F11643" s="42">
        <v>46198</v>
      </c>
    </row>
    <row r="11644" spans="1:6" x14ac:dyDescent="0.3">
      <c r="A11644" s="15" t="s">
        <v>38281</v>
      </c>
      <c r="B11644" s="15" t="s">
        <v>21419</v>
      </c>
      <c r="C11644" s="15" t="s">
        <v>800</v>
      </c>
      <c r="D11644" s="15" t="s">
        <v>21420</v>
      </c>
      <c r="E11644" s="15">
        <v>9.6381999999999994</v>
      </c>
      <c r="F11644" s="42">
        <v>46198</v>
      </c>
    </row>
    <row r="11645" spans="1:6" x14ac:dyDescent="0.3">
      <c r="A11645" s="15" t="s">
        <v>38280</v>
      </c>
      <c r="B11645" s="15" t="s">
        <v>21421</v>
      </c>
      <c r="C11645" s="15" t="s">
        <v>21422</v>
      </c>
      <c r="D11645" s="15" t="s">
        <v>21423</v>
      </c>
      <c r="E11645" s="15">
        <v>9.6381999999999994</v>
      </c>
      <c r="F11645" s="42">
        <v>46198</v>
      </c>
    </row>
    <row r="11646" spans="1:6" x14ac:dyDescent="0.3">
      <c r="A11646" s="15" t="s">
        <v>38279</v>
      </c>
      <c r="B11646" s="15" t="s">
        <v>21424</v>
      </c>
      <c r="C11646" s="15" t="s">
        <v>800</v>
      </c>
      <c r="D11646" s="15" t="s">
        <v>21425</v>
      </c>
      <c r="E11646" s="15">
        <v>10.581799999999999</v>
      </c>
      <c r="F11646" s="42">
        <v>46198</v>
      </c>
    </row>
    <row r="11647" spans="1:6" x14ac:dyDescent="0.3">
      <c r="A11647" s="15" t="s">
        <v>38278</v>
      </c>
      <c r="B11647" s="15" t="s">
        <v>21426</v>
      </c>
      <c r="C11647" s="15" t="s">
        <v>21427</v>
      </c>
      <c r="D11647" s="15" t="s">
        <v>21428</v>
      </c>
      <c r="E11647" s="15">
        <v>10.581799999999999</v>
      </c>
      <c r="F11647" s="42">
        <v>46198</v>
      </c>
    </row>
    <row r="11648" spans="1:6" x14ac:dyDescent="0.3">
      <c r="A11648" s="15" t="s">
        <v>38277</v>
      </c>
      <c r="B11648" s="15" t="s">
        <v>21429</v>
      </c>
      <c r="C11648" s="15" t="s">
        <v>21430</v>
      </c>
      <c r="D11648" s="15" t="s">
        <v>21431</v>
      </c>
      <c r="E11648" s="15">
        <v>10.5129</v>
      </c>
      <c r="F11648" s="42">
        <v>46198</v>
      </c>
    </row>
    <row r="11649" spans="1:6" x14ac:dyDescent="0.3">
      <c r="A11649" s="15" t="s">
        <v>38276</v>
      </c>
      <c r="B11649" s="15" t="s">
        <v>21432</v>
      </c>
      <c r="C11649" s="15" t="s">
        <v>800</v>
      </c>
      <c r="D11649" s="15" t="s">
        <v>21433</v>
      </c>
      <c r="E11649" s="15">
        <v>10.5129</v>
      </c>
      <c r="F11649" s="42">
        <v>46198</v>
      </c>
    </row>
    <row r="11650" spans="1:6" x14ac:dyDescent="0.3">
      <c r="A11650" s="15" t="s">
        <v>38275</v>
      </c>
      <c r="B11650" s="15" t="s">
        <v>21434</v>
      </c>
      <c r="C11650" s="15" t="s">
        <v>800</v>
      </c>
      <c r="D11650" s="15" t="s">
        <v>21435</v>
      </c>
      <c r="E11650" s="15">
        <v>8.4527000000000001</v>
      </c>
      <c r="F11650" s="42">
        <v>46198</v>
      </c>
    </row>
    <row r="11651" spans="1:6" x14ac:dyDescent="0.3">
      <c r="A11651" s="15" t="s">
        <v>38274</v>
      </c>
      <c r="B11651" s="15" t="s">
        <v>21436</v>
      </c>
      <c r="C11651" s="15" t="s">
        <v>21437</v>
      </c>
      <c r="D11651" s="15" t="s">
        <v>21438</v>
      </c>
      <c r="E11651" s="15">
        <v>8.4527000000000001</v>
      </c>
      <c r="F11651" s="42">
        <v>46198</v>
      </c>
    </row>
    <row r="11652" spans="1:6" x14ac:dyDescent="0.3">
      <c r="A11652" s="15" t="s">
        <v>38273</v>
      </c>
      <c r="B11652" s="15" t="s">
        <v>21439</v>
      </c>
      <c r="C11652" s="15" t="s">
        <v>800</v>
      </c>
      <c r="D11652" s="15" t="s">
        <v>21440</v>
      </c>
      <c r="E11652" s="15">
        <v>8.3618000000000006</v>
      </c>
      <c r="F11652" s="42">
        <v>46198</v>
      </c>
    </row>
    <row r="11653" spans="1:6" x14ac:dyDescent="0.3">
      <c r="A11653" s="15" t="s">
        <v>38272</v>
      </c>
      <c r="B11653" s="15" t="s">
        <v>21441</v>
      </c>
      <c r="C11653" s="15" t="s">
        <v>21442</v>
      </c>
      <c r="D11653" s="15" t="s">
        <v>21443</v>
      </c>
      <c r="E11653" s="15">
        <v>8.3618000000000006</v>
      </c>
      <c r="F11653" s="42">
        <v>46198</v>
      </c>
    </row>
    <row r="11654" spans="1:6" x14ac:dyDescent="0.3">
      <c r="A11654" s="15" t="s">
        <v>38271</v>
      </c>
      <c r="B11654" s="15" t="s">
        <v>21444</v>
      </c>
      <c r="C11654" s="15" t="s">
        <v>800</v>
      </c>
      <c r="D11654" s="15" t="s">
        <v>21445</v>
      </c>
      <c r="E11654" s="15">
        <v>10.9328</v>
      </c>
      <c r="F11654" s="42">
        <v>46198</v>
      </c>
    </row>
    <row r="11655" spans="1:6" x14ac:dyDescent="0.3">
      <c r="A11655" s="15" t="s">
        <v>38270</v>
      </c>
      <c r="B11655" s="15" t="s">
        <v>21446</v>
      </c>
      <c r="C11655" s="15" t="s">
        <v>21447</v>
      </c>
      <c r="D11655" s="15" t="s">
        <v>21448</v>
      </c>
      <c r="E11655" s="15">
        <v>10.9328</v>
      </c>
      <c r="F11655" s="42">
        <v>46198</v>
      </c>
    </row>
    <row r="11656" spans="1:6" x14ac:dyDescent="0.3">
      <c r="A11656" s="15" t="s">
        <v>38269</v>
      </c>
      <c r="B11656" s="15" t="s">
        <v>21449</v>
      </c>
      <c r="C11656" s="15" t="s">
        <v>800</v>
      </c>
      <c r="D11656" s="15" t="s">
        <v>21450</v>
      </c>
      <c r="E11656" s="15">
        <v>10.8636</v>
      </c>
      <c r="F11656" s="42">
        <v>46198</v>
      </c>
    </row>
    <row r="11657" spans="1:6" x14ac:dyDescent="0.3">
      <c r="A11657" s="15" t="s">
        <v>38268</v>
      </c>
      <c r="B11657" s="15" t="s">
        <v>21451</v>
      </c>
      <c r="C11657" s="15" t="s">
        <v>21452</v>
      </c>
      <c r="D11657" s="15" t="s">
        <v>21453</v>
      </c>
      <c r="E11657" s="15">
        <v>10.8636</v>
      </c>
      <c r="F11657" s="42">
        <v>46198</v>
      </c>
    </row>
    <row r="11658" spans="1:6" x14ac:dyDescent="0.3">
      <c r="A11658" s="15" t="s">
        <v>38267</v>
      </c>
      <c r="B11658" s="15" t="s">
        <v>21454</v>
      </c>
      <c r="C11658" s="15" t="s">
        <v>800</v>
      </c>
      <c r="D11658" s="15" t="s">
        <v>21455</v>
      </c>
      <c r="E11658" s="15">
        <v>12.997</v>
      </c>
      <c r="F11658" s="42">
        <v>46198</v>
      </c>
    </row>
    <row r="11659" spans="1:6" x14ac:dyDescent="0.3">
      <c r="A11659" s="15" t="s">
        <v>38266</v>
      </c>
      <c r="B11659" s="15" t="s">
        <v>21456</v>
      </c>
      <c r="C11659" s="15" t="s">
        <v>800</v>
      </c>
      <c r="D11659" s="15" t="s">
        <v>21457</v>
      </c>
      <c r="E11659" s="15">
        <v>12.650700000000001</v>
      </c>
      <c r="F11659" s="42">
        <v>46198</v>
      </c>
    </row>
    <row r="11660" spans="1:6" x14ac:dyDescent="0.3">
      <c r="A11660" s="15" t="s">
        <v>38265</v>
      </c>
      <c r="B11660" s="15" t="s">
        <v>21458</v>
      </c>
      <c r="C11660" s="15" t="s">
        <v>800</v>
      </c>
      <c r="D11660" s="15" t="s">
        <v>21459</v>
      </c>
      <c r="E11660" s="15">
        <v>12.900499999999999</v>
      </c>
      <c r="F11660" s="42">
        <v>46198</v>
      </c>
    </row>
    <row r="11661" spans="1:6" x14ac:dyDescent="0.3">
      <c r="A11661" s="15" t="s">
        <v>38264</v>
      </c>
      <c r="B11661" s="15" t="s">
        <v>800</v>
      </c>
      <c r="C11661" s="15" t="s">
        <v>21460</v>
      </c>
      <c r="D11661" s="15" t="s">
        <v>21461</v>
      </c>
      <c r="E11661" s="15">
        <v>12.581799999999999</v>
      </c>
      <c r="F11661" s="42">
        <v>46198</v>
      </c>
    </row>
    <row r="11662" spans="1:6" x14ac:dyDescent="0.3">
      <c r="A11662" s="15" t="s">
        <v>38263</v>
      </c>
      <c r="B11662" s="15" t="s">
        <v>21462</v>
      </c>
      <c r="C11662" s="15" t="s">
        <v>800</v>
      </c>
      <c r="D11662" s="15" t="s">
        <v>21463</v>
      </c>
      <c r="E11662" s="15">
        <v>12.955299999999999</v>
      </c>
      <c r="F11662" s="42">
        <v>46198</v>
      </c>
    </row>
    <row r="11663" spans="1:6" x14ac:dyDescent="0.3">
      <c r="A11663" s="15" t="s">
        <v>38262</v>
      </c>
      <c r="B11663" s="15" t="s">
        <v>21464</v>
      </c>
      <c r="C11663" s="15" t="s">
        <v>800</v>
      </c>
      <c r="D11663" s="15" t="s">
        <v>21465</v>
      </c>
      <c r="E11663" s="15">
        <v>12.955299999999999</v>
      </c>
      <c r="F11663" s="42">
        <v>46198</v>
      </c>
    </row>
    <row r="11664" spans="1:6" x14ac:dyDescent="0.3">
      <c r="A11664" s="15" t="s">
        <v>38261</v>
      </c>
      <c r="B11664" s="15" t="s">
        <v>21466</v>
      </c>
      <c r="C11664" s="15" t="s">
        <v>800</v>
      </c>
      <c r="D11664" s="15" t="s">
        <v>21467</v>
      </c>
      <c r="E11664" s="15">
        <v>12.8682</v>
      </c>
      <c r="F11664" s="42">
        <v>46198</v>
      </c>
    </row>
    <row r="11665" spans="1:6" x14ac:dyDescent="0.3">
      <c r="A11665" s="15" t="s">
        <v>38260</v>
      </c>
      <c r="B11665" s="15" t="s">
        <v>21468</v>
      </c>
      <c r="C11665" s="15" t="s">
        <v>800</v>
      </c>
      <c r="D11665" s="15" t="s">
        <v>21469</v>
      </c>
      <c r="E11665" s="15">
        <v>12.8682</v>
      </c>
      <c r="F11665" s="42">
        <v>46198</v>
      </c>
    </row>
    <row r="11666" spans="1:6" x14ac:dyDescent="0.3">
      <c r="A11666" s="15" t="s">
        <v>38259</v>
      </c>
      <c r="B11666" s="15" t="s">
        <v>21470</v>
      </c>
      <c r="C11666" s="15" t="s">
        <v>800</v>
      </c>
      <c r="D11666" s="15" t="s">
        <v>21471</v>
      </c>
      <c r="E11666" s="15">
        <v>15.919700000000001</v>
      </c>
      <c r="F11666" s="42">
        <v>46198</v>
      </c>
    </row>
    <row r="11667" spans="1:6" x14ac:dyDescent="0.3">
      <c r="A11667" s="15" t="s">
        <v>38258</v>
      </c>
      <c r="B11667" s="15" t="s">
        <v>21472</v>
      </c>
      <c r="C11667" s="15" t="s">
        <v>800</v>
      </c>
      <c r="D11667" s="15" t="s">
        <v>21473</v>
      </c>
      <c r="E11667" s="15">
        <v>15.919700000000001</v>
      </c>
      <c r="F11667" s="42">
        <v>46198</v>
      </c>
    </row>
    <row r="11668" spans="1:6" x14ac:dyDescent="0.3">
      <c r="A11668" s="15" t="s">
        <v>38257</v>
      </c>
      <c r="B11668" s="15" t="s">
        <v>21474</v>
      </c>
      <c r="C11668" s="15" t="s">
        <v>800</v>
      </c>
      <c r="D11668" s="15" t="s">
        <v>21475</v>
      </c>
      <c r="E11668" s="15">
        <v>15.577199999999999</v>
      </c>
      <c r="F11668" s="42">
        <v>46198</v>
      </c>
    </row>
    <row r="11669" spans="1:6" x14ac:dyDescent="0.3">
      <c r="A11669" s="15" t="s">
        <v>38256</v>
      </c>
      <c r="B11669" s="15" t="s">
        <v>21476</v>
      </c>
      <c r="C11669" s="15" t="s">
        <v>800</v>
      </c>
      <c r="D11669" s="15" t="s">
        <v>21477</v>
      </c>
      <c r="E11669" s="15">
        <v>15.577199999999999</v>
      </c>
      <c r="F11669" s="42">
        <v>46198</v>
      </c>
    </row>
    <row r="11670" spans="1:6" x14ac:dyDescent="0.3">
      <c r="A11670" s="15" t="s">
        <v>38255</v>
      </c>
      <c r="B11670" s="15" t="s">
        <v>21478</v>
      </c>
      <c r="C11670" s="15" t="s">
        <v>800</v>
      </c>
      <c r="D11670" s="15" t="s">
        <v>21479</v>
      </c>
      <c r="E11670" s="15">
        <v>11.5298</v>
      </c>
      <c r="F11670" s="42">
        <v>46198</v>
      </c>
    </row>
    <row r="11671" spans="1:6" x14ac:dyDescent="0.3">
      <c r="A11671" s="15" t="s">
        <v>38254</v>
      </c>
      <c r="B11671" s="15" t="s">
        <v>21480</v>
      </c>
      <c r="C11671" s="15" t="s">
        <v>21481</v>
      </c>
      <c r="D11671" s="15" t="s">
        <v>21482</v>
      </c>
      <c r="E11671" s="15">
        <v>11.5298</v>
      </c>
      <c r="F11671" s="42">
        <v>46198</v>
      </c>
    </row>
    <row r="11672" spans="1:6" x14ac:dyDescent="0.3">
      <c r="A11672" s="15" t="s">
        <v>38253</v>
      </c>
      <c r="B11672" s="15" t="s">
        <v>21483</v>
      </c>
      <c r="C11672" s="15" t="s">
        <v>800</v>
      </c>
      <c r="D11672" s="15" t="s">
        <v>21484</v>
      </c>
      <c r="E11672" s="15">
        <v>11.433999999999999</v>
      </c>
      <c r="F11672" s="42">
        <v>46198</v>
      </c>
    </row>
    <row r="11673" spans="1:6" x14ac:dyDescent="0.3">
      <c r="A11673" s="15" t="s">
        <v>38252</v>
      </c>
      <c r="B11673" s="15" t="s">
        <v>21485</v>
      </c>
      <c r="C11673" s="15" t="s">
        <v>21486</v>
      </c>
      <c r="D11673" s="15" t="s">
        <v>21487</v>
      </c>
      <c r="E11673" s="15">
        <v>11.433999999999999</v>
      </c>
      <c r="F11673" s="42">
        <v>46198</v>
      </c>
    </row>
    <row r="11674" spans="1:6" x14ac:dyDescent="0.3">
      <c r="A11674" s="15" t="s">
        <v>38251</v>
      </c>
      <c r="B11674" s="15" t="s">
        <v>21488</v>
      </c>
      <c r="C11674" s="15" t="s">
        <v>800</v>
      </c>
      <c r="D11674" s="15" t="s">
        <v>21489</v>
      </c>
      <c r="E11674" s="15">
        <v>12.5557</v>
      </c>
      <c r="F11674" s="42">
        <v>46198</v>
      </c>
    </row>
    <row r="11675" spans="1:6" x14ac:dyDescent="0.3">
      <c r="A11675" s="15" t="s">
        <v>38250</v>
      </c>
      <c r="B11675" s="15" t="s">
        <v>21490</v>
      </c>
      <c r="C11675" s="15" t="s">
        <v>21491</v>
      </c>
      <c r="D11675" s="15" t="s">
        <v>21492</v>
      </c>
      <c r="E11675" s="15">
        <v>12.5557</v>
      </c>
      <c r="F11675" s="42">
        <v>46198</v>
      </c>
    </row>
    <row r="11676" spans="1:6" x14ac:dyDescent="0.3">
      <c r="A11676" s="15" t="s">
        <v>38249</v>
      </c>
      <c r="B11676" s="15" t="s">
        <v>21493</v>
      </c>
      <c r="C11676" s="15" t="s">
        <v>800</v>
      </c>
      <c r="D11676" s="15" t="s">
        <v>21494</v>
      </c>
      <c r="E11676" s="15">
        <v>12.3818</v>
      </c>
      <c r="F11676" s="42">
        <v>46198</v>
      </c>
    </row>
    <row r="11677" spans="1:6" x14ac:dyDescent="0.3">
      <c r="A11677" s="15" t="s">
        <v>38248</v>
      </c>
      <c r="B11677" s="15" t="s">
        <v>21495</v>
      </c>
      <c r="C11677" s="15" t="s">
        <v>21496</v>
      </c>
      <c r="D11677" s="15" t="s">
        <v>21497</v>
      </c>
      <c r="E11677" s="15">
        <v>12.3818</v>
      </c>
      <c r="F11677" s="42">
        <v>46198</v>
      </c>
    </row>
    <row r="11678" spans="1:6" x14ac:dyDescent="0.3">
      <c r="A11678" s="15" t="s">
        <v>38247</v>
      </c>
      <c r="B11678" s="15" t="s">
        <v>21498</v>
      </c>
      <c r="C11678" s="15" t="s">
        <v>800</v>
      </c>
      <c r="D11678" s="15" t="s">
        <v>21499</v>
      </c>
      <c r="E11678" s="15">
        <v>13.221500000000001</v>
      </c>
      <c r="F11678" s="42">
        <v>46198</v>
      </c>
    </row>
    <row r="11679" spans="1:6" x14ac:dyDescent="0.3">
      <c r="A11679" s="15" t="s">
        <v>38246</v>
      </c>
      <c r="B11679" s="15" t="s">
        <v>21500</v>
      </c>
      <c r="C11679" s="15" t="s">
        <v>21501</v>
      </c>
      <c r="D11679" s="15" t="s">
        <v>21502</v>
      </c>
      <c r="E11679" s="15">
        <v>13.221500000000001</v>
      </c>
      <c r="F11679" s="42">
        <v>46198</v>
      </c>
    </row>
    <row r="11680" spans="1:6" x14ac:dyDescent="0.3">
      <c r="A11680" s="15" t="s">
        <v>38245</v>
      </c>
      <c r="B11680" s="15" t="s">
        <v>21503</v>
      </c>
      <c r="C11680" s="15" t="s">
        <v>800</v>
      </c>
      <c r="D11680" s="15" t="s">
        <v>21504</v>
      </c>
      <c r="E11680" s="15">
        <v>13.1187</v>
      </c>
      <c r="F11680" s="42">
        <v>46198</v>
      </c>
    </row>
    <row r="11681" spans="1:6" x14ac:dyDescent="0.3">
      <c r="A11681" s="15" t="s">
        <v>38244</v>
      </c>
      <c r="B11681" s="15" t="s">
        <v>21505</v>
      </c>
      <c r="C11681" s="15" t="s">
        <v>21506</v>
      </c>
      <c r="D11681" s="15" t="s">
        <v>21507</v>
      </c>
      <c r="E11681" s="15">
        <v>13.1187</v>
      </c>
      <c r="F11681" s="42">
        <v>46198</v>
      </c>
    </row>
    <row r="11682" spans="1:6" x14ac:dyDescent="0.3">
      <c r="A11682" s="15" t="s">
        <v>38243</v>
      </c>
      <c r="B11682" s="15" t="s">
        <v>21508</v>
      </c>
      <c r="C11682" s="15" t="s">
        <v>800</v>
      </c>
      <c r="D11682" s="15" t="s">
        <v>21509</v>
      </c>
      <c r="E11682" s="15">
        <v>12.8873</v>
      </c>
      <c r="F11682" s="42">
        <v>46198</v>
      </c>
    </row>
    <row r="11683" spans="1:6" x14ac:dyDescent="0.3">
      <c r="A11683" s="15" t="s">
        <v>38242</v>
      </c>
      <c r="B11683" s="15" t="s">
        <v>21510</v>
      </c>
      <c r="C11683" s="15" t="s">
        <v>800</v>
      </c>
      <c r="D11683" s="15" t="s">
        <v>21511</v>
      </c>
      <c r="E11683" s="15">
        <v>12.8873</v>
      </c>
      <c r="F11683" s="42">
        <v>46198</v>
      </c>
    </row>
    <row r="11684" spans="1:6" x14ac:dyDescent="0.3">
      <c r="A11684" s="15" t="s">
        <v>38241</v>
      </c>
      <c r="B11684" s="15" t="s">
        <v>21512</v>
      </c>
      <c r="C11684" s="15" t="s">
        <v>800</v>
      </c>
      <c r="D11684" s="15" t="s">
        <v>21513</v>
      </c>
      <c r="E11684" s="15">
        <v>12.813800000000001</v>
      </c>
      <c r="F11684" s="42">
        <v>46198</v>
      </c>
    </row>
    <row r="11685" spans="1:6" x14ac:dyDescent="0.3">
      <c r="A11685" s="15" t="s">
        <v>38240</v>
      </c>
      <c r="B11685" s="15" t="s">
        <v>21514</v>
      </c>
      <c r="C11685" s="15" t="s">
        <v>800</v>
      </c>
      <c r="D11685" s="15" t="s">
        <v>21515</v>
      </c>
      <c r="E11685" s="15">
        <v>12.813800000000001</v>
      </c>
      <c r="F11685" s="42">
        <v>46198</v>
      </c>
    </row>
    <row r="11686" spans="1:6" x14ac:dyDescent="0.3">
      <c r="A11686" s="15" t="s">
        <v>38239</v>
      </c>
      <c r="B11686" s="15" t="s">
        <v>21516</v>
      </c>
      <c r="C11686" s="15" t="s">
        <v>800</v>
      </c>
      <c r="D11686" s="15" t="s">
        <v>21517</v>
      </c>
      <c r="E11686" s="15">
        <v>12.864699999999999</v>
      </c>
      <c r="F11686" s="42">
        <v>46198</v>
      </c>
    </row>
    <row r="11687" spans="1:6" x14ac:dyDescent="0.3">
      <c r="A11687" s="15" t="s">
        <v>38238</v>
      </c>
      <c r="B11687" s="15" t="s">
        <v>21518</v>
      </c>
      <c r="C11687" s="15" t="s">
        <v>21519</v>
      </c>
      <c r="D11687" s="15" t="s">
        <v>21520</v>
      </c>
      <c r="E11687" s="15">
        <v>12.864699999999999</v>
      </c>
      <c r="F11687" s="42">
        <v>46198</v>
      </c>
    </row>
    <row r="11688" spans="1:6" x14ac:dyDescent="0.3">
      <c r="A11688" s="15" t="s">
        <v>38237</v>
      </c>
      <c r="B11688" s="15" t="s">
        <v>21521</v>
      </c>
      <c r="C11688" s="15" t="s">
        <v>800</v>
      </c>
      <c r="D11688" s="15" t="s">
        <v>21522</v>
      </c>
      <c r="E11688" s="15">
        <v>12.7704</v>
      </c>
      <c r="F11688" s="42">
        <v>46198</v>
      </c>
    </row>
    <row r="11689" spans="1:6" x14ac:dyDescent="0.3">
      <c r="A11689" s="15" t="s">
        <v>38236</v>
      </c>
      <c r="B11689" s="15" t="s">
        <v>21523</v>
      </c>
      <c r="C11689" s="15" t="s">
        <v>21524</v>
      </c>
      <c r="D11689" s="15" t="s">
        <v>21525</v>
      </c>
      <c r="E11689" s="15">
        <v>12.7704</v>
      </c>
      <c r="F11689" s="42">
        <v>46198</v>
      </c>
    </row>
    <row r="11690" spans="1:6" x14ac:dyDescent="0.3">
      <c r="A11690" s="15" t="s">
        <v>38235</v>
      </c>
      <c r="B11690" s="15" t="s">
        <v>21526</v>
      </c>
      <c r="C11690" s="15" t="s">
        <v>21527</v>
      </c>
      <c r="D11690" s="15" t="s">
        <v>21528</v>
      </c>
      <c r="E11690" s="15">
        <v>11.101100000000001</v>
      </c>
      <c r="F11690" s="42">
        <v>46198</v>
      </c>
    </row>
    <row r="11691" spans="1:6" x14ac:dyDescent="0.3">
      <c r="A11691" s="15" t="s">
        <v>38234</v>
      </c>
      <c r="B11691" s="15" t="s">
        <v>21529</v>
      </c>
      <c r="C11691" s="15" t="s">
        <v>800</v>
      </c>
      <c r="D11691" s="15" t="s">
        <v>21530</v>
      </c>
      <c r="E11691" s="15">
        <v>11.101100000000001</v>
      </c>
      <c r="F11691" s="42">
        <v>46198</v>
      </c>
    </row>
    <row r="11692" spans="1:6" x14ac:dyDescent="0.3">
      <c r="A11692" s="15" t="s">
        <v>38233</v>
      </c>
      <c r="B11692" s="15" t="s">
        <v>21531</v>
      </c>
      <c r="C11692" s="15" t="s">
        <v>21532</v>
      </c>
      <c r="D11692" s="15" t="s">
        <v>21533</v>
      </c>
      <c r="E11692" s="15">
        <v>11.049799999999999</v>
      </c>
      <c r="F11692" s="42">
        <v>46198</v>
      </c>
    </row>
    <row r="11693" spans="1:6" x14ac:dyDescent="0.3">
      <c r="A11693" s="15" t="s">
        <v>38232</v>
      </c>
      <c r="B11693" s="15" t="s">
        <v>21534</v>
      </c>
      <c r="C11693" s="15" t="s">
        <v>800</v>
      </c>
      <c r="D11693" s="15" t="s">
        <v>21535</v>
      </c>
      <c r="E11693" s="15">
        <v>11.049799999999999</v>
      </c>
      <c r="F11693" s="42">
        <v>46198</v>
      </c>
    </row>
    <row r="11694" spans="1:6" x14ac:dyDescent="0.3">
      <c r="A11694" s="15" t="s">
        <v>38231</v>
      </c>
      <c r="B11694" s="15" t="s">
        <v>21536</v>
      </c>
      <c r="C11694" s="15" t="s">
        <v>800</v>
      </c>
      <c r="D11694" s="15" t="s">
        <v>21537</v>
      </c>
      <c r="E11694" s="15">
        <v>7.4885999999999999</v>
      </c>
      <c r="F11694" s="42">
        <v>46198</v>
      </c>
    </row>
    <row r="11695" spans="1:6" x14ac:dyDescent="0.3">
      <c r="A11695" s="15" t="s">
        <v>38230</v>
      </c>
      <c r="B11695" s="15" t="s">
        <v>21538</v>
      </c>
      <c r="C11695" s="15" t="s">
        <v>21539</v>
      </c>
      <c r="D11695" s="15" t="s">
        <v>21540</v>
      </c>
      <c r="E11695" s="15">
        <v>7.4885999999999999</v>
      </c>
      <c r="F11695" s="42">
        <v>46198</v>
      </c>
    </row>
    <row r="11696" spans="1:6" x14ac:dyDescent="0.3">
      <c r="A11696" s="15" t="s">
        <v>38229</v>
      </c>
      <c r="B11696" s="15" t="s">
        <v>21541</v>
      </c>
      <c r="C11696" s="15" t="s">
        <v>800</v>
      </c>
      <c r="D11696" s="15" t="s">
        <v>21542</v>
      </c>
      <c r="E11696" s="15">
        <v>7.3791000000000002</v>
      </c>
      <c r="F11696" s="42">
        <v>46198</v>
      </c>
    </row>
    <row r="11697" spans="1:6" x14ac:dyDescent="0.3">
      <c r="A11697" s="15" t="s">
        <v>38228</v>
      </c>
      <c r="B11697" s="15" t="s">
        <v>21543</v>
      </c>
      <c r="C11697" s="15" t="s">
        <v>21544</v>
      </c>
      <c r="D11697" s="15" t="s">
        <v>21545</v>
      </c>
      <c r="E11697" s="15">
        <v>7.3791000000000002</v>
      </c>
      <c r="F11697" s="42">
        <v>46198</v>
      </c>
    </row>
    <row r="11698" spans="1:6" x14ac:dyDescent="0.3">
      <c r="A11698" s="15" t="s">
        <v>38227</v>
      </c>
      <c r="B11698" s="15" t="s">
        <v>21546</v>
      </c>
      <c r="C11698" s="15" t="s">
        <v>800</v>
      </c>
      <c r="D11698" s="15" t="s">
        <v>21547</v>
      </c>
      <c r="E11698" s="15">
        <v>26.3261</v>
      </c>
      <c r="F11698" s="42">
        <v>46198</v>
      </c>
    </row>
    <row r="11699" spans="1:6" x14ac:dyDescent="0.3">
      <c r="A11699" s="15" t="s">
        <v>38226</v>
      </c>
      <c r="B11699" s="15" t="s">
        <v>21548</v>
      </c>
      <c r="C11699" s="15" t="s">
        <v>21549</v>
      </c>
      <c r="D11699" s="15" t="s">
        <v>21550</v>
      </c>
      <c r="E11699" s="15">
        <v>26.3261</v>
      </c>
      <c r="F11699" s="42">
        <v>46198</v>
      </c>
    </row>
    <row r="11700" spans="1:6" x14ac:dyDescent="0.3">
      <c r="A11700" s="15" t="s">
        <v>38225</v>
      </c>
      <c r="B11700" s="15" t="s">
        <v>21551</v>
      </c>
      <c r="C11700" s="15" t="s">
        <v>21552</v>
      </c>
      <c r="D11700" s="15" t="s">
        <v>21553</v>
      </c>
      <c r="E11700" s="15">
        <v>25.5794</v>
      </c>
      <c r="F11700" s="42">
        <v>46198</v>
      </c>
    </row>
    <row r="11701" spans="1:6" x14ac:dyDescent="0.3">
      <c r="A11701" s="15" t="s">
        <v>38224</v>
      </c>
      <c r="B11701" s="15" t="s">
        <v>21554</v>
      </c>
      <c r="C11701" s="15" t="s">
        <v>800</v>
      </c>
      <c r="D11701" s="15" t="s">
        <v>21555</v>
      </c>
      <c r="E11701" s="15">
        <v>25.5794</v>
      </c>
      <c r="F11701" s="42">
        <v>46198</v>
      </c>
    </row>
    <row r="11702" spans="1:6" x14ac:dyDescent="0.3">
      <c r="A11702" s="15" t="s">
        <v>38223</v>
      </c>
      <c r="B11702" s="15" t="s">
        <v>21556</v>
      </c>
      <c r="C11702" s="15" t="s">
        <v>800</v>
      </c>
      <c r="D11702" s="15" t="s">
        <v>21557</v>
      </c>
      <c r="E11702" s="15">
        <v>7.6444000000000001</v>
      </c>
      <c r="F11702" s="42">
        <v>46198</v>
      </c>
    </row>
    <row r="11703" spans="1:6" x14ac:dyDescent="0.3">
      <c r="A11703" s="15" t="s">
        <v>38222</v>
      </c>
      <c r="B11703" s="15" t="s">
        <v>21558</v>
      </c>
      <c r="C11703" s="15" t="s">
        <v>21559</v>
      </c>
      <c r="D11703" s="15" t="s">
        <v>21560</v>
      </c>
      <c r="E11703" s="15">
        <v>7.6444000000000001</v>
      </c>
      <c r="F11703" s="42">
        <v>46198</v>
      </c>
    </row>
    <row r="11704" spans="1:6" x14ac:dyDescent="0.3">
      <c r="A11704" s="15" t="s">
        <v>38221</v>
      </c>
      <c r="B11704" s="15" t="s">
        <v>21561</v>
      </c>
      <c r="C11704" s="15" t="s">
        <v>800</v>
      </c>
      <c r="D11704" s="15" t="s">
        <v>21562</v>
      </c>
      <c r="E11704" s="15">
        <v>7.5781000000000001</v>
      </c>
      <c r="F11704" s="42">
        <v>46198</v>
      </c>
    </row>
    <row r="11705" spans="1:6" x14ac:dyDescent="0.3">
      <c r="A11705" s="15" t="s">
        <v>38220</v>
      </c>
      <c r="B11705" s="15" t="s">
        <v>21563</v>
      </c>
      <c r="C11705" s="15" t="s">
        <v>21564</v>
      </c>
      <c r="D11705" s="15" t="s">
        <v>21565</v>
      </c>
      <c r="E11705" s="15">
        <v>7.5781000000000001</v>
      </c>
      <c r="F11705" s="42">
        <v>46198</v>
      </c>
    </row>
    <row r="11706" spans="1:6" x14ac:dyDescent="0.3">
      <c r="A11706" s="15" t="s">
        <v>38219</v>
      </c>
      <c r="B11706" s="15" t="s">
        <v>21566</v>
      </c>
      <c r="C11706" s="15" t="s">
        <v>800</v>
      </c>
      <c r="D11706" s="15" t="s">
        <v>21567</v>
      </c>
      <c r="E11706" s="15">
        <v>13.015700000000001</v>
      </c>
      <c r="F11706" s="42">
        <v>46198</v>
      </c>
    </row>
    <row r="11707" spans="1:6" x14ac:dyDescent="0.3">
      <c r="A11707" s="15" t="s">
        <v>38218</v>
      </c>
      <c r="B11707" s="15" t="s">
        <v>21568</v>
      </c>
      <c r="C11707" s="15" t="s">
        <v>21569</v>
      </c>
      <c r="D11707" s="15" t="s">
        <v>21570</v>
      </c>
      <c r="E11707" s="15">
        <v>13.015700000000001</v>
      </c>
      <c r="F11707" s="42">
        <v>46198</v>
      </c>
    </row>
    <row r="11708" spans="1:6" x14ac:dyDescent="0.3">
      <c r="A11708" s="15" t="s">
        <v>38217</v>
      </c>
      <c r="B11708" s="15" t="s">
        <v>21571</v>
      </c>
      <c r="C11708" s="15" t="s">
        <v>21572</v>
      </c>
      <c r="D11708" s="15" t="s">
        <v>21573</v>
      </c>
      <c r="E11708" s="15">
        <v>12.922700000000001</v>
      </c>
      <c r="F11708" s="42">
        <v>46198</v>
      </c>
    </row>
    <row r="11709" spans="1:6" x14ac:dyDescent="0.3">
      <c r="A11709" s="15" t="s">
        <v>38216</v>
      </c>
      <c r="B11709" s="15" t="s">
        <v>21574</v>
      </c>
      <c r="C11709" s="15" t="s">
        <v>800</v>
      </c>
      <c r="D11709" s="15" t="s">
        <v>21575</v>
      </c>
      <c r="E11709" s="15">
        <v>12.922700000000001</v>
      </c>
      <c r="F11709" s="42">
        <v>46198</v>
      </c>
    </row>
    <row r="11710" spans="1:6" x14ac:dyDescent="0.3">
      <c r="A11710" s="15" t="s">
        <v>38215</v>
      </c>
      <c r="B11710" s="15" t="s">
        <v>21576</v>
      </c>
      <c r="C11710" s="15" t="s">
        <v>21577</v>
      </c>
      <c r="D11710" s="15" t="s">
        <v>21578</v>
      </c>
      <c r="E11710" s="15">
        <v>12.8102</v>
      </c>
      <c r="F11710" s="42">
        <v>46198</v>
      </c>
    </row>
    <row r="11711" spans="1:6" x14ac:dyDescent="0.3">
      <c r="A11711" s="15" t="s">
        <v>38214</v>
      </c>
      <c r="B11711" s="15" t="s">
        <v>21579</v>
      </c>
      <c r="C11711" s="15" t="s">
        <v>800</v>
      </c>
      <c r="D11711" s="15" t="s">
        <v>21580</v>
      </c>
      <c r="E11711" s="15">
        <v>12.891999999999999</v>
      </c>
      <c r="F11711" s="42">
        <v>46198</v>
      </c>
    </row>
    <row r="11712" spans="1:6" x14ac:dyDescent="0.3">
      <c r="A11712" s="15" t="s">
        <v>38213</v>
      </c>
      <c r="B11712" s="15" t="s">
        <v>21581</v>
      </c>
      <c r="C11712" s="15" t="s">
        <v>21582</v>
      </c>
      <c r="D11712" s="15" t="s">
        <v>21583</v>
      </c>
      <c r="E11712" s="15">
        <v>12.891999999999999</v>
      </c>
      <c r="F11712" s="42">
        <v>46198</v>
      </c>
    </row>
    <row r="11713" spans="1:6" x14ac:dyDescent="0.3">
      <c r="A11713" s="15" t="s">
        <v>38212</v>
      </c>
      <c r="B11713" s="15" t="s">
        <v>21584</v>
      </c>
      <c r="C11713" s="15" t="s">
        <v>800</v>
      </c>
      <c r="D11713" s="15" t="s">
        <v>21585</v>
      </c>
      <c r="E11713" s="15">
        <v>12.8102</v>
      </c>
      <c r="F11713" s="42">
        <v>46198</v>
      </c>
    </row>
    <row r="11714" spans="1:6" x14ac:dyDescent="0.3">
      <c r="A11714" s="15" t="s">
        <v>38211</v>
      </c>
      <c r="B11714" s="15" t="s">
        <v>21586</v>
      </c>
      <c r="C11714" s="15" t="s">
        <v>800</v>
      </c>
      <c r="D11714" s="15" t="s">
        <v>21587</v>
      </c>
      <c r="E11714" s="15">
        <v>35.0657</v>
      </c>
      <c r="F11714" s="42">
        <v>46198</v>
      </c>
    </row>
    <row r="11715" spans="1:6" x14ac:dyDescent="0.3">
      <c r="A11715" s="15" t="s">
        <v>38210</v>
      </c>
      <c r="B11715" s="15" t="s">
        <v>21588</v>
      </c>
      <c r="C11715" s="15" t="s">
        <v>21589</v>
      </c>
      <c r="D11715" s="15" t="s">
        <v>21590</v>
      </c>
      <c r="E11715" s="15">
        <v>35.0657</v>
      </c>
      <c r="F11715" s="42">
        <v>46198</v>
      </c>
    </row>
    <row r="11716" spans="1:6" x14ac:dyDescent="0.3">
      <c r="A11716" s="15" t="s">
        <v>38209</v>
      </c>
      <c r="B11716" s="15" t="s">
        <v>21591</v>
      </c>
      <c r="C11716" s="15" t="s">
        <v>21592</v>
      </c>
      <c r="D11716" s="15" t="s">
        <v>21593</v>
      </c>
      <c r="E11716" s="15">
        <v>33.7532</v>
      </c>
      <c r="F11716" s="42">
        <v>46198</v>
      </c>
    </row>
    <row r="11717" spans="1:6" x14ac:dyDescent="0.3">
      <c r="A11717" s="15" t="s">
        <v>38208</v>
      </c>
      <c r="B11717" s="15" t="s">
        <v>21594</v>
      </c>
      <c r="C11717" s="15" t="s">
        <v>800</v>
      </c>
      <c r="D11717" s="15" t="s">
        <v>21595</v>
      </c>
      <c r="E11717" s="15">
        <v>33.7532</v>
      </c>
      <c r="F11717" s="42">
        <v>46198</v>
      </c>
    </row>
    <row r="11718" spans="1:6" x14ac:dyDescent="0.3">
      <c r="A11718" s="15" t="s">
        <v>33499</v>
      </c>
      <c r="B11718" s="15" t="s">
        <v>795</v>
      </c>
      <c r="C11718" s="15" t="s">
        <v>795</v>
      </c>
      <c r="D11718" s="15" t="s">
        <v>795</v>
      </c>
      <c r="F11718" s="42"/>
    </row>
    <row r="11719" spans="1:6" x14ac:dyDescent="0.3">
      <c r="A11719" s="15" t="s">
        <v>37523</v>
      </c>
      <c r="B11719" s="15" t="s">
        <v>795</v>
      </c>
      <c r="C11719" s="15" t="s">
        <v>795</v>
      </c>
      <c r="D11719" s="15" t="s">
        <v>795</v>
      </c>
      <c r="F11719" s="42"/>
    </row>
    <row r="11720" spans="1:6" x14ac:dyDescent="0.3">
      <c r="A11720" s="15" t="s">
        <v>33499</v>
      </c>
      <c r="B11720" s="15" t="s">
        <v>795</v>
      </c>
      <c r="C11720" s="15" t="s">
        <v>795</v>
      </c>
      <c r="D11720" s="15" t="s">
        <v>795</v>
      </c>
      <c r="F11720" s="42"/>
    </row>
    <row r="11721" spans="1:6" x14ac:dyDescent="0.3">
      <c r="A11721" s="15" t="s">
        <v>38207</v>
      </c>
      <c r="B11721" s="15" t="s">
        <v>21596</v>
      </c>
      <c r="C11721" s="15" t="s">
        <v>800</v>
      </c>
      <c r="D11721" s="15" t="s">
        <v>21597</v>
      </c>
      <c r="E11721" s="15">
        <v>12.7812</v>
      </c>
      <c r="F11721" s="42">
        <v>46198</v>
      </c>
    </row>
    <row r="11722" spans="1:6" x14ac:dyDescent="0.3">
      <c r="A11722" s="15" t="s">
        <v>38206</v>
      </c>
      <c r="B11722" s="15" t="s">
        <v>21598</v>
      </c>
      <c r="C11722" s="15" t="s">
        <v>21599</v>
      </c>
      <c r="D11722" s="15" t="s">
        <v>21600</v>
      </c>
      <c r="E11722" s="15">
        <v>10.5702</v>
      </c>
      <c r="F11722" s="42">
        <v>46198</v>
      </c>
    </row>
    <row r="11723" spans="1:6" x14ac:dyDescent="0.3">
      <c r="A11723" s="15" t="s">
        <v>38205</v>
      </c>
      <c r="B11723" s="15" t="s">
        <v>21601</v>
      </c>
      <c r="C11723" s="15" t="s">
        <v>800</v>
      </c>
      <c r="D11723" s="15" t="s">
        <v>21602</v>
      </c>
      <c r="E11723" s="15">
        <v>12.710599999999999</v>
      </c>
      <c r="F11723" s="42">
        <v>46198</v>
      </c>
    </row>
    <row r="11724" spans="1:6" x14ac:dyDescent="0.3">
      <c r="A11724" s="15" t="s">
        <v>38204</v>
      </c>
      <c r="B11724" s="15" t="s">
        <v>21603</v>
      </c>
      <c r="C11724" s="15" t="s">
        <v>21604</v>
      </c>
      <c r="D11724" s="15" t="s">
        <v>21605</v>
      </c>
      <c r="E11724" s="15">
        <v>10.508800000000001</v>
      </c>
      <c r="F11724" s="42">
        <v>46198</v>
      </c>
    </row>
    <row r="11725" spans="1:6" x14ac:dyDescent="0.3">
      <c r="A11725" s="15" t="s">
        <v>33499</v>
      </c>
      <c r="B11725" s="15" t="s">
        <v>795</v>
      </c>
      <c r="C11725" s="15" t="s">
        <v>795</v>
      </c>
      <c r="D11725" s="15" t="s">
        <v>795</v>
      </c>
      <c r="F11725" s="42"/>
    </row>
    <row r="11726" spans="1:6" x14ac:dyDescent="0.3">
      <c r="A11726" s="15" t="s">
        <v>33636</v>
      </c>
      <c r="B11726" s="15" t="s">
        <v>795</v>
      </c>
      <c r="C11726" s="15" t="s">
        <v>795</v>
      </c>
      <c r="D11726" s="15" t="s">
        <v>795</v>
      </c>
      <c r="F11726" s="42"/>
    </row>
    <row r="11727" spans="1:6" x14ac:dyDescent="0.3">
      <c r="A11727" s="15" t="s">
        <v>33499</v>
      </c>
      <c r="B11727" s="15" t="s">
        <v>795</v>
      </c>
      <c r="C11727" s="15" t="s">
        <v>795</v>
      </c>
      <c r="D11727" s="15" t="s">
        <v>795</v>
      </c>
      <c r="F11727" s="42"/>
    </row>
    <row r="11728" spans="1:6" x14ac:dyDescent="0.3">
      <c r="A11728" s="15" t="s">
        <v>38203</v>
      </c>
      <c r="B11728" s="15" t="s">
        <v>21606</v>
      </c>
      <c r="C11728" s="15" t="s">
        <v>800</v>
      </c>
      <c r="D11728" s="15" t="s">
        <v>21607</v>
      </c>
      <c r="E11728" s="15">
        <v>13.8919</v>
      </c>
      <c r="F11728" s="42">
        <v>46198</v>
      </c>
    </row>
    <row r="11729" spans="1:6" x14ac:dyDescent="0.3">
      <c r="A11729" s="15" t="s">
        <v>38202</v>
      </c>
      <c r="B11729" s="15" t="s">
        <v>21608</v>
      </c>
      <c r="C11729" s="15" t="s">
        <v>21609</v>
      </c>
      <c r="D11729" s="15" t="s">
        <v>21610</v>
      </c>
      <c r="E11729" s="15">
        <v>13.8918</v>
      </c>
      <c r="F11729" s="42">
        <v>46198</v>
      </c>
    </row>
    <row r="11730" spans="1:6" x14ac:dyDescent="0.3">
      <c r="A11730" s="15" t="s">
        <v>38201</v>
      </c>
      <c r="B11730" s="15" t="s">
        <v>21611</v>
      </c>
      <c r="C11730" s="15" t="s">
        <v>800</v>
      </c>
      <c r="D11730" s="15" t="s">
        <v>21612</v>
      </c>
      <c r="E11730" s="15">
        <v>13.8088</v>
      </c>
      <c r="F11730" s="42">
        <v>46198</v>
      </c>
    </row>
    <row r="11731" spans="1:6" x14ac:dyDescent="0.3">
      <c r="A11731" s="15" t="s">
        <v>38200</v>
      </c>
      <c r="B11731" s="15" t="s">
        <v>21613</v>
      </c>
      <c r="C11731" s="15" t="s">
        <v>21614</v>
      </c>
      <c r="D11731" s="15" t="s">
        <v>21615</v>
      </c>
      <c r="E11731" s="15">
        <v>13.810700000000001</v>
      </c>
      <c r="F11731" s="42">
        <v>46198</v>
      </c>
    </row>
    <row r="11732" spans="1:6" x14ac:dyDescent="0.3">
      <c r="A11732" s="15" t="s">
        <v>38199</v>
      </c>
      <c r="B11732" s="15" t="s">
        <v>21616</v>
      </c>
      <c r="C11732" s="15" t="s">
        <v>800</v>
      </c>
      <c r="D11732" s="15" t="s">
        <v>21617</v>
      </c>
      <c r="E11732" s="15">
        <v>12.6958</v>
      </c>
      <c r="F11732" s="42">
        <v>46198</v>
      </c>
    </row>
    <row r="11733" spans="1:6" x14ac:dyDescent="0.3">
      <c r="A11733" s="15" t="s">
        <v>38198</v>
      </c>
      <c r="B11733" s="15" t="s">
        <v>21618</v>
      </c>
      <c r="C11733" s="15" t="s">
        <v>21619</v>
      </c>
      <c r="D11733" s="15" t="s">
        <v>21620</v>
      </c>
      <c r="E11733" s="15">
        <v>12.696400000000001</v>
      </c>
      <c r="F11733" s="42">
        <v>46198</v>
      </c>
    </row>
    <row r="11734" spans="1:6" x14ac:dyDescent="0.3">
      <c r="A11734" s="15" t="s">
        <v>38197</v>
      </c>
      <c r="B11734" s="15" t="s">
        <v>21621</v>
      </c>
      <c r="C11734" s="15" t="s">
        <v>800</v>
      </c>
      <c r="D11734" s="15" t="s">
        <v>21622</v>
      </c>
      <c r="E11734" s="15">
        <v>12.6096</v>
      </c>
      <c r="F11734" s="42">
        <v>46198</v>
      </c>
    </row>
    <row r="11735" spans="1:6" x14ac:dyDescent="0.3">
      <c r="A11735" s="15" t="s">
        <v>38196</v>
      </c>
      <c r="B11735" s="15" t="s">
        <v>21623</v>
      </c>
      <c r="C11735" s="15" t="s">
        <v>21624</v>
      </c>
      <c r="D11735" s="15" t="s">
        <v>21625</v>
      </c>
      <c r="E11735" s="15">
        <v>12.6096</v>
      </c>
      <c r="F11735" s="42">
        <v>46198</v>
      </c>
    </row>
    <row r="11736" spans="1:6" x14ac:dyDescent="0.3">
      <c r="A11736" s="15" t="s">
        <v>38195</v>
      </c>
      <c r="B11736" s="15" t="s">
        <v>21626</v>
      </c>
      <c r="C11736" s="15" t="s">
        <v>800</v>
      </c>
      <c r="D11736" s="15" t="s">
        <v>21627</v>
      </c>
      <c r="E11736" s="15">
        <v>13.068</v>
      </c>
      <c r="F11736" s="42">
        <v>46198</v>
      </c>
    </row>
    <row r="11737" spans="1:6" x14ac:dyDescent="0.3">
      <c r="A11737" s="15" t="s">
        <v>38194</v>
      </c>
      <c r="B11737" s="15" t="s">
        <v>21628</v>
      </c>
      <c r="C11737" s="15" t="s">
        <v>21629</v>
      </c>
      <c r="D11737" s="15" t="s">
        <v>21630</v>
      </c>
      <c r="E11737" s="15">
        <v>13.1244</v>
      </c>
      <c r="F11737" s="42">
        <v>46198</v>
      </c>
    </row>
    <row r="11738" spans="1:6" x14ac:dyDescent="0.3">
      <c r="A11738" s="15" t="s">
        <v>38193</v>
      </c>
      <c r="B11738" s="15" t="s">
        <v>21631</v>
      </c>
      <c r="C11738" s="15" t="s">
        <v>800</v>
      </c>
      <c r="D11738" s="15" t="s">
        <v>21632</v>
      </c>
      <c r="E11738" s="15">
        <v>12.974</v>
      </c>
      <c r="F11738" s="42">
        <v>46198</v>
      </c>
    </row>
    <row r="11739" spans="1:6" x14ac:dyDescent="0.3">
      <c r="A11739" s="15" t="s">
        <v>38192</v>
      </c>
      <c r="B11739" s="15" t="s">
        <v>21633</v>
      </c>
      <c r="C11739" s="15" t="s">
        <v>21634</v>
      </c>
      <c r="D11739" s="15" t="s">
        <v>21635</v>
      </c>
      <c r="E11739" s="15">
        <v>12.974299999999999</v>
      </c>
      <c r="F11739" s="42">
        <v>46198</v>
      </c>
    </row>
    <row r="11740" spans="1:6" x14ac:dyDescent="0.3">
      <c r="A11740" s="15" t="s">
        <v>38191</v>
      </c>
      <c r="B11740" s="15" t="s">
        <v>21636</v>
      </c>
      <c r="C11740" s="15" t="s">
        <v>800</v>
      </c>
      <c r="D11740" s="15" t="s">
        <v>21637</v>
      </c>
      <c r="E11740" s="15">
        <v>13.3056</v>
      </c>
      <c r="F11740" s="42">
        <v>46198</v>
      </c>
    </row>
    <row r="11741" spans="1:6" x14ac:dyDescent="0.3">
      <c r="A11741" s="15" t="s">
        <v>38190</v>
      </c>
      <c r="B11741" s="15" t="s">
        <v>21638</v>
      </c>
      <c r="C11741" s="15" t="s">
        <v>21639</v>
      </c>
      <c r="D11741" s="15" t="s">
        <v>21640</v>
      </c>
      <c r="E11741" s="15">
        <v>13.3056</v>
      </c>
      <c r="F11741" s="42">
        <v>46198</v>
      </c>
    </row>
    <row r="11742" spans="1:6" x14ac:dyDescent="0.3">
      <c r="A11742" s="15" t="s">
        <v>38189</v>
      </c>
      <c r="B11742" s="15" t="s">
        <v>21641</v>
      </c>
      <c r="C11742" s="15" t="s">
        <v>800</v>
      </c>
      <c r="D11742" s="15" t="s">
        <v>21642</v>
      </c>
      <c r="E11742" s="15">
        <v>13.1915</v>
      </c>
      <c r="F11742" s="42">
        <v>46198</v>
      </c>
    </row>
    <row r="11743" spans="1:6" x14ac:dyDescent="0.3">
      <c r="A11743" s="15" t="s">
        <v>38188</v>
      </c>
      <c r="B11743" s="15" t="s">
        <v>21643</v>
      </c>
      <c r="C11743" s="15" t="s">
        <v>21644</v>
      </c>
      <c r="D11743" s="15" t="s">
        <v>21645</v>
      </c>
      <c r="E11743" s="15">
        <v>13.192299999999999</v>
      </c>
      <c r="F11743" s="42">
        <v>46198</v>
      </c>
    </row>
    <row r="11744" spans="1:6" x14ac:dyDescent="0.3">
      <c r="A11744" s="15" t="s">
        <v>38187</v>
      </c>
      <c r="B11744" s="15" t="s">
        <v>21646</v>
      </c>
      <c r="C11744" s="15" t="s">
        <v>800</v>
      </c>
      <c r="D11744" s="15" t="s">
        <v>21647</v>
      </c>
      <c r="E11744" s="15">
        <v>13.5145</v>
      </c>
      <c r="F11744" s="42">
        <v>46198</v>
      </c>
    </row>
    <row r="11745" spans="1:6" x14ac:dyDescent="0.3">
      <c r="A11745" s="15" t="s">
        <v>38186</v>
      </c>
      <c r="B11745" s="15" t="s">
        <v>21648</v>
      </c>
      <c r="C11745" s="15" t="s">
        <v>21649</v>
      </c>
      <c r="D11745" s="15" t="s">
        <v>21650</v>
      </c>
      <c r="E11745" s="15">
        <v>13.5145</v>
      </c>
      <c r="F11745" s="42">
        <v>46198</v>
      </c>
    </row>
    <row r="11746" spans="1:6" x14ac:dyDescent="0.3">
      <c r="A11746" s="15" t="s">
        <v>38185</v>
      </c>
      <c r="B11746" s="15" t="s">
        <v>21651</v>
      </c>
      <c r="C11746" s="15" t="s">
        <v>800</v>
      </c>
      <c r="D11746" s="15" t="s">
        <v>21652</v>
      </c>
      <c r="E11746" s="15">
        <v>13.3932</v>
      </c>
      <c r="F11746" s="42">
        <v>46198</v>
      </c>
    </row>
    <row r="11747" spans="1:6" x14ac:dyDescent="0.3">
      <c r="A11747" s="15" t="s">
        <v>38184</v>
      </c>
      <c r="B11747" s="15" t="s">
        <v>21653</v>
      </c>
      <c r="C11747" s="15" t="s">
        <v>21654</v>
      </c>
      <c r="D11747" s="15" t="s">
        <v>21655</v>
      </c>
      <c r="E11747" s="15">
        <v>13.393599999999999</v>
      </c>
      <c r="F11747" s="42">
        <v>46198</v>
      </c>
    </row>
    <row r="11748" spans="1:6" x14ac:dyDescent="0.3">
      <c r="A11748" s="15" t="s">
        <v>38183</v>
      </c>
      <c r="B11748" s="15" t="s">
        <v>21656</v>
      </c>
      <c r="C11748" s="15" t="s">
        <v>800</v>
      </c>
      <c r="D11748" s="15" t="s">
        <v>21657</v>
      </c>
      <c r="E11748" s="15">
        <v>13.121700000000001</v>
      </c>
      <c r="F11748" s="42">
        <v>46198</v>
      </c>
    </row>
    <row r="11749" spans="1:6" x14ac:dyDescent="0.3">
      <c r="A11749" s="15" t="s">
        <v>38182</v>
      </c>
      <c r="B11749" s="15" t="s">
        <v>21658</v>
      </c>
      <c r="C11749" s="15" t="s">
        <v>21659</v>
      </c>
      <c r="D11749" s="15" t="s">
        <v>21660</v>
      </c>
      <c r="E11749" s="15">
        <v>13.127599999999999</v>
      </c>
      <c r="F11749" s="42">
        <v>46198</v>
      </c>
    </row>
    <row r="11750" spans="1:6" x14ac:dyDescent="0.3">
      <c r="A11750" s="15" t="s">
        <v>38181</v>
      </c>
      <c r="B11750" s="15" t="s">
        <v>21661</v>
      </c>
      <c r="C11750" s="15" t="s">
        <v>800</v>
      </c>
      <c r="D11750" s="15" t="s">
        <v>21662</v>
      </c>
      <c r="E11750" s="15">
        <v>13.037599999999999</v>
      </c>
      <c r="F11750" s="42">
        <v>46198</v>
      </c>
    </row>
    <row r="11751" spans="1:6" x14ac:dyDescent="0.3">
      <c r="A11751" s="15" t="s">
        <v>38180</v>
      </c>
      <c r="B11751" s="15" t="s">
        <v>21663</v>
      </c>
      <c r="C11751" s="15" t="s">
        <v>21664</v>
      </c>
      <c r="D11751" s="15" t="s">
        <v>21665</v>
      </c>
      <c r="E11751" s="15">
        <v>13.0381</v>
      </c>
      <c r="F11751" s="42">
        <v>46198</v>
      </c>
    </row>
    <row r="11752" spans="1:6" x14ac:dyDescent="0.3">
      <c r="A11752" s="15" t="s">
        <v>47120</v>
      </c>
      <c r="B11752" s="15" t="s">
        <v>47121</v>
      </c>
      <c r="C11752" s="15" t="s">
        <v>800</v>
      </c>
      <c r="D11752" s="15" t="s">
        <v>47122</v>
      </c>
      <c r="E11752" s="15">
        <v>10.1957</v>
      </c>
      <c r="F11752" s="42">
        <v>46198</v>
      </c>
    </row>
    <row r="11753" spans="1:6" x14ac:dyDescent="0.3">
      <c r="A11753" s="15" t="s">
        <v>47123</v>
      </c>
      <c r="B11753" s="15" t="s">
        <v>47124</v>
      </c>
      <c r="C11753" s="15" t="s">
        <v>800</v>
      </c>
      <c r="D11753" s="15" t="s">
        <v>47125</v>
      </c>
      <c r="E11753" s="15">
        <v>10.1974</v>
      </c>
      <c r="F11753" s="42">
        <v>46198</v>
      </c>
    </row>
    <row r="11754" spans="1:6" x14ac:dyDescent="0.3">
      <c r="A11754" s="15" t="s">
        <v>47126</v>
      </c>
      <c r="B11754" s="15" t="s">
        <v>47127</v>
      </c>
      <c r="C11754" s="15" t="s">
        <v>47128</v>
      </c>
      <c r="D11754" s="15" t="s">
        <v>47129</v>
      </c>
      <c r="E11754" s="15">
        <v>10.1974</v>
      </c>
      <c r="F11754" s="42">
        <v>46198</v>
      </c>
    </row>
    <row r="11755" spans="1:6" x14ac:dyDescent="0.3">
      <c r="A11755" s="15" t="s">
        <v>47130</v>
      </c>
      <c r="B11755" s="15" t="s">
        <v>47131</v>
      </c>
      <c r="C11755" s="15" t="s">
        <v>47132</v>
      </c>
      <c r="D11755" s="15" t="s">
        <v>47133</v>
      </c>
      <c r="E11755" s="15">
        <v>10.1957</v>
      </c>
      <c r="F11755" s="42">
        <v>46198</v>
      </c>
    </row>
    <row r="11756" spans="1:6" x14ac:dyDescent="0.3">
      <c r="A11756" s="15" t="s">
        <v>46946</v>
      </c>
      <c r="B11756" s="15" t="s">
        <v>46947</v>
      </c>
      <c r="C11756" s="15" t="s">
        <v>800</v>
      </c>
      <c r="D11756" s="15" t="s">
        <v>46948</v>
      </c>
      <c r="E11756" s="15">
        <v>10.118600000000001</v>
      </c>
      <c r="F11756" s="42">
        <v>46198</v>
      </c>
    </row>
    <row r="11757" spans="1:6" x14ac:dyDescent="0.3">
      <c r="A11757" s="15" t="s">
        <v>46949</v>
      </c>
      <c r="B11757" s="15" t="s">
        <v>46950</v>
      </c>
      <c r="C11757" s="15" t="s">
        <v>46951</v>
      </c>
      <c r="D11757" s="15" t="s">
        <v>46952</v>
      </c>
      <c r="E11757" s="15">
        <v>10.118600000000001</v>
      </c>
      <c r="F11757" s="42">
        <v>46198</v>
      </c>
    </row>
    <row r="11758" spans="1:6" x14ac:dyDescent="0.3">
      <c r="A11758" s="15" t="s">
        <v>46953</v>
      </c>
      <c r="B11758" s="15" t="s">
        <v>46954</v>
      </c>
      <c r="C11758" s="15" t="s">
        <v>800</v>
      </c>
      <c r="D11758" s="15" t="s">
        <v>46955</v>
      </c>
      <c r="E11758" s="15">
        <v>10.1166</v>
      </c>
      <c r="F11758" s="42">
        <v>46198</v>
      </c>
    </row>
    <row r="11759" spans="1:6" x14ac:dyDescent="0.3">
      <c r="A11759" s="15" t="s">
        <v>46956</v>
      </c>
      <c r="B11759" s="15" t="s">
        <v>46957</v>
      </c>
      <c r="C11759" s="15" t="s">
        <v>46958</v>
      </c>
      <c r="D11759" s="15" t="s">
        <v>46959</v>
      </c>
      <c r="E11759" s="15">
        <v>10.1167</v>
      </c>
      <c r="F11759" s="42">
        <v>46198</v>
      </c>
    </row>
    <row r="11760" spans="1:6" x14ac:dyDescent="0.3">
      <c r="A11760" s="15" t="s">
        <v>46960</v>
      </c>
      <c r="B11760" s="15" t="s">
        <v>46961</v>
      </c>
      <c r="C11760" s="15" t="s">
        <v>800</v>
      </c>
      <c r="D11760" s="15" t="s">
        <v>46962</v>
      </c>
      <c r="E11760" s="15">
        <v>10.1107</v>
      </c>
      <c r="F11760" s="42">
        <v>46198</v>
      </c>
    </row>
    <row r="11761" spans="1:6" x14ac:dyDescent="0.3">
      <c r="A11761" s="15" t="s">
        <v>46963</v>
      </c>
      <c r="B11761" s="15" t="s">
        <v>46964</v>
      </c>
      <c r="C11761" s="15" t="s">
        <v>46965</v>
      </c>
      <c r="D11761" s="15" t="s">
        <v>46966</v>
      </c>
      <c r="E11761" s="15">
        <v>10.1106</v>
      </c>
      <c r="F11761" s="42">
        <v>46198</v>
      </c>
    </row>
    <row r="11762" spans="1:6" x14ac:dyDescent="0.3">
      <c r="A11762" s="15" t="s">
        <v>46967</v>
      </c>
      <c r="B11762" s="15" t="s">
        <v>46968</v>
      </c>
      <c r="C11762" s="15" t="s">
        <v>800</v>
      </c>
      <c r="D11762" s="15" t="s">
        <v>46969</v>
      </c>
      <c r="E11762" s="15">
        <v>10.1069</v>
      </c>
      <c r="F11762" s="42">
        <v>46198</v>
      </c>
    </row>
    <row r="11763" spans="1:6" x14ac:dyDescent="0.3">
      <c r="A11763" s="15" t="s">
        <v>46970</v>
      </c>
      <c r="B11763" s="15" t="s">
        <v>46971</v>
      </c>
      <c r="C11763" s="15" t="s">
        <v>46972</v>
      </c>
      <c r="D11763" s="15" t="s">
        <v>46973</v>
      </c>
      <c r="E11763" s="15">
        <v>10.106999999999999</v>
      </c>
      <c r="F11763" s="42">
        <v>46198</v>
      </c>
    </row>
    <row r="11764" spans="1:6" x14ac:dyDescent="0.3">
      <c r="A11764" s="15" t="s">
        <v>38179</v>
      </c>
      <c r="B11764" s="15" t="s">
        <v>21666</v>
      </c>
      <c r="C11764" s="15" t="s">
        <v>800</v>
      </c>
      <c r="D11764" s="15" t="s">
        <v>21667</v>
      </c>
      <c r="E11764" s="15">
        <v>9.6252999999999993</v>
      </c>
      <c r="F11764" s="42">
        <v>46198</v>
      </c>
    </row>
    <row r="11765" spans="1:6" x14ac:dyDescent="0.3">
      <c r="A11765" s="15" t="s">
        <v>38178</v>
      </c>
      <c r="B11765" s="15" t="s">
        <v>21668</v>
      </c>
      <c r="C11765" s="15" t="s">
        <v>21669</v>
      </c>
      <c r="D11765" s="15" t="s">
        <v>21670</v>
      </c>
      <c r="E11765" s="15">
        <v>9.6252999999999993</v>
      </c>
      <c r="F11765" s="42">
        <v>46198</v>
      </c>
    </row>
    <row r="11766" spans="1:6" x14ac:dyDescent="0.3">
      <c r="A11766" s="15" t="s">
        <v>38177</v>
      </c>
      <c r="B11766" s="15" t="s">
        <v>21671</v>
      </c>
      <c r="C11766" s="15" t="s">
        <v>800</v>
      </c>
      <c r="D11766" s="15" t="s">
        <v>21672</v>
      </c>
      <c r="E11766" s="15">
        <v>9.5444999999999993</v>
      </c>
      <c r="F11766" s="42">
        <v>46198</v>
      </c>
    </row>
    <row r="11767" spans="1:6" x14ac:dyDescent="0.3">
      <c r="A11767" s="15" t="s">
        <v>38176</v>
      </c>
      <c r="B11767" s="15" t="s">
        <v>21673</v>
      </c>
      <c r="C11767" s="15" t="s">
        <v>21674</v>
      </c>
      <c r="D11767" s="15" t="s">
        <v>21675</v>
      </c>
      <c r="E11767" s="15">
        <v>9.5442</v>
      </c>
      <c r="F11767" s="42">
        <v>46198</v>
      </c>
    </row>
    <row r="11768" spans="1:6" x14ac:dyDescent="0.3">
      <c r="A11768" s="15" t="s">
        <v>38175</v>
      </c>
      <c r="B11768" s="15" t="s">
        <v>21676</v>
      </c>
      <c r="C11768" s="15" t="s">
        <v>21677</v>
      </c>
      <c r="D11768" s="15" t="s">
        <v>21678</v>
      </c>
      <c r="E11768" s="15">
        <v>11.589700000000001</v>
      </c>
      <c r="F11768" s="42">
        <v>46198</v>
      </c>
    </row>
    <row r="11769" spans="1:6" x14ac:dyDescent="0.3">
      <c r="A11769" s="15" t="s">
        <v>38174</v>
      </c>
      <c r="B11769" s="15" t="s">
        <v>21679</v>
      </c>
      <c r="C11769" s="15" t="s">
        <v>800</v>
      </c>
      <c r="D11769" s="15" t="s">
        <v>21680</v>
      </c>
      <c r="E11769" s="15">
        <v>11.6662</v>
      </c>
      <c r="F11769" s="42">
        <v>46198</v>
      </c>
    </row>
    <row r="11770" spans="1:6" x14ac:dyDescent="0.3">
      <c r="A11770" s="15" t="s">
        <v>38173</v>
      </c>
      <c r="B11770" s="15" t="s">
        <v>21681</v>
      </c>
      <c r="C11770" s="15" t="s">
        <v>21682</v>
      </c>
      <c r="D11770" s="15" t="s">
        <v>21683</v>
      </c>
      <c r="E11770" s="15">
        <v>11.6661</v>
      </c>
      <c r="F11770" s="42">
        <v>46198</v>
      </c>
    </row>
    <row r="11771" spans="1:6" x14ac:dyDescent="0.3">
      <c r="A11771" s="15" t="s">
        <v>38172</v>
      </c>
      <c r="B11771" s="15" t="s">
        <v>21684</v>
      </c>
      <c r="C11771" s="15" t="s">
        <v>800</v>
      </c>
      <c r="D11771" s="15" t="s">
        <v>21685</v>
      </c>
      <c r="E11771" s="15">
        <v>11.589700000000001</v>
      </c>
      <c r="F11771" s="42">
        <v>46198</v>
      </c>
    </row>
    <row r="11772" spans="1:6" x14ac:dyDescent="0.3">
      <c r="A11772" s="15" t="s">
        <v>47134</v>
      </c>
      <c r="B11772" s="15" t="s">
        <v>47135</v>
      </c>
      <c r="C11772" s="15" t="s">
        <v>800</v>
      </c>
      <c r="D11772" s="15" t="s">
        <v>47136</v>
      </c>
      <c r="E11772" s="15">
        <v>10.220700000000001</v>
      </c>
      <c r="F11772" s="42">
        <v>46198</v>
      </c>
    </row>
    <row r="11773" spans="1:6" x14ac:dyDescent="0.3">
      <c r="A11773" s="15" t="s">
        <v>47137</v>
      </c>
      <c r="B11773" s="15" t="s">
        <v>47138</v>
      </c>
      <c r="C11773" s="15" t="s">
        <v>47139</v>
      </c>
      <c r="D11773" s="15" t="s">
        <v>47140</v>
      </c>
      <c r="E11773" s="15">
        <v>10.220700000000001</v>
      </c>
      <c r="F11773" s="42">
        <v>46198</v>
      </c>
    </row>
    <row r="11774" spans="1:6" x14ac:dyDescent="0.3">
      <c r="A11774" s="15" t="s">
        <v>47141</v>
      </c>
      <c r="B11774" s="15" t="s">
        <v>47142</v>
      </c>
      <c r="C11774" s="15" t="s">
        <v>800</v>
      </c>
      <c r="D11774" s="15" t="s">
        <v>47143</v>
      </c>
      <c r="E11774" s="15">
        <v>10.218999999999999</v>
      </c>
      <c r="F11774" s="42">
        <v>46198</v>
      </c>
    </row>
    <row r="11775" spans="1:6" x14ac:dyDescent="0.3">
      <c r="A11775" s="15" t="s">
        <v>47144</v>
      </c>
      <c r="B11775" s="15" t="s">
        <v>47145</v>
      </c>
      <c r="C11775" s="15" t="s">
        <v>47146</v>
      </c>
      <c r="D11775" s="15" t="s">
        <v>47147</v>
      </c>
      <c r="E11775" s="15">
        <v>10.218999999999999</v>
      </c>
      <c r="F11775" s="42">
        <v>46198</v>
      </c>
    </row>
    <row r="11776" spans="1:6" x14ac:dyDescent="0.3">
      <c r="A11776" s="15" t="s">
        <v>38171</v>
      </c>
      <c r="B11776" s="15" t="s">
        <v>21686</v>
      </c>
      <c r="C11776" s="15" t="s">
        <v>800</v>
      </c>
      <c r="D11776" s="15" t="s">
        <v>21687</v>
      </c>
      <c r="E11776" s="15">
        <v>224.47020000000001</v>
      </c>
      <c r="F11776" s="42">
        <v>46198</v>
      </c>
    </row>
    <row r="11777" spans="1:6" x14ac:dyDescent="0.3">
      <c r="A11777" s="15" t="s">
        <v>38170</v>
      </c>
      <c r="B11777" s="15" t="s">
        <v>21688</v>
      </c>
      <c r="C11777" s="15" t="s">
        <v>21689</v>
      </c>
      <c r="D11777" s="15" t="s">
        <v>21690</v>
      </c>
      <c r="E11777" s="15">
        <v>115.29600000000001</v>
      </c>
      <c r="F11777" s="42">
        <v>46198</v>
      </c>
    </row>
    <row r="11778" spans="1:6" x14ac:dyDescent="0.3">
      <c r="A11778" s="15" t="s">
        <v>38169</v>
      </c>
      <c r="B11778" s="15" t="s">
        <v>21691</v>
      </c>
      <c r="C11778" s="15" t="s">
        <v>800</v>
      </c>
      <c r="D11778" s="15" t="s">
        <v>21692</v>
      </c>
      <c r="E11778" s="15">
        <v>213.57560000000001</v>
      </c>
      <c r="F11778" s="42">
        <v>46198</v>
      </c>
    </row>
    <row r="11779" spans="1:6" x14ac:dyDescent="0.3">
      <c r="A11779" s="15" t="s">
        <v>38168</v>
      </c>
      <c r="B11779" s="15" t="s">
        <v>21693</v>
      </c>
      <c r="C11779" s="15" t="s">
        <v>21694</v>
      </c>
      <c r="D11779" s="15" t="s">
        <v>21695</v>
      </c>
      <c r="E11779" s="15">
        <v>109.57680000000001</v>
      </c>
      <c r="F11779" s="42">
        <v>46198</v>
      </c>
    </row>
    <row r="11780" spans="1:6" x14ac:dyDescent="0.3">
      <c r="A11780" s="15" t="s">
        <v>38167</v>
      </c>
      <c r="B11780" s="15" t="s">
        <v>21696</v>
      </c>
      <c r="C11780" s="15" t="s">
        <v>800</v>
      </c>
      <c r="D11780" s="15" t="s">
        <v>21697</v>
      </c>
      <c r="E11780" s="15">
        <v>10.097099999999999</v>
      </c>
      <c r="F11780" s="42">
        <v>46198</v>
      </c>
    </row>
    <row r="11781" spans="1:6" x14ac:dyDescent="0.3">
      <c r="A11781" s="15" t="s">
        <v>38166</v>
      </c>
      <c r="B11781" s="15" t="s">
        <v>21698</v>
      </c>
      <c r="C11781" s="15" t="s">
        <v>21699</v>
      </c>
      <c r="D11781" s="15" t="s">
        <v>21700</v>
      </c>
      <c r="E11781" s="15">
        <v>10.097099999999999</v>
      </c>
      <c r="F11781" s="42">
        <v>46198</v>
      </c>
    </row>
    <row r="11782" spans="1:6" x14ac:dyDescent="0.3">
      <c r="A11782" s="15" t="s">
        <v>38165</v>
      </c>
      <c r="B11782" s="15" t="s">
        <v>21701</v>
      </c>
      <c r="C11782" s="15" t="s">
        <v>800</v>
      </c>
      <c r="D11782" s="15" t="s">
        <v>21702</v>
      </c>
      <c r="E11782" s="15">
        <v>10.017099999999999</v>
      </c>
      <c r="F11782" s="42">
        <v>46198</v>
      </c>
    </row>
    <row r="11783" spans="1:6" x14ac:dyDescent="0.3">
      <c r="A11783" s="15" t="s">
        <v>38164</v>
      </c>
      <c r="B11783" s="15" t="s">
        <v>21703</v>
      </c>
      <c r="C11783" s="15" t="s">
        <v>21704</v>
      </c>
      <c r="D11783" s="15" t="s">
        <v>21705</v>
      </c>
      <c r="E11783" s="15">
        <v>10.017099999999999</v>
      </c>
      <c r="F11783" s="42">
        <v>46198</v>
      </c>
    </row>
    <row r="11784" spans="1:6" x14ac:dyDescent="0.3">
      <c r="A11784" s="15" t="s">
        <v>38163</v>
      </c>
      <c r="B11784" s="15" t="s">
        <v>21706</v>
      </c>
      <c r="C11784" s="15" t="s">
        <v>800</v>
      </c>
      <c r="D11784" s="15" t="s">
        <v>21707</v>
      </c>
      <c r="E11784" s="15">
        <v>6.9127999999999998</v>
      </c>
      <c r="F11784" s="42">
        <v>46198</v>
      </c>
    </row>
    <row r="11785" spans="1:6" x14ac:dyDescent="0.3">
      <c r="A11785" s="15" t="s">
        <v>38162</v>
      </c>
      <c r="B11785" s="15" t="s">
        <v>21708</v>
      </c>
      <c r="C11785" s="15" t="s">
        <v>21709</v>
      </c>
      <c r="D11785" s="15" t="s">
        <v>21710</v>
      </c>
      <c r="E11785" s="15">
        <v>6.9128999999999996</v>
      </c>
      <c r="F11785" s="42">
        <v>46198</v>
      </c>
    </row>
    <row r="11786" spans="1:6" x14ac:dyDescent="0.3">
      <c r="A11786" s="15" t="s">
        <v>38161</v>
      </c>
      <c r="B11786" s="15" t="s">
        <v>21711</v>
      </c>
      <c r="C11786" s="15" t="s">
        <v>800</v>
      </c>
      <c r="D11786" s="15" t="s">
        <v>21712</v>
      </c>
      <c r="E11786" s="15">
        <v>6.8693</v>
      </c>
      <c r="F11786" s="42">
        <v>46198</v>
      </c>
    </row>
    <row r="11787" spans="1:6" x14ac:dyDescent="0.3">
      <c r="A11787" s="15" t="s">
        <v>38160</v>
      </c>
      <c r="B11787" s="15" t="s">
        <v>21713</v>
      </c>
      <c r="C11787" s="15" t="s">
        <v>21714</v>
      </c>
      <c r="D11787" s="15" t="s">
        <v>21715</v>
      </c>
      <c r="E11787" s="15">
        <v>6.8693</v>
      </c>
      <c r="F11787" s="42">
        <v>46198</v>
      </c>
    </row>
    <row r="11788" spans="1:6" x14ac:dyDescent="0.3">
      <c r="A11788" s="15" t="s">
        <v>38159</v>
      </c>
      <c r="B11788" s="15" t="s">
        <v>21716</v>
      </c>
      <c r="C11788" s="15" t="s">
        <v>800</v>
      </c>
      <c r="D11788" s="15" t="s">
        <v>21717</v>
      </c>
      <c r="E11788" s="15">
        <v>19.8109</v>
      </c>
      <c r="F11788" s="42">
        <v>46198</v>
      </c>
    </row>
    <row r="11789" spans="1:6" x14ac:dyDescent="0.3">
      <c r="A11789" s="15" t="s">
        <v>38158</v>
      </c>
      <c r="B11789" s="15" t="s">
        <v>21718</v>
      </c>
      <c r="C11789" s="15" t="s">
        <v>21719</v>
      </c>
      <c r="D11789" s="15" t="s">
        <v>21720</v>
      </c>
      <c r="E11789" s="15">
        <v>19.810199999999998</v>
      </c>
      <c r="F11789" s="42">
        <v>46198</v>
      </c>
    </row>
    <row r="11790" spans="1:6" x14ac:dyDescent="0.3">
      <c r="A11790" s="15" t="s">
        <v>38157</v>
      </c>
      <c r="B11790" s="15" t="s">
        <v>21721</v>
      </c>
      <c r="C11790" s="15" t="s">
        <v>800</v>
      </c>
      <c r="D11790" s="15" t="s">
        <v>21722</v>
      </c>
      <c r="E11790" s="15">
        <v>19.438099999999999</v>
      </c>
      <c r="F11790" s="42">
        <v>46198</v>
      </c>
    </row>
    <row r="11791" spans="1:6" x14ac:dyDescent="0.3">
      <c r="A11791" s="15" t="s">
        <v>38156</v>
      </c>
      <c r="B11791" s="15" t="s">
        <v>21723</v>
      </c>
      <c r="C11791" s="15" t="s">
        <v>21724</v>
      </c>
      <c r="D11791" s="15" t="s">
        <v>21725</v>
      </c>
      <c r="E11791" s="15">
        <v>19.438400000000001</v>
      </c>
      <c r="F11791" s="42">
        <v>46198</v>
      </c>
    </row>
    <row r="11792" spans="1:6" x14ac:dyDescent="0.3">
      <c r="A11792" s="15" t="s">
        <v>38155</v>
      </c>
      <c r="B11792" s="15" t="s">
        <v>21726</v>
      </c>
      <c r="C11792" s="15" t="s">
        <v>800</v>
      </c>
      <c r="D11792" s="15" t="s">
        <v>21727</v>
      </c>
      <c r="E11792" s="15">
        <v>19.995899999999999</v>
      </c>
      <c r="F11792" s="42">
        <v>46198</v>
      </c>
    </row>
    <row r="11793" spans="1:6" x14ac:dyDescent="0.3">
      <c r="A11793" s="15" t="s">
        <v>38154</v>
      </c>
      <c r="B11793" s="15" t="s">
        <v>21728</v>
      </c>
      <c r="C11793" s="15" t="s">
        <v>21729</v>
      </c>
      <c r="D11793" s="15" t="s">
        <v>21730</v>
      </c>
      <c r="E11793" s="15">
        <v>19.994800000000001</v>
      </c>
      <c r="F11793" s="42">
        <v>46198</v>
      </c>
    </row>
    <row r="11794" spans="1:6" x14ac:dyDescent="0.3">
      <c r="A11794" s="15" t="s">
        <v>38153</v>
      </c>
      <c r="B11794" s="15" t="s">
        <v>21731</v>
      </c>
      <c r="C11794" s="15" t="s">
        <v>800</v>
      </c>
      <c r="D11794" s="15" t="s">
        <v>21732</v>
      </c>
      <c r="E11794" s="15">
        <v>19.528099999999998</v>
      </c>
      <c r="F11794" s="42">
        <v>46198</v>
      </c>
    </row>
    <row r="11795" spans="1:6" x14ac:dyDescent="0.3">
      <c r="A11795" s="15" t="s">
        <v>38152</v>
      </c>
      <c r="B11795" s="15" t="s">
        <v>21733</v>
      </c>
      <c r="C11795" s="15" t="s">
        <v>21734</v>
      </c>
      <c r="D11795" s="15" t="s">
        <v>21735</v>
      </c>
      <c r="E11795" s="15">
        <v>19.528300000000002</v>
      </c>
      <c r="F11795" s="42">
        <v>46198</v>
      </c>
    </row>
    <row r="11796" spans="1:6" x14ac:dyDescent="0.3">
      <c r="A11796" s="15" t="s">
        <v>38151</v>
      </c>
      <c r="B11796" s="15" t="s">
        <v>21736</v>
      </c>
      <c r="C11796" s="15" t="s">
        <v>800</v>
      </c>
      <c r="D11796" s="15" t="s">
        <v>21737</v>
      </c>
      <c r="E11796" s="15">
        <v>19.289899999999999</v>
      </c>
      <c r="F11796" s="42">
        <v>46198</v>
      </c>
    </row>
    <row r="11797" spans="1:6" x14ac:dyDescent="0.3">
      <c r="A11797" s="15" t="s">
        <v>38150</v>
      </c>
      <c r="B11797" s="15" t="s">
        <v>21738</v>
      </c>
      <c r="C11797" s="15" t="s">
        <v>21739</v>
      </c>
      <c r="D11797" s="15" t="s">
        <v>21740</v>
      </c>
      <c r="E11797" s="15">
        <v>19.289400000000001</v>
      </c>
      <c r="F11797" s="42">
        <v>46198</v>
      </c>
    </row>
    <row r="11798" spans="1:6" x14ac:dyDescent="0.3">
      <c r="A11798" s="15" t="s">
        <v>38149</v>
      </c>
      <c r="B11798" s="15" t="s">
        <v>21741</v>
      </c>
      <c r="C11798" s="15" t="s">
        <v>800</v>
      </c>
      <c r="D11798" s="15" t="s">
        <v>21742</v>
      </c>
      <c r="E11798" s="15">
        <v>18.9193</v>
      </c>
      <c r="F11798" s="42">
        <v>46198</v>
      </c>
    </row>
    <row r="11799" spans="1:6" x14ac:dyDescent="0.3">
      <c r="A11799" s="15" t="s">
        <v>38148</v>
      </c>
      <c r="B11799" s="15" t="s">
        <v>21743</v>
      </c>
      <c r="C11799" s="15" t="s">
        <v>21744</v>
      </c>
      <c r="D11799" s="15" t="s">
        <v>21745</v>
      </c>
      <c r="E11799" s="15">
        <v>18.919899999999998</v>
      </c>
      <c r="F11799" s="42">
        <v>46198</v>
      </c>
    </row>
    <row r="11800" spans="1:6" x14ac:dyDescent="0.3">
      <c r="A11800" s="15" t="s">
        <v>38147</v>
      </c>
      <c r="B11800" s="15" t="s">
        <v>21746</v>
      </c>
      <c r="C11800" s="15" t="s">
        <v>800</v>
      </c>
      <c r="D11800" s="15" t="s">
        <v>21747</v>
      </c>
      <c r="E11800" s="15">
        <v>10.0396</v>
      </c>
      <c r="F11800" s="42">
        <v>46198</v>
      </c>
    </row>
    <row r="11801" spans="1:6" x14ac:dyDescent="0.3">
      <c r="A11801" s="15" t="s">
        <v>38146</v>
      </c>
      <c r="B11801" s="15" t="s">
        <v>21748</v>
      </c>
      <c r="C11801" s="15" t="s">
        <v>800</v>
      </c>
      <c r="D11801" s="15" t="s">
        <v>21749</v>
      </c>
      <c r="E11801" s="15">
        <v>10.004</v>
      </c>
      <c r="F11801" s="42">
        <v>46198</v>
      </c>
    </row>
    <row r="11802" spans="1:6" x14ac:dyDescent="0.3">
      <c r="A11802" s="15" t="s">
        <v>38145</v>
      </c>
      <c r="B11802" s="15" t="s">
        <v>21750</v>
      </c>
      <c r="C11802" s="15" t="s">
        <v>21751</v>
      </c>
      <c r="D11802" s="15" t="s">
        <v>21752</v>
      </c>
      <c r="E11802" s="15">
        <v>10.004</v>
      </c>
      <c r="F11802" s="42">
        <v>46198</v>
      </c>
    </row>
    <row r="11803" spans="1:6" x14ac:dyDescent="0.3">
      <c r="A11803" s="15" t="s">
        <v>38144</v>
      </c>
      <c r="B11803" s="15" t="s">
        <v>21753</v>
      </c>
      <c r="C11803" s="15" t="s">
        <v>21754</v>
      </c>
      <c r="D11803" s="15" t="s">
        <v>21755</v>
      </c>
      <c r="E11803" s="15">
        <v>10.0396</v>
      </c>
      <c r="F11803" s="42">
        <v>46198</v>
      </c>
    </row>
    <row r="11804" spans="1:6" x14ac:dyDescent="0.3">
      <c r="A11804" s="15" t="s">
        <v>38143</v>
      </c>
      <c r="B11804" s="15" t="s">
        <v>21756</v>
      </c>
      <c r="C11804" s="15" t="s">
        <v>800</v>
      </c>
      <c r="D11804" s="15" t="s">
        <v>21757</v>
      </c>
      <c r="E11804" s="15">
        <v>9.9045000000000005</v>
      </c>
      <c r="F11804" s="42">
        <v>46198</v>
      </c>
    </row>
    <row r="11805" spans="1:6" x14ac:dyDescent="0.3">
      <c r="A11805" s="15" t="s">
        <v>38142</v>
      </c>
      <c r="B11805" s="15" t="s">
        <v>21758</v>
      </c>
      <c r="C11805" s="15" t="s">
        <v>21759</v>
      </c>
      <c r="D11805" s="15" t="s">
        <v>21760</v>
      </c>
      <c r="E11805" s="15">
        <v>9.9045000000000005</v>
      </c>
      <c r="F11805" s="42">
        <v>46198</v>
      </c>
    </row>
    <row r="11806" spans="1:6" x14ac:dyDescent="0.3">
      <c r="A11806" s="15" t="s">
        <v>38141</v>
      </c>
      <c r="B11806" s="15" t="s">
        <v>21761</v>
      </c>
      <c r="C11806" s="15" t="s">
        <v>800</v>
      </c>
      <c r="D11806" s="15" t="s">
        <v>21762</v>
      </c>
      <c r="E11806" s="15">
        <v>9.8682999999999996</v>
      </c>
      <c r="F11806" s="42">
        <v>46198</v>
      </c>
    </row>
    <row r="11807" spans="1:6" x14ac:dyDescent="0.3">
      <c r="A11807" s="15" t="s">
        <v>38140</v>
      </c>
      <c r="B11807" s="15" t="s">
        <v>21763</v>
      </c>
      <c r="C11807" s="15" t="s">
        <v>21764</v>
      </c>
      <c r="D11807" s="15" t="s">
        <v>21765</v>
      </c>
      <c r="E11807" s="15">
        <v>9.8683999999999994</v>
      </c>
      <c r="F11807" s="42">
        <v>46198</v>
      </c>
    </row>
    <row r="11808" spans="1:6" x14ac:dyDescent="0.3">
      <c r="A11808" s="15" t="s">
        <v>38139</v>
      </c>
      <c r="B11808" s="15" t="s">
        <v>21766</v>
      </c>
      <c r="C11808" s="15" t="s">
        <v>21767</v>
      </c>
      <c r="D11808" s="15" t="s">
        <v>21768</v>
      </c>
      <c r="E11808" s="15">
        <v>9.7418999999999993</v>
      </c>
      <c r="F11808" s="42">
        <v>46198</v>
      </c>
    </row>
    <row r="11809" spans="1:6" x14ac:dyDescent="0.3">
      <c r="A11809" s="15" t="s">
        <v>38138</v>
      </c>
      <c r="B11809" s="15" t="s">
        <v>21769</v>
      </c>
      <c r="C11809" s="15" t="s">
        <v>21770</v>
      </c>
      <c r="D11809" s="15" t="s">
        <v>21771</v>
      </c>
      <c r="E11809" s="15">
        <v>9.7021999999999995</v>
      </c>
      <c r="F11809" s="42">
        <v>46198</v>
      </c>
    </row>
    <row r="11810" spans="1:6" x14ac:dyDescent="0.3">
      <c r="A11810" s="15" t="s">
        <v>38137</v>
      </c>
      <c r="B11810" s="15" t="s">
        <v>21772</v>
      </c>
      <c r="C11810" s="15" t="s">
        <v>800</v>
      </c>
      <c r="D11810" s="15" t="s">
        <v>21773</v>
      </c>
      <c r="E11810" s="15">
        <v>9.7417999999999996</v>
      </c>
      <c r="F11810" s="42">
        <v>46198</v>
      </c>
    </row>
    <row r="11811" spans="1:6" x14ac:dyDescent="0.3">
      <c r="A11811" s="15" t="s">
        <v>38136</v>
      </c>
      <c r="B11811" s="15" t="s">
        <v>21774</v>
      </c>
      <c r="C11811" s="15" t="s">
        <v>800</v>
      </c>
      <c r="D11811" s="15" t="s">
        <v>21775</v>
      </c>
      <c r="E11811" s="15">
        <v>9.7021999999999995</v>
      </c>
      <c r="F11811" s="42">
        <v>46198</v>
      </c>
    </row>
    <row r="11812" spans="1:6" x14ac:dyDescent="0.3">
      <c r="A11812" s="15" t="s">
        <v>38135</v>
      </c>
      <c r="B11812" s="15" t="s">
        <v>21776</v>
      </c>
      <c r="C11812" s="15" t="s">
        <v>800</v>
      </c>
      <c r="D11812" s="15" t="s">
        <v>21777</v>
      </c>
      <c r="E11812" s="15">
        <v>12.1517</v>
      </c>
      <c r="F11812" s="42">
        <v>46198</v>
      </c>
    </row>
    <row r="11813" spans="1:6" x14ac:dyDescent="0.3">
      <c r="A11813" s="15" t="s">
        <v>38134</v>
      </c>
      <c r="B11813" s="15" t="s">
        <v>21778</v>
      </c>
      <c r="C11813" s="15" t="s">
        <v>21779</v>
      </c>
      <c r="D11813" s="15" t="s">
        <v>21780</v>
      </c>
      <c r="E11813" s="15">
        <v>12.1509</v>
      </c>
      <c r="F11813" s="42">
        <v>46198</v>
      </c>
    </row>
    <row r="11814" spans="1:6" x14ac:dyDescent="0.3">
      <c r="A11814" s="15" t="s">
        <v>38133</v>
      </c>
      <c r="B11814" s="15" t="s">
        <v>21781</v>
      </c>
      <c r="C11814" s="15" t="s">
        <v>800</v>
      </c>
      <c r="D11814" s="15" t="s">
        <v>21782</v>
      </c>
      <c r="E11814" s="15">
        <v>12.0093</v>
      </c>
      <c r="F11814" s="42">
        <v>46198</v>
      </c>
    </row>
    <row r="11815" spans="1:6" x14ac:dyDescent="0.3">
      <c r="A11815" s="15" t="s">
        <v>38132</v>
      </c>
      <c r="B11815" s="15" t="s">
        <v>21783</v>
      </c>
      <c r="C11815" s="15" t="s">
        <v>21784</v>
      </c>
      <c r="D11815" s="15" t="s">
        <v>21785</v>
      </c>
      <c r="E11815" s="15">
        <v>12.0093</v>
      </c>
      <c r="F11815" s="42">
        <v>46198</v>
      </c>
    </row>
    <row r="11816" spans="1:6" x14ac:dyDescent="0.3">
      <c r="A11816" s="15" t="s">
        <v>33499</v>
      </c>
      <c r="B11816" s="15" t="s">
        <v>795</v>
      </c>
      <c r="C11816" s="15" t="s">
        <v>795</v>
      </c>
      <c r="D11816" s="15" t="s">
        <v>795</v>
      </c>
      <c r="F11816" s="42"/>
    </row>
    <row r="11817" spans="1:6" x14ac:dyDescent="0.3">
      <c r="A11817" s="15" t="s">
        <v>37414</v>
      </c>
      <c r="B11817" s="15" t="s">
        <v>795</v>
      </c>
      <c r="C11817" s="15" t="s">
        <v>795</v>
      </c>
      <c r="D11817" s="15" t="s">
        <v>795</v>
      </c>
      <c r="F11817" s="42"/>
    </row>
    <row r="11818" spans="1:6" x14ac:dyDescent="0.3">
      <c r="A11818" s="15" t="s">
        <v>33499</v>
      </c>
      <c r="B11818" s="15" t="s">
        <v>795</v>
      </c>
      <c r="C11818" s="15" t="s">
        <v>795</v>
      </c>
      <c r="D11818" s="15" t="s">
        <v>795</v>
      </c>
      <c r="F11818" s="42"/>
    </row>
    <row r="11819" spans="1:6" x14ac:dyDescent="0.3">
      <c r="A11819" s="15" t="s">
        <v>38131</v>
      </c>
      <c r="B11819" s="15" t="s">
        <v>21786</v>
      </c>
      <c r="C11819" s="15" t="s">
        <v>800</v>
      </c>
      <c r="D11819" s="15" t="s">
        <v>21787</v>
      </c>
      <c r="E11819" s="15">
        <v>192.71180000000001</v>
      </c>
      <c r="F11819" s="42">
        <v>46198</v>
      </c>
    </row>
    <row r="11820" spans="1:6" x14ac:dyDescent="0.3">
      <c r="A11820" s="15" t="s">
        <v>38130</v>
      </c>
      <c r="B11820" s="15" t="s">
        <v>21788</v>
      </c>
      <c r="C11820" s="15" t="s">
        <v>21789</v>
      </c>
      <c r="D11820" s="15" t="s">
        <v>21790</v>
      </c>
      <c r="E11820" s="15">
        <v>78.688599999999994</v>
      </c>
      <c r="F11820" s="42">
        <v>46198</v>
      </c>
    </row>
    <row r="11821" spans="1:6" x14ac:dyDescent="0.3">
      <c r="A11821" s="15" t="s">
        <v>38129</v>
      </c>
      <c r="B11821" s="15" t="s">
        <v>21791</v>
      </c>
      <c r="C11821" s="15" t="s">
        <v>800</v>
      </c>
      <c r="D11821" s="15" t="s">
        <v>21792</v>
      </c>
      <c r="E11821" s="15">
        <v>182.10499999999999</v>
      </c>
      <c r="F11821" s="42">
        <v>46198</v>
      </c>
    </row>
    <row r="11822" spans="1:6" x14ac:dyDescent="0.3">
      <c r="A11822" s="15" t="s">
        <v>38128</v>
      </c>
      <c r="B11822" s="15" t="s">
        <v>21793</v>
      </c>
      <c r="C11822" s="15" t="s">
        <v>21794</v>
      </c>
      <c r="D11822" s="15" t="s">
        <v>21795</v>
      </c>
      <c r="E11822" s="15">
        <v>74.335700000000003</v>
      </c>
      <c r="F11822" s="42">
        <v>46198</v>
      </c>
    </row>
    <row r="11823" spans="1:6" x14ac:dyDescent="0.3">
      <c r="A11823" s="15" t="s">
        <v>33499</v>
      </c>
      <c r="B11823" s="15" t="s">
        <v>795</v>
      </c>
      <c r="C11823" s="15" t="s">
        <v>795</v>
      </c>
      <c r="D11823" s="15" t="s">
        <v>795</v>
      </c>
      <c r="F11823" s="42"/>
    </row>
    <row r="11824" spans="1:6" x14ac:dyDescent="0.3">
      <c r="A11824" s="15" t="s">
        <v>33519</v>
      </c>
      <c r="B11824" s="15" t="s">
        <v>795</v>
      </c>
      <c r="C11824" s="15" t="s">
        <v>795</v>
      </c>
      <c r="D11824" s="15" t="s">
        <v>795</v>
      </c>
      <c r="F11824" s="42"/>
    </row>
    <row r="11825" spans="1:6" x14ac:dyDescent="0.3">
      <c r="A11825" s="15" t="s">
        <v>33499</v>
      </c>
      <c r="B11825" s="15" t="s">
        <v>795</v>
      </c>
      <c r="C11825" s="15" t="s">
        <v>795</v>
      </c>
      <c r="D11825" s="15" t="s">
        <v>795</v>
      </c>
      <c r="F11825" s="42"/>
    </row>
    <row r="11826" spans="1:6" x14ac:dyDescent="0.3">
      <c r="A11826" s="15" t="s">
        <v>38127</v>
      </c>
      <c r="B11826" s="15" t="s">
        <v>21796</v>
      </c>
      <c r="C11826" s="15" t="s">
        <v>800</v>
      </c>
      <c r="D11826" s="15" t="s">
        <v>21797</v>
      </c>
      <c r="E11826" s="15">
        <v>9.5008999999999997</v>
      </c>
      <c r="F11826" s="42">
        <v>46198</v>
      </c>
    </row>
    <row r="11827" spans="1:6" x14ac:dyDescent="0.3">
      <c r="A11827" s="15" t="s">
        <v>38126</v>
      </c>
      <c r="B11827" s="15" t="s">
        <v>21798</v>
      </c>
      <c r="C11827" s="15" t="s">
        <v>800</v>
      </c>
      <c r="D11827" s="15" t="s">
        <v>21799</v>
      </c>
      <c r="E11827" s="15">
        <v>9.5008999999999997</v>
      </c>
      <c r="F11827" s="42">
        <v>46198</v>
      </c>
    </row>
    <row r="11828" spans="1:6" x14ac:dyDescent="0.3">
      <c r="A11828" s="15" t="s">
        <v>38125</v>
      </c>
      <c r="B11828" s="15" t="s">
        <v>800</v>
      </c>
      <c r="C11828" s="15" t="s">
        <v>21800</v>
      </c>
      <c r="D11828" s="15" t="s">
        <v>21801</v>
      </c>
      <c r="E11828" s="15">
        <v>9.5008999999999997</v>
      </c>
      <c r="F11828" s="42">
        <v>46198</v>
      </c>
    </row>
    <row r="11829" spans="1:6" x14ac:dyDescent="0.3">
      <c r="A11829" s="15" t="s">
        <v>38124</v>
      </c>
      <c r="B11829" s="15" t="s">
        <v>21802</v>
      </c>
      <c r="C11829" s="15" t="s">
        <v>800</v>
      </c>
      <c r="D11829" s="15" t="s">
        <v>21803</v>
      </c>
      <c r="E11829" s="15">
        <v>9.4635999999999996</v>
      </c>
      <c r="F11829" s="42">
        <v>46198</v>
      </c>
    </row>
    <row r="11830" spans="1:6" x14ac:dyDescent="0.3">
      <c r="A11830" s="15" t="s">
        <v>38123</v>
      </c>
      <c r="B11830" s="15" t="s">
        <v>21804</v>
      </c>
      <c r="C11830" s="15" t="s">
        <v>800</v>
      </c>
      <c r="D11830" s="15" t="s">
        <v>21805</v>
      </c>
      <c r="E11830" s="15">
        <v>9.4635999999999996</v>
      </c>
      <c r="F11830" s="42">
        <v>46198</v>
      </c>
    </row>
    <row r="11831" spans="1:6" x14ac:dyDescent="0.3">
      <c r="A11831" s="15" t="s">
        <v>38122</v>
      </c>
      <c r="B11831" s="15" t="s">
        <v>800</v>
      </c>
      <c r="C11831" s="15" t="s">
        <v>21806</v>
      </c>
      <c r="D11831" s="15" t="s">
        <v>21807</v>
      </c>
      <c r="E11831" s="15">
        <v>9.4635999999999996</v>
      </c>
      <c r="F11831" s="42">
        <v>46198</v>
      </c>
    </row>
    <row r="11832" spans="1:6" x14ac:dyDescent="0.3">
      <c r="A11832" s="15" t="s">
        <v>38121</v>
      </c>
      <c r="B11832" s="15" t="s">
        <v>21808</v>
      </c>
      <c r="C11832" s="15" t="s">
        <v>800</v>
      </c>
      <c r="D11832" s="15" t="s">
        <v>21809</v>
      </c>
      <c r="E11832" s="15">
        <v>11.4183</v>
      </c>
      <c r="F11832" s="42">
        <v>46198</v>
      </c>
    </row>
    <row r="11833" spans="1:6" x14ac:dyDescent="0.3">
      <c r="A11833" s="15" t="s">
        <v>38120</v>
      </c>
      <c r="B11833" s="15" t="s">
        <v>21810</v>
      </c>
      <c r="C11833" s="15" t="s">
        <v>800</v>
      </c>
      <c r="D11833" s="15" t="s">
        <v>21811</v>
      </c>
      <c r="E11833" s="15">
        <v>11.4183</v>
      </c>
      <c r="F11833" s="42">
        <v>46198</v>
      </c>
    </row>
    <row r="11834" spans="1:6" x14ac:dyDescent="0.3">
      <c r="A11834" s="15" t="s">
        <v>38119</v>
      </c>
      <c r="B11834" s="15" t="s">
        <v>800</v>
      </c>
      <c r="C11834" s="15" t="s">
        <v>21812</v>
      </c>
      <c r="D11834" s="15" t="s">
        <v>21813</v>
      </c>
      <c r="E11834" s="15">
        <v>11.4183</v>
      </c>
      <c r="F11834" s="42">
        <v>46198</v>
      </c>
    </row>
    <row r="11835" spans="1:6" x14ac:dyDescent="0.3">
      <c r="A11835" s="15" t="s">
        <v>38118</v>
      </c>
      <c r="B11835" s="15" t="s">
        <v>21814</v>
      </c>
      <c r="C11835" s="15" t="s">
        <v>800</v>
      </c>
      <c r="D11835" s="15" t="s">
        <v>21815</v>
      </c>
      <c r="E11835" s="15">
        <v>11.312099999999999</v>
      </c>
      <c r="F11835" s="42">
        <v>46198</v>
      </c>
    </row>
    <row r="11836" spans="1:6" x14ac:dyDescent="0.3">
      <c r="A11836" s="15" t="s">
        <v>38117</v>
      </c>
      <c r="B11836" s="15" t="s">
        <v>21816</v>
      </c>
      <c r="C11836" s="15" t="s">
        <v>800</v>
      </c>
      <c r="D11836" s="15" t="s">
        <v>21817</v>
      </c>
      <c r="E11836" s="15">
        <v>11.312099999999999</v>
      </c>
      <c r="F11836" s="42">
        <v>46198</v>
      </c>
    </row>
    <row r="11837" spans="1:6" x14ac:dyDescent="0.3">
      <c r="A11837" s="15" t="s">
        <v>38116</v>
      </c>
      <c r="B11837" s="15" t="s">
        <v>800</v>
      </c>
      <c r="C11837" s="15" t="s">
        <v>21818</v>
      </c>
      <c r="D11837" s="15" t="s">
        <v>21819</v>
      </c>
      <c r="E11837" s="15">
        <v>11.312099999999999</v>
      </c>
      <c r="F11837" s="42">
        <v>46198</v>
      </c>
    </row>
    <row r="11838" spans="1:6" x14ac:dyDescent="0.3">
      <c r="A11838" s="15" t="s">
        <v>38115</v>
      </c>
      <c r="B11838" s="15" t="s">
        <v>21820</v>
      </c>
      <c r="C11838" s="15" t="s">
        <v>800</v>
      </c>
      <c r="D11838" s="15" t="s">
        <v>21821</v>
      </c>
      <c r="E11838" s="15">
        <v>10.2783</v>
      </c>
      <c r="F11838" s="42">
        <v>46198</v>
      </c>
    </row>
    <row r="11839" spans="1:6" x14ac:dyDescent="0.3">
      <c r="A11839" s="15" t="s">
        <v>38114</v>
      </c>
      <c r="B11839" s="15" t="s">
        <v>21822</v>
      </c>
      <c r="C11839" s="15" t="s">
        <v>800</v>
      </c>
      <c r="D11839" s="15" t="s">
        <v>21823</v>
      </c>
      <c r="E11839" s="15">
        <v>10.2783</v>
      </c>
      <c r="F11839" s="42">
        <v>46198</v>
      </c>
    </row>
    <row r="11840" spans="1:6" x14ac:dyDescent="0.3">
      <c r="A11840" s="15" t="s">
        <v>38113</v>
      </c>
      <c r="B11840" s="15" t="s">
        <v>800</v>
      </c>
      <c r="C11840" s="15" t="s">
        <v>21824</v>
      </c>
      <c r="D11840" s="15" t="s">
        <v>21825</v>
      </c>
      <c r="E11840" s="15">
        <v>10.2783</v>
      </c>
      <c r="F11840" s="42">
        <v>46198</v>
      </c>
    </row>
    <row r="11841" spans="1:6" x14ac:dyDescent="0.3">
      <c r="A11841" s="15" t="s">
        <v>38112</v>
      </c>
      <c r="B11841" s="15" t="s">
        <v>21826</v>
      </c>
      <c r="C11841" s="15" t="s">
        <v>800</v>
      </c>
      <c r="D11841" s="15" t="s">
        <v>21827</v>
      </c>
      <c r="E11841" s="15">
        <v>10.154400000000001</v>
      </c>
      <c r="F11841" s="42">
        <v>46198</v>
      </c>
    </row>
    <row r="11842" spans="1:6" x14ac:dyDescent="0.3">
      <c r="A11842" s="15" t="s">
        <v>38111</v>
      </c>
      <c r="B11842" s="15" t="s">
        <v>21828</v>
      </c>
      <c r="C11842" s="15" t="s">
        <v>800</v>
      </c>
      <c r="D11842" s="15" t="s">
        <v>21829</v>
      </c>
      <c r="E11842" s="15">
        <v>10.154400000000001</v>
      </c>
      <c r="F11842" s="42">
        <v>46198</v>
      </c>
    </row>
    <row r="11843" spans="1:6" x14ac:dyDescent="0.3">
      <c r="A11843" s="15" t="s">
        <v>38110</v>
      </c>
      <c r="B11843" s="15" t="s">
        <v>800</v>
      </c>
      <c r="C11843" s="15" t="s">
        <v>21830</v>
      </c>
      <c r="D11843" s="15" t="s">
        <v>21831</v>
      </c>
      <c r="E11843" s="15">
        <v>10.154400000000001</v>
      </c>
      <c r="F11843" s="42">
        <v>46198</v>
      </c>
    </row>
    <row r="11844" spans="1:6" x14ac:dyDescent="0.3">
      <c r="A11844" s="15" t="s">
        <v>38109</v>
      </c>
      <c r="B11844" s="15" t="s">
        <v>21832</v>
      </c>
      <c r="C11844" s="15" t="s">
        <v>800</v>
      </c>
      <c r="D11844" s="15" t="s">
        <v>21833</v>
      </c>
      <c r="E11844" s="15">
        <v>206.09</v>
      </c>
      <c r="F11844" s="42">
        <v>46198</v>
      </c>
    </row>
    <row r="11845" spans="1:6" x14ac:dyDescent="0.3">
      <c r="A11845" s="15" t="s">
        <v>38108</v>
      </c>
      <c r="B11845" s="15" t="s">
        <v>21834</v>
      </c>
      <c r="C11845" s="15" t="s">
        <v>800</v>
      </c>
      <c r="D11845" s="15" t="s">
        <v>21835</v>
      </c>
      <c r="E11845" s="15">
        <v>194.1978</v>
      </c>
      <c r="F11845" s="42">
        <v>46198</v>
      </c>
    </row>
    <row r="11846" spans="1:6" x14ac:dyDescent="0.3">
      <c r="A11846" s="15" t="s">
        <v>38107</v>
      </c>
      <c r="B11846" s="15" t="s">
        <v>21836</v>
      </c>
      <c r="C11846" s="15" t="s">
        <v>800</v>
      </c>
      <c r="D11846" s="15" t="s">
        <v>21837</v>
      </c>
      <c r="E11846" s="15">
        <v>12.6722</v>
      </c>
      <c r="F11846" s="42">
        <v>46066</v>
      </c>
    </row>
    <row r="11847" spans="1:6" x14ac:dyDescent="0.3">
      <c r="A11847" s="15" t="s">
        <v>38106</v>
      </c>
      <c r="B11847" s="15" t="s">
        <v>21838</v>
      </c>
      <c r="C11847" s="15" t="s">
        <v>800</v>
      </c>
      <c r="D11847" s="15" t="s">
        <v>21839</v>
      </c>
      <c r="E11847" s="15">
        <v>12.6722</v>
      </c>
      <c r="F11847" s="42">
        <v>46066</v>
      </c>
    </row>
    <row r="11848" spans="1:6" x14ac:dyDescent="0.3">
      <c r="A11848" s="15" t="s">
        <v>38105</v>
      </c>
      <c r="B11848" s="15" t="s">
        <v>800</v>
      </c>
      <c r="C11848" s="15" t="s">
        <v>21840</v>
      </c>
      <c r="D11848" s="15" t="s">
        <v>21841</v>
      </c>
      <c r="E11848" s="15">
        <v>12.6722</v>
      </c>
      <c r="F11848" s="42">
        <v>46066</v>
      </c>
    </row>
    <row r="11849" spans="1:6" x14ac:dyDescent="0.3">
      <c r="A11849" s="15" t="s">
        <v>38104</v>
      </c>
      <c r="B11849" s="15" t="s">
        <v>21842</v>
      </c>
      <c r="C11849" s="15" t="s">
        <v>800</v>
      </c>
      <c r="D11849" s="15" t="s">
        <v>21843</v>
      </c>
      <c r="E11849" s="15">
        <v>12.564399999999999</v>
      </c>
      <c r="F11849" s="42">
        <v>46066</v>
      </c>
    </row>
    <row r="11850" spans="1:6" x14ac:dyDescent="0.3">
      <c r="A11850" s="15" t="s">
        <v>38103</v>
      </c>
      <c r="B11850" s="15" t="s">
        <v>21844</v>
      </c>
      <c r="C11850" s="15" t="s">
        <v>800</v>
      </c>
      <c r="D11850" s="15" t="s">
        <v>21845</v>
      </c>
      <c r="E11850" s="15">
        <v>12.564399999999999</v>
      </c>
      <c r="F11850" s="42">
        <v>46066</v>
      </c>
    </row>
    <row r="11851" spans="1:6" x14ac:dyDescent="0.3">
      <c r="A11851" s="15" t="s">
        <v>38102</v>
      </c>
      <c r="B11851" s="15" t="s">
        <v>800</v>
      </c>
      <c r="C11851" s="15" t="s">
        <v>21846</v>
      </c>
      <c r="D11851" s="15" t="s">
        <v>21847</v>
      </c>
      <c r="E11851" s="15">
        <v>12.564399999999999</v>
      </c>
      <c r="F11851" s="42">
        <v>46066</v>
      </c>
    </row>
    <row r="11852" spans="1:6" x14ac:dyDescent="0.3">
      <c r="A11852" s="15" t="s">
        <v>38101</v>
      </c>
      <c r="B11852" s="15" t="s">
        <v>21848</v>
      </c>
      <c r="C11852" s="15" t="s">
        <v>800</v>
      </c>
      <c r="D11852" s="15" t="s">
        <v>21849</v>
      </c>
      <c r="E11852" s="15">
        <v>163.25110000000001</v>
      </c>
      <c r="F11852" s="42">
        <v>46198</v>
      </c>
    </row>
    <row r="11853" spans="1:6" x14ac:dyDescent="0.3">
      <c r="A11853" s="15" t="s">
        <v>38100</v>
      </c>
      <c r="B11853" s="15" t="s">
        <v>21850</v>
      </c>
      <c r="C11853" s="15" t="s">
        <v>800</v>
      </c>
      <c r="D11853" s="15" t="s">
        <v>21851</v>
      </c>
      <c r="E11853" s="15">
        <v>150.07919999999999</v>
      </c>
      <c r="F11853" s="42">
        <v>46198</v>
      </c>
    </row>
    <row r="11854" spans="1:6" x14ac:dyDescent="0.3">
      <c r="A11854" s="15" t="s">
        <v>38099</v>
      </c>
      <c r="B11854" s="15" t="s">
        <v>21852</v>
      </c>
      <c r="C11854" s="15" t="s">
        <v>800</v>
      </c>
      <c r="D11854" s="15" t="s">
        <v>21853</v>
      </c>
      <c r="E11854" s="15">
        <v>12.252700000000001</v>
      </c>
      <c r="F11854" s="42">
        <v>46198</v>
      </c>
    </row>
    <row r="11855" spans="1:6" x14ac:dyDescent="0.3">
      <c r="A11855" s="15" t="s">
        <v>38098</v>
      </c>
      <c r="B11855" s="15" t="s">
        <v>21854</v>
      </c>
      <c r="C11855" s="15" t="s">
        <v>800</v>
      </c>
      <c r="D11855" s="15" t="s">
        <v>21855</v>
      </c>
      <c r="E11855" s="15">
        <v>12.252700000000001</v>
      </c>
      <c r="F11855" s="42">
        <v>46198</v>
      </c>
    </row>
    <row r="11856" spans="1:6" x14ac:dyDescent="0.3">
      <c r="A11856" s="15" t="s">
        <v>38097</v>
      </c>
      <c r="B11856" s="15" t="s">
        <v>800</v>
      </c>
      <c r="C11856" s="15" t="s">
        <v>21856</v>
      </c>
      <c r="D11856" s="15" t="s">
        <v>21857</v>
      </c>
      <c r="E11856" s="15">
        <v>12.252700000000001</v>
      </c>
      <c r="F11856" s="42">
        <v>46198</v>
      </c>
    </row>
    <row r="11857" spans="1:6" x14ac:dyDescent="0.3">
      <c r="A11857" s="15" t="s">
        <v>38096</v>
      </c>
      <c r="B11857" s="15" t="s">
        <v>21858</v>
      </c>
      <c r="C11857" s="15" t="s">
        <v>800</v>
      </c>
      <c r="D11857" s="15" t="s">
        <v>21859</v>
      </c>
      <c r="E11857" s="15">
        <v>12.0792</v>
      </c>
      <c r="F11857" s="42">
        <v>46198</v>
      </c>
    </row>
    <row r="11858" spans="1:6" x14ac:dyDescent="0.3">
      <c r="A11858" s="15" t="s">
        <v>38095</v>
      </c>
      <c r="B11858" s="15" t="s">
        <v>21860</v>
      </c>
      <c r="C11858" s="15" t="s">
        <v>800</v>
      </c>
      <c r="D11858" s="15" t="s">
        <v>21861</v>
      </c>
      <c r="E11858" s="15">
        <v>12.0792</v>
      </c>
      <c r="F11858" s="42">
        <v>46198</v>
      </c>
    </row>
    <row r="11859" spans="1:6" x14ac:dyDescent="0.3">
      <c r="A11859" s="15" t="s">
        <v>38094</v>
      </c>
      <c r="B11859" s="15" t="s">
        <v>800</v>
      </c>
      <c r="C11859" s="15" t="s">
        <v>21862</v>
      </c>
      <c r="D11859" s="15" t="s">
        <v>21863</v>
      </c>
      <c r="E11859" s="15">
        <v>12.0792</v>
      </c>
      <c r="F11859" s="42">
        <v>46198</v>
      </c>
    </row>
    <row r="11860" spans="1:6" x14ac:dyDescent="0.3">
      <c r="A11860" s="15" t="s">
        <v>38093</v>
      </c>
      <c r="B11860" s="15" t="s">
        <v>21864</v>
      </c>
      <c r="C11860" s="15" t="s">
        <v>800</v>
      </c>
      <c r="D11860" s="15" t="s">
        <v>21865</v>
      </c>
      <c r="E11860" s="15">
        <v>14.788500000000001</v>
      </c>
      <c r="F11860" s="42">
        <v>46198</v>
      </c>
    </row>
    <row r="11861" spans="1:6" x14ac:dyDescent="0.3">
      <c r="A11861" s="15" t="s">
        <v>38092</v>
      </c>
      <c r="B11861" s="15" t="s">
        <v>21866</v>
      </c>
      <c r="C11861" s="15" t="s">
        <v>800</v>
      </c>
      <c r="D11861" s="15" t="s">
        <v>21867</v>
      </c>
      <c r="E11861" s="15">
        <v>14.788500000000001</v>
      </c>
      <c r="F11861" s="42">
        <v>46198</v>
      </c>
    </row>
    <row r="11862" spans="1:6" x14ac:dyDescent="0.3">
      <c r="A11862" s="15" t="s">
        <v>38091</v>
      </c>
      <c r="B11862" s="15" t="s">
        <v>800</v>
      </c>
      <c r="C11862" s="15" t="s">
        <v>21868</v>
      </c>
      <c r="D11862" s="15" t="s">
        <v>21869</v>
      </c>
      <c r="E11862" s="15">
        <v>14.788500000000001</v>
      </c>
      <c r="F11862" s="42">
        <v>46198</v>
      </c>
    </row>
    <row r="11863" spans="1:6" x14ac:dyDescent="0.3">
      <c r="A11863" s="15" t="s">
        <v>38090</v>
      </c>
      <c r="B11863" s="15" t="s">
        <v>21870</v>
      </c>
      <c r="C11863" s="15" t="s">
        <v>800</v>
      </c>
      <c r="D11863" s="15" t="s">
        <v>21871</v>
      </c>
      <c r="E11863" s="15">
        <v>14.632999999999999</v>
      </c>
      <c r="F11863" s="42">
        <v>46198</v>
      </c>
    </row>
    <row r="11864" spans="1:6" x14ac:dyDescent="0.3">
      <c r="A11864" s="15" t="s">
        <v>38089</v>
      </c>
      <c r="B11864" s="15" t="s">
        <v>21872</v>
      </c>
      <c r="C11864" s="15" t="s">
        <v>800</v>
      </c>
      <c r="D11864" s="15" t="s">
        <v>21873</v>
      </c>
      <c r="E11864" s="15">
        <v>14.632999999999999</v>
      </c>
      <c r="F11864" s="42">
        <v>46198</v>
      </c>
    </row>
    <row r="11865" spans="1:6" x14ac:dyDescent="0.3">
      <c r="A11865" s="15" t="s">
        <v>38088</v>
      </c>
      <c r="B11865" s="15" t="s">
        <v>800</v>
      </c>
      <c r="C11865" s="15" t="s">
        <v>21874</v>
      </c>
      <c r="D11865" s="15" t="s">
        <v>21875</v>
      </c>
      <c r="E11865" s="15">
        <v>14.632999999999999</v>
      </c>
      <c r="F11865" s="42">
        <v>46198</v>
      </c>
    </row>
    <row r="11866" spans="1:6" x14ac:dyDescent="0.3">
      <c r="A11866" s="15" t="s">
        <v>38087</v>
      </c>
      <c r="B11866" s="15" t="s">
        <v>21876</v>
      </c>
      <c r="C11866" s="15" t="s">
        <v>800</v>
      </c>
      <c r="D11866" s="15" t="s">
        <v>21877</v>
      </c>
      <c r="E11866" s="15">
        <v>12.585100000000001</v>
      </c>
      <c r="F11866" s="42">
        <v>46198</v>
      </c>
    </row>
    <row r="11867" spans="1:6" x14ac:dyDescent="0.3">
      <c r="A11867" s="15" t="s">
        <v>38086</v>
      </c>
      <c r="B11867" s="15" t="s">
        <v>21878</v>
      </c>
      <c r="C11867" s="15" t="s">
        <v>800</v>
      </c>
      <c r="D11867" s="15" t="s">
        <v>21879</v>
      </c>
      <c r="E11867" s="15">
        <v>12.585100000000001</v>
      </c>
      <c r="F11867" s="42">
        <v>46198</v>
      </c>
    </row>
    <row r="11868" spans="1:6" x14ac:dyDescent="0.3">
      <c r="A11868" s="15" t="s">
        <v>38085</v>
      </c>
      <c r="B11868" s="15" t="s">
        <v>800</v>
      </c>
      <c r="C11868" s="15" t="s">
        <v>21880</v>
      </c>
      <c r="D11868" s="15" t="s">
        <v>21881</v>
      </c>
      <c r="E11868" s="15">
        <v>12.585100000000001</v>
      </c>
      <c r="F11868" s="42">
        <v>46198</v>
      </c>
    </row>
    <row r="11869" spans="1:6" x14ac:dyDescent="0.3">
      <c r="A11869" s="15" t="s">
        <v>38084</v>
      </c>
      <c r="B11869" s="15" t="s">
        <v>21882</v>
      </c>
      <c r="C11869" s="15" t="s">
        <v>800</v>
      </c>
      <c r="D11869" s="15" t="s">
        <v>21883</v>
      </c>
      <c r="E11869" s="15">
        <v>12.4064</v>
      </c>
      <c r="F11869" s="42">
        <v>46198</v>
      </c>
    </row>
    <row r="11870" spans="1:6" x14ac:dyDescent="0.3">
      <c r="A11870" s="15" t="s">
        <v>38083</v>
      </c>
      <c r="B11870" s="15" t="s">
        <v>21884</v>
      </c>
      <c r="C11870" s="15" t="s">
        <v>800</v>
      </c>
      <c r="D11870" s="15" t="s">
        <v>21885</v>
      </c>
      <c r="E11870" s="15">
        <v>12.4064</v>
      </c>
      <c r="F11870" s="42">
        <v>46198</v>
      </c>
    </row>
    <row r="11871" spans="1:6" x14ac:dyDescent="0.3">
      <c r="A11871" s="15" t="s">
        <v>38082</v>
      </c>
      <c r="B11871" s="15" t="s">
        <v>800</v>
      </c>
      <c r="C11871" s="15" t="s">
        <v>21886</v>
      </c>
      <c r="D11871" s="15" t="s">
        <v>21887</v>
      </c>
      <c r="E11871" s="15">
        <v>12.4064</v>
      </c>
      <c r="F11871" s="42">
        <v>46198</v>
      </c>
    </row>
    <row r="11872" spans="1:6" x14ac:dyDescent="0.3">
      <c r="A11872" s="15" t="s">
        <v>38081</v>
      </c>
      <c r="B11872" s="15" t="s">
        <v>21888</v>
      </c>
      <c r="C11872" s="15" t="s">
        <v>800</v>
      </c>
      <c r="D11872" s="15" t="s">
        <v>21889</v>
      </c>
      <c r="E11872" s="15">
        <v>12.7217</v>
      </c>
      <c r="F11872" s="42">
        <v>46198</v>
      </c>
    </row>
    <row r="11873" spans="1:6" x14ac:dyDescent="0.3">
      <c r="A11873" s="15" t="s">
        <v>38080</v>
      </c>
      <c r="B11873" s="15" t="s">
        <v>21890</v>
      </c>
      <c r="C11873" s="15" t="s">
        <v>800</v>
      </c>
      <c r="D11873" s="15" t="s">
        <v>21891</v>
      </c>
      <c r="E11873" s="15">
        <v>12.7217</v>
      </c>
      <c r="F11873" s="42">
        <v>46198</v>
      </c>
    </row>
    <row r="11874" spans="1:6" x14ac:dyDescent="0.3">
      <c r="A11874" s="15" t="s">
        <v>38079</v>
      </c>
      <c r="B11874" s="15" t="s">
        <v>800</v>
      </c>
      <c r="C11874" s="15" t="s">
        <v>21892</v>
      </c>
      <c r="D11874" s="15" t="s">
        <v>21893</v>
      </c>
      <c r="E11874" s="15">
        <v>12.7217</v>
      </c>
      <c r="F11874" s="42">
        <v>46198</v>
      </c>
    </row>
    <row r="11875" spans="1:6" x14ac:dyDescent="0.3">
      <c r="A11875" s="15" t="s">
        <v>38078</v>
      </c>
      <c r="B11875" s="15" t="s">
        <v>21894</v>
      </c>
      <c r="C11875" s="15" t="s">
        <v>800</v>
      </c>
      <c r="D11875" s="15" t="s">
        <v>21895</v>
      </c>
      <c r="E11875" s="15">
        <v>12.579800000000001</v>
      </c>
      <c r="F11875" s="42">
        <v>46198</v>
      </c>
    </row>
    <row r="11876" spans="1:6" x14ac:dyDescent="0.3">
      <c r="A11876" s="15" t="s">
        <v>38077</v>
      </c>
      <c r="B11876" s="15" t="s">
        <v>21896</v>
      </c>
      <c r="C11876" s="15" t="s">
        <v>800</v>
      </c>
      <c r="D11876" s="15" t="s">
        <v>21897</v>
      </c>
      <c r="E11876" s="15">
        <v>12.579800000000001</v>
      </c>
      <c r="F11876" s="42">
        <v>46198</v>
      </c>
    </row>
    <row r="11877" spans="1:6" x14ac:dyDescent="0.3">
      <c r="A11877" s="15" t="s">
        <v>38076</v>
      </c>
      <c r="B11877" s="15" t="s">
        <v>800</v>
      </c>
      <c r="C11877" s="15" t="s">
        <v>21898</v>
      </c>
      <c r="D11877" s="15" t="s">
        <v>21899</v>
      </c>
      <c r="E11877" s="15">
        <v>12.579800000000001</v>
      </c>
      <c r="F11877" s="42">
        <v>46198</v>
      </c>
    </row>
    <row r="11878" spans="1:6" x14ac:dyDescent="0.3">
      <c r="A11878" s="15" t="s">
        <v>38075</v>
      </c>
      <c r="B11878" s="15" t="s">
        <v>21900</v>
      </c>
      <c r="C11878" s="15" t="s">
        <v>800</v>
      </c>
      <c r="D11878" s="15" t="s">
        <v>21901</v>
      </c>
      <c r="E11878" s="15">
        <v>13.0145</v>
      </c>
      <c r="F11878" s="42">
        <v>46198</v>
      </c>
    </row>
    <row r="11879" spans="1:6" x14ac:dyDescent="0.3">
      <c r="A11879" s="15" t="s">
        <v>38074</v>
      </c>
      <c r="B11879" s="15" t="s">
        <v>21902</v>
      </c>
      <c r="C11879" s="15" t="s">
        <v>800</v>
      </c>
      <c r="D11879" s="15" t="s">
        <v>21903</v>
      </c>
      <c r="E11879" s="15">
        <v>13.0145</v>
      </c>
      <c r="F11879" s="42">
        <v>46198</v>
      </c>
    </row>
    <row r="11880" spans="1:6" x14ac:dyDescent="0.3">
      <c r="A11880" s="15" t="s">
        <v>38073</v>
      </c>
      <c r="B11880" s="15" t="s">
        <v>800</v>
      </c>
      <c r="C11880" s="15" t="s">
        <v>21904</v>
      </c>
      <c r="D11880" s="15" t="s">
        <v>21905</v>
      </c>
      <c r="E11880" s="15">
        <v>13.0145</v>
      </c>
      <c r="F11880" s="42">
        <v>46198</v>
      </c>
    </row>
    <row r="11881" spans="1:6" x14ac:dyDescent="0.3">
      <c r="A11881" s="15" t="s">
        <v>38072</v>
      </c>
      <c r="B11881" s="15" t="s">
        <v>21906</v>
      </c>
      <c r="C11881" s="15" t="s">
        <v>800</v>
      </c>
      <c r="D11881" s="15" t="s">
        <v>21907</v>
      </c>
      <c r="E11881" s="15">
        <v>12.864699999999999</v>
      </c>
      <c r="F11881" s="42">
        <v>46198</v>
      </c>
    </row>
    <row r="11882" spans="1:6" x14ac:dyDescent="0.3">
      <c r="A11882" s="15" t="s">
        <v>38071</v>
      </c>
      <c r="B11882" s="15" t="s">
        <v>21908</v>
      </c>
      <c r="C11882" s="15" t="s">
        <v>800</v>
      </c>
      <c r="D11882" s="15" t="s">
        <v>21909</v>
      </c>
      <c r="E11882" s="15">
        <v>12.864699999999999</v>
      </c>
      <c r="F11882" s="42">
        <v>46198</v>
      </c>
    </row>
    <row r="11883" spans="1:6" x14ac:dyDescent="0.3">
      <c r="A11883" s="15" t="s">
        <v>38070</v>
      </c>
      <c r="B11883" s="15" t="s">
        <v>800</v>
      </c>
      <c r="C11883" s="15" t="s">
        <v>21910</v>
      </c>
      <c r="D11883" s="15" t="s">
        <v>21911</v>
      </c>
      <c r="E11883" s="15">
        <v>12.864699999999999</v>
      </c>
      <c r="F11883" s="42">
        <v>46198</v>
      </c>
    </row>
    <row r="11884" spans="1:6" x14ac:dyDescent="0.3">
      <c r="A11884" s="15" t="s">
        <v>38069</v>
      </c>
      <c r="B11884" s="15" t="s">
        <v>21912</v>
      </c>
      <c r="C11884" s="15" t="s">
        <v>800</v>
      </c>
      <c r="D11884" s="15" t="s">
        <v>21913</v>
      </c>
      <c r="E11884" s="15">
        <v>9.2034000000000002</v>
      </c>
      <c r="F11884" s="42">
        <v>46198</v>
      </c>
    </row>
    <row r="11885" spans="1:6" x14ac:dyDescent="0.3">
      <c r="A11885" s="15" t="s">
        <v>38068</v>
      </c>
      <c r="B11885" s="15" t="s">
        <v>21914</v>
      </c>
      <c r="C11885" s="15" t="s">
        <v>800</v>
      </c>
      <c r="D11885" s="15" t="s">
        <v>21915</v>
      </c>
      <c r="E11885" s="15">
        <v>9.2034000000000002</v>
      </c>
      <c r="F11885" s="42">
        <v>46198</v>
      </c>
    </row>
    <row r="11886" spans="1:6" x14ac:dyDescent="0.3">
      <c r="A11886" s="15" t="s">
        <v>38067</v>
      </c>
      <c r="B11886" s="15" t="s">
        <v>800</v>
      </c>
      <c r="C11886" s="15" t="s">
        <v>21916</v>
      </c>
      <c r="D11886" s="15" t="s">
        <v>21917</v>
      </c>
      <c r="E11886" s="15">
        <v>9.2034000000000002</v>
      </c>
      <c r="F11886" s="42">
        <v>46198</v>
      </c>
    </row>
    <row r="11887" spans="1:6" x14ac:dyDescent="0.3">
      <c r="A11887" s="15" t="s">
        <v>38066</v>
      </c>
      <c r="B11887" s="15" t="s">
        <v>21918</v>
      </c>
      <c r="C11887" s="15" t="s">
        <v>800</v>
      </c>
      <c r="D11887" s="15" t="s">
        <v>21919</v>
      </c>
      <c r="E11887" s="15">
        <v>9.0836000000000006</v>
      </c>
      <c r="F11887" s="42">
        <v>46198</v>
      </c>
    </row>
    <row r="11888" spans="1:6" x14ac:dyDescent="0.3">
      <c r="A11888" s="15" t="s">
        <v>38065</v>
      </c>
      <c r="B11888" s="15" t="s">
        <v>21920</v>
      </c>
      <c r="C11888" s="15" t="s">
        <v>800</v>
      </c>
      <c r="D11888" s="15" t="s">
        <v>21921</v>
      </c>
      <c r="E11888" s="15">
        <v>9.0836000000000006</v>
      </c>
      <c r="F11888" s="42">
        <v>46198</v>
      </c>
    </row>
    <row r="11889" spans="1:6" x14ac:dyDescent="0.3">
      <c r="A11889" s="15" t="s">
        <v>38064</v>
      </c>
      <c r="B11889" s="15" t="s">
        <v>800</v>
      </c>
      <c r="C11889" s="15" t="s">
        <v>21922</v>
      </c>
      <c r="D11889" s="15" t="s">
        <v>21923</v>
      </c>
      <c r="E11889" s="15">
        <v>9.0836000000000006</v>
      </c>
      <c r="F11889" s="42">
        <v>46198</v>
      </c>
    </row>
    <row r="11890" spans="1:6" x14ac:dyDescent="0.3">
      <c r="A11890" s="15" t="s">
        <v>38063</v>
      </c>
      <c r="B11890" s="15" t="s">
        <v>21924</v>
      </c>
      <c r="C11890" s="15" t="s">
        <v>800</v>
      </c>
      <c r="D11890" s="15" t="s">
        <v>21925</v>
      </c>
      <c r="E11890" s="15">
        <v>10.8193</v>
      </c>
      <c r="F11890" s="42">
        <v>46198</v>
      </c>
    </row>
    <row r="11891" spans="1:6" x14ac:dyDescent="0.3">
      <c r="A11891" s="15" t="s">
        <v>38062</v>
      </c>
      <c r="B11891" s="15" t="s">
        <v>21926</v>
      </c>
      <c r="C11891" s="15" t="s">
        <v>800</v>
      </c>
      <c r="D11891" s="15" t="s">
        <v>21927</v>
      </c>
      <c r="E11891" s="15">
        <v>10.8193</v>
      </c>
      <c r="F11891" s="42">
        <v>46198</v>
      </c>
    </row>
    <row r="11892" spans="1:6" x14ac:dyDescent="0.3">
      <c r="A11892" s="15" t="s">
        <v>38061</v>
      </c>
      <c r="B11892" s="15" t="s">
        <v>800</v>
      </c>
      <c r="C11892" s="15" t="s">
        <v>21928</v>
      </c>
      <c r="D11892" s="15" t="s">
        <v>21929</v>
      </c>
      <c r="E11892" s="15">
        <v>10.8193</v>
      </c>
      <c r="F11892" s="42">
        <v>46198</v>
      </c>
    </row>
    <row r="11893" spans="1:6" x14ac:dyDescent="0.3">
      <c r="A11893" s="15" t="s">
        <v>38060</v>
      </c>
      <c r="B11893" s="15" t="s">
        <v>21930</v>
      </c>
      <c r="C11893" s="15" t="s">
        <v>800</v>
      </c>
      <c r="D11893" s="15" t="s">
        <v>21931</v>
      </c>
      <c r="E11893" s="15">
        <v>10.7141</v>
      </c>
      <c r="F11893" s="42">
        <v>46198</v>
      </c>
    </row>
    <row r="11894" spans="1:6" x14ac:dyDescent="0.3">
      <c r="A11894" s="15" t="s">
        <v>38059</v>
      </c>
      <c r="B11894" s="15" t="s">
        <v>21932</v>
      </c>
      <c r="C11894" s="15" t="s">
        <v>800</v>
      </c>
      <c r="D11894" s="15" t="s">
        <v>21933</v>
      </c>
      <c r="E11894" s="15">
        <v>10.7141</v>
      </c>
      <c r="F11894" s="42">
        <v>46198</v>
      </c>
    </row>
    <row r="11895" spans="1:6" x14ac:dyDescent="0.3">
      <c r="A11895" s="15" t="s">
        <v>38058</v>
      </c>
      <c r="B11895" s="15" t="s">
        <v>800</v>
      </c>
      <c r="C11895" s="15" t="s">
        <v>21934</v>
      </c>
      <c r="D11895" s="15" t="s">
        <v>21935</v>
      </c>
      <c r="E11895" s="15">
        <v>10.7141</v>
      </c>
      <c r="F11895" s="42">
        <v>46198</v>
      </c>
    </row>
    <row r="11896" spans="1:6" x14ac:dyDescent="0.3">
      <c r="A11896" s="15" t="s">
        <v>38057</v>
      </c>
      <c r="B11896" s="15" t="s">
        <v>21936</v>
      </c>
      <c r="C11896" s="15" t="s">
        <v>800</v>
      </c>
      <c r="D11896" s="15" t="s">
        <v>21937</v>
      </c>
      <c r="E11896" s="15">
        <v>18.736599999999999</v>
      </c>
      <c r="F11896" s="42">
        <v>46198</v>
      </c>
    </row>
    <row r="11897" spans="1:6" x14ac:dyDescent="0.3">
      <c r="A11897" s="15" t="s">
        <v>38056</v>
      </c>
      <c r="B11897" s="15" t="s">
        <v>21938</v>
      </c>
      <c r="C11897" s="15" t="s">
        <v>800</v>
      </c>
      <c r="D11897" s="15" t="s">
        <v>21939</v>
      </c>
      <c r="E11897" s="15">
        <v>18.247499999999999</v>
      </c>
      <c r="F11897" s="42">
        <v>46198</v>
      </c>
    </row>
    <row r="11898" spans="1:6" x14ac:dyDescent="0.3">
      <c r="A11898" s="15" t="s">
        <v>38055</v>
      </c>
      <c r="B11898" s="15" t="s">
        <v>21940</v>
      </c>
      <c r="C11898" s="15" t="s">
        <v>800</v>
      </c>
      <c r="D11898" s="15" t="s">
        <v>21941</v>
      </c>
      <c r="E11898" s="15">
        <v>18.736599999999999</v>
      </c>
      <c r="F11898" s="42">
        <v>46198</v>
      </c>
    </row>
    <row r="11899" spans="1:6" x14ac:dyDescent="0.3">
      <c r="A11899" s="15" t="s">
        <v>38054</v>
      </c>
      <c r="B11899" s="15" t="s">
        <v>21942</v>
      </c>
      <c r="C11899" s="15" t="s">
        <v>800</v>
      </c>
      <c r="D11899" s="15" t="s">
        <v>21943</v>
      </c>
      <c r="E11899" s="15">
        <v>18.247499999999999</v>
      </c>
      <c r="F11899" s="42">
        <v>46198</v>
      </c>
    </row>
    <row r="11900" spans="1:6" x14ac:dyDescent="0.3">
      <c r="A11900" s="15" t="s">
        <v>38053</v>
      </c>
      <c r="B11900" s="15" t="s">
        <v>800</v>
      </c>
      <c r="C11900" s="15" t="s">
        <v>21944</v>
      </c>
      <c r="D11900" s="15" t="s">
        <v>21945</v>
      </c>
      <c r="E11900" s="15">
        <v>18.736599999999999</v>
      </c>
      <c r="F11900" s="42">
        <v>46198</v>
      </c>
    </row>
    <row r="11901" spans="1:6" x14ac:dyDescent="0.3">
      <c r="A11901" s="15" t="s">
        <v>38052</v>
      </c>
      <c r="B11901" s="15" t="s">
        <v>800</v>
      </c>
      <c r="C11901" s="15" t="s">
        <v>21946</v>
      </c>
      <c r="D11901" s="15" t="s">
        <v>21947</v>
      </c>
      <c r="E11901" s="15">
        <v>18.247499999999999</v>
      </c>
      <c r="F11901" s="42">
        <v>46198</v>
      </c>
    </row>
    <row r="11902" spans="1:6" x14ac:dyDescent="0.3">
      <c r="A11902" s="15" t="s">
        <v>38051</v>
      </c>
      <c r="B11902" s="15" t="s">
        <v>21948</v>
      </c>
      <c r="C11902" s="15" t="s">
        <v>800</v>
      </c>
      <c r="D11902" s="15" t="s">
        <v>21949</v>
      </c>
      <c r="E11902" s="15">
        <v>14.378</v>
      </c>
      <c r="F11902" s="42">
        <v>46198</v>
      </c>
    </row>
    <row r="11903" spans="1:6" x14ac:dyDescent="0.3">
      <c r="A11903" s="15" t="s">
        <v>38050</v>
      </c>
      <c r="B11903" s="15" t="s">
        <v>21950</v>
      </c>
      <c r="C11903" s="15" t="s">
        <v>800</v>
      </c>
      <c r="D11903" s="15" t="s">
        <v>21951</v>
      </c>
      <c r="E11903" s="15">
        <v>14.378</v>
      </c>
      <c r="F11903" s="42">
        <v>46198</v>
      </c>
    </row>
    <row r="11904" spans="1:6" x14ac:dyDescent="0.3">
      <c r="A11904" s="15" t="s">
        <v>38049</v>
      </c>
      <c r="B11904" s="15" t="s">
        <v>800</v>
      </c>
      <c r="C11904" s="15" t="s">
        <v>21952</v>
      </c>
      <c r="D11904" s="15" t="s">
        <v>21953</v>
      </c>
      <c r="E11904" s="15">
        <v>14.378</v>
      </c>
      <c r="F11904" s="42">
        <v>46198</v>
      </c>
    </row>
    <row r="11905" spans="1:6" x14ac:dyDescent="0.3">
      <c r="A11905" s="15" t="s">
        <v>38048</v>
      </c>
      <c r="B11905" s="15" t="s">
        <v>21954</v>
      </c>
      <c r="C11905" s="15" t="s">
        <v>800</v>
      </c>
      <c r="D11905" s="15" t="s">
        <v>21955</v>
      </c>
      <c r="E11905" s="15">
        <v>14.175800000000001</v>
      </c>
      <c r="F11905" s="42">
        <v>46198</v>
      </c>
    </row>
    <row r="11906" spans="1:6" x14ac:dyDescent="0.3">
      <c r="A11906" s="15" t="s">
        <v>38047</v>
      </c>
      <c r="B11906" s="15" t="s">
        <v>21956</v>
      </c>
      <c r="C11906" s="15" t="s">
        <v>800</v>
      </c>
      <c r="D11906" s="15" t="s">
        <v>21957</v>
      </c>
      <c r="E11906" s="15">
        <v>14.175800000000001</v>
      </c>
      <c r="F11906" s="42">
        <v>46198</v>
      </c>
    </row>
    <row r="11907" spans="1:6" x14ac:dyDescent="0.3">
      <c r="A11907" s="15" t="s">
        <v>38046</v>
      </c>
      <c r="B11907" s="15" t="s">
        <v>800</v>
      </c>
      <c r="C11907" s="15" t="s">
        <v>21958</v>
      </c>
      <c r="D11907" s="15" t="s">
        <v>21959</v>
      </c>
      <c r="E11907" s="15">
        <v>14.175800000000001</v>
      </c>
      <c r="F11907" s="42">
        <v>46198</v>
      </c>
    </row>
    <row r="11908" spans="1:6" x14ac:dyDescent="0.3">
      <c r="A11908" s="15" t="s">
        <v>38045</v>
      </c>
      <c r="B11908" s="15" t="s">
        <v>21960</v>
      </c>
      <c r="C11908" s="15" t="s">
        <v>800</v>
      </c>
      <c r="D11908" s="15" t="s">
        <v>21961</v>
      </c>
      <c r="E11908" s="15">
        <v>10.6257</v>
      </c>
      <c r="F11908" s="42">
        <v>46198</v>
      </c>
    </row>
    <row r="11909" spans="1:6" x14ac:dyDescent="0.3">
      <c r="A11909" s="15" t="s">
        <v>38044</v>
      </c>
      <c r="B11909" s="15" t="s">
        <v>21962</v>
      </c>
      <c r="C11909" s="15" t="s">
        <v>800</v>
      </c>
      <c r="D11909" s="15" t="s">
        <v>21963</v>
      </c>
      <c r="E11909" s="15">
        <v>10.6257</v>
      </c>
      <c r="F11909" s="42">
        <v>46198</v>
      </c>
    </row>
    <row r="11910" spans="1:6" x14ac:dyDescent="0.3">
      <c r="A11910" s="15" t="s">
        <v>38043</v>
      </c>
      <c r="B11910" s="15" t="s">
        <v>800</v>
      </c>
      <c r="C11910" s="15" t="s">
        <v>21964</v>
      </c>
      <c r="D11910" s="15" t="s">
        <v>21965</v>
      </c>
      <c r="E11910" s="15">
        <v>10.6257</v>
      </c>
      <c r="F11910" s="42">
        <v>46198</v>
      </c>
    </row>
    <row r="11911" spans="1:6" x14ac:dyDescent="0.3">
      <c r="A11911" s="15" t="s">
        <v>38042</v>
      </c>
      <c r="B11911" s="15" t="s">
        <v>21966</v>
      </c>
      <c r="C11911" s="15" t="s">
        <v>800</v>
      </c>
      <c r="D11911" s="15" t="s">
        <v>21967</v>
      </c>
      <c r="E11911" s="15">
        <v>10.558299999999999</v>
      </c>
      <c r="F11911" s="42">
        <v>46198</v>
      </c>
    </row>
    <row r="11912" spans="1:6" x14ac:dyDescent="0.3">
      <c r="A11912" s="15" t="s">
        <v>38041</v>
      </c>
      <c r="B11912" s="15" t="s">
        <v>21968</v>
      </c>
      <c r="C11912" s="15" t="s">
        <v>800</v>
      </c>
      <c r="D11912" s="15" t="s">
        <v>21969</v>
      </c>
      <c r="E11912" s="15">
        <v>10.558299999999999</v>
      </c>
      <c r="F11912" s="42">
        <v>46198</v>
      </c>
    </row>
    <row r="11913" spans="1:6" x14ac:dyDescent="0.3">
      <c r="A11913" s="15" t="s">
        <v>38040</v>
      </c>
      <c r="B11913" s="15" t="s">
        <v>800</v>
      </c>
      <c r="C11913" s="15" t="s">
        <v>21970</v>
      </c>
      <c r="D11913" s="15" t="s">
        <v>21971</v>
      </c>
      <c r="E11913" s="15">
        <v>10.558299999999999</v>
      </c>
      <c r="F11913" s="42">
        <v>46198</v>
      </c>
    </row>
    <row r="11914" spans="1:6" x14ac:dyDescent="0.3">
      <c r="A11914" s="15" t="s">
        <v>38039</v>
      </c>
      <c r="B11914" s="15" t="s">
        <v>21972</v>
      </c>
      <c r="C11914" s="15" t="s">
        <v>800</v>
      </c>
      <c r="D11914" s="15" t="s">
        <v>21973</v>
      </c>
      <c r="E11914" s="15">
        <v>8.4659999999999993</v>
      </c>
      <c r="F11914" s="42">
        <v>46198</v>
      </c>
    </row>
    <row r="11915" spans="1:6" x14ac:dyDescent="0.3">
      <c r="A11915" s="15" t="s">
        <v>38038</v>
      </c>
      <c r="B11915" s="15" t="s">
        <v>21974</v>
      </c>
      <c r="C11915" s="15" t="s">
        <v>800</v>
      </c>
      <c r="D11915" s="15" t="s">
        <v>21975</v>
      </c>
      <c r="E11915" s="15">
        <v>8.4659999999999993</v>
      </c>
      <c r="F11915" s="42">
        <v>46198</v>
      </c>
    </row>
    <row r="11916" spans="1:6" x14ac:dyDescent="0.3">
      <c r="A11916" s="15" t="s">
        <v>38037</v>
      </c>
      <c r="B11916" s="15" t="s">
        <v>800</v>
      </c>
      <c r="C11916" s="15" t="s">
        <v>21976</v>
      </c>
      <c r="D11916" s="15" t="s">
        <v>21977</v>
      </c>
      <c r="E11916" s="15">
        <v>8.4659999999999993</v>
      </c>
      <c r="F11916" s="42">
        <v>46198</v>
      </c>
    </row>
    <row r="11917" spans="1:6" x14ac:dyDescent="0.3">
      <c r="A11917" s="15" t="s">
        <v>38036</v>
      </c>
      <c r="B11917" s="15" t="s">
        <v>21978</v>
      </c>
      <c r="C11917" s="15" t="s">
        <v>800</v>
      </c>
      <c r="D11917" s="15" t="s">
        <v>21979</v>
      </c>
      <c r="E11917" s="15">
        <v>8.3416999999999994</v>
      </c>
      <c r="F11917" s="42">
        <v>46198</v>
      </c>
    </row>
    <row r="11918" spans="1:6" x14ac:dyDescent="0.3">
      <c r="A11918" s="15" t="s">
        <v>38035</v>
      </c>
      <c r="B11918" s="15" t="s">
        <v>21980</v>
      </c>
      <c r="C11918" s="15" t="s">
        <v>800</v>
      </c>
      <c r="D11918" s="15" t="s">
        <v>21981</v>
      </c>
      <c r="E11918" s="15">
        <v>8.3416999999999994</v>
      </c>
      <c r="F11918" s="42">
        <v>46198</v>
      </c>
    </row>
    <row r="11919" spans="1:6" x14ac:dyDescent="0.3">
      <c r="A11919" s="15" t="s">
        <v>38034</v>
      </c>
      <c r="B11919" s="15" t="s">
        <v>800</v>
      </c>
      <c r="C11919" s="15" t="s">
        <v>21982</v>
      </c>
      <c r="D11919" s="15" t="s">
        <v>21983</v>
      </c>
      <c r="E11919" s="15">
        <v>8.3416999999999994</v>
      </c>
      <c r="F11919" s="42">
        <v>46198</v>
      </c>
    </row>
    <row r="11920" spans="1:6" x14ac:dyDescent="0.3">
      <c r="A11920" s="15" t="s">
        <v>38033</v>
      </c>
      <c r="B11920" s="15" t="s">
        <v>21984</v>
      </c>
      <c r="C11920" s="15" t="s">
        <v>800</v>
      </c>
      <c r="D11920" s="15" t="s">
        <v>21985</v>
      </c>
      <c r="E11920" s="15">
        <v>13.072100000000001</v>
      </c>
      <c r="F11920" s="42">
        <v>46198</v>
      </c>
    </row>
    <row r="11921" spans="1:6" x14ac:dyDescent="0.3">
      <c r="A11921" s="15" t="s">
        <v>38032</v>
      </c>
      <c r="B11921" s="15" t="s">
        <v>21986</v>
      </c>
      <c r="C11921" s="15" t="s">
        <v>800</v>
      </c>
      <c r="D11921" s="15" t="s">
        <v>21987</v>
      </c>
      <c r="E11921" s="15">
        <v>13.2217</v>
      </c>
      <c r="F11921" s="42">
        <v>46198</v>
      </c>
    </row>
    <row r="11922" spans="1:6" x14ac:dyDescent="0.3">
      <c r="A11922" s="15" t="s">
        <v>38031</v>
      </c>
      <c r="B11922" s="15" t="s">
        <v>800</v>
      </c>
      <c r="C11922" s="15" t="s">
        <v>21988</v>
      </c>
      <c r="D11922" s="15" t="s">
        <v>21989</v>
      </c>
      <c r="E11922" s="15">
        <v>13.2217</v>
      </c>
      <c r="F11922" s="42">
        <v>46198</v>
      </c>
    </row>
    <row r="11923" spans="1:6" x14ac:dyDescent="0.3">
      <c r="A11923" s="15" t="s">
        <v>38030</v>
      </c>
      <c r="B11923" s="15" t="s">
        <v>21990</v>
      </c>
      <c r="C11923" s="15" t="s">
        <v>800</v>
      </c>
      <c r="D11923" s="15" t="s">
        <v>21991</v>
      </c>
      <c r="E11923" s="15">
        <v>13.2217</v>
      </c>
      <c r="F11923" s="42">
        <v>46198</v>
      </c>
    </row>
    <row r="11924" spans="1:6" x14ac:dyDescent="0.3">
      <c r="A11924" s="15" t="s">
        <v>38029</v>
      </c>
      <c r="B11924" s="15" t="s">
        <v>21992</v>
      </c>
      <c r="C11924" s="15" t="s">
        <v>800</v>
      </c>
      <c r="D11924" s="15" t="s">
        <v>21993</v>
      </c>
      <c r="E11924" s="15">
        <v>13.072100000000001</v>
      </c>
      <c r="F11924" s="42">
        <v>46198</v>
      </c>
    </row>
    <row r="11925" spans="1:6" x14ac:dyDescent="0.3">
      <c r="A11925" s="15" t="s">
        <v>38028</v>
      </c>
      <c r="B11925" s="15" t="s">
        <v>800</v>
      </c>
      <c r="C11925" s="15" t="s">
        <v>21994</v>
      </c>
      <c r="D11925" s="15" t="s">
        <v>21995</v>
      </c>
      <c r="E11925" s="15">
        <v>13.072100000000001</v>
      </c>
      <c r="F11925" s="42">
        <v>46198</v>
      </c>
    </row>
    <row r="11926" spans="1:6" x14ac:dyDescent="0.3">
      <c r="A11926" s="15" t="s">
        <v>38027</v>
      </c>
      <c r="B11926" s="15" t="s">
        <v>21996</v>
      </c>
      <c r="C11926" s="15" t="s">
        <v>800</v>
      </c>
      <c r="D11926" s="15" t="s">
        <v>21997</v>
      </c>
      <c r="E11926" s="15">
        <v>8.9123999999999999</v>
      </c>
      <c r="F11926" s="42">
        <v>46198</v>
      </c>
    </row>
    <row r="11927" spans="1:6" x14ac:dyDescent="0.3">
      <c r="A11927" s="15" t="s">
        <v>38026</v>
      </c>
      <c r="B11927" s="15" t="s">
        <v>800</v>
      </c>
      <c r="C11927" s="15" t="s">
        <v>21998</v>
      </c>
      <c r="D11927" s="15" t="s">
        <v>21999</v>
      </c>
      <c r="E11927" s="15">
        <v>8.9123999999999999</v>
      </c>
      <c r="F11927" s="42">
        <v>46198</v>
      </c>
    </row>
    <row r="11928" spans="1:6" x14ac:dyDescent="0.3">
      <c r="A11928" s="15" t="s">
        <v>38025</v>
      </c>
      <c r="B11928" s="15" t="s">
        <v>22000</v>
      </c>
      <c r="C11928" s="15" t="s">
        <v>800</v>
      </c>
      <c r="D11928" s="15" t="s">
        <v>22001</v>
      </c>
      <c r="E11928" s="15">
        <v>8.9123999999999999</v>
      </c>
      <c r="F11928" s="42">
        <v>46198</v>
      </c>
    </row>
    <row r="11929" spans="1:6" x14ac:dyDescent="0.3">
      <c r="A11929" s="15" t="s">
        <v>38024</v>
      </c>
      <c r="B11929" s="15" t="s">
        <v>22002</v>
      </c>
      <c r="C11929" s="15" t="s">
        <v>800</v>
      </c>
      <c r="D11929" s="15" t="s">
        <v>22003</v>
      </c>
      <c r="E11929" s="15">
        <v>8.8061000000000007</v>
      </c>
      <c r="F11929" s="42">
        <v>46198</v>
      </c>
    </row>
    <row r="11930" spans="1:6" x14ac:dyDescent="0.3">
      <c r="A11930" s="15" t="s">
        <v>38023</v>
      </c>
      <c r="B11930" s="15" t="s">
        <v>800</v>
      </c>
      <c r="C11930" s="15" t="s">
        <v>22004</v>
      </c>
      <c r="D11930" s="15" t="s">
        <v>22005</v>
      </c>
      <c r="E11930" s="15">
        <v>8.8061000000000007</v>
      </c>
      <c r="F11930" s="42">
        <v>46198</v>
      </c>
    </row>
    <row r="11931" spans="1:6" x14ac:dyDescent="0.3">
      <c r="A11931" s="15" t="s">
        <v>38022</v>
      </c>
      <c r="B11931" s="15" t="s">
        <v>22006</v>
      </c>
      <c r="C11931" s="15" t="s">
        <v>800</v>
      </c>
      <c r="D11931" s="15" t="s">
        <v>22007</v>
      </c>
      <c r="E11931" s="15">
        <v>8.8061000000000007</v>
      </c>
      <c r="F11931" s="42">
        <v>46198</v>
      </c>
    </row>
    <row r="11932" spans="1:6" x14ac:dyDescent="0.3">
      <c r="A11932" s="15" t="s">
        <v>38021</v>
      </c>
      <c r="B11932" s="15" t="s">
        <v>22008</v>
      </c>
      <c r="C11932" s="15" t="s">
        <v>800</v>
      </c>
      <c r="D11932" s="15" t="s">
        <v>22009</v>
      </c>
      <c r="E11932" s="15">
        <v>12.0579</v>
      </c>
      <c r="F11932" s="42">
        <v>46198</v>
      </c>
    </row>
    <row r="11933" spans="1:6" x14ac:dyDescent="0.3">
      <c r="A11933" s="15" t="s">
        <v>38020</v>
      </c>
      <c r="B11933" s="15" t="s">
        <v>22010</v>
      </c>
      <c r="C11933" s="15" t="s">
        <v>800</v>
      </c>
      <c r="D11933" s="15" t="s">
        <v>22011</v>
      </c>
      <c r="E11933" s="15">
        <v>12.0579</v>
      </c>
      <c r="F11933" s="42">
        <v>46198</v>
      </c>
    </row>
    <row r="11934" spans="1:6" x14ac:dyDescent="0.3">
      <c r="A11934" s="15" t="s">
        <v>38019</v>
      </c>
      <c r="B11934" s="15" t="s">
        <v>800</v>
      </c>
      <c r="C11934" s="15" t="s">
        <v>22012</v>
      </c>
      <c r="D11934" s="15" t="s">
        <v>22013</v>
      </c>
      <c r="E11934" s="15">
        <v>12.0579</v>
      </c>
      <c r="F11934" s="42">
        <v>46198</v>
      </c>
    </row>
    <row r="11935" spans="1:6" x14ac:dyDescent="0.3">
      <c r="A11935" s="15" t="s">
        <v>38018</v>
      </c>
      <c r="B11935" s="15" t="s">
        <v>800</v>
      </c>
      <c r="C11935" s="15" t="s">
        <v>22014</v>
      </c>
      <c r="D11935" s="15" t="s">
        <v>22015</v>
      </c>
      <c r="E11935" s="15">
        <v>11.8889</v>
      </c>
      <c r="F11935" s="42">
        <v>46198</v>
      </c>
    </row>
    <row r="11936" spans="1:6" x14ac:dyDescent="0.3">
      <c r="A11936" s="15" t="s">
        <v>38017</v>
      </c>
      <c r="B11936" s="15" t="s">
        <v>22016</v>
      </c>
      <c r="C11936" s="15" t="s">
        <v>800</v>
      </c>
      <c r="D11936" s="15" t="s">
        <v>22017</v>
      </c>
      <c r="E11936" s="15">
        <v>11.8889</v>
      </c>
      <c r="F11936" s="42">
        <v>46198</v>
      </c>
    </row>
    <row r="11937" spans="1:6" x14ac:dyDescent="0.3">
      <c r="A11937" s="15" t="s">
        <v>38016</v>
      </c>
      <c r="B11937" s="15" t="s">
        <v>22018</v>
      </c>
      <c r="C11937" s="15" t="s">
        <v>800</v>
      </c>
      <c r="D11937" s="15" t="s">
        <v>22019</v>
      </c>
      <c r="E11937" s="15">
        <v>11.8889</v>
      </c>
      <c r="F11937" s="42">
        <v>46198</v>
      </c>
    </row>
    <row r="11938" spans="1:6" x14ac:dyDescent="0.3">
      <c r="A11938" s="15" t="s">
        <v>38015</v>
      </c>
      <c r="B11938" s="15" t="s">
        <v>22020</v>
      </c>
      <c r="C11938" s="15" t="s">
        <v>800</v>
      </c>
      <c r="D11938" s="15" t="s">
        <v>22021</v>
      </c>
      <c r="E11938" s="15">
        <v>11.239000000000001</v>
      </c>
      <c r="F11938" s="42">
        <v>46198</v>
      </c>
    </row>
    <row r="11939" spans="1:6" x14ac:dyDescent="0.3">
      <c r="A11939" s="15" t="s">
        <v>38014</v>
      </c>
      <c r="B11939" s="15" t="s">
        <v>22022</v>
      </c>
      <c r="C11939" s="15" t="s">
        <v>800</v>
      </c>
      <c r="D11939" s="15" t="s">
        <v>22023</v>
      </c>
      <c r="E11939" s="15">
        <v>11.239000000000001</v>
      </c>
      <c r="F11939" s="42">
        <v>46198</v>
      </c>
    </row>
    <row r="11940" spans="1:6" x14ac:dyDescent="0.3">
      <c r="A11940" s="15" t="s">
        <v>38013</v>
      </c>
      <c r="B11940" s="15" t="s">
        <v>800</v>
      </c>
      <c r="C11940" s="15" t="s">
        <v>22024</v>
      </c>
      <c r="D11940" s="15" t="s">
        <v>22025</v>
      </c>
      <c r="E11940" s="15">
        <v>11.239000000000001</v>
      </c>
      <c r="F11940" s="42">
        <v>46198</v>
      </c>
    </row>
    <row r="11941" spans="1:6" x14ac:dyDescent="0.3">
      <c r="A11941" s="15" t="s">
        <v>38012</v>
      </c>
      <c r="B11941" s="15" t="s">
        <v>22026</v>
      </c>
      <c r="C11941" s="15" t="s">
        <v>800</v>
      </c>
      <c r="D11941" s="15" t="s">
        <v>22027</v>
      </c>
      <c r="E11941" s="15">
        <v>11.076499999999999</v>
      </c>
      <c r="F11941" s="42">
        <v>46198</v>
      </c>
    </row>
    <row r="11942" spans="1:6" x14ac:dyDescent="0.3">
      <c r="A11942" s="15" t="s">
        <v>38011</v>
      </c>
      <c r="B11942" s="15" t="s">
        <v>22028</v>
      </c>
      <c r="C11942" s="15" t="s">
        <v>800</v>
      </c>
      <c r="D11942" s="15" t="s">
        <v>22029</v>
      </c>
      <c r="E11942" s="15">
        <v>11.076499999999999</v>
      </c>
      <c r="F11942" s="42">
        <v>46198</v>
      </c>
    </row>
    <row r="11943" spans="1:6" x14ac:dyDescent="0.3">
      <c r="A11943" s="15" t="s">
        <v>38010</v>
      </c>
      <c r="B11943" s="15" t="s">
        <v>800</v>
      </c>
      <c r="C11943" s="15" t="s">
        <v>22030</v>
      </c>
      <c r="D11943" s="15" t="s">
        <v>22031</v>
      </c>
      <c r="E11943" s="15">
        <v>11.076499999999999</v>
      </c>
      <c r="F11943" s="42">
        <v>46198</v>
      </c>
    </row>
    <row r="11944" spans="1:6" x14ac:dyDescent="0.3">
      <c r="A11944" s="15" t="s">
        <v>33499</v>
      </c>
      <c r="B11944" s="15" t="s">
        <v>795</v>
      </c>
      <c r="C11944" s="15" t="s">
        <v>795</v>
      </c>
      <c r="D11944" s="15" t="s">
        <v>795</v>
      </c>
      <c r="F11944" s="42"/>
    </row>
    <row r="11945" spans="1:6" x14ac:dyDescent="0.3">
      <c r="A11945" s="15" t="s">
        <v>38009</v>
      </c>
      <c r="B11945" s="15" t="s">
        <v>795</v>
      </c>
      <c r="C11945" s="15" t="s">
        <v>795</v>
      </c>
      <c r="D11945" s="15" t="s">
        <v>795</v>
      </c>
      <c r="F11945" s="42"/>
    </row>
    <row r="11946" spans="1:6" x14ac:dyDescent="0.3">
      <c r="A11946" s="15" t="s">
        <v>33499</v>
      </c>
      <c r="B11946" s="15" t="s">
        <v>795</v>
      </c>
      <c r="C11946" s="15" t="s">
        <v>795</v>
      </c>
      <c r="D11946" s="15" t="s">
        <v>795</v>
      </c>
      <c r="F11946" s="42"/>
    </row>
    <row r="11947" spans="1:6" x14ac:dyDescent="0.3">
      <c r="A11947" s="15" t="s">
        <v>38008</v>
      </c>
      <c r="B11947" s="15" t="s">
        <v>22032</v>
      </c>
      <c r="C11947" s="15" t="s">
        <v>800</v>
      </c>
      <c r="D11947" s="15" t="s">
        <v>22033</v>
      </c>
      <c r="E11947" s="15">
        <v>48.801200000000001</v>
      </c>
      <c r="F11947" s="42">
        <v>46198</v>
      </c>
    </row>
    <row r="11948" spans="1:6" x14ac:dyDescent="0.3">
      <c r="A11948" s="15" t="s">
        <v>38007</v>
      </c>
      <c r="B11948" s="15" t="s">
        <v>22034</v>
      </c>
      <c r="C11948" s="15" t="s">
        <v>22035</v>
      </c>
      <c r="D11948" s="15" t="s">
        <v>22036</v>
      </c>
      <c r="E11948" s="15">
        <v>45.672400000000003</v>
      </c>
      <c r="F11948" s="42">
        <v>46198</v>
      </c>
    </row>
    <row r="11949" spans="1:6" x14ac:dyDescent="0.3">
      <c r="A11949" s="15" t="s">
        <v>38006</v>
      </c>
      <c r="B11949" s="15" t="s">
        <v>22037</v>
      </c>
      <c r="C11949" s="15" t="s">
        <v>800</v>
      </c>
      <c r="D11949" s="15" t="s">
        <v>22038</v>
      </c>
      <c r="E11949" s="15">
        <v>45.701300000000003</v>
      </c>
      <c r="F11949" s="42">
        <v>46198</v>
      </c>
    </row>
    <row r="11950" spans="1:6" x14ac:dyDescent="0.3">
      <c r="A11950" s="15" t="s">
        <v>38005</v>
      </c>
      <c r="B11950" s="15" t="s">
        <v>22039</v>
      </c>
      <c r="C11950" s="15" t="s">
        <v>22040</v>
      </c>
      <c r="D11950" s="15" t="s">
        <v>22041</v>
      </c>
      <c r="E11950" s="15">
        <v>29.138300000000001</v>
      </c>
      <c r="F11950" s="42">
        <v>46198</v>
      </c>
    </row>
    <row r="11951" spans="1:6" x14ac:dyDescent="0.3">
      <c r="A11951" s="15" t="s">
        <v>33499</v>
      </c>
      <c r="B11951" s="15" t="s">
        <v>795</v>
      </c>
      <c r="C11951" s="15" t="s">
        <v>795</v>
      </c>
      <c r="D11951" s="15" t="s">
        <v>795</v>
      </c>
      <c r="F11951" s="42"/>
    </row>
    <row r="11952" spans="1:6" x14ac:dyDescent="0.3">
      <c r="A11952" s="15" t="s">
        <v>33500</v>
      </c>
      <c r="B11952" s="15" t="s">
        <v>795</v>
      </c>
      <c r="C11952" s="15" t="s">
        <v>795</v>
      </c>
      <c r="D11952" s="15" t="s">
        <v>795</v>
      </c>
      <c r="F11952" s="42"/>
    </row>
    <row r="11953" spans="1:6" x14ac:dyDescent="0.3">
      <c r="A11953" s="15" t="s">
        <v>33499</v>
      </c>
      <c r="B11953" s="15" t="s">
        <v>795</v>
      </c>
      <c r="C11953" s="15" t="s">
        <v>795</v>
      </c>
      <c r="D11953" s="15" t="s">
        <v>795</v>
      </c>
      <c r="F11953" s="42"/>
    </row>
    <row r="11954" spans="1:6" x14ac:dyDescent="0.3">
      <c r="A11954" s="15" t="s">
        <v>38004</v>
      </c>
      <c r="B11954" s="15" t="s">
        <v>22042</v>
      </c>
      <c r="C11954" s="15" t="s">
        <v>800</v>
      </c>
      <c r="D11954" s="15" t="s">
        <v>22043</v>
      </c>
      <c r="E11954" s="15">
        <v>26.7636</v>
      </c>
      <c r="F11954" s="42">
        <v>46198</v>
      </c>
    </row>
    <row r="11955" spans="1:6" x14ac:dyDescent="0.3">
      <c r="A11955" s="15" t="s">
        <v>38003</v>
      </c>
      <c r="B11955" s="15" t="s">
        <v>22044</v>
      </c>
      <c r="C11955" s="15" t="s">
        <v>800</v>
      </c>
      <c r="D11955" s="15" t="s">
        <v>22045</v>
      </c>
      <c r="E11955" s="15">
        <v>25.7135</v>
      </c>
      <c r="F11955" s="42">
        <v>46198</v>
      </c>
    </row>
    <row r="11956" spans="1:6" x14ac:dyDescent="0.3">
      <c r="A11956" s="15" t="s">
        <v>38002</v>
      </c>
      <c r="B11956" s="15" t="s">
        <v>22046</v>
      </c>
      <c r="C11956" s="15" t="s">
        <v>800</v>
      </c>
      <c r="D11956" s="15" t="s">
        <v>22047</v>
      </c>
      <c r="E11956" s="15">
        <v>13.897</v>
      </c>
      <c r="F11956" s="42">
        <v>46198</v>
      </c>
    </row>
    <row r="11957" spans="1:6" x14ac:dyDescent="0.3">
      <c r="A11957" s="15" t="s">
        <v>38001</v>
      </c>
      <c r="B11957" s="15" t="s">
        <v>22048</v>
      </c>
      <c r="C11957" s="15" t="s">
        <v>800</v>
      </c>
      <c r="D11957" s="15" t="s">
        <v>22049</v>
      </c>
      <c r="E11957" s="15">
        <v>13.7098</v>
      </c>
      <c r="F11957" s="42">
        <v>46198</v>
      </c>
    </row>
    <row r="11958" spans="1:6" x14ac:dyDescent="0.3">
      <c r="A11958" s="15" t="s">
        <v>38000</v>
      </c>
      <c r="B11958" s="15" t="s">
        <v>22050</v>
      </c>
      <c r="C11958" s="15" t="s">
        <v>800</v>
      </c>
      <c r="D11958" s="15" t="s">
        <v>22051</v>
      </c>
      <c r="E11958" s="15">
        <v>16.351700000000001</v>
      </c>
      <c r="F11958" s="42">
        <v>46198</v>
      </c>
    </row>
    <row r="11959" spans="1:6" x14ac:dyDescent="0.3">
      <c r="A11959" s="15" t="s">
        <v>37999</v>
      </c>
      <c r="B11959" s="15" t="s">
        <v>22052</v>
      </c>
      <c r="C11959" s="15" t="s">
        <v>800</v>
      </c>
      <c r="D11959" s="15" t="s">
        <v>22053</v>
      </c>
      <c r="E11959" s="15">
        <v>16.026199999999999</v>
      </c>
      <c r="F11959" s="42">
        <v>46198</v>
      </c>
    </row>
    <row r="11960" spans="1:6" x14ac:dyDescent="0.3">
      <c r="A11960" s="15" t="s">
        <v>37998</v>
      </c>
      <c r="B11960" s="15" t="s">
        <v>22054</v>
      </c>
      <c r="C11960" s="15" t="s">
        <v>800</v>
      </c>
      <c r="D11960" s="15" t="s">
        <v>22055</v>
      </c>
      <c r="E11960" s="15">
        <v>13.9124</v>
      </c>
      <c r="F11960" s="42">
        <v>46198</v>
      </c>
    </row>
    <row r="11961" spans="1:6" x14ac:dyDescent="0.3">
      <c r="A11961" s="15" t="s">
        <v>37997</v>
      </c>
      <c r="B11961" s="15" t="s">
        <v>22056</v>
      </c>
      <c r="C11961" s="15" t="s">
        <v>800</v>
      </c>
      <c r="D11961" s="15" t="s">
        <v>22057</v>
      </c>
      <c r="E11961" s="15">
        <v>13.8528</v>
      </c>
      <c r="F11961" s="42">
        <v>46198</v>
      </c>
    </row>
    <row r="11962" spans="1:6" x14ac:dyDescent="0.3">
      <c r="A11962" s="15" t="s">
        <v>37996</v>
      </c>
      <c r="B11962" s="15" t="s">
        <v>22058</v>
      </c>
      <c r="C11962" s="15" t="s">
        <v>800</v>
      </c>
      <c r="D11962" s="15" t="s">
        <v>22059</v>
      </c>
      <c r="E11962" s="15">
        <v>12.992699999999999</v>
      </c>
      <c r="F11962" s="42">
        <v>46198</v>
      </c>
    </row>
    <row r="11963" spans="1:6" x14ac:dyDescent="0.3">
      <c r="A11963" s="15" t="s">
        <v>37995</v>
      </c>
      <c r="B11963" s="15" t="s">
        <v>22060</v>
      </c>
      <c r="C11963" s="15" t="s">
        <v>800</v>
      </c>
      <c r="D11963" s="15" t="s">
        <v>22061</v>
      </c>
      <c r="E11963" s="15">
        <v>12.8775</v>
      </c>
      <c r="F11963" s="42">
        <v>46198</v>
      </c>
    </row>
    <row r="11964" spans="1:6" x14ac:dyDescent="0.3">
      <c r="A11964" s="15" t="s">
        <v>37994</v>
      </c>
      <c r="B11964" s="15" t="s">
        <v>22062</v>
      </c>
      <c r="C11964" s="15" t="s">
        <v>800</v>
      </c>
      <c r="D11964" s="15" t="s">
        <v>22063</v>
      </c>
      <c r="E11964" s="15">
        <v>12.856199999999999</v>
      </c>
      <c r="F11964" s="42">
        <v>46198</v>
      </c>
    </row>
    <row r="11965" spans="1:6" x14ac:dyDescent="0.3">
      <c r="A11965" s="15" t="s">
        <v>37993</v>
      </c>
      <c r="B11965" s="15" t="s">
        <v>22064</v>
      </c>
      <c r="C11965" s="15" t="s">
        <v>800</v>
      </c>
      <c r="D11965" s="15" t="s">
        <v>22065</v>
      </c>
      <c r="E11965" s="15">
        <v>12.7471</v>
      </c>
      <c r="F11965" s="42">
        <v>46198</v>
      </c>
    </row>
    <row r="11966" spans="1:6" x14ac:dyDescent="0.3">
      <c r="A11966" s="15" t="s">
        <v>37992</v>
      </c>
      <c r="B11966" s="15" t="s">
        <v>22066</v>
      </c>
      <c r="C11966" s="15" t="s">
        <v>800</v>
      </c>
      <c r="D11966" s="15" t="s">
        <v>22067</v>
      </c>
      <c r="E11966" s="15">
        <v>21.605799999999999</v>
      </c>
      <c r="F11966" s="42">
        <v>46198</v>
      </c>
    </row>
    <row r="11967" spans="1:6" x14ac:dyDescent="0.3">
      <c r="A11967" s="15" t="s">
        <v>37991</v>
      </c>
      <c r="B11967" s="15" t="s">
        <v>22068</v>
      </c>
      <c r="C11967" s="15" t="s">
        <v>800</v>
      </c>
      <c r="D11967" s="15" t="s">
        <v>22069</v>
      </c>
      <c r="E11967" s="15">
        <v>21.052399999999999</v>
      </c>
      <c r="F11967" s="42">
        <v>46198</v>
      </c>
    </row>
    <row r="11968" spans="1:6" x14ac:dyDescent="0.3">
      <c r="A11968" s="15" t="s">
        <v>37990</v>
      </c>
      <c r="B11968" s="15" t="s">
        <v>22070</v>
      </c>
      <c r="C11968" s="15" t="s">
        <v>800</v>
      </c>
      <c r="D11968" s="15" t="s">
        <v>22071</v>
      </c>
      <c r="E11968" s="15">
        <v>8.6800999999999995</v>
      </c>
      <c r="F11968" s="42">
        <v>46198</v>
      </c>
    </row>
    <row r="11969" spans="1:6" x14ac:dyDescent="0.3">
      <c r="A11969" s="15" t="s">
        <v>37989</v>
      </c>
      <c r="B11969" s="15" t="s">
        <v>22072</v>
      </c>
      <c r="C11969" s="15" t="s">
        <v>800</v>
      </c>
      <c r="D11969" s="15" t="s">
        <v>22073</v>
      </c>
      <c r="E11969" s="15">
        <v>8.6020000000000003</v>
      </c>
      <c r="F11969" s="42">
        <v>46198</v>
      </c>
    </row>
    <row r="11970" spans="1:6" x14ac:dyDescent="0.3">
      <c r="A11970" s="15" t="s">
        <v>37988</v>
      </c>
      <c r="B11970" s="15" t="s">
        <v>22074</v>
      </c>
      <c r="C11970" s="15" t="s">
        <v>22075</v>
      </c>
      <c r="D11970" s="15" t="s">
        <v>22076</v>
      </c>
      <c r="E11970" s="15">
        <v>85.101600000000005</v>
      </c>
      <c r="F11970" s="42">
        <v>46198</v>
      </c>
    </row>
    <row r="11971" spans="1:6" x14ac:dyDescent="0.3">
      <c r="A11971" s="15" t="s">
        <v>37987</v>
      </c>
      <c r="B11971" s="15" t="s">
        <v>22077</v>
      </c>
      <c r="C11971" s="15" t="s">
        <v>800</v>
      </c>
      <c r="D11971" s="15" t="s">
        <v>22078</v>
      </c>
      <c r="E11971" s="15">
        <v>168.91470000000001</v>
      </c>
      <c r="F11971" s="42">
        <v>46198</v>
      </c>
    </row>
    <row r="11972" spans="1:6" x14ac:dyDescent="0.3">
      <c r="A11972" s="15" t="s">
        <v>37986</v>
      </c>
      <c r="B11972" s="15" t="s">
        <v>22079</v>
      </c>
      <c r="C11972" s="15" t="s">
        <v>800</v>
      </c>
      <c r="D11972" s="15" t="s">
        <v>22080</v>
      </c>
      <c r="E11972" s="15">
        <v>166.38589999999999</v>
      </c>
      <c r="F11972" s="42">
        <v>46198</v>
      </c>
    </row>
    <row r="11973" spans="1:6" x14ac:dyDescent="0.3">
      <c r="A11973" s="15" t="s">
        <v>37985</v>
      </c>
      <c r="B11973" s="15" t="s">
        <v>22081</v>
      </c>
      <c r="C11973" s="15" t="s">
        <v>22082</v>
      </c>
      <c r="D11973" s="15" t="s">
        <v>22083</v>
      </c>
      <c r="E11973" s="15">
        <v>83.825000000000003</v>
      </c>
      <c r="F11973" s="42">
        <v>46198</v>
      </c>
    </row>
    <row r="11974" spans="1:6" x14ac:dyDescent="0.3">
      <c r="A11974" s="15" t="s">
        <v>37984</v>
      </c>
      <c r="B11974" s="15" t="s">
        <v>22084</v>
      </c>
      <c r="C11974" s="15" t="s">
        <v>800</v>
      </c>
      <c r="D11974" s="15" t="s">
        <v>22085</v>
      </c>
      <c r="E11974" s="15">
        <v>22.450199999999999</v>
      </c>
      <c r="F11974" s="42">
        <v>46198</v>
      </c>
    </row>
    <row r="11975" spans="1:6" x14ac:dyDescent="0.3">
      <c r="A11975" s="15" t="s">
        <v>37983</v>
      </c>
      <c r="B11975" s="15" t="s">
        <v>22086</v>
      </c>
      <c r="C11975" s="15" t="s">
        <v>800</v>
      </c>
      <c r="D11975" s="15" t="s">
        <v>22087</v>
      </c>
      <c r="E11975" s="15">
        <v>22.119199999999999</v>
      </c>
      <c r="F11975" s="42">
        <v>46198</v>
      </c>
    </row>
    <row r="11976" spans="1:6" x14ac:dyDescent="0.3">
      <c r="A11976" s="15" t="s">
        <v>37982</v>
      </c>
      <c r="B11976" s="15" t="s">
        <v>22088</v>
      </c>
      <c r="C11976" s="15" t="s">
        <v>800</v>
      </c>
      <c r="D11976" s="15" t="s">
        <v>22089</v>
      </c>
      <c r="E11976" s="15">
        <v>9.6371000000000002</v>
      </c>
      <c r="F11976" s="42">
        <v>46198</v>
      </c>
    </row>
    <row r="11977" spans="1:6" x14ac:dyDescent="0.3">
      <c r="A11977" s="15" t="s">
        <v>37981</v>
      </c>
      <c r="B11977" s="15" t="s">
        <v>22090</v>
      </c>
      <c r="C11977" s="15" t="s">
        <v>800</v>
      </c>
      <c r="D11977" s="15" t="s">
        <v>22091</v>
      </c>
      <c r="E11977" s="15">
        <v>9.5629000000000008</v>
      </c>
      <c r="F11977" s="42">
        <v>46198</v>
      </c>
    </row>
    <row r="11978" spans="1:6" x14ac:dyDescent="0.3">
      <c r="A11978" s="15" t="s">
        <v>37980</v>
      </c>
      <c r="B11978" s="15" t="s">
        <v>22092</v>
      </c>
      <c r="C11978" s="15" t="s">
        <v>800</v>
      </c>
      <c r="D11978" s="15" t="s">
        <v>22093</v>
      </c>
      <c r="E11978" s="15">
        <v>12.3741</v>
      </c>
      <c r="F11978" s="42">
        <v>46198</v>
      </c>
    </row>
    <row r="11979" spans="1:6" x14ac:dyDescent="0.3">
      <c r="A11979" s="15" t="s">
        <v>37979</v>
      </c>
      <c r="B11979" s="15" t="s">
        <v>22094</v>
      </c>
      <c r="C11979" s="15" t="s">
        <v>800</v>
      </c>
      <c r="D11979" s="15" t="s">
        <v>22095</v>
      </c>
      <c r="E11979" s="15">
        <v>12.2963</v>
      </c>
      <c r="F11979" s="42">
        <v>46198</v>
      </c>
    </row>
    <row r="11980" spans="1:6" x14ac:dyDescent="0.3">
      <c r="A11980" s="15" t="s">
        <v>37978</v>
      </c>
      <c r="B11980" s="15" t="s">
        <v>22096</v>
      </c>
      <c r="C11980" s="15" t="s">
        <v>800</v>
      </c>
      <c r="D11980" s="15" t="s">
        <v>22097</v>
      </c>
      <c r="E11980" s="15">
        <v>10.9085</v>
      </c>
      <c r="F11980" s="42">
        <v>46198</v>
      </c>
    </row>
    <row r="11981" spans="1:6" x14ac:dyDescent="0.3">
      <c r="A11981" s="15" t="s">
        <v>37977</v>
      </c>
      <c r="B11981" s="15" t="s">
        <v>22098</v>
      </c>
      <c r="C11981" s="15" t="s">
        <v>800</v>
      </c>
      <c r="D11981" s="15" t="s">
        <v>22099</v>
      </c>
      <c r="E11981" s="15">
        <v>10.8239</v>
      </c>
      <c r="F11981" s="42">
        <v>46198</v>
      </c>
    </row>
    <row r="11982" spans="1:6" x14ac:dyDescent="0.3">
      <c r="A11982" s="15" t="s">
        <v>37976</v>
      </c>
      <c r="B11982" s="15" t="s">
        <v>22100</v>
      </c>
      <c r="C11982" s="15" t="s">
        <v>800</v>
      </c>
      <c r="D11982" s="15" t="s">
        <v>22101</v>
      </c>
      <c r="E11982" s="15">
        <v>14.3277</v>
      </c>
      <c r="F11982" s="42">
        <v>46198</v>
      </c>
    </row>
    <row r="11983" spans="1:6" x14ac:dyDescent="0.3">
      <c r="A11983" s="15" t="s">
        <v>37975</v>
      </c>
      <c r="B11983" s="15" t="s">
        <v>22102</v>
      </c>
      <c r="C11983" s="15" t="s">
        <v>800</v>
      </c>
      <c r="D11983" s="15" t="s">
        <v>22103</v>
      </c>
      <c r="E11983" s="15">
        <v>14.055199999999999</v>
      </c>
      <c r="F11983" s="42">
        <v>46198</v>
      </c>
    </row>
    <row r="11984" spans="1:6" x14ac:dyDescent="0.3">
      <c r="A11984" s="15" t="s">
        <v>37974</v>
      </c>
      <c r="B11984" s="15" t="s">
        <v>22104</v>
      </c>
      <c r="C11984" s="15" t="s">
        <v>800</v>
      </c>
      <c r="D11984" s="15" t="s">
        <v>22105</v>
      </c>
      <c r="E11984" s="15">
        <v>11.634600000000001</v>
      </c>
      <c r="F11984" s="42">
        <v>46198</v>
      </c>
    </row>
    <row r="11985" spans="1:6" x14ac:dyDescent="0.3">
      <c r="A11985" s="15" t="s">
        <v>37973</v>
      </c>
      <c r="B11985" s="15" t="s">
        <v>22106</v>
      </c>
      <c r="C11985" s="15" t="s">
        <v>800</v>
      </c>
      <c r="D11985" s="15" t="s">
        <v>22107</v>
      </c>
      <c r="E11985" s="15">
        <v>11.555199999999999</v>
      </c>
      <c r="F11985" s="42">
        <v>46198</v>
      </c>
    </row>
    <row r="11986" spans="1:6" x14ac:dyDescent="0.3">
      <c r="A11986" s="15" t="s">
        <v>37972</v>
      </c>
      <c r="B11986" s="15" t="s">
        <v>22108</v>
      </c>
      <c r="C11986" s="15" t="s">
        <v>800</v>
      </c>
      <c r="D11986" s="15" t="s">
        <v>22109</v>
      </c>
      <c r="E11986" s="15">
        <v>10.505599999999999</v>
      </c>
      <c r="F11986" s="42">
        <v>46198</v>
      </c>
    </row>
    <row r="11987" spans="1:6" x14ac:dyDescent="0.3">
      <c r="A11987" s="15" t="s">
        <v>37971</v>
      </c>
      <c r="B11987" s="15" t="s">
        <v>22110</v>
      </c>
      <c r="C11987" s="15" t="s">
        <v>800</v>
      </c>
      <c r="D11987" s="15" t="s">
        <v>22111</v>
      </c>
      <c r="E11987" s="15">
        <v>10.4116</v>
      </c>
      <c r="F11987" s="42">
        <v>46198</v>
      </c>
    </row>
    <row r="11988" spans="1:6" x14ac:dyDescent="0.3">
      <c r="A11988" s="15" t="s">
        <v>37970</v>
      </c>
      <c r="B11988" s="15" t="s">
        <v>22112</v>
      </c>
      <c r="C11988" s="15" t="s">
        <v>800</v>
      </c>
      <c r="D11988" s="15" t="s">
        <v>22113</v>
      </c>
      <c r="E11988" s="15">
        <v>12.529400000000001</v>
      </c>
      <c r="F11988" s="42">
        <v>46142</v>
      </c>
    </row>
    <row r="11989" spans="1:6" x14ac:dyDescent="0.3">
      <c r="A11989" s="15" t="s">
        <v>37969</v>
      </c>
      <c r="B11989" s="15" t="s">
        <v>22114</v>
      </c>
      <c r="C11989" s="15" t="s">
        <v>800</v>
      </c>
      <c r="D11989" s="15" t="s">
        <v>22115</v>
      </c>
      <c r="E11989" s="15">
        <v>12.430199999999999</v>
      </c>
      <c r="F11989" s="42">
        <v>46142</v>
      </c>
    </row>
    <row r="11990" spans="1:6" x14ac:dyDescent="0.3">
      <c r="A11990" s="15" t="s">
        <v>37968</v>
      </c>
      <c r="B11990" s="15" t="s">
        <v>22116</v>
      </c>
      <c r="C11990" s="15" t="s">
        <v>800</v>
      </c>
      <c r="D11990" s="15" t="s">
        <v>22117</v>
      </c>
      <c r="E11990" s="15">
        <v>12.8207</v>
      </c>
      <c r="F11990" s="42">
        <v>46198</v>
      </c>
    </row>
    <row r="11991" spans="1:6" x14ac:dyDescent="0.3">
      <c r="A11991" s="15" t="s">
        <v>37967</v>
      </c>
      <c r="B11991" s="15" t="s">
        <v>22118</v>
      </c>
      <c r="C11991" s="15" t="s">
        <v>800</v>
      </c>
      <c r="D11991" s="15" t="s">
        <v>22119</v>
      </c>
      <c r="E11991" s="15">
        <v>12.7281</v>
      </c>
      <c r="F11991" s="42">
        <v>46198</v>
      </c>
    </row>
    <row r="11992" spans="1:6" x14ac:dyDescent="0.3">
      <c r="A11992" s="15" t="s">
        <v>37966</v>
      </c>
      <c r="B11992" s="15" t="s">
        <v>22120</v>
      </c>
      <c r="C11992" s="15" t="s">
        <v>800</v>
      </c>
      <c r="D11992" s="15" t="s">
        <v>22121</v>
      </c>
      <c r="E11992" s="15">
        <v>15.0684</v>
      </c>
      <c r="F11992" s="42">
        <v>46198</v>
      </c>
    </row>
    <row r="11993" spans="1:6" x14ac:dyDescent="0.3">
      <c r="A11993" s="15" t="s">
        <v>37965</v>
      </c>
      <c r="B11993" s="15" t="s">
        <v>22122</v>
      </c>
      <c r="C11993" s="15" t="s">
        <v>800</v>
      </c>
      <c r="D11993" s="15" t="s">
        <v>22123</v>
      </c>
      <c r="E11993" s="15">
        <v>14.8626</v>
      </c>
      <c r="F11993" s="42">
        <v>46198</v>
      </c>
    </row>
    <row r="11994" spans="1:6" x14ac:dyDescent="0.3">
      <c r="A11994" s="15" t="s">
        <v>37964</v>
      </c>
      <c r="B11994" s="15" t="s">
        <v>22124</v>
      </c>
      <c r="C11994" s="15" t="s">
        <v>800</v>
      </c>
      <c r="D11994" s="15" t="s">
        <v>22125</v>
      </c>
      <c r="E11994" s="15">
        <v>9.9689999999999994</v>
      </c>
      <c r="F11994" s="42">
        <v>46198</v>
      </c>
    </row>
    <row r="11995" spans="1:6" x14ac:dyDescent="0.3">
      <c r="A11995" s="15" t="s">
        <v>37963</v>
      </c>
      <c r="B11995" s="15" t="s">
        <v>22126</v>
      </c>
      <c r="C11995" s="15" t="s">
        <v>800</v>
      </c>
      <c r="D11995" s="15" t="s">
        <v>22127</v>
      </c>
      <c r="E11995" s="15">
        <v>9.9540000000000006</v>
      </c>
      <c r="F11995" s="42">
        <v>46198</v>
      </c>
    </row>
    <row r="11996" spans="1:6" x14ac:dyDescent="0.3">
      <c r="A11996" s="15" t="s">
        <v>33499</v>
      </c>
      <c r="B11996" s="15" t="s">
        <v>795</v>
      </c>
      <c r="C11996" s="15" t="s">
        <v>795</v>
      </c>
      <c r="D11996" s="15" t="s">
        <v>795</v>
      </c>
      <c r="F11996" s="42"/>
    </row>
    <row r="11997" spans="1:6" x14ac:dyDescent="0.3">
      <c r="A11997" s="15" t="s">
        <v>37648</v>
      </c>
      <c r="B11997" s="15" t="s">
        <v>795</v>
      </c>
      <c r="C11997" s="15" t="s">
        <v>795</v>
      </c>
      <c r="D11997" s="15" t="s">
        <v>795</v>
      </c>
      <c r="F11997" s="42"/>
    </row>
    <row r="11998" spans="1:6" x14ac:dyDescent="0.3">
      <c r="A11998" s="15" t="s">
        <v>33499</v>
      </c>
      <c r="B11998" s="15" t="s">
        <v>795</v>
      </c>
      <c r="C11998" s="15" t="s">
        <v>795</v>
      </c>
      <c r="D11998" s="15" t="s">
        <v>795</v>
      </c>
      <c r="F11998" s="42"/>
    </row>
    <row r="11999" spans="1:6" x14ac:dyDescent="0.3">
      <c r="A11999" s="15" t="s">
        <v>37962</v>
      </c>
      <c r="B11999" s="15" t="s">
        <v>22128</v>
      </c>
      <c r="C11999" s="15" t="s">
        <v>800</v>
      </c>
      <c r="D11999" s="15" t="s">
        <v>22129</v>
      </c>
      <c r="E11999" s="15">
        <v>9.2850000000000001</v>
      </c>
      <c r="F11999" s="42">
        <v>46198</v>
      </c>
    </row>
    <row r="12000" spans="1:6" x14ac:dyDescent="0.3">
      <c r="A12000" s="15" t="s">
        <v>37961</v>
      </c>
      <c r="B12000" s="15" t="s">
        <v>22130</v>
      </c>
      <c r="C12000" s="15" t="s">
        <v>800</v>
      </c>
      <c r="D12000" s="15" t="s">
        <v>22131</v>
      </c>
      <c r="E12000" s="15">
        <v>14.2898</v>
      </c>
      <c r="F12000" s="42">
        <v>46198</v>
      </c>
    </row>
    <row r="12001" spans="1:6" x14ac:dyDescent="0.3">
      <c r="A12001" s="15" t="s">
        <v>37960</v>
      </c>
      <c r="B12001" s="15" t="s">
        <v>22132</v>
      </c>
      <c r="C12001" s="15" t="s">
        <v>800</v>
      </c>
      <c r="D12001" s="15" t="s">
        <v>22133</v>
      </c>
      <c r="E12001" s="15">
        <v>9.6004000000000005</v>
      </c>
      <c r="F12001" s="42">
        <v>46198</v>
      </c>
    </row>
    <row r="12002" spans="1:6" x14ac:dyDescent="0.3">
      <c r="A12002" s="15" t="s">
        <v>37959</v>
      </c>
      <c r="B12002" s="15" t="s">
        <v>22134</v>
      </c>
      <c r="C12002" s="15" t="s">
        <v>800</v>
      </c>
      <c r="D12002" s="15" t="s">
        <v>22135</v>
      </c>
      <c r="E12002" s="15">
        <v>14.260899999999999</v>
      </c>
      <c r="F12002" s="42">
        <v>46198</v>
      </c>
    </row>
    <row r="12003" spans="1:6" x14ac:dyDescent="0.3">
      <c r="A12003" s="15" t="s">
        <v>37958</v>
      </c>
      <c r="B12003" s="15" t="s">
        <v>22136</v>
      </c>
      <c r="C12003" s="15" t="s">
        <v>800</v>
      </c>
      <c r="D12003" s="15" t="s">
        <v>22137</v>
      </c>
      <c r="E12003" s="15">
        <v>10.1526</v>
      </c>
      <c r="F12003" s="42">
        <v>46198</v>
      </c>
    </row>
    <row r="12004" spans="1:6" x14ac:dyDescent="0.3">
      <c r="A12004" s="15" t="s">
        <v>37957</v>
      </c>
      <c r="B12004" s="15" t="s">
        <v>22138</v>
      </c>
      <c r="C12004" s="15" t="s">
        <v>800</v>
      </c>
      <c r="D12004" s="15" t="s">
        <v>22139</v>
      </c>
      <c r="E12004" s="15">
        <v>11.1183</v>
      </c>
      <c r="F12004" s="42">
        <v>46198</v>
      </c>
    </row>
    <row r="12005" spans="1:6" x14ac:dyDescent="0.3">
      <c r="A12005" s="15" t="s">
        <v>37956</v>
      </c>
      <c r="B12005" s="15" t="s">
        <v>22140</v>
      </c>
      <c r="C12005" s="15" t="s">
        <v>800</v>
      </c>
      <c r="D12005" s="15" t="s">
        <v>22141</v>
      </c>
      <c r="E12005" s="15">
        <v>1021.4944</v>
      </c>
      <c r="F12005" s="42">
        <v>46198</v>
      </c>
    </row>
    <row r="12006" spans="1:6" x14ac:dyDescent="0.3">
      <c r="A12006" s="15" t="s">
        <v>33499</v>
      </c>
      <c r="B12006" s="15" t="s">
        <v>795</v>
      </c>
      <c r="C12006" s="15" t="s">
        <v>795</v>
      </c>
      <c r="D12006" s="15" t="s">
        <v>795</v>
      </c>
      <c r="F12006" s="42"/>
    </row>
    <row r="12007" spans="1:6" x14ac:dyDescent="0.3">
      <c r="A12007" s="15" t="s">
        <v>37955</v>
      </c>
      <c r="B12007" s="15" t="s">
        <v>795</v>
      </c>
      <c r="C12007" s="15" t="s">
        <v>795</v>
      </c>
      <c r="D12007" s="15" t="s">
        <v>795</v>
      </c>
      <c r="F12007" s="42"/>
    </row>
    <row r="12008" spans="1:6" x14ac:dyDescent="0.3">
      <c r="A12008" s="15" t="s">
        <v>33499</v>
      </c>
      <c r="B12008" s="15" t="s">
        <v>795</v>
      </c>
      <c r="C12008" s="15" t="s">
        <v>795</v>
      </c>
      <c r="D12008" s="15" t="s">
        <v>795</v>
      </c>
      <c r="F12008" s="42"/>
    </row>
    <row r="12009" spans="1:6" x14ac:dyDescent="0.3">
      <c r="A12009" s="15" t="s">
        <v>37954</v>
      </c>
      <c r="B12009" s="15" t="s">
        <v>795</v>
      </c>
      <c r="C12009" s="15" t="s">
        <v>795</v>
      </c>
      <c r="D12009" s="15" t="s">
        <v>795</v>
      </c>
      <c r="F12009" s="42"/>
    </row>
    <row r="12010" spans="1:6" x14ac:dyDescent="0.3">
      <c r="A12010" s="15" t="s">
        <v>33499</v>
      </c>
      <c r="B12010" s="15" t="s">
        <v>795</v>
      </c>
      <c r="C12010" s="15" t="s">
        <v>795</v>
      </c>
      <c r="D12010" s="15" t="s">
        <v>795</v>
      </c>
      <c r="F12010" s="42"/>
    </row>
    <row r="12011" spans="1:6" x14ac:dyDescent="0.3">
      <c r="A12011" s="15" t="s">
        <v>47148</v>
      </c>
      <c r="B12011" s="15" t="s">
        <v>47149</v>
      </c>
      <c r="C12011" s="15" t="s">
        <v>800</v>
      </c>
      <c r="D12011" s="15" t="s">
        <v>47150</v>
      </c>
      <c r="E12011" s="15">
        <v>10.0328</v>
      </c>
      <c r="F12011" s="42">
        <v>46198</v>
      </c>
    </row>
    <row r="12012" spans="1:6" x14ac:dyDescent="0.3">
      <c r="A12012" s="15" t="s">
        <v>37953</v>
      </c>
      <c r="B12012" s="15" t="s">
        <v>22142</v>
      </c>
      <c r="C12012" s="15" t="s">
        <v>800</v>
      </c>
      <c r="D12012" s="15" t="s">
        <v>22143</v>
      </c>
      <c r="E12012" s="15">
        <v>213.6114</v>
      </c>
      <c r="F12012" s="42">
        <v>46198</v>
      </c>
    </row>
    <row r="12013" spans="1:6" x14ac:dyDescent="0.3">
      <c r="A12013" s="15" t="s">
        <v>33499</v>
      </c>
      <c r="B12013" s="15" t="s">
        <v>795</v>
      </c>
      <c r="C12013" s="15" t="s">
        <v>795</v>
      </c>
      <c r="D12013" s="15" t="s">
        <v>795</v>
      </c>
      <c r="F12013" s="42"/>
    </row>
    <row r="12014" spans="1:6" x14ac:dyDescent="0.3">
      <c r="A12014" s="15" t="s">
        <v>37122</v>
      </c>
      <c r="B12014" s="15" t="s">
        <v>795</v>
      </c>
      <c r="C12014" s="15" t="s">
        <v>795</v>
      </c>
      <c r="D12014" s="15" t="s">
        <v>795</v>
      </c>
      <c r="F12014" s="42"/>
    </row>
    <row r="12015" spans="1:6" x14ac:dyDescent="0.3">
      <c r="A12015" s="15" t="s">
        <v>33499</v>
      </c>
      <c r="B12015" s="15" t="s">
        <v>795</v>
      </c>
      <c r="C12015" s="15" t="s">
        <v>795</v>
      </c>
      <c r="D12015" s="15" t="s">
        <v>795</v>
      </c>
      <c r="F12015" s="42"/>
    </row>
    <row r="12016" spans="1:6" x14ac:dyDescent="0.3">
      <c r="A12016" s="15" t="s">
        <v>37952</v>
      </c>
      <c r="B12016" s="15" t="s">
        <v>22144</v>
      </c>
      <c r="C12016" s="15" t="s">
        <v>800</v>
      </c>
      <c r="D12016" s="15" t="s">
        <v>22145</v>
      </c>
      <c r="E12016" s="15">
        <v>77.586799999999997</v>
      </c>
      <c r="F12016" s="42">
        <v>46198</v>
      </c>
    </row>
    <row r="12017" spans="1:6" x14ac:dyDescent="0.3">
      <c r="A12017" s="15" t="s">
        <v>37951</v>
      </c>
      <c r="B12017" s="15" t="s">
        <v>22146</v>
      </c>
      <c r="C12017" s="15" t="s">
        <v>800</v>
      </c>
      <c r="D12017" s="15" t="s">
        <v>22147</v>
      </c>
      <c r="E12017" s="15">
        <v>173.38990000000001</v>
      </c>
      <c r="F12017" s="42">
        <v>46198</v>
      </c>
    </row>
    <row r="12018" spans="1:6" x14ac:dyDescent="0.3">
      <c r="A12018" s="15" t="s">
        <v>37950</v>
      </c>
      <c r="B12018" s="15" t="s">
        <v>22148</v>
      </c>
      <c r="C12018" s="15" t="s">
        <v>800</v>
      </c>
      <c r="D12018" s="15" t="s">
        <v>22149</v>
      </c>
      <c r="E12018" s="15">
        <v>112.1952</v>
      </c>
      <c r="F12018" s="42">
        <v>46198</v>
      </c>
    </row>
    <row r="12019" spans="1:6" x14ac:dyDescent="0.3">
      <c r="A12019" s="15" t="s">
        <v>37949</v>
      </c>
      <c r="B12019" s="15" t="s">
        <v>22150</v>
      </c>
      <c r="C12019" s="15" t="s">
        <v>800</v>
      </c>
      <c r="D12019" s="15" t="s">
        <v>22151</v>
      </c>
      <c r="E12019" s="15">
        <v>114.0292</v>
      </c>
      <c r="F12019" s="42">
        <v>46198</v>
      </c>
    </row>
    <row r="12020" spans="1:6" x14ac:dyDescent="0.3">
      <c r="A12020" s="15" t="s">
        <v>37948</v>
      </c>
      <c r="B12020" s="15" t="s">
        <v>22152</v>
      </c>
      <c r="C12020" s="15" t="s">
        <v>800</v>
      </c>
      <c r="D12020" s="15" t="s">
        <v>22153</v>
      </c>
      <c r="E12020" s="15">
        <v>1000</v>
      </c>
      <c r="F12020" s="42">
        <v>46198</v>
      </c>
    </row>
    <row r="12021" spans="1:6" x14ac:dyDescent="0.3">
      <c r="A12021" s="15" t="s">
        <v>37947</v>
      </c>
      <c r="B12021" s="15" t="s">
        <v>22154</v>
      </c>
      <c r="C12021" s="15" t="s">
        <v>800</v>
      </c>
      <c r="D12021" s="15" t="s">
        <v>22155</v>
      </c>
      <c r="E12021" s="15">
        <v>29.315899999999999</v>
      </c>
      <c r="F12021" s="42">
        <v>46198</v>
      </c>
    </row>
    <row r="12022" spans="1:6" x14ac:dyDescent="0.3">
      <c r="A12022" s="15" t="s">
        <v>37946</v>
      </c>
      <c r="B12022" s="15" t="s">
        <v>22156</v>
      </c>
      <c r="C12022" s="15" t="s">
        <v>800</v>
      </c>
      <c r="D12022" s="15" t="s">
        <v>22157</v>
      </c>
      <c r="E12022" s="15">
        <v>31.577200000000001</v>
      </c>
      <c r="F12022" s="42">
        <v>46198</v>
      </c>
    </row>
    <row r="12023" spans="1:6" x14ac:dyDescent="0.3">
      <c r="A12023" s="15" t="s">
        <v>37945</v>
      </c>
      <c r="B12023" s="15" t="s">
        <v>22158</v>
      </c>
      <c r="C12023" s="15" t="s">
        <v>800</v>
      </c>
      <c r="D12023" s="15" t="s">
        <v>22159</v>
      </c>
      <c r="E12023" s="15">
        <v>20.680599999999998</v>
      </c>
      <c r="F12023" s="42">
        <v>46198</v>
      </c>
    </row>
    <row r="12024" spans="1:6" x14ac:dyDescent="0.3">
      <c r="A12024" s="15" t="s">
        <v>37944</v>
      </c>
      <c r="B12024" s="15" t="s">
        <v>22160</v>
      </c>
      <c r="C12024" s="15" t="s">
        <v>800</v>
      </c>
      <c r="D12024" s="15" t="s">
        <v>22161</v>
      </c>
      <c r="E12024" s="15">
        <v>28.141999999999999</v>
      </c>
      <c r="F12024" s="42">
        <v>46198</v>
      </c>
    </row>
    <row r="12025" spans="1:6" x14ac:dyDescent="0.3">
      <c r="A12025" s="15" t="s">
        <v>37943</v>
      </c>
      <c r="B12025" s="15" t="s">
        <v>22162</v>
      </c>
      <c r="C12025" s="15" t="s">
        <v>800</v>
      </c>
      <c r="D12025" s="15" t="s">
        <v>22163</v>
      </c>
      <c r="E12025" s="15">
        <v>59.635599999999997</v>
      </c>
      <c r="F12025" s="42">
        <v>46198</v>
      </c>
    </row>
    <row r="12026" spans="1:6" x14ac:dyDescent="0.3">
      <c r="A12026" s="15" t="s">
        <v>37942</v>
      </c>
      <c r="B12026" s="15" t="s">
        <v>22164</v>
      </c>
      <c r="C12026" s="15" t="s">
        <v>800</v>
      </c>
      <c r="D12026" s="15" t="s">
        <v>22165</v>
      </c>
      <c r="E12026" s="15">
        <v>16.403099999999998</v>
      </c>
      <c r="F12026" s="42">
        <v>46198</v>
      </c>
    </row>
    <row r="12027" spans="1:6" x14ac:dyDescent="0.3">
      <c r="A12027" s="15" t="s">
        <v>37941</v>
      </c>
      <c r="B12027" s="15" t="s">
        <v>22166</v>
      </c>
      <c r="C12027" s="15" t="s">
        <v>800</v>
      </c>
      <c r="D12027" s="15" t="s">
        <v>22167</v>
      </c>
      <c r="E12027" s="15">
        <v>29.872499999999999</v>
      </c>
      <c r="F12027" s="42">
        <v>46198</v>
      </c>
    </row>
    <row r="12028" spans="1:6" x14ac:dyDescent="0.3">
      <c r="A12028" s="15" t="s">
        <v>37940</v>
      </c>
      <c r="B12028" s="15" t="s">
        <v>22168</v>
      </c>
      <c r="C12028" s="15" t="s">
        <v>800</v>
      </c>
      <c r="D12028" s="15" t="s">
        <v>22169</v>
      </c>
      <c r="E12028" s="15">
        <v>75.847499999999997</v>
      </c>
      <c r="F12028" s="42">
        <v>46198</v>
      </c>
    </row>
    <row r="12029" spans="1:6" x14ac:dyDescent="0.3">
      <c r="A12029" s="15" t="s">
        <v>37939</v>
      </c>
      <c r="B12029" s="15" t="s">
        <v>22170</v>
      </c>
      <c r="C12029" s="15" t="s">
        <v>800</v>
      </c>
      <c r="D12029" s="15" t="s">
        <v>22171</v>
      </c>
      <c r="E12029" s="15">
        <v>10.3202</v>
      </c>
      <c r="F12029" s="42">
        <v>46198</v>
      </c>
    </row>
    <row r="12030" spans="1:6" x14ac:dyDescent="0.3">
      <c r="A12030" s="15" t="s">
        <v>37938</v>
      </c>
      <c r="B12030" s="15" t="s">
        <v>22172</v>
      </c>
      <c r="C12030" s="15" t="s">
        <v>800</v>
      </c>
      <c r="D12030" s="15" t="s">
        <v>22173</v>
      </c>
      <c r="E12030" s="15">
        <v>216.7372</v>
      </c>
      <c r="F12030" s="42">
        <v>46198</v>
      </c>
    </row>
    <row r="12031" spans="1:6" x14ac:dyDescent="0.3">
      <c r="A12031" s="15" t="s">
        <v>33499</v>
      </c>
      <c r="B12031" s="15" t="s">
        <v>795</v>
      </c>
      <c r="C12031" s="15" t="s">
        <v>795</v>
      </c>
      <c r="D12031" s="15" t="s">
        <v>795</v>
      </c>
      <c r="F12031" s="42"/>
    </row>
    <row r="12032" spans="1:6" x14ac:dyDescent="0.3">
      <c r="A12032" s="15" t="s">
        <v>37937</v>
      </c>
      <c r="B12032" s="15" t="s">
        <v>795</v>
      </c>
      <c r="C12032" s="15" t="s">
        <v>795</v>
      </c>
      <c r="D12032" s="15" t="s">
        <v>795</v>
      </c>
      <c r="F12032" s="42"/>
    </row>
    <row r="12033" spans="1:6" x14ac:dyDescent="0.3">
      <c r="A12033" s="15" t="s">
        <v>33499</v>
      </c>
      <c r="B12033" s="15" t="s">
        <v>795</v>
      </c>
      <c r="C12033" s="15" t="s">
        <v>795</v>
      </c>
      <c r="D12033" s="15" t="s">
        <v>795</v>
      </c>
      <c r="F12033" s="42"/>
    </row>
    <row r="12034" spans="1:6" x14ac:dyDescent="0.3">
      <c r="A12034" s="15" t="s">
        <v>37936</v>
      </c>
      <c r="B12034" s="15" t="s">
        <v>22174</v>
      </c>
      <c r="C12034" s="15" t="s">
        <v>800</v>
      </c>
      <c r="D12034" s="15" t="s">
        <v>22175</v>
      </c>
      <c r="E12034" s="15">
        <v>1065.7421999999999</v>
      </c>
      <c r="F12034" s="42">
        <v>46201</v>
      </c>
    </row>
    <row r="12035" spans="1:6" x14ac:dyDescent="0.3">
      <c r="A12035" s="15" t="s">
        <v>37935</v>
      </c>
      <c r="B12035" s="15" t="s">
        <v>22176</v>
      </c>
      <c r="C12035" s="15" t="s">
        <v>800</v>
      </c>
      <c r="D12035" s="15" t="s">
        <v>22177</v>
      </c>
      <c r="E12035" s="15">
        <v>9.9136000000000006</v>
      </c>
      <c r="F12035" s="42">
        <v>46198</v>
      </c>
    </row>
    <row r="12036" spans="1:6" x14ac:dyDescent="0.3">
      <c r="A12036" s="15" t="s">
        <v>37934</v>
      </c>
      <c r="B12036" s="15" t="s">
        <v>22178</v>
      </c>
      <c r="C12036" s="15" t="s">
        <v>800</v>
      </c>
      <c r="D12036" s="15" t="s">
        <v>22179</v>
      </c>
      <c r="E12036" s="15">
        <v>11.775399999999999</v>
      </c>
      <c r="F12036" s="42">
        <v>46198</v>
      </c>
    </row>
    <row r="12037" spans="1:6" x14ac:dyDescent="0.3">
      <c r="A12037" s="15" t="s">
        <v>37933</v>
      </c>
      <c r="B12037" s="15" t="s">
        <v>22180</v>
      </c>
      <c r="C12037" s="15" t="s">
        <v>800</v>
      </c>
      <c r="D12037" s="15" t="s">
        <v>22181</v>
      </c>
      <c r="E12037" s="15">
        <v>10.2034</v>
      </c>
      <c r="F12037" s="42">
        <v>46198</v>
      </c>
    </row>
    <row r="12038" spans="1:6" x14ac:dyDescent="0.3">
      <c r="A12038" s="15" t="s">
        <v>37932</v>
      </c>
      <c r="B12038" s="15" t="s">
        <v>22182</v>
      </c>
      <c r="C12038" s="15" t="s">
        <v>800</v>
      </c>
      <c r="D12038" s="15" t="s">
        <v>22183</v>
      </c>
      <c r="E12038" s="15">
        <v>8.3066999999999993</v>
      </c>
      <c r="F12038" s="42">
        <v>46198</v>
      </c>
    </row>
    <row r="12039" spans="1:6" x14ac:dyDescent="0.3">
      <c r="A12039" s="15" t="s">
        <v>33499</v>
      </c>
      <c r="B12039" s="15" t="s">
        <v>795</v>
      </c>
      <c r="C12039" s="15" t="s">
        <v>795</v>
      </c>
      <c r="D12039" s="15" t="s">
        <v>795</v>
      </c>
      <c r="F12039" s="42"/>
    </row>
    <row r="12040" spans="1:6" x14ac:dyDescent="0.3">
      <c r="A12040" s="15" t="s">
        <v>37087</v>
      </c>
      <c r="B12040" s="15" t="s">
        <v>795</v>
      </c>
      <c r="C12040" s="15" t="s">
        <v>795</v>
      </c>
      <c r="D12040" s="15" t="s">
        <v>795</v>
      </c>
      <c r="F12040" s="42"/>
    </row>
    <row r="12041" spans="1:6" x14ac:dyDescent="0.3">
      <c r="A12041" s="15" t="s">
        <v>33499</v>
      </c>
      <c r="B12041" s="15" t="s">
        <v>795</v>
      </c>
      <c r="C12041" s="15" t="s">
        <v>795</v>
      </c>
      <c r="D12041" s="15" t="s">
        <v>795</v>
      </c>
      <c r="F12041" s="42"/>
    </row>
    <row r="12042" spans="1:6" x14ac:dyDescent="0.3">
      <c r="A12042" s="15" t="s">
        <v>37931</v>
      </c>
      <c r="B12042" s="15" t="s">
        <v>22184</v>
      </c>
      <c r="C12042" s="15" t="s">
        <v>800</v>
      </c>
      <c r="D12042" s="15" t="s">
        <v>22185</v>
      </c>
      <c r="E12042" s="15">
        <v>79.849699999999999</v>
      </c>
      <c r="F12042" s="42">
        <v>46198</v>
      </c>
    </row>
    <row r="12043" spans="1:6" x14ac:dyDescent="0.3">
      <c r="A12043" s="15" t="s">
        <v>37930</v>
      </c>
      <c r="B12043" s="15" t="s">
        <v>22186</v>
      </c>
      <c r="C12043" s="15" t="s">
        <v>800</v>
      </c>
      <c r="D12043" s="15" t="s">
        <v>22187</v>
      </c>
      <c r="E12043" s="15">
        <v>265.69330000000002</v>
      </c>
      <c r="F12043" s="42">
        <v>46198</v>
      </c>
    </row>
    <row r="12044" spans="1:6" x14ac:dyDescent="0.3">
      <c r="A12044" s="15" t="s">
        <v>37929</v>
      </c>
      <c r="B12044" s="15" t="s">
        <v>22188</v>
      </c>
      <c r="C12044" s="15" t="s">
        <v>800</v>
      </c>
      <c r="D12044" s="15" t="s">
        <v>22189</v>
      </c>
      <c r="E12044" s="15">
        <v>599.82600000000002</v>
      </c>
      <c r="F12044" s="42">
        <v>46198</v>
      </c>
    </row>
    <row r="12045" spans="1:6" x14ac:dyDescent="0.3">
      <c r="A12045" s="15" t="s">
        <v>37928</v>
      </c>
      <c r="B12045" s="15" t="s">
        <v>22190</v>
      </c>
      <c r="C12045" s="15" t="s">
        <v>800</v>
      </c>
      <c r="D12045" s="15" t="s">
        <v>22191</v>
      </c>
      <c r="E12045" s="15">
        <v>162.30199999999999</v>
      </c>
      <c r="F12045" s="42">
        <v>46198</v>
      </c>
    </row>
    <row r="12046" spans="1:6" x14ac:dyDescent="0.3">
      <c r="A12046" s="15" t="s">
        <v>37927</v>
      </c>
      <c r="B12046" s="15" t="s">
        <v>22192</v>
      </c>
      <c r="C12046" s="15" t="s">
        <v>800</v>
      </c>
      <c r="D12046" s="15" t="s">
        <v>22193</v>
      </c>
      <c r="E12046" s="15">
        <v>119.11579999999999</v>
      </c>
      <c r="F12046" s="42">
        <v>46198</v>
      </c>
    </row>
    <row r="12047" spans="1:6" x14ac:dyDescent="0.3">
      <c r="A12047" s="15" t="s">
        <v>37926</v>
      </c>
      <c r="B12047" s="15" t="s">
        <v>22194</v>
      </c>
      <c r="C12047" s="15" t="s">
        <v>800</v>
      </c>
      <c r="D12047" s="15" t="s">
        <v>22195</v>
      </c>
      <c r="E12047" s="15">
        <v>300.70999999999998</v>
      </c>
      <c r="F12047" s="42">
        <v>46198</v>
      </c>
    </row>
    <row r="12048" spans="1:6" x14ac:dyDescent="0.3">
      <c r="A12048" s="15" t="s">
        <v>37925</v>
      </c>
      <c r="B12048" s="15" t="s">
        <v>22196</v>
      </c>
      <c r="C12048" s="15" t="s">
        <v>800</v>
      </c>
      <c r="D12048" s="15" t="s">
        <v>22197</v>
      </c>
      <c r="E12048" s="15">
        <v>33.086799999999997</v>
      </c>
      <c r="F12048" s="42">
        <v>46198</v>
      </c>
    </row>
    <row r="12049" spans="1:6" x14ac:dyDescent="0.3">
      <c r="A12049" s="15" t="s">
        <v>37924</v>
      </c>
      <c r="B12049" s="15" t="s">
        <v>22198</v>
      </c>
      <c r="C12049" s="15" t="s">
        <v>800</v>
      </c>
      <c r="D12049" s="15" t="s">
        <v>22199</v>
      </c>
      <c r="E12049" s="15">
        <v>215.86240000000001</v>
      </c>
      <c r="F12049" s="42">
        <v>46198</v>
      </c>
    </row>
    <row r="12050" spans="1:6" x14ac:dyDescent="0.3">
      <c r="A12050" s="15" t="s">
        <v>33499</v>
      </c>
      <c r="B12050" s="15" t="s">
        <v>795</v>
      </c>
      <c r="C12050" s="15" t="s">
        <v>795</v>
      </c>
      <c r="D12050" s="15" t="s">
        <v>795</v>
      </c>
      <c r="F12050" s="42"/>
    </row>
    <row r="12051" spans="1:6" x14ac:dyDescent="0.3">
      <c r="A12051" s="15" t="s">
        <v>37923</v>
      </c>
      <c r="B12051" s="15" t="s">
        <v>795</v>
      </c>
      <c r="C12051" s="15" t="s">
        <v>795</v>
      </c>
      <c r="D12051" s="15" t="s">
        <v>795</v>
      </c>
      <c r="F12051" s="42"/>
    </row>
    <row r="12052" spans="1:6" x14ac:dyDescent="0.3">
      <c r="A12052" s="15" t="s">
        <v>33499</v>
      </c>
      <c r="B12052" s="15" t="s">
        <v>795</v>
      </c>
      <c r="C12052" s="15" t="s">
        <v>795</v>
      </c>
      <c r="D12052" s="15" t="s">
        <v>795</v>
      </c>
      <c r="F12052" s="42"/>
    </row>
    <row r="12053" spans="1:6" x14ac:dyDescent="0.3">
      <c r="A12053" s="15" t="s">
        <v>37922</v>
      </c>
      <c r="B12053" s="15" t="s">
        <v>22200</v>
      </c>
      <c r="C12053" s="15" t="s">
        <v>800</v>
      </c>
      <c r="D12053" s="15" t="s">
        <v>22201</v>
      </c>
      <c r="E12053" s="15">
        <v>1087.7717</v>
      </c>
      <c r="F12053" s="42">
        <v>46201</v>
      </c>
    </row>
    <row r="12054" spans="1:6" x14ac:dyDescent="0.3">
      <c r="A12054" s="15" t="s">
        <v>37921</v>
      </c>
      <c r="B12054" s="15" t="s">
        <v>22202</v>
      </c>
      <c r="C12054" s="15" t="s">
        <v>800</v>
      </c>
      <c r="D12054" s="15" t="s">
        <v>22203</v>
      </c>
      <c r="E12054" s="15">
        <v>247.03110000000001</v>
      </c>
      <c r="F12054" s="42">
        <v>46198</v>
      </c>
    </row>
    <row r="12055" spans="1:6" x14ac:dyDescent="0.3">
      <c r="A12055" s="15" t="s">
        <v>37920</v>
      </c>
      <c r="B12055" s="15" t="s">
        <v>22204</v>
      </c>
      <c r="C12055" s="15" t="s">
        <v>800</v>
      </c>
      <c r="D12055" s="15" t="s">
        <v>22205</v>
      </c>
      <c r="E12055" s="15">
        <v>59.128300000000003</v>
      </c>
      <c r="F12055" s="42">
        <v>46198</v>
      </c>
    </row>
    <row r="12056" spans="1:6" x14ac:dyDescent="0.3">
      <c r="A12056" s="15" t="s">
        <v>33499</v>
      </c>
      <c r="B12056" s="15" t="s">
        <v>795</v>
      </c>
      <c r="C12056" s="15" t="s">
        <v>795</v>
      </c>
      <c r="D12056" s="15" t="s">
        <v>795</v>
      </c>
      <c r="F12056" s="42"/>
    </row>
    <row r="12057" spans="1:6" x14ac:dyDescent="0.3">
      <c r="A12057" s="15" t="s">
        <v>37073</v>
      </c>
      <c r="B12057" s="15" t="s">
        <v>795</v>
      </c>
      <c r="C12057" s="15" t="s">
        <v>795</v>
      </c>
      <c r="D12057" s="15" t="s">
        <v>795</v>
      </c>
      <c r="F12057" s="42"/>
    </row>
    <row r="12058" spans="1:6" x14ac:dyDescent="0.3">
      <c r="A12058" s="15" t="s">
        <v>33499</v>
      </c>
      <c r="B12058" s="15" t="s">
        <v>795</v>
      </c>
      <c r="C12058" s="15" t="s">
        <v>795</v>
      </c>
      <c r="D12058" s="15" t="s">
        <v>795</v>
      </c>
      <c r="F12058" s="42"/>
    </row>
    <row r="12059" spans="1:6" x14ac:dyDescent="0.3">
      <c r="A12059" s="15" t="s">
        <v>37919</v>
      </c>
      <c r="B12059" s="15" t="s">
        <v>22206</v>
      </c>
      <c r="C12059" s="15" t="s">
        <v>800</v>
      </c>
      <c r="D12059" s="15" t="s">
        <v>22207</v>
      </c>
      <c r="E12059" s="15">
        <v>837.41669999999999</v>
      </c>
      <c r="F12059" s="42">
        <v>46198</v>
      </c>
    </row>
    <row r="12060" spans="1:6" x14ac:dyDescent="0.3">
      <c r="A12060" s="15" t="s">
        <v>37918</v>
      </c>
      <c r="B12060" s="15" t="s">
        <v>22208</v>
      </c>
      <c r="C12060" s="15" t="s">
        <v>800</v>
      </c>
      <c r="D12060" s="15" t="s">
        <v>22209</v>
      </c>
      <c r="E12060" s="15">
        <v>265.24209999999999</v>
      </c>
      <c r="F12060" s="42">
        <v>46198</v>
      </c>
    </row>
    <row r="12061" spans="1:6" x14ac:dyDescent="0.3">
      <c r="A12061" s="15" t="s">
        <v>37917</v>
      </c>
      <c r="B12061" s="15" t="s">
        <v>22210</v>
      </c>
      <c r="C12061" s="15" t="s">
        <v>800</v>
      </c>
      <c r="D12061" s="15" t="s">
        <v>22211</v>
      </c>
      <c r="E12061" s="15">
        <v>217.90520000000001</v>
      </c>
      <c r="F12061" s="42">
        <v>46198</v>
      </c>
    </row>
    <row r="12062" spans="1:6" x14ac:dyDescent="0.3">
      <c r="A12062" s="15" t="s">
        <v>33499</v>
      </c>
      <c r="B12062" s="15" t="s">
        <v>795</v>
      </c>
      <c r="C12062" s="15" t="s">
        <v>795</v>
      </c>
      <c r="D12062" s="15" t="s">
        <v>795</v>
      </c>
      <c r="F12062" s="42"/>
    </row>
    <row r="12063" spans="1:6" x14ac:dyDescent="0.3">
      <c r="A12063" s="15" t="s">
        <v>37566</v>
      </c>
      <c r="B12063" s="15" t="s">
        <v>795</v>
      </c>
      <c r="C12063" s="15" t="s">
        <v>795</v>
      </c>
      <c r="D12063" s="15" t="s">
        <v>795</v>
      </c>
      <c r="F12063" s="42"/>
    </row>
    <row r="12064" spans="1:6" x14ac:dyDescent="0.3">
      <c r="A12064" s="15" t="s">
        <v>33499</v>
      </c>
      <c r="B12064" s="15" t="s">
        <v>795</v>
      </c>
      <c r="C12064" s="15" t="s">
        <v>795</v>
      </c>
      <c r="D12064" s="15" t="s">
        <v>795</v>
      </c>
      <c r="F12064" s="42"/>
    </row>
    <row r="12065" spans="1:6" x14ac:dyDescent="0.3">
      <c r="A12065" s="15" t="s">
        <v>37916</v>
      </c>
      <c r="B12065" s="15" t="s">
        <v>22212</v>
      </c>
      <c r="C12065" s="15" t="s">
        <v>800</v>
      </c>
      <c r="D12065" s="15" t="s">
        <v>22213</v>
      </c>
      <c r="E12065" s="15">
        <v>58.644199999999998</v>
      </c>
      <c r="F12065" s="42">
        <v>46198</v>
      </c>
    </row>
    <row r="12066" spans="1:6" x14ac:dyDescent="0.3">
      <c r="A12066" s="15" t="s">
        <v>33499</v>
      </c>
      <c r="B12066" s="15" t="s">
        <v>795</v>
      </c>
      <c r="C12066" s="15" t="s">
        <v>795</v>
      </c>
      <c r="D12066" s="15" t="s">
        <v>795</v>
      </c>
      <c r="F12066" s="42"/>
    </row>
    <row r="12067" spans="1:6" x14ac:dyDescent="0.3">
      <c r="A12067" s="15" t="s">
        <v>37061</v>
      </c>
      <c r="B12067" s="15" t="s">
        <v>795</v>
      </c>
      <c r="C12067" s="15" t="s">
        <v>795</v>
      </c>
      <c r="D12067" s="15" t="s">
        <v>795</v>
      </c>
      <c r="F12067" s="42"/>
    </row>
    <row r="12068" spans="1:6" x14ac:dyDescent="0.3">
      <c r="A12068" s="15" t="s">
        <v>33499</v>
      </c>
      <c r="B12068" s="15" t="s">
        <v>795</v>
      </c>
      <c r="C12068" s="15" t="s">
        <v>795</v>
      </c>
      <c r="D12068" s="15" t="s">
        <v>795</v>
      </c>
      <c r="F12068" s="42"/>
    </row>
    <row r="12069" spans="1:6" x14ac:dyDescent="0.3">
      <c r="A12069" s="15" t="s">
        <v>37915</v>
      </c>
      <c r="B12069" s="15" t="s">
        <v>22214</v>
      </c>
      <c r="C12069" s="15" t="s">
        <v>800</v>
      </c>
      <c r="D12069" s="15" t="s">
        <v>22215</v>
      </c>
      <c r="E12069" s="15">
        <v>1133.1042</v>
      </c>
      <c r="F12069" s="42">
        <v>46201</v>
      </c>
    </row>
    <row r="12070" spans="1:6" x14ac:dyDescent="0.3">
      <c r="A12070" s="15" t="s">
        <v>37914</v>
      </c>
      <c r="B12070" s="15" t="s">
        <v>22216</v>
      </c>
      <c r="C12070" s="15" t="s">
        <v>800</v>
      </c>
      <c r="D12070" s="15" t="s">
        <v>22217</v>
      </c>
      <c r="E12070" s="15">
        <v>79.360600000000005</v>
      </c>
      <c r="F12070" s="42">
        <v>46198</v>
      </c>
    </row>
    <row r="12071" spans="1:6" x14ac:dyDescent="0.3">
      <c r="A12071" s="15" t="s">
        <v>37913</v>
      </c>
      <c r="B12071" s="15" t="s">
        <v>22218</v>
      </c>
      <c r="C12071" s="15" t="s">
        <v>800</v>
      </c>
      <c r="D12071" s="15" t="s">
        <v>22219</v>
      </c>
      <c r="E12071" s="15">
        <v>41.994799999999998</v>
      </c>
      <c r="F12071" s="42">
        <v>46198</v>
      </c>
    </row>
    <row r="12072" spans="1:6" x14ac:dyDescent="0.3">
      <c r="A12072" s="15" t="s">
        <v>37912</v>
      </c>
      <c r="B12072" s="15" t="s">
        <v>22220</v>
      </c>
      <c r="C12072" s="15" t="s">
        <v>800</v>
      </c>
      <c r="D12072" s="15" t="s">
        <v>22221</v>
      </c>
      <c r="E12072" s="15">
        <v>17.346599999999999</v>
      </c>
      <c r="F12072" s="42">
        <v>46198</v>
      </c>
    </row>
    <row r="12073" spans="1:6" x14ac:dyDescent="0.3">
      <c r="A12073" s="15" t="s">
        <v>37911</v>
      </c>
      <c r="B12073" s="15" t="s">
        <v>22222</v>
      </c>
      <c r="C12073" s="15" t="s">
        <v>800</v>
      </c>
      <c r="D12073" s="15" t="s">
        <v>22223</v>
      </c>
      <c r="E12073" s="15">
        <v>29.346599999999999</v>
      </c>
      <c r="F12073" s="42">
        <v>46198</v>
      </c>
    </row>
    <row r="12074" spans="1:6" x14ac:dyDescent="0.3">
      <c r="A12074" s="15" t="s">
        <v>37910</v>
      </c>
      <c r="B12074" s="15" t="s">
        <v>800</v>
      </c>
      <c r="C12074" s="15" t="s">
        <v>22224</v>
      </c>
      <c r="D12074" s="15" t="s">
        <v>22225</v>
      </c>
      <c r="E12074" s="15">
        <v>1000</v>
      </c>
      <c r="F12074" s="42">
        <v>46201</v>
      </c>
    </row>
    <row r="12075" spans="1:6" x14ac:dyDescent="0.3">
      <c r="A12075" s="15" t="s">
        <v>37909</v>
      </c>
      <c r="B12075" s="15" t="s">
        <v>22226</v>
      </c>
      <c r="C12075" s="15" t="s">
        <v>800</v>
      </c>
      <c r="D12075" s="15" t="s">
        <v>22227</v>
      </c>
      <c r="E12075" s="15">
        <v>339.20420000000001</v>
      </c>
      <c r="F12075" s="42">
        <v>46198</v>
      </c>
    </row>
    <row r="12076" spans="1:6" x14ac:dyDescent="0.3">
      <c r="A12076" s="15" t="s">
        <v>37908</v>
      </c>
      <c r="B12076" s="15" t="s">
        <v>22228</v>
      </c>
      <c r="C12076" s="15" t="s">
        <v>800</v>
      </c>
      <c r="D12076" s="15" t="s">
        <v>22229</v>
      </c>
      <c r="E12076" s="15">
        <v>252.88050000000001</v>
      </c>
      <c r="F12076" s="42">
        <v>46198</v>
      </c>
    </row>
    <row r="12077" spans="1:6" x14ac:dyDescent="0.3">
      <c r="A12077" s="15" t="s">
        <v>37907</v>
      </c>
      <c r="B12077" s="15" t="s">
        <v>22230</v>
      </c>
      <c r="C12077" s="15" t="s">
        <v>800</v>
      </c>
      <c r="D12077" s="15" t="s">
        <v>22231</v>
      </c>
      <c r="E12077" s="15">
        <v>59.548499999999997</v>
      </c>
      <c r="F12077" s="42">
        <v>46198</v>
      </c>
    </row>
    <row r="12078" spans="1:6" x14ac:dyDescent="0.3">
      <c r="A12078" s="15" t="s">
        <v>47047</v>
      </c>
      <c r="B12078" s="15" t="s">
        <v>47048</v>
      </c>
      <c r="C12078" s="15" t="s">
        <v>800</v>
      </c>
      <c r="D12078" s="15" t="s">
        <v>47049</v>
      </c>
      <c r="E12078" s="15">
        <v>49.5105</v>
      </c>
      <c r="F12078" s="42">
        <v>46198</v>
      </c>
    </row>
    <row r="12079" spans="1:6" x14ac:dyDescent="0.3">
      <c r="A12079" s="15" t="s">
        <v>37906</v>
      </c>
      <c r="B12079" s="15" t="s">
        <v>22232</v>
      </c>
      <c r="C12079" s="15" t="s">
        <v>800</v>
      </c>
      <c r="D12079" s="15" t="s">
        <v>22233</v>
      </c>
      <c r="E12079" s="15">
        <v>160.96629999999999</v>
      </c>
      <c r="F12079" s="42">
        <v>46198</v>
      </c>
    </row>
    <row r="12080" spans="1:6" x14ac:dyDescent="0.3">
      <c r="A12080" s="15" t="s">
        <v>37905</v>
      </c>
      <c r="B12080" s="15" t="s">
        <v>22234</v>
      </c>
      <c r="C12080" s="15" t="s">
        <v>800</v>
      </c>
      <c r="D12080" s="15" t="s">
        <v>22235</v>
      </c>
      <c r="E12080" s="15">
        <v>28.941400000000002</v>
      </c>
      <c r="F12080" s="42">
        <v>46198</v>
      </c>
    </row>
    <row r="12081" spans="1:6" x14ac:dyDescent="0.3">
      <c r="A12081" s="15" t="s">
        <v>37904</v>
      </c>
      <c r="B12081" s="15" t="s">
        <v>22236</v>
      </c>
      <c r="C12081" s="15" t="s">
        <v>800</v>
      </c>
      <c r="D12081" s="15" t="s">
        <v>22237</v>
      </c>
      <c r="E12081" s="15">
        <v>22.7775</v>
      </c>
      <c r="F12081" s="42">
        <v>46198</v>
      </c>
    </row>
    <row r="12082" spans="1:6" x14ac:dyDescent="0.3">
      <c r="A12082" s="15" t="s">
        <v>37903</v>
      </c>
      <c r="B12082" s="15" t="s">
        <v>22238</v>
      </c>
      <c r="C12082" s="15" t="s">
        <v>800</v>
      </c>
      <c r="D12082" s="15" t="s">
        <v>22239</v>
      </c>
      <c r="E12082" s="15">
        <v>248.6551</v>
      </c>
      <c r="F12082" s="42">
        <v>46198</v>
      </c>
    </row>
    <row r="12083" spans="1:6" x14ac:dyDescent="0.3">
      <c r="A12083" s="15" t="s">
        <v>37902</v>
      </c>
      <c r="B12083" s="15" t="s">
        <v>22240</v>
      </c>
      <c r="C12083" s="15" t="s">
        <v>800</v>
      </c>
      <c r="D12083" s="15" t="s">
        <v>22241</v>
      </c>
      <c r="E12083" s="15">
        <v>72.3994</v>
      </c>
      <c r="F12083" s="42">
        <v>46198</v>
      </c>
    </row>
    <row r="12084" spans="1:6" x14ac:dyDescent="0.3">
      <c r="A12084" s="15" t="s">
        <v>37901</v>
      </c>
      <c r="B12084" s="15" t="s">
        <v>22242</v>
      </c>
      <c r="C12084" s="15" t="s">
        <v>800</v>
      </c>
      <c r="D12084" s="15" t="s">
        <v>22243</v>
      </c>
      <c r="E12084" s="15">
        <v>28.735399999999998</v>
      </c>
      <c r="F12084" s="42">
        <v>46198</v>
      </c>
    </row>
    <row r="12085" spans="1:6" x14ac:dyDescent="0.3">
      <c r="A12085" s="15" t="s">
        <v>37900</v>
      </c>
      <c r="B12085" s="15" t="s">
        <v>22244</v>
      </c>
      <c r="C12085" s="15" t="s">
        <v>800</v>
      </c>
      <c r="D12085" s="15" t="s">
        <v>22245</v>
      </c>
      <c r="E12085" s="15">
        <v>87.369699999999995</v>
      </c>
      <c r="F12085" s="42">
        <v>46198</v>
      </c>
    </row>
    <row r="12086" spans="1:6" x14ac:dyDescent="0.3">
      <c r="A12086" s="15" t="s">
        <v>37899</v>
      </c>
      <c r="B12086" s="15" t="s">
        <v>22246</v>
      </c>
      <c r="C12086" s="15" t="s">
        <v>800</v>
      </c>
      <c r="D12086" s="15" t="s">
        <v>22247</v>
      </c>
      <c r="E12086" s="15">
        <v>17.7727</v>
      </c>
      <c r="F12086" s="42">
        <v>46198</v>
      </c>
    </row>
    <row r="12087" spans="1:6" x14ac:dyDescent="0.3">
      <c r="A12087" s="15" t="s">
        <v>37898</v>
      </c>
      <c r="B12087" s="15" t="s">
        <v>22248</v>
      </c>
      <c r="C12087" s="15" t="s">
        <v>800</v>
      </c>
      <c r="D12087" s="15" t="s">
        <v>22249</v>
      </c>
      <c r="E12087" s="15">
        <v>88.372200000000007</v>
      </c>
      <c r="F12087" s="42">
        <v>46198</v>
      </c>
    </row>
    <row r="12088" spans="1:6" x14ac:dyDescent="0.3">
      <c r="A12088" s="15" t="s">
        <v>37897</v>
      </c>
      <c r="B12088" s="15" t="s">
        <v>22250</v>
      </c>
      <c r="C12088" s="15" t="s">
        <v>800</v>
      </c>
      <c r="D12088" s="15" t="s">
        <v>22251</v>
      </c>
      <c r="E12088" s="15">
        <v>9.6743000000000006</v>
      </c>
      <c r="F12088" s="42">
        <v>46198</v>
      </c>
    </row>
    <row r="12089" spans="1:6" x14ac:dyDescent="0.3">
      <c r="A12089" s="15" t="s">
        <v>37896</v>
      </c>
      <c r="B12089" s="15" t="s">
        <v>22252</v>
      </c>
      <c r="C12089" s="15" t="s">
        <v>800</v>
      </c>
      <c r="D12089" s="15" t="s">
        <v>22253</v>
      </c>
      <c r="E12089" s="15">
        <v>209.15440000000001</v>
      </c>
      <c r="F12089" s="42">
        <v>46198</v>
      </c>
    </row>
    <row r="12090" spans="1:6" x14ac:dyDescent="0.3">
      <c r="A12090" s="15" t="s">
        <v>33499</v>
      </c>
      <c r="B12090" s="15" t="s">
        <v>795</v>
      </c>
      <c r="C12090" s="15" t="s">
        <v>795</v>
      </c>
      <c r="D12090" s="15" t="s">
        <v>795</v>
      </c>
      <c r="F12090" s="42"/>
    </row>
    <row r="12091" spans="1:6" x14ac:dyDescent="0.3">
      <c r="A12091" s="15" t="s">
        <v>37895</v>
      </c>
      <c r="B12091" s="15" t="s">
        <v>795</v>
      </c>
      <c r="C12091" s="15" t="s">
        <v>795</v>
      </c>
      <c r="D12091" s="15" t="s">
        <v>795</v>
      </c>
      <c r="F12091" s="42"/>
    </row>
    <row r="12092" spans="1:6" x14ac:dyDescent="0.3">
      <c r="A12092" s="15" t="s">
        <v>33499</v>
      </c>
      <c r="B12092" s="15" t="s">
        <v>795</v>
      </c>
      <c r="C12092" s="15" t="s">
        <v>795</v>
      </c>
      <c r="D12092" s="15" t="s">
        <v>795</v>
      </c>
      <c r="F12092" s="42"/>
    </row>
    <row r="12093" spans="1:6" x14ac:dyDescent="0.3">
      <c r="A12093" s="15" t="s">
        <v>37894</v>
      </c>
      <c r="B12093" s="15" t="s">
        <v>22254</v>
      </c>
      <c r="C12093" s="15" t="s">
        <v>800</v>
      </c>
      <c r="D12093" s="15" t="s">
        <v>22255</v>
      </c>
      <c r="E12093" s="15">
        <v>1604.4749999999999</v>
      </c>
      <c r="F12093" s="42">
        <v>46198</v>
      </c>
    </row>
    <row r="12094" spans="1:6" x14ac:dyDescent="0.3">
      <c r="A12094" s="15" t="s">
        <v>37893</v>
      </c>
      <c r="B12094" s="15" t="s">
        <v>22256</v>
      </c>
      <c r="C12094" s="15" t="s">
        <v>800</v>
      </c>
      <c r="D12094" s="15" t="s">
        <v>22257</v>
      </c>
      <c r="E12094" s="15">
        <v>1345.2797</v>
      </c>
      <c r="F12094" s="42">
        <v>46198</v>
      </c>
    </row>
    <row r="12095" spans="1:6" x14ac:dyDescent="0.3">
      <c r="A12095" s="15" t="s">
        <v>37892</v>
      </c>
      <c r="B12095" s="15" t="s">
        <v>22258</v>
      </c>
      <c r="C12095" s="15" t="s">
        <v>800</v>
      </c>
      <c r="D12095" s="15" t="s">
        <v>22259</v>
      </c>
      <c r="E12095" s="15">
        <v>1304.6016</v>
      </c>
      <c r="F12095" s="42">
        <v>46198</v>
      </c>
    </row>
    <row r="12096" spans="1:6" x14ac:dyDescent="0.3">
      <c r="A12096" s="15" t="s">
        <v>37891</v>
      </c>
      <c r="B12096" s="15" t="s">
        <v>22260</v>
      </c>
      <c r="C12096" s="15" t="s">
        <v>800</v>
      </c>
      <c r="D12096" s="15" t="s">
        <v>22261</v>
      </c>
      <c r="E12096" s="15">
        <v>1292.6107999999999</v>
      </c>
      <c r="F12096" s="42">
        <v>45762</v>
      </c>
    </row>
    <row r="12097" spans="1:6" x14ac:dyDescent="0.3">
      <c r="A12097" s="15" t="s">
        <v>37890</v>
      </c>
      <c r="B12097" s="15" t="s">
        <v>22262</v>
      </c>
      <c r="C12097" s="15" t="s">
        <v>800</v>
      </c>
      <c r="D12097" s="15" t="s">
        <v>22263</v>
      </c>
      <c r="E12097" s="15">
        <v>1434.0813000000001</v>
      </c>
      <c r="F12097" s="42">
        <v>46198</v>
      </c>
    </row>
    <row r="12098" spans="1:6" x14ac:dyDescent="0.3">
      <c r="A12098" s="15" t="s">
        <v>37889</v>
      </c>
      <c r="B12098" s="15" t="s">
        <v>22264</v>
      </c>
      <c r="C12098" s="15" t="s">
        <v>800</v>
      </c>
      <c r="D12098" s="15" t="s">
        <v>22265</v>
      </c>
      <c r="E12098" s="15">
        <v>24.229299999999999</v>
      </c>
      <c r="F12098" s="42">
        <v>46198</v>
      </c>
    </row>
    <row r="12099" spans="1:6" x14ac:dyDescent="0.3">
      <c r="A12099" s="15" t="s">
        <v>37888</v>
      </c>
      <c r="B12099" s="15" t="s">
        <v>22266</v>
      </c>
      <c r="C12099" s="15" t="s">
        <v>800</v>
      </c>
      <c r="D12099" s="15" t="s">
        <v>22267</v>
      </c>
      <c r="E12099" s="15">
        <v>77.478099999999998</v>
      </c>
      <c r="F12099" s="42">
        <v>46198</v>
      </c>
    </row>
    <row r="12100" spans="1:6" x14ac:dyDescent="0.3">
      <c r="A12100" s="15" t="s">
        <v>37887</v>
      </c>
      <c r="B12100" s="15" t="s">
        <v>22268</v>
      </c>
      <c r="C12100" s="15" t="s">
        <v>800</v>
      </c>
      <c r="D12100" s="15" t="s">
        <v>22269</v>
      </c>
      <c r="E12100" s="15">
        <v>1036.9305999999999</v>
      </c>
      <c r="F12100" s="42">
        <v>46201</v>
      </c>
    </row>
    <row r="12101" spans="1:6" x14ac:dyDescent="0.3">
      <c r="A12101" s="15" t="s">
        <v>37886</v>
      </c>
      <c r="B12101" s="15" t="s">
        <v>22270</v>
      </c>
      <c r="C12101" s="15" t="s">
        <v>800</v>
      </c>
      <c r="D12101" s="15" t="s">
        <v>22271</v>
      </c>
      <c r="E12101" s="15">
        <v>24.180399999999999</v>
      </c>
      <c r="F12101" s="42">
        <v>46198</v>
      </c>
    </row>
    <row r="12102" spans="1:6" x14ac:dyDescent="0.3">
      <c r="A12102" s="15" t="s">
        <v>37885</v>
      </c>
      <c r="B12102" s="15" t="s">
        <v>22272</v>
      </c>
      <c r="C12102" s="15" t="s">
        <v>800</v>
      </c>
      <c r="D12102" s="15" t="s">
        <v>22273</v>
      </c>
      <c r="E12102" s="15">
        <v>58.660299999999999</v>
      </c>
      <c r="F12102" s="42">
        <v>46198</v>
      </c>
    </row>
    <row r="12103" spans="1:6" x14ac:dyDescent="0.3">
      <c r="A12103" s="15" t="s">
        <v>37884</v>
      </c>
      <c r="B12103" s="15" t="s">
        <v>22274</v>
      </c>
      <c r="C12103" s="15" t="s">
        <v>800</v>
      </c>
      <c r="D12103" s="15" t="s">
        <v>22275</v>
      </c>
      <c r="E12103" s="15">
        <v>16.462700000000002</v>
      </c>
      <c r="F12103" s="42">
        <v>46198</v>
      </c>
    </row>
    <row r="12104" spans="1:6" x14ac:dyDescent="0.3">
      <c r="A12104" s="15" t="s">
        <v>47050</v>
      </c>
      <c r="B12104" s="15" t="s">
        <v>47051</v>
      </c>
      <c r="C12104" s="15" t="s">
        <v>800</v>
      </c>
      <c r="D12104" s="15" t="s">
        <v>47052</v>
      </c>
      <c r="E12104" s="15">
        <v>71.728999999999999</v>
      </c>
      <c r="F12104" s="42">
        <v>46198</v>
      </c>
    </row>
    <row r="12105" spans="1:6" x14ac:dyDescent="0.3">
      <c r="A12105" s="15" t="s">
        <v>37883</v>
      </c>
      <c r="B12105" s="15" t="s">
        <v>22276</v>
      </c>
      <c r="C12105" s="15" t="s">
        <v>800</v>
      </c>
      <c r="D12105" s="15" t="s">
        <v>22277</v>
      </c>
      <c r="E12105" s="15">
        <v>42.233899999999998</v>
      </c>
      <c r="F12105" s="42">
        <v>46198</v>
      </c>
    </row>
    <row r="12106" spans="1:6" x14ac:dyDescent="0.3">
      <c r="A12106" s="15" t="s">
        <v>37882</v>
      </c>
      <c r="B12106" s="15" t="s">
        <v>22278</v>
      </c>
      <c r="C12106" s="15" t="s">
        <v>800</v>
      </c>
      <c r="D12106" s="15" t="s">
        <v>22279</v>
      </c>
      <c r="E12106" s="15">
        <v>216.8758</v>
      </c>
      <c r="F12106" s="42">
        <v>46198</v>
      </c>
    </row>
    <row r="12107" spans="1:6" x14ac:dyDescent="0.3">
      <c r="A12107" s="15" t="s">
        <v>33499</v>
      </c>
      <c r="B12107" s="15" t="s">
        <v>795</v>
      </c>
      <c r="C12107" s="15" t="s">
        <v>795</v>
      </c>
      <c r="D12107" s="15" t="s">
        <v>795</v>
      </c>
      <c r="F12107" s="42"/>
    </row>
    <row r="12108" spans="1:6" x14ac:dyDescent="0.3">
      <c r="A12108" s="15" t="s">
        <v>37881</v>
      </c>
      <c r="B12108" s="15" t="s">
        <v>795</v>
      </c>
      <c r="C12108" s="15" t="s">
        <v>795</v>
      </c>
      <c r="D12108" s="15" t="s">
        <v>795</v>
      </c>
      <c r="F12108" s="42"/>
    </row>
    <row r="12109" spans="1:6" x14ac:dyDescent="0.3">
      <c r="A12109" s="15" t="s">
        <v>33499</v>
      </c>
      <c r="B12109" s="15" t="s">
        <v>795</v>
      </c>
      <c r="C12109" s="15" t="s">
        <v>795</v>
      </c>
      <c r="D12109" s="15" t="s">
        <v>795</v>
      </c>
      <c r="F12109" s="42"/>
    </row>
    <row r="12110" spans="1:6" x14ac:dyDescent="0.3">
      <c r="A12110" s="15" t="s">
        <v>37880</v>
      </c>
      <c r="B12110" s="15" t="s">
        <v>22280</v>
      </c>
      <c r="C12110" s="15" t="s">
        <v>800</v>
      </c>
      <c r="D12110" s="15" t="s">
        <v>22281</v>
      </c>
      <c r="E12110" s="15">
        <v>53.040900000000001</v>
      </c>
      <c r="F12110" s="42">
        <v>46198</v>
      </c>
    </row>
    <row r="12111" spans="1:6" x14ac:dyDescent="0.3">
      <c r="A12111" s="15" t="s">
        <v>37879</v>
      </c>
      <c r="B12111" s="15" t="s">
        <v>22282</v>
      </c>
      <c r="C12111" s="15" t="s">
        <v>800</v>
      </c>
      <c r="D12111" s="15" t="s">
        <v>22283</v>
      </c>
      <c r="E12111" s="15">
        <v>12.111800000000001</v>
      </c>
      <c r="F12111" s="42">
        <v>46198</v>
      </c>
    </row>
    <row r="12112" spans="1:6" x14ac:dyDescent="0.3">
      <c r="A12112" s="15" t="s">
        <v>37878</v>
      </c>
      <c r="B12112" s="15" t="s">
        <v>22284</v>
      </c>
      <c r="C12112" s="15" t="s">
        <v>800</v>
      </c>
      <c r="D12112" s="15" t="s">
        <v>22285</v>
      </c>
      <c r="E12112" s="15">
        <v>109.6688</v>
      </c>
      <c r="F12112" s="42">
        <v>46201</v>
      </c>
    </row>
    <row r="12113" spans="1:6" x14ac:dyDescent="0.3">
      <c r="A12113" s="15" t="s">
        <v>37877</v>
      </c>
      <c r="B12113" s="15" t="s">
        <v>22286</v>
      </c>
      <c r="C12113" s="15" t="s">
        <v>800</v>
      </c>
      <c r="D12113" s="15" t="s">
        <v>22287</v>
      </c>
      <c r="E12113" s="15">
        <v>11.2645</v>
      </c>
      <c r="F12113" s="42">
        <v>46198</v>
      </c>
    </row>
    <row r="12114" spans="1:6" x14ac:dyDescent="0.3">
      <c r="A12114" s="15" t="s">
        <v>37876</v>
      </c>
      <c r="B12114" s="15" t="s">
        <v>22288</v>
      </c>
      <c r="C12114" s="15" t="s">
        <v>800</v>
      </c>
      <c r="D12114" s="15" t="s">
        <v>22289</v>
      </c>
      <c r="E12114" s="15">
        <v>9.7021999999999995</v>
      </c>
      <c r="F12114" s="42">
        <v>46198</v>
      </c>
    </row>
    <row r="12115" spans="1:6" x14ac:dyDescent="0.3">
      <c r="A12115" s="15" t="s">
        <v>37875</v>
      </c>
      <c r="B12115" s="15" t="s">
        <v>22290</v>
      </c>
      <c r="C12115" s="15" t="s">
        <v>800</v>
      </c>
      <c r="D12115" s="15" t="s">
        <v>22291</v>
      </c>
      <c r="E12115" s="15">
        <v>10.2219</v>
      </c>
      <c r="F12115" s="42">
        <v>46198</v>
      </c>
    </row>
    <row r="12116" spans="1:6" x14ac:dyDescent="0.3">
      <c r="A12116" s="15" t="s">
        <v>37874</v>
      </c>
      <c r="B12116" s="15" t="s">
        <v>22292</v>
      </c>
      <c r="C12116" s="15" t="s">
        <v>800</v>
      </c>
      <c r="D12116" s="15" t="s">
        <v>22293</v>
      </c>
      <c r="E12116" s="15">
        <v>10.863</v>
      </c>
      <c r="F12116" s="42">
        <v>46198</v>
      </c>
    </row>
    <row r="12117" spans="1:6" x14ac:dyDescent="0.3">
      <c r="A12117" s="15" t="s">
        <v>37873</v>
      </c>
      <c r="B12117" s="15" t="s">
        <v>22294</v>
      </c>
      <c r="C12117" s="15" t="s">
        <v>800</v>
      </c>
      <c r="D12117" s="15" t="s">
        <v>22295</v>
      </c>
      <c r="E12117" s="15">
        <v>11.455</v>
      </c>
      <c r="F12117" s="42">
        <v>46198</v>
      </c>
    </row>
    <row r="12118" spans="1:6" x14ac:dyDescent="0.3">
      <c r="A12118" s="15" t="s">
        <v>37872</v>
      </c>
      <c r="B12118" s="15" t="s">
        <v>22296</v>
      </c>
      <c r="C12118" s="15" t="s">
        <v>800</v>
      </c>
      <c r="D12118" s="15" t="s">
        <v>22297</v>
      </c>
      <c r="E12118" s="15">
        <v>29.559699999999999</v>
      </c>
      <c r="F12118" s="42">
        <v>46198</v>
      </c>
    </row>
    <row r="12119" spans="1:6" x14ac:dyDescent="0.3">
      <c r="A12119" s="15" t="s">
        <v>37871</v>
      </c>
      <c r="B12119" s="15" t="s">
        <v>22298</v>
      </c>
      <c r="C12119" s="15" t="s">
        <v>800</v>
      </c>
      <c r="D12119" s="15" t="s">
        <v>22299</v>
      </c>
      <c r="E12119" s="15">
        <v>31.531300000000002</v>
      </c>
      <c r="F12119" s="42">
        <v>46198</v>
      </c>
    </row>
    <row r="12120" spans="1:6" x14ac:dyDescent="0.3">
      <c r="A12120" s="15" t="s">
        <v>37870</v>
      </c>
      <c r="B12120" s="15" t="s">
        <v>22300</v>
      </c>
      <c r="C12120" s="15" t="s">
        <v>800</v>
      </c>
      <c r="D12120" s="15" t="s">
        <v>22301</v>
      </c>
      <c r="E12120" s="15">
        <v>93.834199999999996</v>
      </c>
      <c r="F12120" s="42">
        <v>46198</v>
      </c>
    </row>
    <row r="12121" spans="1:6" x14ac:dyDescent="0.3">
      <c r="A12121" s="15" t="s">
        <v>37869</v>
      </c>
      <c r="B12121" s="15" t="s">
        <v>22302</v>
      </c>
      <c r="C12121" s="15" t="s">
        <v>800</v>
      </c>
      <c r="D12121" s="15" t="s">
        <v>22303</v>
      </c>
      <c r="E12121" s="15">
        <v>9.2144999999999992</v>
      </c>
      <c r="F12121" s="42">
        <v>46198</v>
      </c>
    </row>
    <row r="12122" spans="1:6" x14ac:dyDescent="0.3">
      <c r="A12122" s="15" t="s">
        <v>37868</v>
      </c>
      <c r="B12122" s="15" t="s">
        <v>22304</v>
      </c>
      <c r="C12122" s="15" t="s">
        <v>800</v>
      </c>
      <c r="D12122" s="15" t="s">
        <v>22305</v>
      </c>
      <c r="E12122" s="15">
        <v>29.305599999999998</v>
      </c>
      <c r="F12122" s="42">
        <v>46198</v>
      </c>
    </row>
    <row r="12123" spans="1:6" x14ac:dyDescent="0.3">
      <c r="A12123" s="15" t="s">
        <v>37867</v>
      </c>
      <c r="B12123" s="15" t="s">
        <v>22306</v>
      </c>
      <c r="C12123" s="15" t="s">
        <v>800</v>
      </c>
      <c r="D12123" s="15" t="s">
        <v>22307</v>
      </c>
      <c r="E12123" s="15">
        <v>11.850199999999999</v>
      </c>
      <c r="F12123" s="42">
        <v>46198</v>
      </c>
    </row>
    <row r="12124" spans="1:6" x14ac:dyDescent="0.3">
      <c r="A12124" s="15" t="s">
        <v>37866</v>
      </c>
      <c r="B12124" s="15" t="s">
        <v>22308</v>
      </c>
      <c r="C12124" s="15" t="s">
        <v>800</v>
      </c>
      <c r="D12124" s="15" t="s">
        <v>22309</v>
      </c>
      <c r="E12124" s="15">
        <v>227.9041</v>
      </c>
      <c r="F12124" s="42">
        <v>46198</v>
      </c>
    </row>
    <row r="12125" spans="1:6" x14ac:dyDescent="0.3">
      <c r="A12125" s="15" t="s">
        <v>37865</v>
      </c>
      <c r="B12125" s="15" t="s">
        <v>22310</v>
      </c>
      <c r="C12125" s="15" t="s">
        <v>800</v>
      </c>
      <c r="D12125" s="15" t="s">
        <v>22311</v>
      </c>
      <c r="E12125" s="15">
        <v>72.372699999999995</v>
      </c>
      <c r="F12125" s="42">
        <v>46198</v>
      </c>
    </row>
    <row r="12126" spans="1:6" x14ac:dyDescent="0.3">
      <c r="A12126" s="15" t="s">
        <v>47053</v>
      </c>
      <c r="B12126" s="15" t="s">
        <v>47054</v>
      </c>
      <c r="C12126" s="15" t="s">
        <v>800</v>
      </c>
      <c r="D12126" s="15" t="s">
        <v>47055</v>
      </c>
      <c r="E12126" s="15">
        <v>28.391400000000001</v>
      </c>
      <c r="F12126" s="42">
        <v>46198</v>
      </c>
    </row>
    <row r="12127" spans="1:6" x14ac:dyDescent="0.3">
      <c r="A12127" s="15" t="s">
        <v>37864</v>
      </c>
      <c r="B12127" s="15" t="s">
        <v>22312</v>
      </c>
      <c r="C12127" s="15" t="s">
        <v>800</v>
      </c>
      <c r="D12127" s="15" t="s">
        <v>22313</v>
      </c>
      <c r="E12127" s="15">
        <v>99.777600000000007</v>
      </c>
      <c r="F12127" s="42">
        <v>46198</v>
      </c>
    </row>
    <row r="12128" spans="1:6" x14ac:dyDescent="0.3">
      <c r="A12128" s="15" t="s">
        <v>37863</v>
      </c>
      <c r="B12128" s="15" t="s">
        <v>22314</v>
      </c>
      <c r="C12128" s="15" t="s">
        <v>800</v>
      </c>
      <c r="D12128" s="15" t="s">
        <v>22315</v>
      </c>
      <c r="E12128" s="15">
        <v>86.684600000000003</v>
      </c>
      <c r="F12128" s="42">
        <v>46198</v>
      </c>
    </row>
    <row r="12129" spans="1:6" x14ac:dyDescent="0.3">
      <c r="A12129" s="15" t="s">
        <v>37862</v>
      </c>
      <c r="B12129" s="15" t="s">
        <v>22316</v>
      </c>
      <c r="C12129" s="15" t="s">
        <v>800</v>
      </c>
      <c r="D12129" s="15" t="s">
        <v>22317</v>
      </c>
      <c r="E12129" s="15">
        <v>9.2378999999999998</v>
      </c>
      <c r="F12129" s="42">
        <v>46198</v>
      </c>
    </row>
    <row r="12130" spans="1:6" x14ac:dyDescent="0.3">
      <c r="A12130" s="15" t="s">
        <v>37861</v>
      </c>
      <c r="B12130" s="15" t="s">
        <v>22318</v>
      </c>
      <c r="C12130" s="15" t="s">
        <v>800</v>
      </c>
      <c r="D12130" s="15" t="s">
        <v>22319</v>
      </c>
      <c r="E12130" s="15">
        <v>10.2067</v>
      </c>
      <c r="F12130" s="42">
        <v>46198</v>
      </c>
    </row>
    <row r="12131" spans="1:6" x14ac:dyDescent="0.3">
      <c r="A12131" s="15" t="s">
        <v>47188</v>
      </c>
      <c r="B12131" s="15" t="s">
        <v>47189</v>
      </c>
      <c r="C12131" s="15" t="s">
        <v>800</v>
      </c>
      <c r="D12131" s="15" t="s">
        <v>47190</v>
      </c>
      <c r="E12131" s="15">
        <v>46.464399999999998</v>
      </c>
      <c r="F12131" s="42">
        <v>46198</v>
      </c>
    </row>
    <row r="12132" spans="1:6" x14ac:dyDescent="0.3">
      <c r="A12132" s="15" t="s">
        <v>37860</v>
      </c>
      <c r="B12132" s="15" t="s">
        <v>22320</v>
      </c>
      <c r="C12132" s="15" t="s">
        <v>800</v>
      </c>
      <c r="D12132" s="15" t="s">
        <v>22321</v>
      </c>
      <c r="E12132" s="15">
        <v>21.2928</v>
      </c>
      <c r="F12132" s="42">
        <v>46198</v>
      </c>
    </row>
    <row r="12133" spans="1:6" x14ac:dyDescent="0.3">
      <c r="A12133" s="15" t="s">
        <v>33499</v>
      </c>
      <c r="B12133" s="15" t="s">
        <v>795</v>
      </c>
      <c r="C12133" s="15" t="s">
        <v>795</v>
      </c>
      <c r="D12133" s="15" t="s">
        <v>795</v>
      </c>
      <c r="F12133" s="42"/>
    </row>
    <row r="12134" spans="1:6" x14ac:dyDescent="0.3">
      <c r="A12134" s="15" t="s">
        <v>37043</v>
      </c>
      <c r="B12134" s="15" t="s">
        <v>795</v>
      </c>
      <c r="C12134" s="15" t="s">
        <v>795</v>
      </c>
      <c r="D12134" s="15" t="s">
        <v>795</v>
      </c>
      <c r="F12134" s="42"/>
    </row>
    <row r="12135" spans="1:6" x14ac:dyDescent="0.3">
      <c r="A12135" s="15" t="s">
        <v>33499</v>
      </c>
      <c r="B12135" s="15" t="s">
        <v>795</v>
      </c>
      <c r="C12135" s="15" t="s">
        <v>795</v>
      </c>
      <c r="D12135" s="15" t="s">
        <v>795</v>
      </c>
      <c r="F12135" s="42"/>
    </row>
    <row r="12136" spans="1:6" x14ac:dyDescent="0.3">
      <c r="A12136" s="15" t="s">
        <v>37859</v>
      </c>
      <c r="B12136" s="15" t="s">
        <v>22322</v>
      </c>
      <c r="C12136" s="15" t="s">
        <v>800</v>
      </c>
      <c r="D12136" s="15" t="s">
        <v>22323</v>
      </c>
      <c r="E12136" s="15">
        <v>37.051699999999997</v>
      </c>
      <c r="F12136" s="42">
        <v>46198</v>
      </c>
    </row>
    <row r="12137" spans="1:6" x14ac:dyDescent="0.3">
      <c r="A12137" s="15" t="s">
        <v>37858</v>
      </c>
      <c r="B12137" s="15" t="s">
        <v>22324</v>
      </c>
      <c r="C12137" s="15" t="s">
        <v>800</v>
      </c>
      <c r="D12137" s="15" t="s">
        <v>22325</v>
      </c>
      <c r="E12137" s="15">
        <v>87.293499999999995</v>
      </c>
      <c r="F12137" s="42">
        <v>46198</v>
      </c>
    </row>
    <row r="12138" spans="1:6" x14ac:dyDescent="0.3">
      <c r="A12138" s="15" t="s">
        <v>37857</v>
      </c>
      <c r="B12138" s="15" t="s">
        <v>22326</v>
      </c>
      <c r="C12138" s="15" t="s">
        <v>800</v>
      </c>
      <c r="D12138" s="15" t="s">
        <v>22327</v>
      </c>
      <c r="E12138" s="15">
        <v>25.924399999999999</v>
      </c>
      <c r="F12138" s="42">
        <v>46198</v>
      </c>
    </row>
    <row r="12139" spans="1:6" x14ac:dyDescent="0.3">
      <c r="A12139" s="15" t="s">
        <v>37856</v>
      </c>
      <c r="B12139" s="15" t="s">
        <v>22328</v>
      </c>
      <c r="C12139" s="15" t="s">
        <v>800</v>
      </c>
      <c r="D12139" s="15" t="s">
        <v>22329</v>
      </c>
      <c r="E12139" s="15">
        <v>1066.873</v>
      </c>
      <c r="F12139" s="42">
        <v>46201</v>
      </c>
    </row>
    <row r="12140" spans="1:6" x14ac:dyDescent="0.3">
      <c r="A12140" s="15" t="s">
        <v>37855</v>
      </c>
      <c r="B12140" s="15" t="s">
        <v>22330</v>
      </c>
      <c r="C12140" s="15" t="s">
        <v>800</v>
      </c>
      <c r="D12140" s="15" t="s">
        <v>22331</v>
      </c>
      <c r="E12140" s="15">
        <v>270.51429999999999</v>
      </c>
      <c r="F12140" s="42">
        <v>46198</v>
      </c>
    </row>
    <row r="12141" spans="1:6" x14ac:dyDescent="0.3">
      <c r="A12141" s="15" t="s">
        <v>37854</v>
      </c>
      <c r="B12141" s="15" t="s">
        <v>22332</v>
      </c>
      <c r="C12141" s="15" t="s">
        <v>800</v>
      </c>
      <c r="D12141" s="15" t="s">
        <v>22333</v>
      </c>
      <c r="E12141" s="15">
        <v>59.884399999999999</v>
      </c>
      <c r="F12141" s="42">
        <v>46198</v>
      </c>
    </row>
    <row r="12142" spans="1:6" x14ac:dyDescent="0.3">
      <c r="A12142" s="15" t="s">
        <v>37853</v>
      </c>
      <c r="B12142" s="15" t="s">
        <v>22334</v>
      </c>
      <c r="C12142" s="15" t="s">
        <v>800</v>
      </c>
      <c r="D12142" s="15" t="s">
        <v>22335</v>
      </c>
      <c r="E12142" s="15">
        <v>112.4588</v>
      </c>
      <c r="F12142" s="42">
        <v>46198</v>
      </c>
    </row>
    <row r="12143" spans="1:6" x14ac:dyDescent="0.3">
      <c r="A12143" s="15" t="s">
        <v>37852</v>
      </c>
      <c r="B12143" s="15" t="s">
        <v>22336</v>
      </c>
      <c r="C12143" s="15" t="s">
        <v>800</v>
      </c>
      <c r="D12143" s="15" t="s">
        <v>22337</v>
      </c>
      <c r="E12143" s="15">
        <v>29.1511</v>
      </c>
      <c r="F12143" s="42">
        <v>46198</v>
      </c>
    </row>
    <row r="12144" spans="1:6" x14ac:dyDescent="0.3">
      <c r="A12144" s="15" t="s">
        <v>37851</v>
      </c>
      <c r="B12144" s="15" t="s">
        <v>22338</v>
      </c>
      <c r="C12144" s="15" t="s">
        <v>800</v>
      </c>
      <c r="D12144" s="15" t="s">
        <v>22339</v>
      </c>
      <c r="E12144" s="15">
        <v>23.015599999999999</v>
      </c>
      <c r="F12144" s="42">
        <v>46198</v>
      </c>
    </row>
    <row r="12145" spans="1:6" x14ac:dyDescent="0.3">
      <c r="A12145" s="15" t="s">
        <v>37850</v>
      </c>
      <c r="B12145" s="15" t="s">
        <v>22340</v>
      </c>
      <c r="C12145" s="15" t="s">
        <v>800</v>
      </c>
      <c r="D12145" s="15" t="s">
        <v>22341</v>
      </c>
      <c r="E12145" s="15">
        <v>73.654700000000005</v>
      </c>
      <c r="F12145" s="42">
        <v>46198</v>
      </c>
    </row>
    <row r="12146" spans="1:6" x14ac:dyDescent="0.3">
      <c r="A12146" s="15" t="s">
        <v>37849</v>
      </c>
      <c r="B12146" s="15" t="s">
        <v>22342</v>
      </c>
      <c r="C12146" s="15" t="s">
        <v>800</v>
      </c>
      <c r="D12146" s="15" t="s">
        <v>22343</v>
      </c>
      <c r="E12146" s="15">
        <v>28.837900000000001</v>
      </c>
      <c r="F12146" s="42">
        <v>46198</v>
      </c>
    </row>
    <row r="12147" spans="1:6" x14ac:dyDescent="0.3">
      <c r="A12147" s="15" t="s">
        <v>37848</v>
      </c>
      <c r="B12147" s="15" t="s">
        <v>22344</v>
      </c>
      <c r="C12147" s="15" t="s">
        <v>800</v>
      </c>
      <c r="D12147" s="15" t="s">
        <v>22345</v>
      </c>
      <c r="E12147" s="15">
        <v>87.425299999999993</v>
      </c>
      <c r="F12147" s="42">
        <v>46198</v>
      </c>
    </row>
    <row r="12148" spans="1:6" x14ac:dyDescent="0.3">
      <c r="A12148" s="15" t="s">
        <v>37847</v>
      </c>
      <c r="B12148" s="15" t="s">
        <v>22346</v>
      </c>
      <c r="C12148" s="15" t="s">
        <v>800</v>
      </c>
      <c r="D12148" s="15" t="s">
        <v>22347</v>
      </c>
      <c r="E12148" s="15">
        <v>178.1891</v>
      </c>
      <c r="F12148" s="42">
        <v>46198</v>
      </c>
    </row>
    <row r="12149" spans="1:6" x14ac:dyDescent="0.3">
      <c r="A12149" s="15" t="s">
        <v>37846</v>
      </c>
      <c r="B12149" s="15" t="s">
        <v>22348</v>
      </c>
      <c r="C12149" s="15" t="s">
        <v>800</v>
      </c>
      <c r="D12149" s="15" t="s">
        <v>22349</v>
      </c>
      <c r="E12149" s="15">
        <v>20.320599999999999</v>
      </c>
      <c r="F12149" s="42">
        <v>46198</v>
      </c>
    </row>
    <row r="12150" spans="1:6" x14ac:dyDescent="0.3">
      <c r="A12150" s="15" t="s">
        <v>37845</v>
      </c>
      <c r="B12150" s="15" t="s">
        <v>22350</v>
      </c>
      <c r="C12150" s="15" t="s">
        <v>800</v>
      </c>
      <c r="D12150" s="15" t="s">
        <v>22351</v>
      </c>
      <c r="E12150" s="15">
        <v>56.356499999999997</v>
      </c>
      <c r="F12150" s="42">
        <v>46198</v>
      </c>
    </row>
    <row r="12151" spans="1:6" x14ac:dyDescent="0.3">
      <c r="A12151" s="15" t="s">
        <v>37844</v>
      </c>
      <c r="B12151" s="15" t="s">
        <v>22352</v>
      </c>
      <c r="C12151" s="15" t="s">
        <v>800</v>
      </c>
      <c r="D12151" s="15" t="s">
        <v>22353</v>
      </c>
      <c r="E12151" s="15">
        <v>31.462299999999999</v>
      </c>
      <c r="F12151" s="42">
        <v>46198</v>
      </c>
    </row>
    <row r="12152" spans="1:6" x14ac:dyDescent="0.3">
      <c r="A12152" s="15" t="s">
        <v>37843</v>
      </c>
      <c r="B12152" s="15" t="s">
        <v>22354</v>
      </c>
      <c r="C12152" s="15" t="s">
        <v>800</v>
      </c>
      <c r="D12152" s="15" t="s">
        <v>22355</v>
      </c>
      <c r="E12152" s="15">
        <v>127.1417</v>
      </c>
      <c r="F12152" s="42">
        <v>46198</v>
      </c>
    </row>
    <row r="12153" spans="1:6" x14ac:dyDescent="0.3">
      <c r="A12153" s="15" t="s">
        <v>37842</v>
      </c>
      <c r="B12153" s="15" t="s">
        <v>22356</v>
      </c>
      <c r="C12153" s="15" t="s">
        <v>800</v>
      </c>
      <c r="D12153" s="15" t="s">
        <v>22357</v>
      </c>
      <c r="E12153" s="15">
        <v>207.78219999999999</v>
      </c>
      <c r="F12153" s="42">
        <v>46198</v>
      </c>
    </row>
    <row r="12154" spans="1:6" x14ac:dyDescent="0.3">
      <c r="A12154" s="15" t="s">
        <v>33499</v>
      </c>
      <c r="B12154" s="15" t="s">
        <v>795</v>
      </c>
      <c r="C12154" s="15" t="s">
        <v>795</v>
      </c>
      <c r="D12154" s="15" t="s">
        <v>795</v>
      </c>
      <c r="F12154" s="42"/>
    </row>
    <row r="12155" spans="1:6" x14ac:dyDescent="0.3">
      <c r="A12155" s="15" t="s">
        <v>36764</v>
      </c>
      <c r="B12155" s="15" t="s">
        <v>795</v>
      </c>
      <c r="C12155" s="15" t="s">
        <v>795</v>
      </c>
      <c r="D12155" s="15" t="s">
        <v>795</v>
      </c>
      <c r="F12155" s="42"/>
    </row>
    <row r="12156" spans="1:6" x14ac:dyDescent="0.3">
      <c r="A12156" s="15" t="s">
        <v>33499</v>
      </c>
      <c r="B12156" s="15" t="s">
        <v>795</v>
      </c>
      <c r="C12156" s="15" t="s">
        <v>795</v>
      </c>
      <c r="D12156" s="15" t="s">
        <v>795</v>
      </c>
      <c r="F12156" s="42"/>
    </row>
    <row r="12157" spans="1:6" x14ac:dyDescent="0.3">
      <c r="A12157" s="15" t="s">
        <v>37841</v>
      </c>
      <c r="B12157" s="15" t="s">
        <v>22358</v>
      </c>
      <c r="C12157" s="15" t="s">
        <v>800</v>
      </c>
      <c r="D12157" s="15" t="s">
        <v>22359</v>
      </c>
      <c r="E12157" s="15">
        <v>119.14570000000001</v>
      </c>
      <c r="F12157" s="42">
        <v>46198</v>
      </c>
    </row>
    <row r="12158" spans="1:6" x14ac:dyDescent="0.3">
      <c r="A12158" s="15" t="s">
        <v>37840</v>
      </c>
      <c r="B12158" s="15" t="s">
        <v>22360</v>
      </c>
      <c r="C12158" s="15" t="s">
        <v>800</v>
      </c>
      <c r="D12158" s="15" t="s">
        <v>22361</v>
      </c>
      <c r="E12158" s="15">
        <v>38.9985</v>
      </c>
      <c r="F12158" s="42">
        <v>46198</v>
      </c>
    </row>
    <row r="12159" spans="1:6" x14ac:dyDescent="0.3">
      <c r="A12159" s="15" t="s">
        <v>37839</v>
      </c>
      <c r="B12159" s="15" t="s">
        <v>22362</v>
      </c>
      <c r="C12159" s="15" t="s">
        <v>800</v>
      </c>
      <c r="D12159" s="15" t="s">
        <v>22363</v>
      </c>
      <c r="E12159" s="15">
        <v>1068.3835999999999</v>
      </c>
      <c r="F12159" s="42">
        <v>46201</v>
      </c>
    </row>
    <row r="12160" spans="1:6" x14ac:dyDescent="0.3">
      <c r="A12160" s="15" t="s">
        <v>37838</v>
      </c>
      <c r="B12160" s="15" t="s">
        <v>22364</v>
      </c>
      <c r="C12160" s="15" t="s">
        <v>800</v>
      </c>
      <c r="D12160" s="15" t="s">
        <v>22365</v>
      </c>
      <c r="E12160" s="15">
        <v>1000</v>
      </c>
      <c r="F12160" s="42">
        <v>46201</v>
      </c>
    </row>
    <row r="12161" spans="1:6" x14ac:dyDescent="0.3">
      <c r="A12161" s="15" t="s">
        <v>37837</v>
      </c>
      <c r="B12161" s="15" t="s">
        <v>22366</v>
      </c>
      <c r="C12161" s="15" t="s">
        <v>800</v>
      </c>
      <c r="D12161" s="15" t="s">
        <v>22367</v>
      </c>
      <c r="E12161" s="15">
        <v>18.966799999999999</v>
      </c>
      <c r="F12161" s="42">
        <v>46198</v>
      </c>
    </row>
    <row r="12162" spans="1:6" x14ac:dyDescent="0.3">
      <c r="A12162" s="15" t="s">
        <v>37836</v>
      </c>
      <c r="B12162" s="15" t="s">
        <v>22368</v>
      </c>
      <c r="C12162" s="15" t="s">
        <v>800</v>
      </c>
      <c r="D12162" s="15" t="s">
        <v>22369</v>
      </c>
      <c r="E12162" s="15">
        <v>884.75120000000004</v>
      </c>
      <c r="F12162" s="42">
        <v>46198</v>
      </c>
    </row>
    <row r="12163" spans="1:6" x14ac:dyDescent="0.3">
      <c r="A12163" s="15" t="s">
        <v>37835</v>
      </c>
      <c r="B12163" s="15" t="s">
        <v>22370</v>
      </c>
      <c r="C12163" s="15" t="s">
        <v>800</v>
      </c>
      <c r="D12163" s="15" t="s">
        <v>22371</v>
      </c>
      <c r="E12163" s="15">
        <v>263.35419999999999</v>
      </c>
      <c r="F12163" s="42">
        <v>46198</v>
      </c>
    </row>
    <row r="12164" spans="1:6" x14ac:dyDescent="0.3">
      <c r="A12164" s="15" t="s">
        <v>37834</v>
      </c>
      <c r="B12164" s="15" t="s">
        <v>22372</v>
      </c>
      <c r="C12164" s="15" t="s">
        <v>800</v>
      </c>
      <c r="D12164" s="15" t="s">
        <v>22373</v>
      </c>
      <c r="E12164" s="15">
        <v>27.9878</v>
      </c>
      <c r="F12164" s="42">
        <v>46198</v>
      </c>
    </row>
    <row r="12165" spans="1:6" x14ac:dyDescent="0.3">
      <c r="A12165" s="15" t="s">
        <v>37833</v>
      </c>
      <c r="B12165" s="15" t="s">
        <v>22374</v>
      </c>
      <c r="C12165" s="15" t="s">
        <v>800</v>
      </c>
      <c r="D12165" s="15" t="s">
        <v>22375</v>
      </c>
      <c r="E12165" s="15">
        <v>21.833600000000001</v>
      </c>
      <c r="F12165" s="42">
        <v>46198</v>
      </c>
    </row>
    <row r="12166" spans="1:6" x14ac:dyDescent="0.3">
      <c r="A12166" s="15" t="s">
        <v>37832</v>
      </c>
      <c r="B12166" s="15" t="s">
        <v>22376</v>
      </c>
      <c r="C12166" s="15" t="s">
        <v>800</v>
      </c>
      <c r="D12166" s="15" t="s">
        <v>22377</v>
      </c>
      <c r="E12166" s="15">
        <v>31.747499999999999</v>
      </c>
      <c r="F12166" s="42">
        <v>46198</v>
      </c>
    </row>
    <row r="12167" spans="1:6" x14ac:dyDescent="0.3">
      <c r="A12167" s="15" t="s">
        <v>37831</v>
      </c>
      <c r="B12167" s="15" t="s">
        <v>22378</v>
      </c>
      <c r="C12167" s="15" t="s">
        <v>800</v>
      </c>
      <c r="D12167" s="15" t="s">
        <v>22379</v>
      </c>
      <c r="E12167" s="15">
        <v>20.473600000000001</v>
      </c>
      <c r="F12167" s="42">
        <v>46198</v>
      </c>
    </row>
    <row r="12168" spans="1:6" x14ac:dyDescent="0.3">
      <c r="A12168" s="15" t="s">
        <v>37830</v>
      </c>
      <c r="B12168" s="15" t="s">
        <v>22380</v>
      </c>
      <c r="C12168" s="15" t="s">
        <v>800</v>
      </c>
      <c r="D12168" s="15" t="s">
        <v>22381</v>
      </c>
      <c r="E12168" s="15">
        <v>65.852099999999993</v>
      </c>
      <c r="F12168" s="42">
        <v>46198</v>
      </c>
    </row>
    <row r="12169" spans="1:6" x14ac:dyDescent="0.3">
      <c r="A12169" s="15" t="s">
        <v>37829</v>
      </c>
      <c r="B12169" s="15" t="s">
        <v>22382</v>
      </c>
      <c r="C12169" s="15" t="s">
        <v>800</v>
      </c>
      <c r="D12169" s="15" t="s">
        <v>22383</v>
      </c>
      <c r="E12169" s="15">
        <v>272.06380000000001</v>
      </c>
      <c r="F12169" s="42">
        <v>46198</v>
      </c>
    </row>
    <row r="12170" spans="1:6" x14ac:dyDescent="0.3">
      <c r="A12170" s="15" t="s">
        <v>37828</v>
      </c>
      <c r="B12170" s="15" t="s">
        <v>22384</v>
      </c>
      <c r="C12170" s="15" t="s">
        <v>800</v>
      </c>
      <c r="D12170" s="15" t="s">
        <v>22385</v>
      </c>
      <c r="E12170" s="15">
        <v>27.310199999999998</v>
      </c>
      <c r="F12170" s="42">
        <v>46198</v>
      </c>
    </row>
    <row r="12171" spans="1:6" x14ac:dyDescent="0.3">
      <c r="A12171" s="15" t="s">
        <v>37827</v>
      </c>
      <c r="B12171" s="15" t="s">
        <v>22386</v>
      </c>
      <c r="C12171" s="15" t="s">
        <v>800</v>
      </c>
      <c r="D12171" s="15" t="s">
        <v>22387</v>
      </c>
      <c r="E12171" s="15">
        <v>27.822700000000001</v>
      </c>
      <c r="F12171" s="42">
        <v>46198</v>
      </c>
    </row>
    <row r="12172" spans="1:6" x14ac:dyDescent="0.3">
      <c r="A12172" s="15" t="s">
        <v>37826</v>
      </c>
      <c r="B12172" s="15" t="s">
        <v>22388</v>
      </c>
      <c r="C12172" s="15" t="s">
        <v>800</v>
      </c>
      <c r="D12172" s="15" t="s">
        <v>22389</v>
      </c>
      <c r="E12172" s="15">
        <v>59.735100000000003</v>
      </c>
      <c r="F12172" s="42">
        <v>46198</v>
      </c>
    </row>
    <row r="12173" spans="1:6" x14ac:dyDescent="0.3">
      <c r="A12173" s="15" t="s">
        <v>37825</v>
      </c>
      <c r="B12173" s="15" t="s">
        <v>22390</v>
      </c>
      <c r="C12173" s="15" t="s">
        <v>800</v>
      </c>
      <c r="D12173" s="15" t="s">
        <v>22391</v>
      </c>
      <c r="E12173" s="15">
        <v>100.2619</v>
      </c>
      <c r="F12173" s="42">
        <v>46198</v>
      </c>
    </row>
    <row r="12174" spans="1:6" x14ac:dyDescent="0.3">
      <c r="A12174" s="15" t="s">
        <v>37824</v>
      </c>
      <c r="B12174" s="15" t="s">
        <v>22392</v>
      </c>
      <c r="C12174" s="15" t="s">
        <v>800</v>
      </c>
      <c r="D12174" s="15" t="s">
        <v>22393</v>
      </c>
      <c r="E12174" s="15">
        <v>31.598299999999998</v>
      </c>
      <c r="F12174" s="42">
        <v>46198</v>
      </c>
    </row>
    <row r="12175" spans="1:6" x14ac:dyDescent="0.3">
      <c r="A12175" s="15" t="s">
        <v>37823</v>
      </c>
      <c r="B12175" s="15" t="s">
        <v>22394</v>
      </c>
      <c r="C12175" s="15" t="s">
        <v>800</v>
      </c>
      <c r="D12175" s="15" t="s">
        <v>22395</v>
      </c>
      <c r="E12175" s="15">
        <v>32.2423</v>
      </c>
      <c r="F12175" s="42">
        <v>46198</v>
      </c>
    </row>
    <row r="12176" spans="1:6" x14ac:dyDescent="0.3">
      <c r="A12176" s="15" t="s">
        <v>37822</v>
      </c>
      <c r="B12176" s="15" t="s">
        <v>22396</v>
      </c>
      <c r="C12176" s="15" t="s">
        <v>800</v>
      </c>
      <c r="D12176" s="15" t="s">
        <v>22397</v>
      </c>
      <c r="E12176" s="15">
        <v>52.9983</v>
      </c>
      <c r="F12176" s="42">
        <v>46198</v>
      </c>
    </row>
    <row r="12177" spans="1:6" x14ac:dyDescent="0.3">
      <c r="A12177" s="15" t="s">
        <v>37821</v>
      </c>
      <c r="B12177" s="15" t="s">
        <v>22398</v>
      </c>
      <c r="C12177" s="15" t="s">
        <v>800</v>
      </c>
      <c r="D12177" s="15" t="s">
        <v>22399</v>
      </c>
      <c r="E12177" s="15">
        <v>163.61019999999999</v>
      </c>
      <c r="F12177" s="42">
        <v>46198</v>
      </c>
    </row>
    <row r="12178" spans="1:6" x14ac:dyDescent="0.3">
      <c r="A12178" s="15" t="s">
        <v>37820</v>
      </c>
      <c r="B12178" s="15" t="s">
        <v>22400</v>
      </c>
      <c r="C12178" s="15" t="s">
        <v>800</v>
      </c>
      <c r="D12178" s="15" t="s">
        <v>22401</v>
      </c>
      <c r="E12178" s="15">
        <v>119.8738</v>
      </c>
      <c r="F12178" s="42">
        <v>46198</v>
      </c>
    </row>
    <row r="12179" spans="1:6" x14ac:dyDescent="0.3">
      <c r="A12179" s="15" t="s">
        <v>37819</v>
      </c>
      <c r="B12179" s="15" t="s">
        <v>22402</v>
      </c>
      <c r="C12179" s="15" t="s">
        <v>800</v>
      </c>
      <c r="D12179" s="15" t="s">
        <v>22403</v>
      </c>
      <c r="E12179" s="15">
        <v>97.254000000000005</v>
      </c>
      <c r="F12179" s="42">
        <v>46198</v>
      </c>
    </row>
    <row r="12180" spans="1:6" x14ac:dyDescent="0.3">
      <c r="A12180" s="15" t="s">
        <v>37818</v>
      </c>
      <c r="B12180" s="15" t="s">
        <v>22404</v>
      </c>
      <c r="C12180" s="15" t="s">
        <v>800</v>
      </c>
      <c r="D12180" s="15" t="s">
        <v>22405</v>
      </c>
      <c r="E12180" s="15">
        <v>30.319099999999999</v>
      </c>
      <c r="F12180" s="42">
        <v>46198</v>
      </c>
    </row>
    <row r="12181" spans="1:6" x14ac:dyDescent="0.3">
      <c r="A12181" s="15" t="s">
        <v>37817</v>
      </c>
      <c r="B12181" s="15" t="s">
        <v>22406</v>
      </c>
      <c r="C12181" s="15" t="s">
        <v>800</v>
      </c>
      <c r="D12181" s="15" t="s">
        <v>22407</v>
      </c>
      <c r="E12181" s="15">
        <v>12.5091</v>
      </c>
      <c r="F12181" s="42">
        <v>46198</v>
      </c>
    </row>
    <row r="12182" spans="1:6" x14ac:dyDescent="0.3">
      <c r="A12182" s="15" t="s">
        <v>37816</v>
      </c>
      <c r="B12182" s="15" t="s">
        <v>22408</v>
      </c>
      <c r="C12182" s="15" t="s">
        <v>800</v>
      </c>
      <c r="D12182" s="15" t="s">
        <v>22409</v>
      </c>
      <c r="E12182" s="15">
        <v>23.516999999999999</v>
      </c>
      <c r="F12182" s="42">
        <v>46198</v>
      </c>
    </row>
    <row r="12183" spans="1:6" x14ac:dyDescent="0.3">
      <c r="A12183" s="15" t="s">
        <v>37815</v>
      </c>
      <c r="B12183" s="15" t="s">
        <v>22410</v>
      </c>
      <c r="C12183" s="15" t="s">
        <v>800</v>
      </c>
      <c r="D12183" s="15" t="s">
        <v>22411</v>
      </c>
      <c r="E12183" s="15">
        <v>75.999600000000001</v>
      </c>
      <c r="F12183" s="42">
        <v>46198</v>
      </c>
    </row>
    <row r="12184" spans="1:6" x14ac:dyDescent="0.3">
      <c r="A12184" s="15" t="s">
        <v>37814</v>
      </c>
      <c r="B12184" s="15" t="s">
        <v>22412</v>
      </c>
      <c r="C12184" s="15" t="s">
        <v>800</v>
      </c>
      <c r="D12184" s="15" t="s">
        <v>22413</v>
      </c>
      <c r="E12184" s="15">
        <v>11.311999999999999</v>
      </c>
      <c r="F12184" s="42">
        <v>46198</v>
      </c>
    </row>
    <row r="12185" spans="1:6" x14ac:dyDescent="0.3">
      <c r="A12185" s="15" t="s">
        <v>37813</v>
      </c>
      <c r="B12185" s="15" t="s">
        <v>22414</v>
      </c>
      <c r="C12185" s="15" t="s">
        <v>800</v>
      </c>
      <c r="D12185" s="15" t="s">
        <v>22415</v>
      </c>
      <c r="E12185" s="15">
        <v>28.5898</v>
      </c>
      <c r="F12185" s="42">
        <v>46198</v>
      </c>
    </row>
    <row r="12186" spans="1:6" x14ac:dyDescent="0.3">
      <c r="A12186" s="15" t="s">
        <v>37812</v>
      </c>
      <c r="B12186" s="15" t="s">
        <v>22416</v>
      </c>
      <c r="C12186" s="15" t="s">
        <v>800</v>
      </c>
      <c r="D12186" s="15" t="s">
        <v>22417</v>
      </c>
      <c r="E12186" s="15">
        <v>87.667900000000003</v>
      </c>
      <c r="F12186" s="42">
        <v>46198</v>
      </c>
    </row>
    <row r="12187" spans="1:6" x14ac:dyDescent="0.3">
      <c r="A12187" s="15" t="s">
        <v>47249</v>
      </c>
      <c r="B12187" s="15" t="s">
        <v>47250</v>
      </c>
      <c r="C12187" s="15" t="s">
        <v>800</v>
      </c>
      <c r="D12187" s="15" t="s">
        <v>47251</v>
      </c>
      <c r="E12187" s="15">
        <v>17.703700000000001</v>
      </c>
      <c r="F12187" s="42">
        <v>46198</v>
      </c>
    </row>
    <row r="12188" spans="1:6" x14ac:dyDescent="0.3">
      <c r="A12188" s="15" t="s">
        <v>37811</v>
      </c>
      <c r="B12188" s="15" t="s">
        <v>22418</v>
      </c>
      <c r="C12188" s="15" t="s">
        <v>800</v>
      </c>
      <c r="D12188" s="15" t="s">
        <v>22419</v>
      </c>
      <c r="E12188" s="15">
        <v>9.8908000000000005</v>
      </c>
      <c r="F12188" s="42">
        <v>46198</v>
      </c>
    </row>
    <row r="12189" spans="1:6" x14ac:dyDescent="0.3">
      <c r="A12189" s="15" t="s">
        <v>37810</v>
      </c>
      <c r="B12189" s="15" t="s">
        <v>22420</v>
      </c>
      <c r="C12189" s="15" t="s">
        <v>800</v>
      </c>
      <c r="D12189" s="15" t="s">
        <v>22421</v>
      </c>
      <c r="E12189" s="15">
        <v>15.489699999999999</v>
      </c>
      <c r="F12189" s="42">
        <v>46198</v>
      </c>
    </row>
    <row r="12190" spans="1:6" x14ac:dyDescent="0.3">
      <c r="A12190" s="15" t="s">
        <v>37809</v>
      </c>
      <c r="B12190" s="15" t="s">
        <v>22422</v>
      </c>
      <c r="C12190" s="15" t="s">
        <v>800</v>
      </c>
      <c r="D12190" s="15" t="s">
        <v>22423</v>
      </c>
      <c r="E12190" s="15">
        <v>13.7738</v>
      </c>
      <c r="F12190" s="42">
        <v>46198</v>
      </c>
    </row>
    <row r="12191" spans="1:6" x14ac:dyDescent="0.3">
      <c r="A12191" s="15" t="s">
        <v>37808</v>
      </c>
      <c r="B12191" s="15" t="s">
        <v>22424</v>
      </c>
      <c r="C12191" s="15" t="s">
        <v>800</v>
      </c>
      <c r="D12191" s="15" t="s">
        <v>22425</v>
      </c>
      <c r="E12191" s="15">
        <v>216.66579999999999</v>
      </c>
      <c r="F12191" s="42">
        <v>46198</v>
      </c>
    </row>
    <row r="12192" spans="1:6" x14ac:dyDescent="0.3">
      <c r="A12192" s="15" t="s">
        <v>33499</v>
      </c>
      <c r="B12192" s="15" t="s">
        <v>795</v>
      </c>
      <c r="C12192" s="15" t="s">
        <v>795</v>
      </c>
      <c r="D12192" s="15" t="s">
        <v>795</v>
      </c>
      <c r="F12192" s="42"/>
    </row>
    <row r="12193" spans="1:6" x14ac:dyDescent="0.3">
      <c r="A12193" s="15" t="s">
        <v>37807</v>
      </c>
      <c r="B12193" s="15" t="s">
        <v>795</v>
      </c>
      <c r="C12193" s="15" t="s">
        <v>795</v>
      </c>
      <c r="D12193" s="15" t="s">
        <v>795</v>
      </c>
      <c r="F12193" s="42"/>
    </row>
    <row r="12194" spans="1:6" x14ac:dyDescent="0.3">
      <c r="A12194" s="15" t="s">
        <v>33499</v>
      </c>
      <c r="B12194" s="15" t="s">
        <v>795</v>
      </c>
      <c r="C12194" s="15" t="s">
        <v>795</v>
      </c>
      <c r="D12194" s="15" t="s">
        <v>795</v>
      </c>
      <c r="F12194" s="42"/>
    </row>
    <row r="12195" spans="1:6" x14ac:dyDescent="0.3">
      <c r="A12195" s="15" t="s">
        <v>37806</v>
      </c>
      <c r="B12195" s="15" t="s">
        <v>22426</v>
      </c>
      <c r="C12195" s="15" t="s">
        <v>800</v>
      </c>
      <c r="D12195" s="15" t="s">
        <v>22427</v>
      </c>
      <c r="E12195" s="15">
        <v>2753.0345000000002</v>
      </c>
      <c r="F12195" s="42">
        <v>46198</v>
      </c>
    </row>
    <row r="12196" spans="1:6" x14ac:dyDescent="0.3">
      <c r="A12196" s="15" t="s">
        <v>33499</v>
      </c>
      <c r="B12196" s="15" t="s">
        <v>795</v>
      </c>
      <c r="C12196" s="15" t="s">
        <v>795</v>
      </c>
      <c r="D12196" s="15" t="s">
        <v>795</v>
      </c>
      <c r="F12196" s="42"/>
    </row>
    <row r="12197" spans="1:6" x14ac:dyDescent="0.3">
      <c r="A12197" s="15" t="s">
        <v>139</v>
      </c>
      <c r="B12197" s="15" t="s">
        <v>795</v>
      </c>
      <c r="C12197" s="15" t="s">
        <v>795</v>
      </c>
      <c r="D12197" s="15" t="s">
        <v>795</v>
      </c>
      <c r="F12197" s="42"/>
    </row>
    <row r="12198" spans="1:6" x14ac:dyDescent="0.3">
      <c r="A12198" s="15" t="s">
        <v>33499</v>
      </c>
      <c r="B12198" s="15" t="s">
        <v>795</v>
      </c>
      <c r="C12198" s="15" t="s">
        <v>795</v>
      </c>
      <c r="D12198" s="15" t="s">
        <v>795</v>
      </c>
      <c r="F12198" s="42"/>
    </row>
    <row r="12199" spans="1:6" x14ac:dyDescent="0.3">
      <c r="A12199" s="15" t="s">
        <v>37805</v>
      </c>
      <c r="B12199" s="15" t="s">
        <v>22428</v>
      </c>
      <c r="C12199" s="15" t="s">
        <v>800</v>
      </c>
      <c r="D12199" s="15" t="s">
        <v>22429</v>
      </c>
      <c r="E12199" s="15">
        <v>84.431100000000001</v>
      </c>
      <c r="F12199" s="42">
        <v>46198</v>
      </c>
    </row>
    <row r="12200" spans="1:6" x14ac:dyDescent="0.3">
      <c r="A12200" s="15" t="s">
        <v>37804</v>
      </c>
      <c r="B12200" s="15" t="s">
        <v>22430</v>
      </c>
      <c r="C12200" s="15" t="s">
        <v>800</v>
      </c>
      <c r="D12200" s="15" t="s">
        <v>22431</v>
      </c>
      <c r="E12200" s="15">
        <v>29.634</v>
      </c>
      <c r="F12200" s="42">
        <v>46198</v>
      </c>
    </row>
    <row r="12201" spans="1:6" x14ac:dyDescent="0.3">
      <c r="A12201" s="15" t="s">
        <v>37803</v>
      </c>
      <c r="B12201" s="15" t="s">
        <v>22432</v>
      </c>
      <c r="C12201" s="15" t="s">
        <v>800</v>
      </c>
      <c r="D12201" s="15" t="s">
        <v>22433</v>
      </c>
      <c r="E12201" s="15">
        <v>34.628</v>
      </c>
      <c r="F12201" s="42">
        <v>46198</v>
      </c>
    </row>
    <row r="12202" spans="1:6" x14ac:dyDescent="0.3">
      <c r="A12202" s="15" t="s">
        <v>37802</v>
      </c>
      <c r="B12202" s="15" t="s">
        <v>22434</v>
      </c>
      <c r="C12202" s="15" t="s">
        <v>800</v>
      </c>
      <c r="D12202" s="15" t="s">
        <v>22435</v>
      </c>
      <c r="E12202" s="15">
        <v>20.7911</v>
      </c>
      <c r="F12202" s="42">
        <v>46198</v>
      </c>
    </row>
    <row r="12203" spans="1:6" x14ac:dyDescent="0.3">
      <c r="A12203" s="15" t="s">
        <v>37801</v>
      </c>
      <c r="B12203" s="15" t="s">
        <v>22436</v>
      </c>
      <c r="C12203" s="15" t="s">
        <v>800</v>
      </c>
      <c r="D12203" s="15" t="s">
        <v>22437</v>
      </c>
      <c r="E12203" s="15">
        <v>1110.9458</v>
      </c>
      <c r="F12203" s="42">
        <v>46201</v>
      </c>
    </row>
    <row r="12204" spans="1:6" x14ac:dyDescent="0.3">
      <c r="A12204" s="15" t="s">
        <v>37800</v>
      </c>
      <c r="B12204" s="15" t="s">
        <v>22438</v>
      </c>
      <c r="C12204" s="15" t="s">
        <v>800</v>
      </c>
      <c r="D12204" s="15" t="s">
        <v>22439</v>
      </c>
      <c r="E12204" s="15">
        <v>31.196000000000002</v>
      </c>
      <c r="F12204" s="42">
        <v>46198</v>
      </c>
    </row>
    <row r="12205" spans="1:6" x14ac:dyDescent="0.3">
      <c r="A12205" s="15" t="s">
        <v>37799</v>
      </c>
      <c r="B12205" s="15" t="s">
        <v>22440</v>
      </c>
      <c r="C12205" s="15" t="s">
        <v>800</v>
      </c>
      <c r="D12205" s="15" t="s">
        <v>22441</v>
      </c>
      <c r="E12205" s="15">
        <v>266.34269999999998</v>
      </c>
      <c r="F12205" s="42">
        <v>46198</v>
      </c>
    </row>
    <row r="12206" spans="1:6" x14ac:dyDescent="0.3">
      <c r="A12206" s="15" t="s">
        <v>37798</v>
      </c>
      <c r="B12206" s="15" t="s">
        <v>22442</v>
      </c>
      <c r="C12206" s="15" t="s">
        <v>800</v>
      </c>
      <c r="D12206" s="15" t="s">
        <v>22443</v>
      </c>
      <c r="E12206" s="15">
        <v>14.120200000000001</v>
      </c>
      <c r="F12206" s="42">
        <v>46198</v>
      </c>
    </row>
    <row r="12207" spans="1:6" x14ac:dyDescent="0.3">
      <c r="A12207" s="15" t="s">
        <v>37797</v>
      </c>
      <c r="B12207" s="15" t="s">
        <v>22444</v>
      </c>
      <c r="C12207" s="15" t="s">
        <v>800</v>
      </c>
      <c r="D12207" s="15" t="s">
        <v>22445</v>
      </c>
      <c r="E12207" s="15">
        <v>51.311500000000002</v>
      </c>
      <c r="F12207" s="42">
        <v>46198</v>
      </c>
    </row>
    <row r="12208" spans="1:6" x14ac:dyDescent="0.3">
      <c r="A12208" s="15" t="s">
        <v>37796</v>
      </c>
      <c r="B12208" s="15" t="s">
        <v>22446</v>
      </c>
      <c r="C12208" s="15" t="s">
        <v>800</v>
      </c>
      <c r="D12208" s="15" t="s">
        <v>22447</v>
      </c>
      <c r="E12208" s="15">
        <v>60.373899999999999</v>
      </c>
      <c r="F12208" s="42">
        <v>46198</v>
      </c>
    </row>
    <row r="12209" spans="1:6" x14ac:dyDescent="0.3">
      <c r="A12209" s="15" t="s">
        <v>37795</v>
      </c>
      <c r="B12209" s="15" t="s">
        <v>22448</v>
      </c>
      <c r="C12209" s="15" t="s">
        <v>800</v>
      </c>
      <c r="D12209" s="15" t="s">
        <v>22449</v>
      </c>
      <c r="E12209" s="15">
        <v>29.603999999999999</v>
      </c>
      <c r="F12209" s="42">
        <v>46198</v>
      </c>
    </row>
    <row r="12210" spans="1:6" x14ac:dyDescent="0.3">
      <c r="A12210" s="15" t="s">
        <v>37794</v>
      </c>
      <c r="B12210" s="15" t="s">
        <v>22450</v>
      </c>
      <c r="C12210" s="15" t="s">
        <v>800</v>
      </c>
      <c r="D12210" s="15" t="s">
        <v>22451</v>
      </c>
      <c r="E12210" s="15">
        <v>11.895300000000001</v>
      </c>
      <c r="F12210" s="42">
        <v>46198</v>
      </c>
    </row>
    <row r="12211" spans="1:6" x14ac:dyDescent="0.3">
      <c r="A12211" s="15" t="s">
        <v>37793</v>
      </c>
      <c r="B12211" s="15" t="s">
        <v>22452</v>
      </c>
      <c r="C12211" s="15" t="s">
        <v>800</v>
      </c>
      <c r="D12211" s="15" t="s">
        <v>22453</v>
      </c>
      <c r="E12211" s="15">
        <v>30.305700000000002</v>
      </c>
      <c r="F12211" s="42">
        <v>46198</v>
      </c>
    </row>
    <row r="12212" spans="1:6" x14ac:dyDescent="0.3">
      <c r="A12212" s="15" t="s">
        <v>37792</v>
      </c>
      <c r="B12212" s="15" t="s">
        <v>22454</v>
      </c>
      <c r="C12212" s="15" t="s">
        <v>800</v>
      </c>
      <c r="D12212" s="15" t="s">
        <v>22455</v>
      </c>
      <c r="E12212" s="15">
        <v>23.094999999999999</v>
      </c>
      <c r="F12212" s="42">
        <v>46198</v>
      </c>
    </row>
    <row r="12213" spans="1:6" x14ac:dyDescent="0.3">
      <c r="A12213" s="15" t="s">
        <v>37791</v>
      </c>
      <c r="B12213" s="15" t="s">
        <v>22456</v>
      </c>
      <c r="C12213" s="15" t="s">
        <v>800</v>
      </c>
      <c r="D12213" s="15" t="s">
        <v>22457</v>
      </c>
      <c r="E12213" s="15">
        <v>17.947199999999999</v>
      </c>
      <c r="F12213" s="42">
        <v>46198</v>
      </c>
    </row>
    <row r="12214" spans="1:6" x14ac:dyDescent="0.3">
      <c r="A12214" s="15" t="s">
        <v>37790</v>
      </c>
      <c r="B12214" s="15" t="s">
        <v>22458</v>
      </c>
      <c r="C12214" s="15" t="s">
        <v>800</v>
      </c>
      <c r="D12214" s="15" t="s">
        <v>22459</v>
      </c>
      <c r="E12214" s="15">
        <v>33.4069</v>
      </c>
      <c r="F12214" s="42">
        <v>46198</v>
      </c>
    </row>
    <row r="12215" spans="1:6" x14ac:dyDescent="0.3">
      <c r="A12215" s="15" t="s">
        <v>37789</v>
      </c>
      <c r="B12215" s="15" t="s">
        <v>22460</v>
      </c>
      <c r="C12215" s="15" t="s">
        <v>800</v>
      </c>
      <c r="D12215" s="15" t="s">
        <v>22461</v>
      </c>
      <c r="E12215" s="15">
        <v>72.55</v>
      </c>
      <c r="F12215" s="42">
        <v>46198</v>
      </c>
    </row>
    <row r="12216" spans="1:6" x14ac:dyDescent="0.3">
      <c r="A12216" s="15" t="s">
        <v>37788</v>
      </c>
      <c r="B12216" s="15" t="s">
        <v>22462</v>
      </c>
      <c r="C12216" s="15" t="s">
        <v>800</v>
      </c>
      <c r="D12216" s="15" t="s">
        <v>22463</v>
      </c>
      <c r="E12216" s="15">
        <v>865.31780000000003</v>
      </c>
      <c r="F12216" s="42">
        <v>46198</v>
      </c>
    </row>
    <row r="12217" spans="1:6" x14ac:dyDescent="0.3">
      <c r="A12217" s="15" t="s">
        <v>37787</v>
      </c>
      <c r="B12217" s="15" t="s">
        <v>22464</v>
      </c>
      <c r="C12217" s="15" t="s">
        <v>800</v>
      </c>
      <c r="D12217" s="15" t="s">
        <v>22465</v>
      </c>
      <c r="E12217" s="15">
        <v>20.047999999999998</v>
      </c>
      <c r="F12217" s="42">
        <v>46198</v>
      </c>
    </row>
    <row r="12218" spans="1:6" x14ac:dyDescent="0.3">
      <c r="A12218" s="15" t="s">
        <v>37786</v>
      </c>
      <c r="B12218" s="15" t="s">
        <v>22466</v>
      </c>
      <c r="C12218" s="15" t="s">
        <v>800</v>
      </c>
      <c r="D12218" s="15" t="s">
        <v>22467</v>
      </c>
      <c r="E12218" s="15">
        <v>21.057600000000001</v>
      </c>
      <c r="F12218" s="42">
        <v>46198</v>
      </c>
    </row>
    <row r="12219" spans="1:6" x14ac:dyDescent="0.3">
      <c r="A12219" s="15" t="s">
        <v>33499</v>
      </c>
      <c r="B12219" s="15" t="s">
        <v>795</v>
      </c>
      <c r="C12219" s="15" t="s">
        <v>795</v>
      </c>
      <c r="D12219" s="15" t="s">
        <v>795</v>
      </c>
      <c r="F12219" s="42"/>
    </row>
    <row r="12220" spans="1:6" x14ac:dyDescent="0.3">
      <c r="A12220" s="15" t="s">
        <v>37618</v>
      </c>
      <c r="B12220" s="15" t="s">
        <v>795</v>
      </c>
      <c r="C12220" s="15" t="s">
        <v>795</v>
      </c>
      <c r="D12220" s="15" t="s">
        <v>795</v>
      </c>
      <c r="F12220" s="42"/>
    </row>
    <row r="12221" spans="1:6" x14ac:dyDescent="0.3">
      <c r="A12221" s="15" t="s">
        <v>33499</v>
      </c>
      <c r="B12221" s="15" t="s">
        <v>795</v>
      </c>
      <c r="C12221" s="15" t="s">
        <v>795</v>
      </c>
      <c r="D12221" s="15" t="s">
        <v>795</v>
      </c>
      <c r="F12221" s="42"/>
    </row>
    <row r="12222" spans="1:6" x14ac:dyDescent="0.3">
      <c r="A12222" s="15" t="s">
        <v>37785</v>
      </c>
      <c r="B12222" s="15" t="s">
        <v>22468</v>
      </c>
      <c r="C12222" s="15" t="s">
        <v>800</v>
      </c>
      <c r="D12222" s="15" t="s">
        <v>22469</v>
      </c>
      <c r="E12222" s="15">
        <v>869.30489999999998</v>
      </c>
      <c r="F12222" s="42">
        <v>46198</v>
      </c>
    </row>
    <row r="12223" spans="1:6" x14ac:dyDescent="0.3">
      <c r="A12223" s="15" t="s">
        <v>37784</v>
      </c>
      <c r="B12223" s="15" t="s">
        <v>22470</v>
      </c>
      <c r="C12223" s="15" t="s">
        <v>800</v>
      </c>
      <c r="D12223" s="15" t="s">
        <v>22471</v>
      </c>
      <c r="E12223" s="15">
        <v>274.79570000000001</v>
      </c>
      <c r="F12223" s="42">
        <v>46198</v>
      </c>
    </row>
    <row r="12224" spans="1:6" x14ac:dyDescent="0.3">
      <c r="A12224" s="15" t="s">
        <v>37783</v>
      </c>
      <c r="B12224" s="15" t="s">
        <v>22472</v>
      </c>
      <c r="C12224" s="15" t="s">
        <v>800</v>
      </c>
      <c r="D12224" s="15" t="s">
        <v>22473</v>
      </c>
      <c r="E12224" s="15">
        <v>269.29880000000003</v>
      </c>
      <c r="F12224" s="42">
        <v>46198</v>
      </c>
    </row>
    <row r="12225" spans="1:6" x14ac:dyDescent="0.3">
      <c r="A12225" s="15" t="s">
        <v>37782</v>
      </c>
      <c r="B12225" s="15" t="s">
        <v>22474</v>
      </c>
      <c r="C12225" s="15" t="s">
        <v>800</v>
      </c>
      <c r="D12225" s="15" t="s">
        <v>22475</v>
      </c>
      <c r="E12225" s="15">
        <v>29.3109</v>
      </c>
      <c r="F12225" s="42">
        <v>46198</v>
      </c>
    </row>
    <row r="12226" spans="1:6" x14ac:dyDescent="0.3">
      <c r="A12226" s="15" t="s">
        <v>37781</v>
      </c>
      <c r="B12226" s="15" t="s">
        <v>22476</v>
      </c>
      <c r="C12226" s="15" t="s">
        <v>800</v>
      </c>
      <c r="D12226" s="15" t="s">
        <v>22477</v>
      </c>
      <c r="E12226" s="15">
        <v>62.138199999999998</v>
      </c>
      <c r="F12226" s="42">
        <v>46198</v>
      </c>
    </row>
    <row r="12227" spans="1:6" x14ac:dyDescent="0.3">
      <c r="A12227" s="15" t="s">
        <v>33499</v>
      </c>
      <c r="B12227" s="15" t="s">
        <v>795</v>
      </c>
      <c r="C12227" s="15" t="s">
        <v>795</v>
      </c>
      <c r="D12227" s="15" t="s">
        <v>795</v>
      </c>
      <c r="F12227" s="42"/>
    </row>
    <row r="12228" spans="1:6" x14ac:dyDescent="0.3">
      <c r="A12228" s="15" t="s">
        <v>37780</v>
      </c>
      <c r="B12228" s="15" t="s">
        <v>795</v>
      </c>
      <c r="C12228" s="15" t="s">
        <v>795</v>
      </c>
      <c r="D12228" s="15" t="s">
        <v>795</v>
      </c>
      <c r="F12228" s="42"/>
    </row>
    <row r="12229" spans="1:6" x14ac:dyDescent="0.3">
      <c r="A12229" s="15" t="s">
        <v>33499</v>
      </c>
      <c r="B12229" s="15" t="s">
        <v>795</v>
      </c>
      <c r="C12229" s="15" t="s">
        <v>795</v>
      </c>
      <c r="D12229" s="15" t="s">
        <v>795</v>
      </c>
      <c r="F12229" s="42"/>
    </row>
    <row r="12230" spans="1:6" x14ac:dyDescent="0.3">
      <c r="A12230" s="15" t="s">
        <v>37779</v>
      </c>
      <c r="B12230" s="15" t="s">
        <v>22478</v>
      </c>
      <c r="C12230" s="15" t="s">
        <v>800</v>
      </c>
      <c r="D12230" s="15" t="s">
        <v>22479</v>
      </c>
      <c r="E12230" s="15">
        <v>13.592499999999999</v>
      </c>
      <c r="F12230" s="42">
        <v>46198</v>
      </c>
    </row>
    <row r="12231" spans="1:6" x14ac:dyDescent="0.3">
      <c r="A12231" s="15" t="s">
        <v>37778</v>
      </c>
      <c r="B12231" s="15" t="s">
        <v>22480</v>
      </c>
      <c r="C12231" s="15" t="s">
        <v>800</v>
      </c>
      <c r="D12231" s="15" t="s">
        <v>22481</v>
      </c>
      <c r="E12231" s="15">
        <v>34.844299999999997</v>
      </c>
      <c r="F12231" s="42">
        <v>46198</v>
      </c>
    </row>
    <row r="12232" spans="1:6" x14ac:dyDescent="0.3">
      <c r="A12232" s="15" t="s">
        <v>37777</v>
      </c>
      <c r="B12232" s="15" t="s">
        <v>22482</v>
      </c>
      <c r="C12232" s="15" t="s">
        <v>800</v>
      </c>
      <c r="D12232" s="15" t="s">
        <v>22483</v>
      </c>
      <c r="E12232" s="15">
        <v>78.041399999999996</v>
      </c>
      <c r="F12232" s="42">
        <v>46198</v>
      </c>
    </row>
    <row r="12233" spans="1:6" x14ac:dyDescent="0.3">
      <c r="A12233" s="15" t="s">
        <v>37776</v>
      </c>
      <c r="B12233" s="15" t="s">
        <v>22484</v>
      </c>
      <c r="C12233" s="15" t="s">
        <v>800</v>
      </c>
      <c r="D12233" s="15" t="s">
        <v>22485</v>
      </c>
      <c r="E12233" s="15">
        <v>44.839300000000001</v>
      </c>
      <c r="F12233" s="42">
        <v>46198</v>
      </c>
    </row>
    <row r="12234" spans="1:6" x14ac:dyDescent="0.3">
      <c r="A12234" s="15" t="s">
        <v>37775</v>
      </c>
      <c r="B12234" s="15" t="s">
        <v>22486</v>
      </c>
      <c r="C12234" s="15" t="s">
        <v>800</v>
      </c>
      <c r="D12234" s="15" t="s">
        <v>22487</v>
      </c>
      <c r="E12234" s="15">
        <v>79.405600000000007</v>
      </c>
      <c r="F12234" s="42">
        <v>46198</v>
      </c>
    </row>
    <row r="12235" spans="1:6" x14ac:dyDescent="0.3">
      <c r="A12235" s="15" t="s">
        <v>37774</v>
      </c>
      <c r="B12235" s="15" t="s">
        <v>22488</v>
      </c>
      <c r="C12235" s="15" t="s">
        <v>800</v>
      </c>
      <c r="D12235" s="15" t="s">
        <v>22489</v>
      </c>
      <c r="E12235" s="15">
        <v>17.800799999999999</v>
      </c>
      <c r="F12235" s="42">
        <v>46198</v>
      </c>
    </row>
    <row r="12236" spans="1:6" x14ac:dyDescent="0.3">
      <c r="A12236" s="15" t="s">
        <v>37773</v>
      </c>
      <c r="B12236" s="15" t="s">
        <v>22490</v>
      </c>
      <c r="C12236" s="15" t="s">
        <v>800</v>
      </c>
      <c r="D12236" s="15" t="s">
        <v>22491</v>
      </c>
      <c r="E12236" s="15">
        <v>41.1111</v>
      </c>
      <c r="F12236" s="42">
        <v>46198</v>
      </c>
    </row>
    <row r="12237" spans="1:6" x14ac:dyDescent="0.3">
      <c r="A12237" s="15" t="s">
        <v>37772</v>
      </c>
      <c r="B12237" s="15" t="s">
        <v>22492</v>
      </c>
      <c r="C12237" s="15" t="s">
        <v>800</v>
      </c>
      <c r="D12237" s="15" t="s">
        <v>22493</v>
      </c>
      <c r="E12237" s="15">
        <v>203.42760000000001</v>
      </c>
      <c r="F12237" s="42">
        <v>46198</v>
      </c>
    </row>
    <row r="12238" spans="1:6" x14ac:dyDescent="0.3">
      <c r="A12238" s="15" t="s">
        <v>37771</v>
      </c>
      <c r="B12238" s="15" t="s">
        <v>22494</v>
      </c>
      <c r="C12238" s="15" t="s">
        <v>800</v>
      </c>
      <c r="D12238" s="15" t="s">
        <v>22495</v>
      </c>
      <c r="E12238" s="15">
        <v>1091.6975</v>
      </c>
      <c r="F12238" s="42">
        <v>46200</v>
      </c>
    </row>
    <row r="12239" spans="1:6" x14ac:dyDescent="0.3">
      <c r="A12239" s="15" t="s">
        <v>37770</v>
      </c>
      <c r="B12239" s="15" t="s">
        <v>800</v>
      </c>
      <c r="C12239" s="15" t="s">
        <v>22496</v>
      </c>
      <c r="D12239" s="15" t="s">
        <v>22497</v>
      </c>
      <c r="E12239" s="15">
        <v>1000</v>
      </c>
      <c r="F12239" s="42">
        <v>46200</v>
      </c>
    </row>
    <row r="12240" spans="1:6" x14ac:dyDescent="0.3">
      <c r="A12240" s="15" t="s">
        <v>37769</v>
      </c>
      <c r="B12240" s="15" t="s">
        <v>22498</v>
      </c>
      <c r="C12240" s="15" t="s">
        <v>800</v>
      </c>
      <c r="D12240" s="15" t="s">
        <v>22499</v>
      </c>
      <c r="E12240" s="15">
        <v>26.128</v>
      </c>
      <c r="F12240" s="42">
        <v>46198</v>
      </c>
    </row>
    <row r="12241" spans="1:6" x14ac:dyDescent="0.3">
      <c r="A12241" s="15" t="s">
        <v>37768</v>
      </c>
      <c r="B12241" s="15" t="s">
        <v>22500</v>
      </c>
      <c r="C12241" s="15" t="s">
        <v>800</v>
      </c>
      <c r="D12241" s="15" t="s">
        <v>22501</v>
      </c>
      <c r="E12241" s="15">
        <v>261.09840000000003</v>
      </c>
      <c r="F12241" s="42">
        <v>46198</v>
      </c>
    </row>
    <row r="12242" spans="1:6" x14ac:dyDescent="0.3">
      <c r="A12242" s="15" t="s">
        <v>37767</v>
      </c>
      <c r="B12242" s="15" t="s">
        <v>22502</v>
      </c>
      <c r="C12242" s="15" t="s">
        <v>800</v>
      </c>
      <c r="D12242" s="15" t="s">
        <v>22503</v>
      </c>
      <c r="E12242" s="15">
        <v>20.633600000000001</v>
      </c>
      <c r="F12242" s="42">
        <v>46198</v>
      </c>
    </row>
    <row r="12243" spans="1:6" x14ac:dyDescent="0.3">
      <c r="A12243" s="15" t="s">
        <v>37766</v>
      </c>
      <c r="B12243" s="15" t="s">
        <v>22504</v>
      </c>
      <c r="C12243" s="15" t="s">
        <v>800</v>
      </c>
      <c r="D12243" s="15" t="s">
        <v>22505</v>
      </c>
      <c r="E12243" s="15">
        <v>16.250499999999999</v>
      </c>
      <c r="F12243" s="42">
        <v>46198</v>
      </c>
    </row>
    <row r="12244" spans="1:6" x14ac:dyDescent="0.3">
      <c r="A12244" s="15" t="s">
        <v>37765</v>
      </c>
      <c r="B12244" s="15" t="s">
        <v>22506</v>
      </c>
      <c r="C12244" s="15" t="s">
        <v>800</v>
      </c>
      <c r="D12244" s="15" t="s">
        <v>22507</v>
      </c>
      <c r="E12244" s="15">
        <v>30.284700000000001</v>
      </c>
      <c r="F12244" s="42">
        <v>46198</v>
      </c>
    </row>
    <row r="12245" spans="1:6" x14ac:dyDescent="0.3">
      <c r="A12245" s="15" t="s">
        <v>37764</v>
      </c>
      <c r="B12245" s="15" t="s">
        <v>22508</v>
      </c>
      <c r="C12245" s="15" t="s">
        <v>800</v>
      </c>
      <c r="D12245" s="15" t="s">
        <v>22509</v>
      </c>
      <c r="E12245" s="15">
        <v>592.65530000000001</v>
      </c>
      <c r="F12245" s="42">
        <v>46198</v>
      </c>
    </row>
    <row r="12246" spans="1:6" x14ac:dyDescent="0.3">
      <c r="A12246" s="15" t="s">
        <v>37763</v>
      </c>
      <c r="B12246" s="15" t="s">
        <v>22510</v>
      </c>
      <c r="C12246" s="15" t="s">
        <v>800</v>
      </c>
      <c r="D12246" s="15" t="s">
        <v>22511</v>
      </c>
      <c r="E12246" s="15">
        <v>39.796399999999998</v>
      </c>
      <c r="F12246" s="42">
        <v>46198</v>
      </c>
    </row>
    <row r="12247" spans="1:6" x14ac:dyDescent="0.3">
      <c r="A12247" s="15" t="s">
        <v>37762</v>
      </c>
      <c r="B12247" s="15" t="s">
        <v>22512</v>
      </c>
      <c r="C12247" s="15" t="s">
        <v>800</v>
      </c>
      <c r="D12247" s="15" t="s">
        <v>22513</v>
      </c>
      <c r="E12247" s="15">
        <v>31.639199999999999</v>
      </c>
      <c r="F12247" s="42">
        <v>46198</v>
      </c>
    </row>
    <row r="12248" spans="1:6" x14ac:dyDescent="0.3">
      <c r="A12248" s="15" t="s">
        <v>37761</v>
      </c>
      <c r="B12248" s="15" t="s">
        <v>22514</v>
      </c>
      <c r="C12248" s="15" t="s">
        <v>800</v>
      </c>
      <c r="D12248" s="15" t="s">
        <v>22515</v>
      </c>
      <c r="E12248" s="15">
        <v>27.783200000000001</v>
      </c>
      <c r="F12248" s="42">
        <v>46198</v>
      </c>
    </row>
    <row r="12249" spans="1:6" x14ac:dyDescent="0.3">
      <c r="A12249" s="15" t="s">
        <v>37760</v>
      </c>
      <c r="B12249" s="15" t="s">
        <v>22516</v>
      </c>
      <c r="C12249" s="15" t="s">
        <v>800</v>
      </c>
      <c r="D12249" s="15" t="s">
        <v>22517</v>
      </c>
      <c r="E12249" s="15">
        <v>12.331300000000001</v>
      </c>
      <c r="F12249" s="42">
        <v>46198</v>
      </c>
    </row>
    <row r="12250" spans="1:6" x14ac:dyDescent="0.3">
      <c r="A12250" s="15" t="s">
        <v>37759</v>
      </c>
      <c r="B12250" s="15" t="s">
        <v>22518</v>
      </c>
      <c r="C12250" s="15" t="s">
        <v>800</v>
      </c>
      <c r="D12250" s="15" t="s">
        <v>22519</v>
      </c>
      <c r="E12250" s="15">
        <v>12.4428</v>
      </c>
      <c r="F12250" s="42">
        <v>46198</v>
      </c>
    </row>
    <row r="12251" spans="1:6" x14ac:dyDescent="0.3">
      <c r="A12251" s="15" t="s">
        <v>37758</v>
      </c>
      <c r="B12251" s="15" t="s">
        <v>22520</v>
      </c>
      <c r="C12251" s="15" t="s">
        <v>800</v>
      </c>
      <c r="D12251" s="15" t="s">
        <v>22521</v>
      </c>
      <c r="E12251" s="15">
        <v>161.7696</v>
      </c>
      <c r="F12251" s="42">
        <v>46198</v>
      </c>
    </row>
    <row r="12252" spans="1:6" x14ac:dyDescent="0.3">
      <c r="A12252" s="15" t="s">
        <v>37757</v>
      </c>
      <c r="B12252" s="15" t="s">
        <v>22522</v>
      </c>
      <c r="C12252" s="15" t="s">
        <v>800</v>
      </c>
      <c r="D12252" s="15" t="s">
        <v>22523</v>
      </c>
      <c r="E12252" s="15">
        <v>11.411099999999999</v>
      </c>
      <c r="F12252" s="42">
        <v>46198</v>
      </c>
    </row>
    <row r="12253" spans="1:6" x14ac:dyDescent="0.3">
      <c r="A12253" s="15" t="s">
        <v>37756</v>
      </c>
      <c r="B12253" s="15" t="s">
        <v>22524</v>
      </c>
      <c r="C12253" s="15" t="s">
        <v>800</v>
      </c>
      <c r="D12253" s="15" t="s">
        <v>22525</v>
      </c>
      <c r="E12253" s="15">
        <v>28.905799999999999</v>
      </c>
      <c r="F12253" s="42">
        <v>46198</v>
      </c>
    </row>
    <row r="12254" spans="1:6" x14ac:dyDescent="0.3">
      <c r="A12254" s="15" t="s">
        <v>37755</v>
      </c>
      <c r="B12254" s="15" t="s">
        <v>22526</v>
      </c>
      <c r="C12254" s="15" t="s">
        <v>800</v>
      </c>
      <c r="D12254" s="15" t="s">
        <v>22527</v>
      </c>
      <c r="E12254" s="15">
        <v>12.5528</v>
      </c>
      <c r="F12254" s="42">
        <v>46198</v>
      </c>
    </row>
    <row r="12255" spans="1:6" x14ac:dyDescent="0.3">
      <c r="A12255" s="15" t="s">
        <v>37754</v>
      </c>
      <c r="B12255" s="15" t="s">
        <v>22528</v>
      </c>
      <c r="C12255" s="15" t="s">
        <v>800</v>
      </c>
      <c r="D12255" s="15" t="s">
        <v>22529</v>
      </c>
      <c r="E12255" s="15">
        <v>23.230399999999999</v>
      </c>
      <c r="F12255" s="42">
        <v>46198</v>
      </c>
    </row>
    <row r="12256" spans="1:6" x14ac:dyDescent="0.3">
      <c r="A12256" s="15" t="s">
        <v>37753</v>
      </c>
      <c r="B12256" s="15" t="s">
        <v>22530</v>
      </c>
      <c r="C12256" s="15" t="s">
        <v>800</v>
      </c>
      <c r="D12256" s="15" t="s">
        <v>22531</v>
      </c>
      <c r="E12256" s="15">
        <v>50.971499999999999</v>
      </c>
      <c r="F12256" s="42">
        <v>46198</v>
      </c>
    </row>
    <row r="12257" spans="1:6" x14ac:dyDescent="0.3">
      <c r="A12257" s="15" t="s">
        <v>37752</v>
      </c>
      <c r="B12257" s="15" t="s">
        <v>22532</v>
      </c>
      <c r="C12257" s="15" t="s">
        <v>800</v>
      </c>
      <c r="D12257" s="15" t="s">
        <v>22533</v>
      </c>
      <c r="E12257" s="15">
        <v>743.47969999999998</v>
      </c>
      <c r="F12257" s="42">
        <v>46198</v>
      </c>
    </row>
    <row r="12258" spans="1:6" x14ac:dyDescent="0.3">
      <c r="A12258" s="15" t="s">
        <v>37751</v>
      </c>
      <c r="B12258" s="15" t="s">
        <v>22534</v>
      </c>
      <c r="C12258" s="15" t="s">
        <v>800</v>
      </c>
      <c r="D12258" s="15" t="s">
        <v>22535</v>
      </c>
      <c r="E12258" s="15">
        <v>87.144800000000004</v>
      </c>
      <c r="F12258" s="42">
        <v>46198</v>
      </c>
    </row>
    <row r="12259" spans="1:6" x14ac:dyDescent="0.3">
      <c r="A12259" s="15" t="s">
        <v>37750</v>
      </c>
      <c r="B12259" s="15" t="s">
        <v>22536</v>
      </c>
      <c r="C12259" s="15" t="s">
        <v>800</v>
      </c>
      <c r="D12259" s="15" t="s">
        <v>22537</v>
      </c>
      <c r="E12259" s="15">
        <v>17.729600000000001</v>
      </c>
      <c r="F12259" s="42">
        <v>46198</v>
      </c>
    </row>
    <row r="12260" spans="1:6" x14ac:dyDescent="0.3">
      <c r="A12260" s="15" t="s">
        <v>37749</v>
      </c>
      <c r="B12260" s="15" t="s">
        <v>22538</v>
      </c>
      <c r="C12260" s="15" t="s">
        <v>800</v>
      </c>
      <c r="D12260" s="15" t="s">
        <v>22539</v>
      </c>
      <c r="E12260" s="15">
        <v>46.473199999999999</v>
      </c>
      <c r="F12260" s="42">
        <v>46198</v>
      </c>
    </row>
    <row r="12261" spans="1:6" x14ac:dyDescent="0.3">
      <c r="A12261" s="15" t="s">
        <v>37748</v>
      </c>
      <c r="B12261" s="15" t="s">
        <v>22540</v>
      </c>
      <c r="C12261" s="15" t="s">
        <v>800</v>
      </c>
      <c r="D12261" s="15" t="s">
        <v>22541</v>
      </c>
      <c r="E12261" s="15">
        <v>8.6752000000000002</v>
      </c>
      <c r="F12261" s="42">
        <v>46198</v>
      </c>
    </row>
    <row r="12262" spans="1:6" x14ac:dyDescent="0.3">
      <c r="A12262" s="15" t="s">
        <v>37747</v>
      </c>
      <c r="B12262" s="15" t="s">
        <v>22542</v>
      </c>
      <c r="C12262" s="15" t="s">
        <v>800</v>
      </c>
      <c r="D12262" s="15" t="s">
        <v>22543</v>
      </c>
      <c r="E12262" s="15">
        <v>328.15249999999997</v>
      </c>
      <c r="F12262" s="42">
        <v>46198</v>
      </c>
    </row>
    <row r="12263" spans="1:6" x14ac:dyDescent="0.3">
      <c r="A12263" s="15" t="s">
        <v>37746</v>
      </c>
      <c r="B12263" s="15" t="s">
        <v>22544</v>
      </c>
      <c r="C12263" s="15" t="s">
        <v>800</v>
      </c>
      <c r="D12263" s="15" t="s">
        <v>22545</v>
      </c>
      <c r="E12263" s="15">
        <v>16.493300000000001</v>
      </c>
      <c r="F12263" s="42">
        <v>46198</v>
      </c>
    </row>
    <row r="12264" spans="1:6" x14ac:dyDescent="0.3">
      <c r="A12264" s="15" t="s">
        <v>37745</v>
      </c>
      <c r="B12264" s="15" t="s">
        <v>22546</v>
      </c>
      <c r="C12264" s="15" t="s">
        <v>800</v>
      </c>
      <c r="D12264" s="15" t="s">
        <v>22547</v>
      </c>
      <c r="E12264" s="15">
        <v>152.59139999999999</v>
      </c>
      <c r="F12264" s="42">
        <v>46198</v>
      </c>
    </row>
    <row r="12265" spans="1:6" x14ac:dyDescent="0.3">
      <c r="A12265" s="15" t="s">
        <v>37744</v>
      </c>
      <c r="B12265" s="15" t="s">
        <v>22548</v>
      </c>
      <c r="C12265" s="15" t="s">
        <v>800</v>
      </c>
      <c r="D12265" s="15" t="s">
        <v>22549</v>
      </c>
      <c r="E12265" s="15">
        <v>63.129300000000001</v>
      </c>
      <c r="F12265" s="42">
        <v>46198</v>
      </c>
    </row>
    <row r="12266" spans="1:6" x14ac:dyDescent="0.3">
      <c r="A12266" s="15" t="s">
        <v>37743</v>
      </c>
      <c r="B12266" s="15" t="s">
        <v>22550</v>
      </c>
      <c r="C12266" s="15" t="s">
        <v>800</v>
      </c>
      <c r="D12266" s="15" t="s">
        <v>22551</v>
      </c>
      <c r="E12266" s="15">
        <v>211.3785</v>
      </c>
      <c r="F12266" s="42">
        <v>46198</v>
      </c>
    </row>
    <row r="12267" spans="1:6" x14ac:dyDescent="0.3">
      <c r="A12267" s="15" t="s">
        <v>33499</v>
      </c>
      <c r="B12267" s="15" t="s">
        <v>795</v>
      </c>
      <c r="C12267" s="15" t="s">
        <v>795</v>
      </c>
      <c r="D12267" s="15" t="s">
        <v>795</v>
      </c>
      <c r="F12267" s="42"/>
    </row>
    <row r="12268" spans="1:6" x14ac:dyDescent="0.3">
      <c r="A12268" s="15" t="s">
        <v>37742</v>
      </c>
      <c r="B12268" s="15" t="s">
        <v>795</v>
      </c>
      <c r="C12268" s="15" t="s">
        <v>795</v>
      </c>
      <c r="D12268" s="15" t="s">
        <v>795</v>
      </c>
      <c r="F12268" s="42"/>
    </row>
    <row r="12269" spans="1:6" x14ac:dyDescent="0.3">
      <c r="A12269" s="15" t="s">
        <v>33499</v>
      </c>
      <c r="B12269" s="15" t="s">
        <v>795</v>
      </c>
      <c r="C12269" s="15" t="s">
        <v>795</v>
      </c>
      <c r="D12269" s="15" t="s">
        <v>795</v>
      </c>
      <c r="F12269" s="42"/>
    </row>
    <row r="12270" spans="1:6" x14ac:dyDescent="0.3">
      <c r="A12270" s="15" t="s">
        <v>37741</v>
      </c>
      <c r="B12270" s="15" t="s">
        <v>22552</v>
      </c>
      <c r="C12270" s="15" t="s">
        <v>800</v>
      </c>
      <c r="D12270" s="15" t="s">
        <v>22553</v>
      </c>
      <c r="E12270" s="15">
        <v>115.31440000000001</v>
      </c>
      <c r="F12270" s="42">
        <v>46198</v>
      </c>
    </row>
    <row r="12271" spans="1:6" x14ac:dyDescent="0.3">
      <c r="A12271" s="15" t="s">
        <v>37740</v>
      </c>
      <c r="B12271" s="15" t="s">
        <v>22554</v>
      </c>
      <c r="C12271" s="15" t="s">
        <v>800</v>
      </c>
      <c r="D12271" s="15" t="s">
        <v>22555</v>
      </c>
      <c r="E12271" s="15">
        <v>49.176299999999998</v>
      </c>
      <c r="F12271" s="42">
        <v>46198</v>
      </c>
    </row>
    <row r="12272" spans="1:6" x14ac:dyDescent="0.3">
      <c r="A12272" s="15" t="s">
        <v>37739</v>
      </c>
      <c r="B12272" s="15" t="s">
        <v>22556</v>
      </c>
      <c r="C12272" s="15" t="s">
        <v>800</v>
      </c>
      <c r="D12272" s="15" t="s">
        <v>22557</v>
      </c>
      <c r="E12272" s="15">
        <v>62.895899999999997</v>
      </c>
      <c r="F12272" s="42">
        <v>46198</v>
      </c>
    </row>
    <row r="12273" spans="1:6" x14ac:dyDescent="0.3">
      <c r="A12273" s="15" t="s">
        <v>37738</v>
      </c>
      <c r="B12273" s="15" t="s">
        <v>22558</v>
      </c>
      <c r="C12273" s="15" t="s">
        <v>800</v>
      </c>
      <c r="D12273" s="15" t="s">
        <v>22559</v>
      </c>
      <c r="E12273" s="15">
        <v>36.707000000000001</v>
      </c>
      <c r="F12273" s="42">
        <v>46198</v>
      </c>
    </row>
    <row r="12274" spans="1:6" x14ac:dyDescent="0.3">
      <c r="A12274" s="15" t="s">
        <v>37737</v>
      </c>
      <c r="B12274" s="15" t="s">
        <v>22560</v>
      </c>
      <c r="C12274" s="15" t="s">
        <v>800</v>
      </c>
      <c r="D12274" s="15" t="s">
        <v>22561</v>
      </c>
      <c r="E12274" s="15">
        <v>199.80330000000001</v>
      </c>
      <c r="F12274" s="42">
        <v>46198</v>
      </c>
    </row>
    <row r="12275" spans="1:6" x14ac:dyDescent="0.3">
      <c r="A12275" s="15" t="s">
        <v>37736</v>
      </c>
      <c r="B12275" s="15" t="s">
        <v>22562</v>
      </c>
      <c r="C12275" s="15" t="s">
        <v>800</v>
      </c>
      <c r="D12275" s="15" t="s">
        <v>22563</v>
      </c>
      <c r="E12275" s="15">
        <v>44.872300000000003</v>
      </c>
      <c r="F12275" s="42">
        <v>46198</v>
      </c>
    </row>
    <row r="12276" spans="1:6" x14ac:dyDescent="0.3">
      <c r="A12276" s="15" t="s">
        <v>37735</v>
      </c>
      <c r="B12276" s="15" t="s">
        <v>22564</v>
      </c>
      <c r="C12276" s="15" t="s">
        <v>800</v>
      </c>
      <c r="D12276" s="15" t="s">
        <v>22565</v>
      </c>
      <c r="E12276" s="15">
        <v>17.351099999999999</v>
      </c>
      <c r="F12276" s="42">
        <v>46198</v>
      </c>
    </row>
    <row r="12277" spans="1:6" x14ac:dyDescent="0.3">
      <c r="A12277" s="15" t="s">
        <v>37734</v>
      </c>
      <c r="B12277" s="15" t="s">
        <v>22566</v>
      </c>
      <c r="C12277" s="15" t="s">
        <v>800</v>
      </c>
      <c r="D12277" s="15" t="s">
        <v>22567</v>
      </c>
      <c r="E12277" s="15">
        <v>271.44130000000001</v>
      </c>
      <c r="F12277" s="42">
        <v>46198</v>
      </c>
    </row>
    <row r="12278" spans="1:6" x14ac:dyDescent="0.3">
      <c r="A12278" s="15" t="s">
        <v>37733</v>
      </c>
      <c r="B12278" s="15" t="s">
        <v>22568</v>
      </c>
      <c r="C12278" s="15" t="s">
        <v>800</v>
      </c>
      <c r="D12278" s="15" t="s">
        <v>22569</v>
      </c>
      <c r="E12278" s="15">
        <v>120.3207</v>
      </c>
      <c r="F12278" s="42">
        <v>46198</v>
      </c>
    </row>
    <row r="12279" spans="1:6" x14ac:dyDescent="0.3">
      <c r="A12279" s="15" t="s">
        <v>37732</v>
      </c>
      <c r="B12279" s="15" t="s">
        <v>22570</v>
      </c>
      <c r="C12279" s="15" t="s">
        <v>800</v>
      </c>
      <c r="D12279" s="15" t="s">
        <v>22571</v>
      </c>
      <c r="E12279" s="15">
        <v>25.2346</v>
      </c>
      <c r="F12279" s="42">
        <v>46198</v>
      </c>
    </row>
    <row r="12280" spans="1:6" x14ac:dyDescent="0.3">
      <c r="A12280" s="15" t="s">
        <v>37731</v>
      </c>
      <c r="B12280" s="15" t="s">
        <v>22572</v>
      </c>
      <c r="C12280" s="15" t="s">
        <v>800</v>
      </c>
      <c r="D12280" s="15" t="s">
        <v>22573</v>
      </c>
      <c r="E12280" s="15">
        <v>63.128799999999998</v>
      </c>
      <c r="F12280" s="42">
        <v>46198</v>
      </c>
    </row>
    <row r="12281" spans="1:6" x14ac:dyDescent="0.3">
      <c r="A12281" s="15" t="s">
        <v>37730</v>
      </c>
      <c r="B12281" s="15" t="s">
        <v>22574</v>
      </c>
      <c r="C12281" s="15" t="s">
        <v>800</v>
      </c>
      <c r="D12281" s="15" t="s">
        <v>22575</v>
      </c>
      <c r="E12281" s="15">
        <v>64.893199999999993</v>
      </c>
      <c r="F12281" s="42">
        <v>46198</v>
      </c>
    </row>
    <row r="12282" spans="1:6" x14ac:dyDescent="0.3">
      <c r="A12282" s="15" t="s">
        <v>37729</v>
      </c>
      <c r="B12282" s="15" t="s">
        <v>22576</v>
      </c>
      <c r="C12282" s="15" t="s">
        <v>800</v>
      </c>
      <c r="D12282" s="15" t="s">
        <v>22577</v>
      </c>
      <c r="E12282" s="15">
        <v>32.928899999999999</v>
      </c>
      <c r="F12282" s="42">
        <v>46198</v>
      </c>
    </row>
    <row r="12283" spans="1:6" x14ac:dyDescent="0.3">
      <c r="A12283" s="15" t="s">
        <v>37728</v>
      </c>
      <c r="B12283" s="15" t="s">
        <v>22578</v>
      </c>
      <c r="C12283" s="15" t="s">
        <v>800</v>
      </c>
      <c r="D12283" s="15" t="s">
        <v>22579</v>
      </c>
      <c r="E12283" s="15">
        <v>251.3245</v>
      </c>
      <c r="F12283" s="42">
        <v>46198</v>
      </c>
    </row>
    <row r="12284" spans="1:6" x14ac:dyDescent="0.3">
      <c r="A12284" s="15" t="s">
        <v>37727</v>
      </c>
      <c r="B12284" s="15" t="s">
        <v>22580</v>
      </c>
      <c r="C12284" s="15" t="s">
        <v>800</v>
      </c>
      <c r="D12284" s="15" t="s">
        <v>22581</v>
      </c>
      <c r="E12284" s="15">
        <v>23.5977</v>
      </c>
      <c r="F12284" s="42">
        <v>46198</v>
      </c>
    </row>
    <row r="12285" spans="1:6" x14ac:dyDescent="0.3">
      <c r="A12285" s="15" t="s">
        <v>37726</v>
      </c>
      <c r="B12285" s="15" t="s">
        <v>22582</v>
      </c>
      <c r="C12285" s="15" t="s">
        <v>800</v>
      </c>
      <c r="D12285" s="15" t="s">
        <v>22583</v>
      </c>
      <c r="E12285" s="15">
        <v>53.704099999999997</v>
      </c>
      <c r="F12285" s="42">
        <v>46198</v>
      </c>
    </row>
    <row r="12286" spans="1:6" x14ac:dyDescent="0.3">
      <c r="A12286" s="15" t="s">
        <v>37725</v>
      </c>
      <c r="B12286" s="15" t="s">
        <v>22584</v>
      </c>
      <c r="C12286" s="15" t="s">
        <v>800</v>
      </c>
      <c r="D12286" s="15" t="s">
        <v>22585</v>
      </c>
      <c r="E12286" s="15">
        <v>53.264800000000001</v>
      </c>
      <c r="F12286" s="42">
        <v>46198</v>
      </c>
    </row>
    <row r="12287" spans="1:6" x14ac:dyDescent="0.3">
      <c r="A12287" s="15" t="s">
        <v>37724</v>
      </c>
      <c r="B12287" s="15" t="s">
        <v>22586</v>
      </c>
      <c r="C12287" s="15" t="s">
        <v>800</v>
      </c>
      <c r="D12287" s="15" t="s">
        <v>22587</v>
      </c>
      <c r="E12287" s="15">
        <v>54.581400000000002</v>
      </c>
      <c r="F12287" s="42">
        <v>46198</v>
      </c>
    </row>
    <row r="12288" spans="1:6" x14ac:dyDescent="0.3">
      <c r="A12288" s="15" t="s">
        <v>37723</v>
      </c>
      <c r="B12288" s="15" t="s">
        <v>22588</v>
      </c>
      <c r="C12288" s="15" t="s">
        <v>800</v>
      </c>
      <c r="D12288" s="15" t="s">
        <v>22589</v>
      </c>
      <c r="E12288" s="15">
        <v>39.735599999999998</v>
      </c>
      <c r="F12288" s="42">
        <v>46198</v>
      </c>
    </row>
    <row r="12289" spans="1:6" x14ac:dyDescent="0.3">
      <c r="A12289" s="15" t="s">
        <v>37722</v>
      </c>
      <c r="B12289" s="15" t="s">
        <v>22590</v>
      </c>
      <c r="C12289" s="15" t="s">
        <v>800</v>
      </c>
      <c r="D12289" s="15" t="s">
        <v>22591</v>
      </c>
      <c r="E12289" s="15">
        <v>103.1396</v>
      </c>
      <c r="F12289" s="42">
        <v>46198</v>
      </c>
    </row>
    <row r="12290" spans="1:6" x14ac:dyDescent="0.3">
      <c r="A12290" s="15" t="s">
        <v>37721</v>
      </c>
      <c r="B12290" s="15" t="s">
        <v>22592</v>
      </c>
      <c r="C12290" s="15" t="s">
        <v>800</v>
      </c>
      <c r="D12290" s="15" t="s">
        <v>22593</v>
      </c>
      <c r="E12290" s="15">
        <v>158.68190000000001</v>
      </c>
      <c r="F12290" s="42">
        <v>46198</v>
      </c>
    </row>
    <row r="12291" spans="1:6" x14ac:dyDescent="0.3">
      <c r="A12291" s="15" t="s">
        <v>37720</v>
      </c>
      <c r="B12291" s="15" t="s">
        <v>22594</v>
      </c>
      <c r="C12291" s="15" t="s">
        <v>800</v>
      </c>
      <c r="D12291" s="15" t="s">
        <v>22595</v>
      </c>
      <c r="E12291" s="15">
        <v>79.825000000000003</v>
      </c>
      <c r="F12291" s="42">
        <v>46198</v>
      </c>
    </row>
    <row r="12292" spans="1:6" x14ac:dyDescent="0.3">
      <c r="A12292" s="15" t="s">
        <v>37719</v>
      </c>
      <c r="B12292" s="15" t="s">
        <v>22596</v>
      </c>
      <c r="C12292" s="15" t="s">
        <v>800</v>
      </c>
      <c r="D12292" s="15" t="s">
        <v>22597</v>
      </c>
      <c r="E12292" s="15">
        <v>66.610900000000001</v>
      </c>
      <c r="F12292" s="42">
        <v>46198</v>
      </c>
    </row>
    <row r="12293" spans="1:6" x14ac:dyDescent="0.3">
      <c r="A12293" s="15" t="s">
        <v>37718</v>
      </c>
      <c r="B12293" s="15" t="s">
        <v>22598</v>
      </c>
      <c r="C12293" s="15" t="s">
        <v>800</v>
      </c>
      <c r="D12293" s="15" t="s">
        <v>22599</v>
      </c>
      <c r="E12293" s="15">
        <v>64.540000000000006</v>
      </c>
      <c r="F12293" s="42">
        <v>46198</v>
      </c>
    </row>
    <row r="12294" spans="1:6" x14ac:dyDescent="0.3">
      <c r="A12294" s="15" t="s">
        <v>37717</v>
      </c>
      <c r="B12294" s="15" t="s">
        <v>22600</v>
      </c>
      <c r="C12294" s="15" t="s">
        <v>800</v>
      </c>
      <c r="D12294" s="15" t="s">
        <v>22601</v>
      </c>
      <c r="E12294" s="15">
        <v>32.371200000000002</v>
      </c>
      <c r="F12294" s="42">
        <v>46198</v>
      </c>
    </row>
    <row r="12295" spans="1:6" x14ac:dyDescent="0.3">
      <c r="A12295" s="15" t="s">
        <v>37716</v>
      </c>
      <c r="B12295" s="15" t="s">
        <v>22602</v>
      </c>
      <c r="C12295" s="15" t="s">
        <v>800</v>
      </c>
      <c r="D12295" s="15" t="s">
        <v>22603</v>
      </c>
      <c r="E12295" s="15">
        <v>71.963399999999993</v>
      </c>
      <c r="F12295" s="42">
        <v>46198</v>
      </c>
    </row>
    <row r="12296" spans="1:6" x14ac:dyDescent="0.3">
      <c r="A12296" s="15" t="s">
        <v>37715</v>
      </c>
      <c r="B12296" s="15" t="s">
        <v>22604</v>
      </c>
      <c r="C12296" s="15" t="s">
        <v>800</v>
      </c>
      <c r="D12296" s="15" t="s">
        <v>22605</v>
      </c>
      <c r="E12296" s="15">
        <v>100.9927</v>
      </c>
      <c r="F12296" s="42">
        <v>46198</v>
      </c>
    </row>
    <row r="12297" spans="1:6" x14ac:dyDescent="0.3">
      <c r="A12297" s="15" t="s">
        <v>37714</v>
      </c>
      <c r="B12297" s="15" t="s">
        <v>22606</v>
      </c>
      <c r="C12297" s="15" t="s">
        <v>800</v>
      </c>
      <c r="D12297" s="15" t="s">
        <v>22607</v>
      </c>
      <c r="E12297" s="15">
        <v>82.465999999999994</v>
      </c>
      <c r="F12297" s="42">
        <v>46198</v>
      </c>
    </row>
    <row r="12298" spans="1:6" x14ac:dyDescent="0.3">
      <c r="A12298" s="15" t="s">
        <v>37713</v>
      </c>
      <c r="B12298" s="15" t="s">
        <v>22608</v>
      </c>
      <c r="C12298" s="15" t="s">
        <v>800</v>
      </c>
      <c r="D12298" s="15" t="s">
        <v>22609</v>
      </c>
      <c r="E12298" s="15">
        <v>30.805800000000001</v>
      </c>
      <c r="F12298" s="42">
        <v>46198</v>
      </c>
    </row>
    <row r="12299" spans="1:6" x14ac:dyDescent="0.3">
      <c r="A12299" s="15" t="s">
        <v>37712</v>
      </c>
      <c r="B12299" s="15" t="s">
        <v>22610</v>
      </c>
      <c r="C12299" s="15" t="s">
        <v>800</v>
      </c>
      <c r="D12299" s="15" t="s">
        <v>22611</v>
      </c>
      <c r="E12299" s="15">
        <v>17.767499999999998</v>
      </c>
      <c r="F12299" s="42">
        <v>46198</v>
      </c>
    </row>
    <row r="12300" spans="1:6" x14ac:dyDescent="0.3">
      <c r="A12300" s="15" t="s">
        <v>37711</v>
      </c>
      <c r="B12300" s="15" t="s">
        <v>22612</v>
      </c>
      <c r="C12300" s="15" t="s">
        <v>800</v>
      </c>
      <c r="D12300" s="15" t="s">
        <v>22613</v>
      </c>
      <c r="E12300" s="15">
        <v>214.77520000000001</v>
      </c>
      <c r="F12300" s="42">
        <v>46198</v>
      </c>
    </row>
    <row r="12301" spans="1:6" x14ac:dyDescent="0.3">
      <c r="A12301" s="15" t="s">
        <v>33499</v>
      </c>
      <c r="B12301" s="15" t="s">
        <v>795</v>
      </c>
      <c r="C12301" s="15" t="s">
        <v>795</v>
      </c>
      <c r="D12301" s="15" t="s">
        <v>795</v>
      </c>
      <c r="F12301" s="42"/>
    </row>
    <row r="12302" spans="1:6" x14ac:dyDescent="0.3">
      <c r="A12302" s="15" t="s">
        <v>208</v>
      </c>
      <c r="B12302" s="15" t="s">
        <v>795</v>
      </c>
      <c r="C12302" s="15" t="s">
        <v>795</v>
      </c>
      <c r="D12302" s="15" t="s">
        <v>795</v>
      </c>
      <c r="F12302" s="42"/>
    </row>
    <row r="12303" spans="1:6" x14ac:dyDescent="0.3">
      <c r="A12303" s="15" t="s">
        <v>33499</v>
      </c>
      <c r="B12303" s="15" t="s">
        <v>795</v>
      </c>
      <c r="C12303" s="15" t="s">
        <v>795</v>
      </c>
      <c r="D12303" s="15" t="s">
        <v>795</v>
      </c>
      <c r="F12303" s="42"/>
    </row>
    <row r="12304" spans="1:6" x14ac:dyDescent="0.3">
      <c r="A12304" s="15" t="s">
        <v>37710</v>
      </c>
      <c r="B12304" s="15" t="s">
        <v>22614</v>
      </c>
      <c r="C12304" s="15" t="s">
        <v>800</v>
      </c>
      <c r="D12304" s="15" t="s">
        <v>22615</v>
      </c>
      <c r="E12304" s="15">
        <v>96.070800000000006</v>
      </c>
      <c r="F12304" s="42">
        <v>46198</v>
      </c>
    </row>
    <row r="12305" spans="1:6" x14ac:dyDescent="0.3">
      <c r="A12305" s="15" t="s">
        <v>37709</v>
      </c>
      <c r="B12305" s="15" t="s">
        <v>22616</v>
      </c>
      <c r="C12305" s="15" t="s">
        <v>800</v>
      </c>
      <c r="D12305" s="15" t="s">
        <v>22617</v>
      </c>
      <c r="E12305" s="15">
        <v>41.895499999999998</v>
      </c>
      <c r="F12305" s="42">
        <v>46198</v>
      </c>
    </row>
    <row r="12306" spans="1:6" x14ac:dyDescent="0.3">
      <c r="A12306" s="15" t="s">
        <v>37708</v>
      </c>
      <c r="B12306" s="15" t="s">
        <v>22618</v>
      </c>
      <c r="C12306" s="15" t="s">
        <v>800</v>
      </c>
      <c r="D12306" s="15" t="s">
        <v>22619</v>
      </c>
      <c r="E12306" s="15">
        <v>884.68029999999999</v>
      </c>
      <c r="F12306" s="42">
        <v>46198</v>
      </c>
    </row>
    <row r="12307" spans="1:6" x14ac:dyDescent="0.3">
      <c r="A12307" s="15" t="s">
        <v>37707</v>
      </c>
      <c r="B12307" s="15" t="s">
        <v>22620</v>
      </c>
      <c r="C12307" s="15" t="s">
        <v>800</v>
      </c>
      <c r="D12307" s="15" t="s">
        <v>22621</v>
      </c>
      <c r="E12307" s="15">
        <v>91.404600000000002</v>
      </c>
      <c r="F12307" s="42">
        <v>46198</v>
      </c>
    </row>
    <row r="12308" spans="1:6" x14ac:dyDescent="0.3">
      <c r="A12308" s="15" t="s">
        <v>37706</v>
      </c>
      <c r="B12308" s="15" t="s">
        <v>22622</v>
      </c>
      <c r="C12308" s="15" t="s">
        <v>800</v>
      </c>
      <c r="D12308" s="15" t="s">
        <v>22623</v>
      </c>
      <c r="E12308" s="15">
        <v>410.84269999999998</v>
      </c>
      <c r="F12308" s="42">
        <v>46198</v>
      </c>
    </row>
    <row r="12309" spans="1:6" x14ac:dyDescent="0.3">
      <c r="A12309" s="15" t="s">
        <v>37705</v>
      </c>
      <c r="B12309" s="15" t="s">
        <v>22624</v>
      </c>
      <c r="C12309" s="15" t="s">
        <v>800</v>
      </c>
      <c r="D12309" s="15" t="s">
        <v>22625</v>
      </c>
      <c r="E12309" s="15">
        <v>266.07209999999998</v>
      </c>
      <c r="F12309" s="42">
        <v>46198</v>
      </c>
    </row>
    <row r="12310" spans="1:6" x14ac:dyDescent="0.3">
      <c r="A12310" s="15" t="s">
        <v>37704</v>
      </c>
      <c r="B12310" s="15" t="s">
        <v>22626</v>
      </c>
      <c r="C12310" s="15" t="s">
        <v>800</v>
      </c>
      <c r="D12310" s="15" t="s">
        <v>22627</v>
      </c>
      <c r="E12310" s="15">
        <v>1000</v>
      </c>
      <c r="F12310" s="42">
        <v>46201</v>
      </c>
    </row>
    <row r="12311" spans="1:6" x14ac:dyDescent="0.3">
      <c r="A12311" s="15" t="s">
        <v>37703</v>
      </c>
      <c r="B12311" s="15" t="s">
        <v>22628</v>
      </c>
      <c r="C12311" s="15" t="s">
        <v>800</v>
      </c>
      <c r="D12311" s="15" t="s">
        <v>22629</v>
      </c>
      <c r="E12311" s="15">
        <v>65.716499999999996</v>
      </c>
      <c r="F12311" s="42">
        <v>46198</v>
      </c>
    </row>
    <row r="12312" spans="1:6" x14ac:dyDescent="0.3">
      <c r="A12312" s="15" t="s">
        <v>37702</v>
      </c>
      <c r="B12312" s="15" t="s">
        <v>22630</v>
      </c>
      <c r="C12312" s="15" t="s">
        <v>800</v>
      </c>
      <c r="D12312" s="15" t="s">
        <v>22631</v>
      </c>
      <c r="E12312" s="15">
        <v>273.46350000000001</v>
      </c>
      <c r="F12312" s="42">
        <v>46198</v>
      </c>
    </row>
    <row r="12313" spans="1:6" x14ac:dyDescent="0.3">
      <c r="A12313" s="15" t="s">
        <v>37701</v>
      </c>
      <c r="B12313" s="15" t="s">
        <v>22632</v>
      </c>
      <c r="C12313" s="15" t="s">
        <v>800</v>
      </c>
      <c r="D12313" s="15" t="s">
        <v>22633</v>
      </c>
      <c r="E12313" s="15">
        <v>448.23349999999999</v>
      </c>
      <c r="F12313" s="42">
        <v>46198</v>
      </c>
    </row>
    <row r="12314" spans="1:6" x14ac:dyDescent="0.3">
      <c r="A12314" s="15" t="s">
        <v>37700</v>
      </c>
      <c r="B12314" s="15" t="s">
        <v>22634</v>
      </c>
      <c r="C12314" s="15" t="s">
        <v>800</v>
      </c>
      <c r="D12314" s="15" t="s">
        <v>22635</v>
      </c>
      <c r="E12314" s="15">
        <v>141.364</v>
      </c>
      <c r="F12314" s="42">
        <v>46198</v>
      </c>
    </row>
    <row r="12315" spans="1:6" x14ac:dyDescent="0.3">
      <c r="A12315" s="15" t="s">
        <v>37699</v>
      </c>
      <c r="B12315" s="15" t="s">
        <v>22636</v>
      </c>
      <c r="C12315" s="15" t="s">
        <v>800</v>
      </c>
      <c r="D12315" s="15" t="s">
        <v>22637</v>
      </c>
      <c r="E12315" s="15">
        <v>29.7834</v>
      </c>
      <c r="F12315" s="42">
        <v>46198</v>
      </c>
    </row>
    <row r="12316" spans="1:6" x14ac:dyDescent="0.3">
      <c r="A12316" s="15" t="s">
        <v>37698</v>
      </c>
      <c r="B12316" s="15" t="s">
        <v>22638</v>
      </c>
      <c r="C12316" s="15" t="s">
        <v>800</v>
      </c>
      <c r="D12316" s="15" t="s">
        <v>22639</v>
      </c>
      <c r="E12316" s="15">
        <v>602.31650000000002</v>
      </c>
      <c r="F12316" s="42">
        <v>46198</v>
      </c>
    </row>
    <row r="12317" spans="1:6" x14ac:dyDescent="0.3">
      <c r="A12317" s="15" t="s">
        <v>37697</v>
      </c>
      <c r="B12317" s="15" t="s">
        <v>22640</v>
      </c>
      <c r="C12317" s="15" t="s">
        <v>800</v>
      </c>
      <c r="D12317" s="15" t="s">
        <v>22641</v>
      </c>
      <c r="E12317" s="15">
        <v>76.192999999999998</v>
      </c>
      <c r="F12317" s="42">
        <v>46198</v>
      </c>
    </row>
    <row r="12318" spans="1:6" x14ac:dyDescent="0.3">
      <c r="A12318" s="15" t="s">
        <v>37696</v>
      </c>
      <c r="B12318" s="15" t="s">
        <v>22642</v>
      </c>
      <c r="C12318" s="15" t="s">
        <v>800</v>
      </c>
      <c r="D12318" s="15" t="s">
        <v>22643</v>
      </c>
      <c r="E12318" s="15">
        <v>128.87450000000001</v>
      </c>
      <c r="F12318" s="42">
        <v>46198</v>
      </c>
    </row>
    <row r="12319" spans="1:6" x14ac:dyDescent="0.3">
      <c r="A12319" s="15" t="s">
        <v>37695</v>
      </c>
      <c r="B12319" s="15" t="s">
        <v>22644</v>
      </c>
      <c r="C12319" s="15" t="s">
        <v>800</v>
      </c>
      <c r="D12319" s="15" t="s">
        <v>22645</v>
      </c>
      <c r="E12319" s="15">
        <v>976.96320000000003</v>
      </c>
      <c r="F12319" s="42">
        <v>46198</v>
      </c>
    </row>
    <row r="12320" spans="1:6" x14ac:dyDescent="0.3">
      <c r="A12320" s="15" t="s">
        <v>37694</v>
      </c>
      <c r="B12320" s="15" t="s">
        <v>22646</v>
      </c>
      <c r="C12320" s="15" t="s">
        <v>800</v>
      </c>
      <c r="D12320" s="15" t="s">
        <v>22647</v>
      </c>
      <c r="E12320" s="15">
        <v>30.318899999999999</v>
      </c>
      <c r="F12320" s="42">
        <v>46198</v>
      </c>
    </row>
    <row r="12321" spans="1:6" x14ac:dyDescent="0.3">
      <c r="A12321" s="15" t="s">
        <v>37693</v>
      </c>
      <c r="B12321" s="15" t="s">
        <v>22648</v>
      </c>
      <c r="C12321" s="15" t="s">
        <v>800</v>
      </c>
      <c r="D12321" s="15" t="s">
        <v>22649</v>
      </c>
      <c r="E12321" s="15">
        <v>234.9272</v>
      </c>
      <c r="F12321" s="42">
        <v>46198</v>
      </c>
    </row>
    <row r="12322" spans="1:6" x14ac:dyDescent="0.3">
      <c r="A12322" s="15" t="s">
        <v>37692</v>
      </c>
      <c r="B12322" s="15" t="s">
        <v>22650</v>
      </c>
      <c r="C12322" s="15" t="s">
        <v>800</v>
      </c>
      <c r="D12322" s="15" t="s">
        <v>22651</v>
      </c>
      <c r="E12322" s="15">
        <v>778.74360000000001</v>
      </c>
      <c r="F12322" s="42">
        <v>46198</v>
      </c>
    </row>
    <row r="12323" spans="1:6" x14ac:dyDescent="0.3">
      <c r="A12323" s="15" t="s">
        <v>37691</v>
      </c>
      <c r="B12323" s="15" t="s">
        <v>22652</v>
      </c>
      <c r="C12323" s="15" t="s">
        <v>800</v>
      </c>
      <c r="D12323" s="15" t="s">
        <v>22653</v>
      </c>
      <c r="E12323" s="15">
        <v>96.549099999999996</v>
      </c>
      <c r="F12323" s="42">
        <v>46198</v>
      </c>
    </row>
    <row r="12324" spans="1:6" x14ac:dyDescent="0.3">
      <c r="A12324" s="15" t="s">
        <v>37690</v>
      </c>
      <c r="B12324" s="15" t="s">
        <v>22654</v>
      </c>
      <c r="C12324" s="15" t="s">
        <v>800</v>
      </c>
      <c r="D12324" s="15" t="s">
        <v>22655</v>
      </c>
      <c r="E12324" s="15">
        <v>137.8305</v>
      </c>
      <c r="F12324" s="42">
        <v>46142</v>
      </c>
    </row>
    <row r="12325" spans="1:6" x14ac:dyDescent="0.3">
      <c r="A12325" s="15" t="s">
        <v>37689</v>
      </c>
      <c r="B12325" s="15" t="s">
        <v>22656</v>
      </c>
      <c r="C12325" s="15" t="s">
        <v>800</v>
      </c>
      <c r="D12325" s="15" t="s">
        <v>22657</v>
      </c>
      <c r="E12325" s="15">
        <v>1045.2929999999999</v>
      </c>
      <c r="F12325" s="42">
        <v>46201</v>
      </c>
    </row>
    <row r="12326" spans="1:6" x14ac:dyDescent="0.3">
      <c r="A12326" s="15" t="s">
        <v>37688</v>
      </c>
      <c r="B12326" s="15" t="s">
        <v>22658</v>
      </c>
      <c r="C12326" s="15" t="s">
        <v>800</v>
      </c>
      <c r="D12326" s="15" t="s">
        <v>22659</v>
      </c>
      <c r="E12326" s="15">
        <v>277.77879999999999</v>
      </c>
      <c r="F12326" s="42">
        <v>46198</v>
      </c>
    </row>
    <row r="12327" spans="1:6" x14ac:dyDescent="0.3">
      <c r="A12327" s="15" t="s">
        <v>37687</v>
      </c>
      <c r="B12327" s="15" t="s">
        <v>22660</v>
      </c>
      <c r="C12327" s="15" t="s">
        <v>800</v>
      </c>
      <c r="D12327" s="15" t="s">
        <v>22661</v>
      </c>
      <c r="E12327" s="15">
        <v>159.62880000000001</v>
      </c>
      <c r="F12327" s="42">
        <v>46198</v>
      </c>
    </row>
    <row r="12328" spans="1:6" x14ac:dyDescent="0.3">
      <c r="A12328" s="15" t="s">
        <v>37686</v>
      </c>
      <c r="B12328" s="15" t="s">
        <v>22662</v>
      </c>
      <c r="C12328" s="15" t="s">
        <v>800</v>
      </c>
      <c r="D12328" s="15" t="s">
        <v>22663</v>
      </c>
      <c r="E12328" s="15">
        <v>25.6309</v>
      </c>
      <c r="F12328" s="42">
        <v>46198</v>
      </c>
    </row>
    <row r="12329" spans="1:6" x14ac:dyDescent="0.3">
      <c r="A12329" s="15" t="s">
        <v>37685</v>
      </c>
      <c r="B12329" s="15" t="s">
        <v>22664</v>
      </c>
      <c r="C12329" s="15" t="s">
        <v>800</v>
      </c>
      <c r="D12329" s="15" t="s">
        <v>22665</v>
      </c>
      <c r="E12329" s="15">
        <v>207.66489999999999</v>
      </c>
      <c r="F12329" s="42">
        <v>46198</v>
      </c>
    </row>
    <row r="12330" spans="1:6" x14ac:dyDescent="0.3">
      <c r="A12330" s="15" t="s">
        <v>33499</v>
      </c>
      <c r="B12330" s="15" t="s">
        <v>795</v>
      </c>
      <c r="C12330" s="15" t="s">
        <v>795</v>
      </c>
      <c r="D12330" s="15" t="s">
        <v>795</v>
      </c>
      <c r="F12330" s="42"/>
    </row>
    <row r="12331" spans="1:6" x14ac:dyDescent="0.3">
      <c r="A12331" s="15" t="s">
        <v>37684</v>
      </c>
      <c r="B12331" s="15" t="s">
        <v>795</v>
      </c>
      <c r="C12331" s="15" t="s">
        <v>795</v>
      </c>
      <c r="D12331" s="15" t="s">
        <v>795</v>
      </c>
      <c r="F12331" s="42"/>
    </row>
    <row r="12332" spans="1:6" x14ac:dyDescent="0.3">
      <c r="A12332" s="15" t="s">
        <v>33499</v>
      </c>
      <c r="B12332" s="15" t="s">
        <v>795</v>
      </c>
      <c r="C12332" s="15" t="s">
        <v>795</v>
      </c>
      <c r="D12332" s="15" t="s">
        <v>795</v>
      </c>
      <c r="F12332" s="42"/>
    </row>
    <row r="12333" spans="1:6" x14ac:dyDescent="0.3">
      <c r="A12333" s="15" t="s">
        <v>37683</v>
      </c>
      <c r="B12333" s="15" t="s">
        <v>22666</v>
      </c>
      <c r="C12333" s="15" t="s">
        <v>800</v>
      </c>
      <c r="D12333" s="15" t="s">
        <v>22667</v>
      </c>
      <c r="E12333" s="15">
        <v>264.25119999999998</v>
      </c>
      <c r="F12333" s="42">
        <v>46198</v>
      </c>
    </row>
    <row r="12334" spans="1:6" x14ac:dyDescent="0.3">
      <c r="A12334" s="15" t="s">
        <v>33499</v>
      </c>
      <c r="B12334" s="15" t="s">
        <v>795</v>
      </c>
      <c r="C12334" s="15" t="s">
        <v>795</v>
      </c>
      <c r="D12334" s="15" t="s">
        <v>795</v>
      </c>
      <c r="F12334" s="42"/>
    </row>
    <row r="12335" spans="1:6" x14ac:dyDescent="0.3">
      <c r="A12335" s="15" t="s">
        <v>33636</v>
      </c>
      <c r="B12335" s="15" t="s">
        <v>795</v>
      </c>
      <c r="C12335" s="15" t="s">
        <v>795</v>
      </c>
      <c r="D12335" s="15" t="s">
        <v>795</v>
      </c>
      <c r="F12335" s="42"/>
    </row>
    <row r="12336" spans="1:6" x14ac:dyDescent="0.3">
      <c r="A12336" s="15" t="s">
        <v>33499</v>
      </c>
      <c r="B12336" s="15" t="s">
        <v>795</v>
      </c>
      <c r="C12336" s="15" t="s">
        <v>795</v>
      </c>
      <c r="D12336" s="15" t="s">
        <v>795</v>
      </c>
      <c r="F12336" s="42"/>
    </row>
    <row r="12337" spans="1:6" x14ac:dyDescent="0.3">
      <c r="A12337" s="15" t="s">
        <v>37682</v>
      </c>
      <c r="B12337" s="15" t="s">
        <v>22668</v>
      </c>
      <c r="C12337" s="15" t="s">
        <v>800</v>
      </c>
      <c r="D12337" s="15" t="s">
        <v>22669</v>
      </c>
      <c r="E12337" s="15">
        <v>283.74790000000002</v>
      </c>
      <c r="F12337" s="42">
        <v>46198</v>
      </c>
    </row>
    <row r="12338" spans="1:6" x14ac:dyDescent="0.3">
      <c r="A12338" s="15" t="s">
        <v>37681</v>
      </c>
      <c r="B12338" s="15" t="s">
        <v>22670</v>
      </c>
      <c r="C12338" s="15" t="s">
        <v>800</v>
      </c>
      <c r="D12338" s="15" t="s">
        <v>22671</v>
      </c>
      <c r="E12338" s="15">
        <v>50.103200000000001</v>
      </c>
      <c r="F12338" s="42">
        <v>46198</v>
      </c>
    </row>
    <row r="12339" spans="1:6" x14ac:dyDescent="0.3">
      <c r="A12339" s="15" t="s">
        <v>37680</v>
      </c>
      <c r="B12339" s="15" t="s">
        <v>22672</v>
      </c>
      <c r="C12339" s="15" t="s">
        <v>800</v>
      </c>
      <c r="D12339" s="15" t="s">
        <v>22673</v>
      </c>
      <c r="E12339" s="15">
        <v>857.63660000000004</v>
      </c>
      <c r="F12339" s="42">
        <v>46198</v>
      </c>
    </row>
    <row r="12340" spans="1:6" x14ac:dyDescent="0.3">
      <c r="A12340" s="15" t="s">
        <v>37679</v>
      </c>
      <c r="B12340" s="15" t="s">
        <v>22674</v>
      </c>
      <c r="C12340" s="15" t="s">
        <v>800</v>
      </c>
      <c r="D12340" s="15" t="s">
        <v>22675</v>
      </c>
      <c r="E12340" s="15">
        <v>936.26030000000003</v>
      </c>
      <c r="F12340" s="42">
        <v>46198</v>
      </c>
    </row>
    <row r="12341" spans="1:6" x14ac:dyDescent="0.3">
      <c r="A12341" s="15" t="s">
        <v>37678</v>
      </c>
      <c r="B12341" s="15" t="s">
        <v>22676</v>
      </c>
      <c r="C12341" s="15" t="s">
        <v>800</v>
      </c>
      <c r="D12341" s="15" t="s">
        <v>22677</v>
      </c>
      <c r="E12341" s="15">
        <v>263.84539999999998</v>
      </c>
      <c r="F12341" s="42">
        <v>46198</v>
      </c>
    </row>
    <row r="12342" spans="1:6" x14ac:dyDescent="0.3">
      <c r="A12342" s="15" t="s">
        <v>37677</v>
      </c>
      <c r="B12342" s="15" t="s">
        <v>22678</v>
      </c>
      <c r="C12342" s="15" t="s">
        <v>800</v>
      </c>
      <c r="D12342" s="15" t="s">
        <v>22679</v>
      </c>
      <c r="E12342" s="15">
        <v>1044.99</v>
      </c>
      <c r="F12342" s="42">
        <v>46201</v>
      </c>
    </row>
    <row r="12343" spans="1:6" x14ac:dyDescent="0.3">
      <c r="A12343" s="15" t="s">
        <v>37676</v>
      </c>
      <c r="B12343" s="15" t="s">
        <v>800</v>
      </c>
      <c r="C12343" s="15" t="s">
        <v>22680</v>
      </c>
      <c r="D12343" s="15" t="s">
        <v>22681</v>
      </c>
      <c r="E12343" s="15">
        <v>1000</v>
      </c>
      <c r="F12343" s="42">
        <v>46201</v>
      </c>
    </row>
    <row r="12344" spans="1:6" x14ac:dyDescent="0.3">
      <c r="A12344" s="15" t="s">
        <v>37675</v>
      </c>
      <c r="B12344" s="15" t="s">
        <v>22682</v>
      </c>
      <c r="C12344" s="15" t="s">
        <v>800</v>
      </c>
      <c r="D12344" s="15" t="s">
        <v>22683</v>
      </c>
      <c r="E12344" s="15">
        <v>215.29939999999999</v>
      </c>
      <c r="F12344" s="42">
        <v>46198</v>
      </c>
    </row>
    <row r="12345" spans="1:6" x14ac:dyDescent="0.3">
      <c r="A12345" s="15" t="s">
        <v>37674</v>
      </c>
      <c r="B12345" s="15" t="s">
        <v>22684</v>
      </c>
      <c r="C12345" s="15" t="s">
        <v>800</v>
      </c>
      <c r="D12345" s="15" t="s">
        <v>22685</v>
      </c>
      <c r="E12345" s="15">
        <v>258.44670000000002</v>
      </c>
      <c r="F12345" s="42">
        <v>46198</v>
      </c>
    </row>
    <row r="12346" spans="1:6" x14ac:dyDescent="0.3">
      <c r="A12346" s="15" t="s">
        <v>37673</v>
      </c>
      <c r="B12346" s="15" t="s">
        <v>22686</v>
      </c>
      <c r="C12346" s="15" t="s">
        <v>800</v>
      </c>
      <c r="D12346" s="15" t="s">
        <v>22687</v>
      </c>
      <c r="E12346" s="15">
        <v>597.55179999999996</v>
      </c>
      <c r="F12346" s="42">
        <v>46198</v>
      </c>
    </row>
    <row r="12347" spans="1:6" x14ac:dyDescent="0.3">
      <c r="A12347" s="15" t="s">
        <v>37672</v>
      </c>
      <c r="B12347" s="15" t="s">
        <v>22688</v>
      </c>
      <c r="C12347" s="15" t="s">
        <v>800</v>
      </c>
      <c r="D12347" s="15" t="s">
        <v>22689</v>
      </c>
      <c r="E12347" s="15">
        <v>119.42059999999999</v>
      </c>
      <c r="F12347" s="42">
        <v>46198</v>
      </c>
    </row>
    <row r="12348" spans="1:6" x14ac:dyDescent="0.3">
      <c r="A12348" s="15" t="s">
        <v>37671</v>
      </c>
      <c r="B12348" s="15" t="s">
        <v>22690</v>
      </c>
      <c r="C12348" s="15" t="s">
        <v>800</v>
      </c>
      <c r="D12348" s="15" t="s">
        <v>22691</v>
      </c>
      <c r="E12348" s="15">
        <v>302.65539999999999</v>
      </c>
      <c r="F12348" s="42">
        <v>46198</v>
      </c>
    </row>
    <row r="12349" spans="1:6" x14ac:dyDescent="0.3">
      <c r="A12349" s="15" t="s">
        <v>37670</v>
      </c>
      <c r="B12349" s="15" t="s">
        <v>22692</v>
      </c>
      <c r="C12349" s="15" t="s">
        <v>800</v>
      </c>
      <c r="D12349" s="15" t="s">
        <v>22693</v>
      </c>
      <c r="E12349" s="15">
        <v>22.776700000000002</v>
      </c>
      <c r="F12349" s="42">
        <v>46198</v>
      </c>
    </row>
    <row r="12350" spans="1:6" x14ac:dyDescent="0.3">
      <c r="A12350" s="15" t="s">
        <v>37669</v>
      </c>
      <c r="B12350" s="15" t="s">
        <v>22694</v>
      </c>
      <c r="C12350" s="15" t="s">
        <v>800</v>
      </c>
      <c r="D12350" s="15" t="s">
        <v>22695</v>
      </c>
      <c r="E12350" s="15">
        <v>63.661900000000003</v>
      </c>
      <c r="F12350" s="42">
        <v>46198</v>
      </c>
    </row>
    <row r="12351" spans="1:6" x14ac:dyDescent="0.3">
      <c r="A12351" s="15" t="s">
        <v>37668</v>
      </c>
      <c r="B12351" s="15" t="s">
        <v>22696</v>
      </c>
      <c r="C12351" s="15" t="s">
        <v>800</v>
      </c>
      <c r="D12351" s="15" t="s">
        <v>22697</v>
      </c>
      <c r="E12351" s="15">
        <v>772.00840000000005</v>
      </c>
      <c r="F12351" s="42">
        <v>46198</v>
      </c>
    </row>
    <row r="12352" spans="1:6" x14ac:dyDescent="0.3">
      <c r="A12352" s="15" t="s">
        <v>37667</v>
      </c>
      <c r="B12352" s="15" t="s">
        <v>22698</v>
      </c>
      <c r="C12352" s="15" t="s">
        <v>800</v>
      </c>
      <c r="D12352" s="15" t="s">
        <v>22699</v>
      </c>
      <c r="E12352" s="15">
        <v>289.06540000000001</v>
      </c>
      <c r="F12352" s="42">
        <v>46198</v>
      </c>
    </row>
    <row r="12353" spans="1:6" x14ac:dyDescent="0.3">
      <c r="A12353" s="15" t="s">
        <v>47056</v>
      </c>
      <c r="B12353" s="15" t="s">
        <v>47057</v>
      </c>
      <c r="C12353" s="15" t="s">
        <v>800</v>
      </c>
      <c r="D12353" s="15" t="s">
        <v>47058</v>
      </c>
      <c r="E12353" s="15">
        <v>17.6936</v>
      </c>
      <c r="F12353" s="42">
        <v>46198</v>
      </c>
    </row>
    <row r="12354" spans="1:6" x14ac:dyDescent="0.3">
      <c r="A12354" s="15" t="s">
        <v>47059</v>
      </c>
      <c r="B12354" s="15" t="s">
        <v>47060</v>
      </c>
      <c r="C12354" s="15" t="s">
        <v>800</v>
      </c>
      <c r="D12354" s="15" t="s">
        <v>47061</v>
      </c>
      <c r="E12354" s="15">
        <v>15.0322</v>
      </c>
      <c r="F12354" s="42">
        <v>46198</v>
      </c>
    </row>
    <row r="12355" spans="1:6" x14ac:dyDescent="0.3">
      <c r="A12355" s="15" t="s">
        <v>37666</v>
      </c>
      <c r="B12355" s="15" t="s">
        <v>22700</v>
      </c>
      <c r="C12355" s="15" t="s">
        <v>800</v>
      </c>
      <c r="D12355" s="15" t="s">
        <v>22701</v>
      </c>
      <c r="E12355" s="15">
        <v>33.007399999999997</v>
      </c>
      <c r="F12355" s="42">
        <v>46198</v>
      </c>
    </row>
    <row r="12356" spans="1:6" x14ac:dyDescent="0.3">
      <c r="A12356" s="15" t="s">
        <v>37665</v>
      </c>
      <c r="B12356" s="15" t="s">
        <v>22702</v>
      </c>
      <c r="C12356" s="15" t="s">
        <v>800</v>
      </c>
      <c r="D12356" s="15" t="s">
        <v>22703</v>
      </c>
      <c r="E12356" s="15">
        <v>212.77539999999999</v>
      </c>
      <c r="F12356" s="42">
        <v>46198</v>
      </c>
    </row>
    <row r="12357" spans="1:6" x14ac:dyDescent="0.3">
      <c r="A12357" s="15" t="s">
        <v>33499</v>
      </c>
      <c r="B12357" s="15" t="s">
        <v>795</v>
      </c>
      <c r="C12357" s="15" t="s">
        <v>795</v>
      </c>
      <c r="D12357" s="15" t="s">
        <v>795</v>
      </c>
      <c r="F12357" s="42"/>
    </row>
    <row r="12358" spans="1:6" x14ac:dyDescent="0.3">
      <c r="A12358" s="15" t="s">
        <v>37664</v>
      </c>
      <c r="B12358" s="15" t="s">
        <v>795</v>
      </c>
      <c r="C12358" s="15" t="s">
        <v>795</v>
      </c>
      <c r="D12358" s="15" t="s">
        <v>795</v>
      </c>
      <c r="F12358" s="42"/>
    </row>
    <row r="12359" spans="1:6" x14ac:dyDescent="0.3">
      <c r="A12359" s="15" t="s">
        <v>33499</v>
      </c>
      <c r="B12359" s="15" t="s">
        <v>795</v>
      </c>
      <c r="C12359" s="15" t="s">
        <v>795</v>
      </c>
      <c r="D12359" s="15" t="s">
        <v>795</v>
      </c>
      <c r="F12359" s="42"/>
    </row>
    <row r="12360" spans="1:6" x14ac:dyDescent="0.3">
      <c r="A12360" s="15" t="s">
        <v>37663</v>
      </c>
      <c r="B12360" s="15" t="s">
        <v>22704</v>
      </c>
      <c r="C12360" s="15" t="s">
        <v>800</v>
      </c>
      <c r="D12360" s="15" t="s">
        <v>22705</v>
      </c>
      <c r="E12360" s="15">
        <v>1110.578</v>
      </c>
      <c r="F12360" s="42">
        <v>46201</v>
      </c>
    </row>
    <row r="12361" spans="1:6" x14ac:dyDescent="0.3">
      <c r="A12361" s="15" t="s">
        <v>33499</v>
      </c>
      <c r="B12361" s="15" t="s">
        <v>795</v>
      </c>
      <c r="C12361" s="15" t="s">
        <v>795</v>
      </c>
      <c r="D12361" s="15" t="s">
        <v>795</v>
      </c>
      <c r="F12361" s="42"/>
    </row>
    <row r="12362" spans="1:6" x14ac:dyDescent="0.3">
      <c r="A12362" s="15" t="s">
        <v>33519</v>
      </c>
      <c r="B12362" s="15" t="s">
        <v>795</v>
      </c>
      <c r="C12362" s="15" t="s">
        <v>795</v>
      </c>
      <c r="D12362" s="15" t="s">
        <v>795</v>
      </c>
      <c r="F12362" s="42"/>
    </row>
    <row r="12363" spans="1:6" x14ac:dyDescent="0.3">
      <c r="A12363" s="15" t="s">
        <v>33499</v>
      </c>
      <c r="B12363" s="15" t="s">
        <v>795</v>
      </c>
      <c r="C12363" s="15" t="s">
        <v>795</v>
      </c>
      <c r="D12363" s="15" t="s">
        <v>795</v>
      </c>
      <c r="F12363" s="42"/>
    </row>
    <row r="12364" spans="1:6" x14ac:dyDescent="0.3">
      <c r="A12364" s="15" t="s">
        <v>37662</v>
      </c>
      <c r="B12364" s="15" t="s">
        <v>22706</v>
      </c>
      <c r="C12364" s="15" t="s">
        <v>800</v>
      </c>
      <c r="D12364" s="15" t="s">
        <v>22707</v>
      </c>
      <c r="E12364" s="15">
        <v>261.28579999999999</v>
      </c>
      <c r="F12364" s="42">
        <v>46198</v>
      </c>
    </row>
    <row r="12365" spans="1:6" x14ac:dyDescent="0.3">
      <c r="A12365" s="15" t="s">
        <v>37661</v>
      </c>
      <c r="B12365" s="15" t="s">
        <v>22708</v>
      </c>
      <c r="C12365" s="15" t="s">
        <v>800</v>
      </c>
      <c r="D12365" s="15" t="s">
        <v>22709</v>
      </c>
      <c r="E12365" s="15">
        <v>80.868600000000001</v>
      </c>
      <c r="F12365" s="42">
        <v>46198</v>
      </c>
    </row>
    <row r="12366" spans="1:6" x14ac:dyDescent="0.3">
      <c r="A12366" s="15" t="s">
        <v>37660</v>
      </c>
      <c r="B12366" s="15" t="s">
        <v>22710</v>
      </c>
      <c r="C12366" s="15" t="s">
        <v>800</v>
      </c>
      <c r="D12366" s="15" t="s">
        <v>22711</v>
      </c>
      <c r="E12366" s="15">
        <v>293.23939999999999</v>
      </c>
      <c r="F12366" s="42">
        <v>46198</v>
      </c>
    </row>
    <row r="12367" spans="1:6" x14ac:dyDescent="0.3">
      <c r="A12367" s="15" t="s">
        <v>37659</v>
      </c>
      <c r="B12367" s="15" t="s">
        <v>22712</v>
      </c>
      <c r="C12367" s="15" t="s">
        <v>800</v>
      </c>
      <c r="D12367" s="15" t="s">
        <v>22713</v>
      </c>
      <c r="E12367" s="15">
        <v>21.1099</v>
      </c>
      <c r="F12367" s="42">
        <v>46198</v>
      </c>
    </row>
    <row r="12368" spans="1:6" x14ac:dyDescent="0.3">
      <c r="A12368" s="15" t="s">
        <v>33499</v>
      </c>
      <c r="B12368" s="15" t="s">
        <v>795</v>
      </c>
      <c r="C12368" s="15" t="s">
        <v>795</v>
      </c>
      <c r="D12368" s="15" t="s">
        <v>795</v>
      </c>
      <c r="F12368" s="42"/>
    </row>
    <row r="12369" spans="1:6" x14ac:dyDescent="0.3">
      <c r="A12369" s="15" t="s">
        <v>33500</v>
      </c>
      <c r="B12369" s="15" t="s">
        <v>795</v>
      </c>
      <c r="C12369" s="15" t="s">
        <v>795</v>
      </c>
      <c r="D12369" s="15" t="s">
        <v>795</v>
      </c>
      <c r="F12369" s="42"/>
    </row>
    <row r="12370" spans="1:6" x14ac:dyDescent="0.3">
      <c r="A12370" s="15" t="s">
        <v>33499</v>
      </c>
      <c r="B12370" s="15" t="s">
        <v>795</v>
      </c>
      <c r="C12370" s="15" t="s">
        <v>795</v>
      </c>
      <c r="D12370" s="15" t="s">
        <v>795</v>
      </c>
      <c r="F12370" s="42"/>
    </row>
    <row r="12371" spans="1:6" x14ac:dyDescent="0.3">
      <c r="A12371" s="15" t="s">
        <v>37658</v>
      </c>
      <c r="B12371" s="15" t="s">
        <v>22714</v>
      </c>
      <c r="C12371" s="15" t="s">
        <v>800</v>
      </c>
      <c r="D12371" s="15" t="s">
        <v>22715</v>
      </c>
      <c r="E12371" s="15">
        <v>93.345200000000006</v>
      </c>
      <c r="F12371" s="42">
        <v>46198</v>
      </c>
    </row>
    <row r="12372" spans="1:6" x14ac:dyDescent="0.3">
      <c r="A12372" s="15" t="s">
        <v>37657</v>
      </c>
      <c r="B12372" s="15" t="s">
        <v>22716</v>
      </c>
      <c r="C12372" s="15" t="s">
        <v>800</v>
      </c>
      <c r="D12372" s="15" t="s">
        <v>22717</v>
      </c>
      <c r="E12372" s="15">
        <v>77.797899999999998</v>
      </c>
      <c r="F12372" s="42">
        <v>46198</v>
      </c>
    </row>
    <row r="12373" spans="1:6" x14ac:dyDescent="0.3">
      <c r="A12373" s="15" t="s">
        <v>37656</v>
      </c>
      <c r="B12373" s="15" t="s">
        <v>22718</v>
      </c>
      <c r="C12373" s="15" t="s">
        <v>800</v>
      </c>
      <c r="D12373" s="15" t="s">
        <v>22719</v>
      </c>
      <c r="E12373" s="15">
        <v>852.53930000000003</v>
      </c>
      <c r="F12373" s="42">
        <v>46198</v>
      </c>
    </row>
    <row r="12374" spans="1:6" x14ac:dyDescent="0.3">
      <c r="A12374" s="15" t="s">
        <v>37655</v>
      </c>
      <c r="B12374" s="15" t="s">
        <v>22720</v>
      </c>
      <c r="C12374" s="15" t="s">
        <v>800</v>
      </c>
      <c r="D12374" s="15" t="s">
        <v>22721</v>
      </c>
      <c r="E12374" s="15">
        <v>26.514299999999999</v>
      </c>
      <c r="F12374" s="42">
        <v>46198</v>
      </c>
    </row>
    <row r="12375" spans="1:6" x14ac:dyDescent="0.3">
      <c r="A12375" s="15" t="s">
        <v>37654</v>
      </c>
      <c r="B12375" s="15" t="s">
        <v>22722</v>
      </c>
      <c r="C12375" s="15" t="s">
        <v>800</v>
      </c>
      <c r="D12375" s="15" t="s">
        <v>22723</v>
      </c>
      <c r="E12375" s="15">
        <v>65.914500000000004</v>
      </c>
      <c r="F12375" s="42">
        <v>46198</v>
      </c>
    </row>
    <row r="12376" spans="1:6" x14ac:dyDescent="0.3">
      <c r="A12376" s="15" t="s">
        <v>37653</v>
      </c>
      <c r="B12376" s="15" t="s">
        <v>22724</v>
      </c>
      <c r="C12376" s="15" t="s">
        <v>800</v>
      </c>
      <c r="D12376" s="15" t="s">
        <v>22725</v>
      </c>
      <c r="E12376" s="15">
        <v>266.13409999999999</v>
      </c>
      <c r="F12376" s="42">
        <v>46198</v>
      </c>
    </row>
    <row r="12377" spans="1:6" x14ac:dyDescent="0.3">
      <c r="A12377" s="15" t="s">
        <v>37652</v>
      </c>
      <c r="B12377" s="15" t="s">
        <v>22726</v>
      </c>
      <c r="C12377" s="15" t="s">
        <v>800</v>
      </c>
      <c r="D12377" s="15" t="s">
        <v>22727</v>
      </c>
      <c r="E12377" s="15">
        <v>60.172600000000003</v>
      </c>
      <c r="F12377" s="42">
        <v>46198</v>
      </c>
    </row>
    <row r="12378" spans="1:6" x14ac:dyDescent="0.3">
      <c r="A12378" s="15" t="s">
        <v>37651</v>
      </c>
      <c r="B12378" s="15" t="s">
        <v>22728</v>
      </c>
      <c r="C12378" s="15" t="s">
        <v>800</v>
      </c>
      <c r="D12378" s="15" t="s">
        <v>22729</v>
      </c>
      <c r="E12378" s="15">
        <v>286.96699999999998</v>
      </c>
      <c r="F12378" s="42">
        <v>46198</v>
      </c>
    </row>
    <row r="12379" spans="1:6" x14ac:dyDescent="0.3">
      <c r="A12379" s="15" t="s">
        <v>37650</v>
      </c>
      <c r="B12379" s="15" t="s">
        <v>22730</v>
      </c>
      <c r="C12379" s="15" t="s">
        <v>800</v>
      </c>
      <c r="D12379" s="15" t="s">
        <v>22731</v>
      </c>
      <c r="E12379" s="15">
        <v>229.65289999999999</v>
      </c>
      <c r="F12379" s="42">
        <v>46198</v>
      </c>
    </row>
    <row r="12380" spans="1:6" x14ac:dyDescent="0.3">
      <c r="A12380" s="15" t="s">
        <v>37649</v>
      </c>
      <c r="B12380" s="15" t="s">
        <v>22732</v>
      </c>
      <c r="C12380" s="15" t="s">
        <v>800</v>
      </c>
      <c r="D12380" s="15" t="s">
        <v>22733</v>
      </c>
      <c r="E12380" s="15">
        <v>209.6764</v>
      </c>
      <c r="F12380" s="42">
        <v>46198</v>
      </c>
    </row>
    <row r="12381" spans="1:6" x14ac:dyDescent="0.3">
      <c r="A12381" s="15" t="s">
        <v>33499</v>
      </c>
      <c r="B12381" s="15" t="s">
        <v>795</v>
      </c>
      <c r="C12381" s="15" t="s">
        <v>795</v>
      </c>
      <c r="D12381" s="15" t="s">
        <v>795</v>
      </c>
      <c r="F12381" s="42"/>
    </row>
    <row r="12382" spans="1:6" x14ac:dyDescent="0.3">
      <c r="A12382" s="15" t="s">
        <v>37648</v>
      </c>
      <c r="B12382" s="15" t="s">
        <v>795</v>
      </c>
      <c r="C12382" s="15" t="s">
        <v>795</v>
      </c>
      <c r="D12382" s="15" t="s">
        <v>795</v>
      </c>
      <c r="F12382" s="42"/>
    </row>
    <row r="12383" spans="1:6" x14ac:dyDescent="0.3">
      <c r="A12383" s="15" t="s">
        <v>33499</v>
      </c>
      <c r="B12383" s="15" t="s">
        <v>795</v>
      </c>
      <c r="C12383" s="15" t="s">
        <v>795</v>
      </c>
      <c r="D12383" s="15" t="s">
        <v>795</v>
      </c>
      <c r="F12383" s="42"/>
    </row>
    <row r="12384" spans="1:6" x14ac:dyDescent="0.3">
      <c r="A12384" s="15" t="s">
        <v>37647</v>
      </c>
      <c r="B12384" s="15" t="s">
        <v>22734</v>
      </c>
      <c r="C12384" s="15" t="s">
        <v>800</v>
      </c>
      <c r="D12384" s="15" t="s">
        <v>22735</v>
      </c>
      <c r="E12384" s="15">
        <v>10.525399999999999</v>
      </c>
      <c r="F12384" s="42">
        <v>46198</v>
      </c>
    </row>
    <row r="12385" spans="1:6" x14ac:dyDescent="0.3">
      <c r="A12385" s="15" t="s">
        <v>37646</v>
      </c>
      <c r="B12385" s="15" t="s">
        <v>22736</v>
      </c>
      <c r="C12385" s="15" t="s">
        <v>800</v>
      </c>
      <c r="D12385" s="15" t="s">
        <v>22737</v>
      </c>
      <c r="E12385" s="15">
        <v>114.74160000000001</v>
      </c>
      <c r="F12385" s="42">
        <v>46201</v>
      </c>
    </row>
    <row r="12386" spans="1:6" x14ac:dyDescent="0.3">
      <c r="A12386" s="15" t="s">
        <v>37645</v>
      </c>
      <c r="B12386" s="15" t="s">
        <v>22738</v>
      </c>
      <c r="C12386" s="15" t="s">
        <v>800</v>
      </c>
      <c r="D12386" s="15" t="s">
        <v>22739</v>
      </c>
      <c r="E12386" s="15">
        <v>9.6327999999999996</v>
      </c>
      <c r="F12386" s="42">
        <v>46198</v>
      </c>
    </row>
    <row r="12387" spans="1:6" x14ac:dyDescent="0.3">
      <c r="A12387" s="15" t="s">
        <v>37644</v>
      </c>
      <c r="B12387" s="15" t="s">
        <v>22740</v>
      </c>
      <c r="C12387" s="15" t="s">
        <v>800</v>
      </c>
      <c r="D12387" s="15" t="s">
        <v>22741</v>
      </c>
      <c r="E12387" s="15">
        <v>30.334599999999998</v>
      </c>
      <c r="F12387" s="42">
        <v>46198</v>
      </c>
    </row>
    <row r="12388" spans="1:6" x14ac:dyDescent="0.3">
      <c r="A12388" s="15" t="s">
        <v>37643</v>
      </c>
      <c r="B12388" s="15" t="s">
        <v>22742</v>
      </c>
      <c r="C12388" s="15" t="s">
        <v>800</v>
      </c>
      <c r="D12388" s="15" t="s">
        <v>22743</v>
      </c>
      <c r="E12388" s="15">
        <v>11.423299999999999</v>
      </c>
      <c r="F12388" s="42">
        <v>46198</v>
      </c>
    </row>
    <row r="12389" spans="1:6" x14ac:dyDescent="0.3">
      <c r="A12389" s="15" t="s">
        <v>37642</v>
      </c>
      <c r="B12389" s="15" t="s">
        <v>22744</v>
      </c>
      <c r="C12389" s="15" t="s">
        <v>800</v>
      </c>
      <c r="D12389" s="15" t="s">
        <v>22745</v>
      </c>
      <c r="E12389" s="15">
        <v>10.6556</v>
      </c>
      <c r="F12389" s="42">
        <v>46198</v>
      </c>
    </row>
    <row r="12390" spans="1:6" x14ac:dyDescent="0.3">
      <c r="A12390" s="15" t="s">
        <v>37641</v>
      </c>
      <c r="B12390" s="15" t="s">
        <v>22746</v>
      </c>
      <c r="C12390" s="15" t="s">
        <v>800</v>
      </c>
      <c r="D12390" s="15" t="s">
        <v>22747</v>
      </c>
      <c r="E12390" s="15">
        <v>22.008900000000001</v>
      </c>
      <c r="F12390" s="42">
        <v>46198</v>
      </c>
    </row>
    <row r="12391" spans="1:6" x14ac:dyDescent="0.3">
      <c r="A12391" s="15" t="s">
        <v>33499</v>
      </c>
      <c r="B12391" s="15" t="s">
        <v>795</v>
      </c>
      <c r="C12391" s="15" t="s">
        <v>795</v>
      </c>
      <c r="D12391" s="15" t="s">
        <v>795</v>
      </c>
      <c r="F12391" s="42"/>
    </row>
    <row r="12392" spans="1:6" x14ac:dyDescent="0.3">
      <c r="A12392" s="15" t="s">
        <v>37640</v>
      </c>
      <c r="B12392" s="15" t="s">
        <v>795</v>
      </c>
      <c r="C12392" s="15" t="s">
        <v>795</v>
      </c>
      <c r="D12392" s="15" t="s">
        <v>795</v>
      </c>
      <c r="F12392" s="42"/>
    </row>
    <row r="12393" spans="1:6" x14ac:dyDescent="0.3">
      <c r="A12393" s="15" t="s">
        <v>33499</v>
      </c>
      <c r="B12393" s="15" t="s">
        <v>795</v>
      </c>
      <c r="C12393" s="15" t="s">
        <v>795</v>
      </c>
      <c r="D12393" s="15" t="s">
        <v>795</v>
      </c>
      <c r="F12393" s="42"/>
    </row>
    <row r="12394" spans="1:6" x14ac:dyDescent="0.3">
      <c r="A12394" s="15" t="s">
        <v>37122</v>
      </c>
      <c r="B12394" s="15" t="s">
        <v>795</v>
      </c>
      <c r="C12394" s="15" t="s">
        <v>795</v>
      </c>
      <c r="D12394" s="15" t="s">
        <v>795</v>
      </c>
      <c r="F12394" s="42"/>
    </row>
    <row r="12395" spans="1:6" x14ac:dyDescent="0.3">
      <c r="A12395" s="15" t="s">
        <v>33499</v>
      </c>
      <c r="B12395" s="15" t="s">
        <v>795</v>
      </c>
      <c r="C12395" s="15" t="s">
        <v>795</v>
      </c>
      <c r="D12395" s="15" t="s">
        <v>795</v>
      </c>
      <c r="F12395" s="42"/>
    </row>
    <row r="12396" spans="1:6" x14ac:dyDescent="0.3">
      <c r="A12396" s="15" t="s">
        <v>37639</v>
      </c>
      <c r="B12396" s="15" t="s">
        <v>22748</v>
      </c>
      <c r="C12396" s="15" t="s">
        <v>800</v>
      </c>
      <c r="D12396" s="15" t="s">
        <v>22749</v>
      </c>
      <c r="E12396" s="15">
        <v>23.02</v>
      </c>
      <c r="F12396" s="42">
        <v>46198</v>
      </c>
    </row>
    <row r="12397" spans="1:6" x14ac:dyDescent="0.3">
      <c r="A12397" s="15" t="s">
        <v>37638</v>
      </c>
      <c r="B12397" s="15" t="s">
        <v>22750</v>
      </c>
      <c r="C12397" s="15" t="s">
        <v>800</v>
      </c>
      <c r="D12397" s="15" t="s">
        <v>22751</v>
      </c>
      <c r="E12397" s="15">
        <v>20.43</v>
      </c>
      <c r="F12397" s="42">
        <v>46198</v>
      </c>
    </row>
    <row r="12398" spans="1:6" x14ac:dyDescent="0.3">
      <c r="A12398" s="15" t="s">
        <v>37637</v>
      </c>
      <c r="B12398" s="15" t="s">
        <v>22752</v>
      </c>
      <c r="C12398" s="15" t="s">
        <v>22753</v>
      </c>
      <c r="D12398" s="15" t="s">
        <v>22754</v>
      </c>
      <c r="E12398" s="15">
        <v>18.78</v>
      </c>
      <c r="F12398" s="42">
        <v>46198</v>
      </c>
    </row>
    <row r="12399" spans="1:6" x14ac:dyDescent="0.3">
      <c r="A12399" s="15" t="s">
        <v>37636</v>
      </c>
      <c r="B12399" s="15" t="s">
        <v>22755</v>
      </c>
      <c r="C12399" s="15" t="s">
        <v>22756</v>
      </c>
      <c r="D12399" s="15" t="s">
        <v>22757</v>
      </c>
      <c r="E12399" s="15">
        <v>16.68</v>
      </c>
      <c r="F12399" s="42">
        <v>46198</v>
      </c>
    </row>
    <row r="12400" spans="1:6" x14ac:dyDescent="0.3">
      <c r="A12400" s="15" t="s">
        <v>33499</v>
      </c>
      <c r="B12400" s="15" t="s">
        <v>795</v>
      </c>
      <c r="C12400" s="15" t="s">
        <v>795</v>
      </c>
      <c r="D12400" s="15" t="s">
        <v>795</v>
      </c>
      <c r="F12400" s="42"/>
    </row>
    <row r="12401" spans="1:6" x14ac:dyDescent="0.3">
      <c r="A12401" s="15" t="s">
        <v>37087</v>
      </c>
      <c r="B12401" s="15" t="s">
        <v>795</v>
      </c>
      <c r="C12401" s="15" t="s">
        <v>795</v>
      </c>
      <c r="D12401" s="15" t="s">
        <v>795</v>
      </c>
      <c r="F12401" s="42"/>
    </row>
    <row r="12402" spans="1:6" x14ac:dyDescent="0.3">
      <c r="A12402" s="15" t="s">
        <v>33499</v>
      </c>
      <c r="B12402" s="15" t="s">
        <v>795</v>
      </c>
      <c r="C12402" s="15" t="s">
        <v>795</v>
      </c>
      <c r="D12402" s="15" t="s">
        <v>795</v>
      </c>
      <c r="F12402" s="42"/>
    </row>
    <row r="12403" spans="1:6" x14ac:dyDescent="0.3">
      <c r="A12403" s="15" t="s">
        <v>37635</v>
      </c>
      <c r="B12403" s="15" t="s">
        <v>22758</v>
      </c>
      <c r="C12403" s="15" t="s">
        <v>800</v>
      </c>
      <c r="D12403" s="15" t="s">
        <v>22759</v>
      </c>
      <c r="E12403" s="15">
        <v>29.776599999999998</v>
      </c>
      <c r="F12403" s="42">
        <v>46198</v>
      </c>
    </row>
    <row r="12404" spans="1:6" x14ac:dyDescent="0.3">
      <c r="A12404" s="15" t="s">
        <v>37634</v>
      </c>
      <c r="B12404" s="15" t="s">
        <v>22760</v>
      </c>
      <c r="C12404" s="15" t="s">
        <v>800</v>
      </c>
      <c r="D12404" s="15" t="s">
        <v>22761</v>
      </c>
      <c r="E12404" s="15">
        <v>29.751300000000001</v>
      </c>
      <c r="F12404" s="42">
        <v>46198</v>
      </c>
    </row>
    <row r="12405" spans="1:6" x14ac:dyDescent="0.3">
      <c r="A12405" s="15" t="s">
        <v>37633</v>
      </c>
      <c r="B12405" s="15" t="s">
        <v>22762</v>
      </c>
      <c r="C12405" s="15" t="s">
        <v>800</v>
      </c>
      <c r="D12405" s="15" t="s">
        <v>22763</v>
      </c>
      <c r="E12405" s="15">
        <v>25.984200000000001</v>
      </c>
      <c r="F12405" s="42">
        <v>46198</v>
      </c>
    </row>
    <row r="12406" spans="1:6" x14ac:dyDescent="0.3">
      <c r="A12406" s="15" t="s">
        <v>37632</v>
      </c>
      <c r="B12406" s="15" t="s">
        <v>22764</v>
      </c>
      <c r="C12406" s="15" t="s">
        <v>800</v>
      </c>
      <c r="D12406" s="15" t="s">
        <v>22765</v>
      </c>
      <c r="E12406" s="15">
        <v>25.9984</v>
      </c>
      <c r="F12406" s="42">
        <v>46198</v>
      </c>
    </row>
    <row r="12407" spans="1:6" x14ac:dyDescent="0.3">
      <c r="A12407" s="15" t="s">
        <v>37631</v>
      </c>
      <c r="B12407" s="15" t="s">
        <v>22766</v>
      </c>
      <c r="C12407" s="15" t="s">
        <v>800</v>
      </c>
      <c r="D12407" s="15" t="s">
        <v>22767</v>
      </c>
      <c r="E12407" s="15">
        <v>30.3461</v>
      </c>
      <c r="F12407" s="42">
        <v>46198</v>
      </c>
    </row>
    <row r="12408" spans="1:6" x14ac:dyDescent="0.3">
      <c r="A12408" s="15" t="s">
        <v>37630</v>
      </c>
      <c r="B12408" s="15" t="s">
        <v>22768</v>
      </c>
      <c r="C12408" s="15" t="s">
        <v>22769</v>
      </c>
      <c r="D12408" s="15" t="s">
        <v>22770</v>
      </c>
      <c r="E12408" s="15">
        <v>29.813099999999999</v>
      </c>
      <c r="F12408" s="42">
        <v>46198</v>
      </c>
    </row>
    <row r="12409" spans="1:6" x14ac:dyDescent="0.3">
      <c r="A12409" s="15" t="s">
        <v>37629</v>
      </c>
      <c r="B12409" s="15" t="s">
        <v>22771</v>
      </c>
      <c r="C12409" s="15" t="s">
        <v>800</v>
      </c>
      <c r="D12409" s="15" t="s">
        <v>22772</v>
      </c>
      <c r="E12409" s="15">
        <v>25.981000000000002</v>
      </c>
      <c r="F12409" s="42">
        <v>46198</v>
      </c>
    </row>
    <row r="12410" spans="1:6" x14ac:dyDescent="0.3">
      <c r="A12410" s="15" t="s">
        <v>37628</v>
      </c>
      <c r="B12410" s="15" t="s">
        <v>22773</v>
      </c>
      <c r="C12410" s="15" t="s">
        <v>22774</v>
      </c>
      <c r="D12410" s="15" t="s">
        <v>22775</v>
      </c>
      <c r="E12410" s="15">
        <v>25.976700000000001</v>
      </c>
      <c r="F12410" s="42">
        <v>46198</v>
      </c>
    </row>
    <row r="12411" spans="1:6" x14ac:dyDescent="0.3">
      <c r="A12411" s="15" t="s">
        <v>33499</v>
      </c>
      <c r="B12411" s="15" t="s">
        <v>795</v>
      </c>
      <c r="C12411" s="15" t="s">
        <v>795</v>
      </c>
      <c r="D12411" s="15" t="s">
        <v>795</v>
      </c>
      <c r="F12411" s="42"/>
    </row>
    <row r="12412" spans="1:6" x14ac:dyDescent="0.3">
      <c r="A12412" s="15" t="s">
        <v>37566</v>
      </c>
      <c r="B12412" s="15" t="s">
        <v>795</v>
      </c>
      <c r="C12412" s="15" t="s">
        <v>795</v>
      </c>
      <c r="D12412" s="15" t="s">
        <v>795</v>
      </c>
      <c r="F12412" s="42"/>
    </row>
    <row r="12413" spans="1:6" x14ac:dyDescent="0.3">
      <c r="A12413" s="15" t="s">
        <v>33499</v>
      </c>
      <c r="B12413" s="15" t="s">
        <v>795</v>
      </c>
      <c r="C12413" s="15" t="s">
        <v>795</v>
      </c>
      <c r="D12413" s="15" t="s">
        <v>795</v>
      </c>
      <c r="F12413" s="42"/>
    </row>
    <row r="12414" spans="1:6" x14ac:dyDescent="0.3">
      <c r="A12414" s="15" t="s">
        <v>37627</v>
      </c>
      <c r="B12414" s="15" t="s">
        <v>22776</v>
      </c>
      <c r="C12414" s="15" t="s">
        <v>800</v>
      </c>
      <c r="D12414" s="15" t="s">
        <v>22777</v>
      </c>
      <c r="E12414" s="15">
        <v>11.264799999999999</v>
      </c>
      <c r="F12414" s="42">
        <v>46198</v>
      </c>
    </row>
    <row r="12415" spans="1:6" x14ac:dyDescent="0.3">
      <c r="A12415" s="15" t="s">
        <v>37626</v>
      </c>
      <c r="B12415" s="15" t="s">
        <v>22778</v>
      </c>
      <c r="C12415" s="15" t="s">
        <v>800</v>
      </c>
      <c r="D12415" s="15" t="s">
        <v>22779</v>
      </c>
      <c r="E12415" s="15">
        <v>10.9543</v>
      </c>
      <c r="F12415" s="42">
        <v>46198</v>
      </c>
    </row>
    <row r="12416" spans="1:6" x14ac:dyDescent="0.3">
      <c r="A12416" s="15" t="s">
        <v>37625</v>
      </c>
      <c r="B12416" s="15" t="s">
        <v>22780</v>
      </c>
      <c r="C12416" s="15" t="s">
        <v>800</v>
      </c>
      <c r="D12416" s="15" t="s">
        <v>22781</v>
      </c>
      <c r="E12416" s="15">
        <v>10.9543</v>
      </c>
      <c r="F12416" s="42">
        <v>46198</v>
      </c>
    </row>
    <row r="12417" spans="1:6" x14ac:dyDescent="0.3">
      <c r="A12417" s="15" t="s">
        <v>33499</v>
      </c>
      <c r="B12417" s="15" t="s">
        <v>795</v>
      </c>
      <c r="C12417" s="15" t="s">
        <v>795</v>
      </c>
      <c r="D12417" s="15" t="s">
        <v>795</v>
      </c>
      <c r="F12417" s="42"/>
    </row>
    <row r="12418" spans="1:6" x14ac:dyDescent="0.3">
      <c r="A12418" s="15" t="s">
        <v>37043</v>
      </c>
      <c r="B12418" s="15" t="s">
        <v>795</v>
      </c>
      <c r="C12418" s="15" t="s">
        <v>795</v>
      </c>
      <c r="D12418" s="15" t="s">
        <v>795</v>
      </c>
      <c r="F12418" s="42"/>
    </row>
    <row r="12419" spans="1:6" x14ac:dyDescent="0.3">
      <c r="A12419" s="15" t="s">
        <v>33499</v>
      </c>
      <c r="B12419" s="15" t="s">
        <v>795</v>
      </c>
      <c r="C12419" s="15" t="s">
        <v>795</v>
      </c>
      <c r="D12419" s="15" t="s">
        <v>795</v>
      </c>
      <c r="F12419" s="42"/>
    </row>
    <row r="12420" spans="1:6" x14ac:dyDescent="0.3">
      <c r="A12420" s="15" t="s">
        <v>37624</v>
      </c>
      <c r="B12420" s="15" t="s">
        <v>22782</v>
      </c>
      <c r="C12420" s="15" t="s">
        <v>800</v>
      </c>
      <c r="D12420" s="15" t="s">
        <v>22783</v>
      </c>
      <c r="E12420" s="15">
        <v>323.21300000000002</v>
      </c>
      <c r="F12420" s="42">
        <v>46198</v>
      </c>
    </row>
    <row r="12421" spans="1:6" x14ac:dyDescent="0.3">
      <c r="A12421" s="15" t="s">
        <v>37623</v>
      </c>
      <c r="B12421" s="15" t="s">
        <v>22784</v>
      </c>
      <c r="C12421" s="15" t="s">
        <v>800</v>
      </c>
      <c r="D12421" s="15" t="s">
        <v>22785</v>
      </c>
      <c r="E12421" s="15">
        <v>289.233</v>
      </c>
      <c r="F12421" s="42">
        <v>46198</v>
      </c>
    </row>
    <row r="12422" spans="1:6" x14ac:dyDescent="0.3">
      <c r="A12422" s="15" t="s">
        <v>37622</v>
      </c>
      <c r="B12422" s="15" t="s">
        <v>800</v>
      </c>
      <c r="C12422" s="15" t="s">
        <v>800</v>
      </c>
      <c r="D12422" s="15" t="s">
        <v>22786</v>
      </c>
      <c r="E12422" s="15">
        <v>45.880699999999997</v>
      </c>
      <c r="F12422" s="42">
        <v>43026</v>
      </c>
    </row>
    <row r="12423" spans="1:6" x14ac:dyDescent="0.3">
      <c r="A12423" s="15" t="s">
        <v>37621</v>
      </c>
      <c r="B12423" s="15" t="s">
        <v>800</v>
      </c>
      <c r="C12423" s="15" t="s">
        <v>800</v>
      </c>
      <c r="D12423" s="15" t="s">
        <v>22787</v>
      </c>
      <c r="E12423" s="15">
        <v>44.072200000000002</v>
      </c>
      <c r="F12423" s="42">
        <v>43026</v>
      </c>
    </row>
    <row r="12424" spans="1:6" x14ac:dyDescent="0.3">
      <c r="A12424" s="15" t="s">
        <v>33499</v>
      </c>
      <c r="B12424" s="15" t="s">
        <v>795</v>
      </c>
      <c r="C12424" s="15" t="s">
        <v>795</v>
      </c>
      <c r="D12424" s="15" t="s">
        <v>795</v>
      </c>
      <c r="F12424" s="42"/>
    </row>
    <row r="12425" spans="1:6" x14ac:dyDescent="0.3">
      <c r="A12425" s="15" t="s">
        <v>36764</v>
      </c>
      <c r="B12425" s="15" t="s">
        <v>795</v>
      </c>
      <c r="C12425" s="15" t="s">
        <v>795</v>
      </c>
      <c r="D12425" s="15" t="s">
        <v>795</v>
      </c>
      <c r="F12425" s="42"/>
    </row>
    <row r="12426" spans="1:6" x14ac:dyDescent="0.3">
      <c r="A12426" s="15" t="s">
        <v>33499</v>
      </c>
      <c r="B12426" s="15" t="s">
        <v>795</v>
      </c>
      <c r="C12426" s="15" t="s">
        <v>795</v>
      </c>
      <c r="D12426" s="15" t="s">
        <v>795</v>
      </c>
      <c r="F12426" s="42"/>
    </row>
    <row r="12427" spans="1:6" x14ac:dyDescent="0.3">
      <c r="A12427" s="15" t="s">
        <v>37620</v>
      </c>
      <c r="B12427" s="15" t="s">
        <v>22788</v>
      </c>
      <c r="C12427" s="15" t="s">
        <v>800</v>
      </c>
      <c r="D12427" s="15" t="s">
        <v>22789</v>
      </c>
      <c r="E12427" s="15">
        <v>364.81</v>
      </c>
      <c r="F12427" s="42">
        <v>46198</v>
      </c>
    </row>
    <row r="12428" spans="1:6" x14ac:dyDescent="0.3">
      <c r="A12428" s="15" t="s">
        <v>37619</v>
      </c>
      <c r="B12428" s="15" t="s">
        <v>22790</v>
      </c>
      <c r="C12428" s="15" t="s">
        <v>800</v>
      </c>
      <c r="D12428" s="15" t="s">
        <v>22791</v>
      </c>
      <c r="E12428" s="15">
        <v>329.5</v>
      </c>
      <c r="F12428" s="42">
        <v>46198</v>
      </c>
    </row>
    <row r="12429" spans="1:6" x14ac:dyDescent="0.3">
      <c r="A12429" s="15" t="s">
        <v>33499</v>
      </c>
      <c r="B12429" s="15" t="s">
        <v>795</v>
      </c>
      <c r="C12429" s="15" t="s">
        <v>795</v>
      </c>
      <c r="D12429" s="15" t="s">
        <v>795</v>
      </c>
      <c r="F12429" s="42"/>
    </row>
    <row r="12430" spans="1:6" x14ac:dyDescent="0.3">
      <c r="A12430" s="15" t="s">
        <v>37618</v>
      </c>
      <c r="B12430" s="15" t="s">
        <v>795</v>
      </c>
      <c r="C12430" s="15" t="s">
        <v>795</v>
      </c>
      <c r="D12430" s="15" t="s">
        <v>795</v>
      </c>
      <c r="F12430" s="42"/>
    </row>
    <row r="12431" spans="1:6" x14ac:dyDescent="0.3">
      <c r="A12431" s="15" t="s">
        <v>33499</v>
      </c>
      <c r="B12431" s="15" t="s">
        <v>795</v>
      </c>
      <c r="C12431" s="15" t="s">
        <v>795</v>
      </c>
      <c r="D12431" s="15" t="s">
        <v>795</v>
      </c>
      <c r="F12431" s="42"/>
    </row>
    <row r="12432" spans="1:6" x14ac:dyDescent="0.3">
      <c r="A12432" s="15" t="s">
        <v>37617</v>
      </c>
      <c r="B12432" s="15" t="s">
        <v>22792</v>
      </c>
      <c r="C12432" s="15" t="s">
        <v>800</v>
      </c>
      <c r="D12432" s="15" t="s">
        <v>22793</v>
      </c>
      <c r="E12432" s="15">
        <v>37.484400000000001</v>
      </c>
      <c r="F12432" s="42">
        <v>46198</v>
      </c>
    </row>
    <row r="12433" spans="1:6" x14ac:dyDescent="0.3">
      <c r="A12433" s="15" t="s">
        <v>37616</v>
      </c>
      <c r="B12433" s="15" t="s">
        <v>22794</v>
      </c>
      <c r="C12433" s="15" t="s">
        <v>800</v>
      </c>
      <c r="D12433" s="15" t="s">
        <v>22795</v>
      </c>
      <c r="E12433" s="15">
        <v>33.364600000000003</v>
      </c>
      <c r="F12433" s="42">
        <v>46198</v>
      </c>
    </row>
    <row r="12434" spans="1:6" x14ac:dyDescent="0.3">
      <c r="A12434" s="15" t="s">
        <v>33499</v>
      </c>
      <c r="B12434" s="15" t="s">
        <v>795</v>
      </c>
      <c r="C12434" s="15" t="s">
        <v>795</v>
      </c>
      <c r="D12434" s="15" t="s">
        <v>795</v>
      </c>
      <c r="F12434" s="42"/>
    </row>
    <row r="12435" spans="1:6" x14ac:dyDescent="0.3">
      <c r="A12435" s="15" t="s">
        <v>33636</v>
      </c>
      <c r="B12435" s="15" t="s">
        <v>795</v>
      </c>
      <c r="C12435" s="15" t="s">
        <v>795</v>
      </c>
      <c r="D12435" s="15" t="s">
        <v>795</v>
      </c>
      <c r="F12435" s="42"/>
    </row>
    <row r="12436" spans="1:6" x14ac:dyDescent="0.3">
      <c r="A12436" s="15" t="s">
        <v>33499</v>
      </c>
      <c r="B12436" s="15" t="s">
        <v>795</v>
      </c>
      <c r="C12436" s="15" t="s">
        <v>795</v>
      </c>
      <c r="D12436" s="15" t="s">
        <v>795</v>
      </c>
      <c r="F12436" s="42"/>
    </row>
    <row r="12437" spans="1:6" x14ac:dyDescent="0.3">
      <c r="A12437" s="15" t="s">
        <v>37615</v>
      </c>
      <c r="B12437" s="15" t="s">
        <v>22796</v>
      </c>
      <c r="C12437" s="15" t="s">
        <v>800</v>
      </c>
      <c r="D12437" s="15" t="s">
        <v>22797</v>
      </c>
      <c r="E12437" s="15">
        <v>52.330399999999997</v>
      </c>
      <c r="F12437" s="42">
        <v>46198</v>
      </c>
    </row>
    <row r="12438" spans="1:6" x14ac:dyDescent="0.3">
      <c r="A12438" s="15" t="s">
        <v>37614</v>
      </c>
      <c r="B12438" s="15" t="s">
        <v>22798</v>
      </c>
      <c r="C12438" s="15" t="s">
        <v>800</v>
      </c>
      <c r="D12438" s="15" t="s">
        <v>22799</v>
      </c>
      <c r="E12438" s="15">
        <v>48.707299999999996</v>
      </c>
      <c r="F12438" s="42">
        <v>46198</v>
      </c>
    </row>
    <row r="12439" spans="1:6" x14ac:dyDescent="0.3">
      <c r="A12439" s="15" t="s">
        <v>37613</v>
      </c>
      <c r="B12439" s="15" t="s">
        <v>22800</v>
      </c>
      <c r="C12439" s="15" t="s">
        <v>800</v>
      </c>
      <c r="D12439" s="15" t="s">
        <v>22801</v>
      </c>
      <c r="E12439" s="15">
        <v>128.13929999999999</v>
      </c>
      <c r="F12439" s="42">
        <v>46198</v>
      </c>
    </row>
    <row r="12440" spans="1:6" x14ac:dyDescent="0.3">
      <c r="A12440" s="15" t="s">
        <v>37612</v>
      </c>
      <c r="B12440" s="15" t="s">
        <v>22802</v>
      </c>
      <c r="C12440" s="15" t="s">
        <v>800</v>
      </c>
      <c r="D12440" s="15" t="s">
        <v>22803</v>
      </c>
      <c r="E12440" s="15">
        <v>117.1425</v>
      </c>
      <c r="F12440" s="42">
        <v>46198</v>
      </c>
    </row>
    <row r="12441" spans="1:6" x14ac:dyDescent="0.3">
      <c r="A12441" s="15" t="s">
        <v>33499</v>
      </c>
      <c r="B12441" s="15" t="s">
        <v>795</v>
      </c>
      <c r="C12441" s="15" t="s">
        <v>795</v>
      </c>
      <c r="D12441" s="15" t="s">
        <v>795</v>
      </c>
      <c r="F12441" s="42"/>
    </row>
    <row r="12442" spans="1:6" x14ac:dyDescent="0.3">
      <c r="A12442" s="15" t="s">
        <v>33519</v>
      </c>
      <c r="B12442" s="15" t="s">
        <v>795</v>
      </c>
      <c r="C12442" s="15" t="s">
        <v>795</v>
      </c>
      <c r="D12442" s="15" t="s">
        <v>795</v>
      </c>
      <c r="F12442" s="42"/>
    </row>
    <row r="12443" spans="1:6" x14ac:dyDescent="0.3">
      <c r="A12443" s="15" t="s">
        <v>33499</v>
      </c>
      <c r="B12443" s="15" t="s">
        <v>795</v>
      </c>
      <c r="C12443" s="15" t="s">
        <v>795</v>
      </c>
      <c r="D12443" s="15" t="s">
        <v>795</v>
      </c>
      <c r="F12443" s="42"/>
    </row>
    <row r="12444" spans="1:6" x14ac:dyDescent="0.3">
      <c r="A12444" s="15" t="s">
        <v>37611</v>
      </c>
      <c r="B12444" s="15" t="s">
        <v>22804</v>
      </c>
      <c r="C12444" s="15" t="s">
        <v>800</v>
      </c>
      <c r="D12444" s="15" t="s">
        <v>22805</v>
      </c>
      <c r="E12444" s="15">
        <v>56.804000000000002</v>
      </c>
      <c r="F12444" s="42">
        <v>46198</v>
      </c>
    </row>
    <row r="12445" spans="1:6" x14ac:dyDescent="0.3">
      <c r="A12445" s="15" t="s">
        <v>37610</v>
      </c>
      <c r="B12445" s="15" t="s">
        <v>22806</v>
      </c>
      <c r="C12445" s="15" t="s">
        <v>800</v>
      </c>
      <c r="D12445" s="15" t="s">
        <v>22807</v>
      </c>
      <c r="E12445" s="15">
        <v>63.527799999999999</v>
      </c>
      <c r="F12445" s="42">
        <v>46198</v>
      </c>
    </row>
    <row r="12446" spans="1:6" x14ac:dyDescent="0.3">
      <c r="A12446" s="15" t="s">
        <v>33499</v>
      </c>
      <c r="B12446" s="15" t="s">
        <v>795</v>
      </c>
      <c r="C12446" s="15" t="s">
        <v>795</v>
      </c>
      <c r="D12446" s="15" t="s">
        <v>795</v>
      </c>
      <c r="F12446" s="42"/>
    </row>
    <row r="12447" spans="1:6" x14ac:dyDescent="0.3">
      <c r="A12447" s="15" t="s">
        <v>33504</v>
      </c>
      <c r="B12447" s="15" t="s">
        <v>795</v>
      </c>
      <c r="C12447" s="15" t="s">
        <v>795</v>
      </c>
      <c r="D12447" s="15" t="s">
        <v>795</v>
      </c>
      <c r="F12447" s="42"/>
    </row>
    <row r="12448" spans="1:6" x14ac:dyDescent="0.3">
      <c r="A12448" s="15" t="s">
        <v>33499</v>
      </c>
      <c r="B12448" s="15" t="s">
        <v>795</v>
      </c>
      <c r="C12448" s="15" t="s">
        <v>795</v>
      </c>
      <c r="D12448" s="15" t="s">
        <v>795</v>
      </c>
      <c r="F12448" s="42"/>
    </row>
    <row r="12449" spans="1:6" x14ac:dyDescent="0.3">
      <c r="A12449" s="15" t="s">
        <v>37609</v>
      </c>
      <c r="B12449" s="15" t="s">
        <v>22808</v>
      </c>
      <c r="C12449" s="15" t="s">
        <v>800</v>
      </c>
      <c r="D12449" s="15" t="s">
        <v>22809</v>
      </c>
      <c r="E12449" s="15">
        <v>13.09</v>
      </c>
      <c r="F12449" s="42">
        <v>46198</v>
      </c>
    </row>
    <row r="12450" spans="1:6" x14ac:dyDescent="0.3">
      <c r="A12450" s="15" t="s">
        <v>37608</v>
      </c>
      <c r="B12450" s="15" t="s">
        <v>22810</v>
      </c>
      <c r="C12450" s="15" t="s">
        <v>800</v>
      </c>
      <c r="D12450" s="15" t="s">
        <v>22811</v>
      </c>
      <c r="E12450" s="15">
        <v>13.09</v>
      </c>
      <c r="F12450" s="42">
        <v>46198</v>
      </c>
    </row>
    <row r="12451" spans="1:6" x14ac:dyDescent="0.3">
      <c r="A12451" s="15" t="s">
        <v>37607</v>
      </c>
      <c r="B12451" s="15" t="s">
        <v>22812</v>
      </c>
      <c r="C12451" s="15" t="s">
        <v>800</v>
      </c>
      <c r="D12451" s="15" t="s">
        <v>22813</v>
      </c>
      <c r="E12451" s="15">
        <v>12.67</v>
      </c>
      <c r="F12451" s="42">
        <v>46198</v>
      </c>
    </row>
    <row r="12452" spans="1:6" x14ac:dyDescent="0.3">
      <c r="A12452" s="15" t="s">
        <v>37606</v>
      </c>
      <c r="B12452" s="15" t="s">
        <v>22814</v>
      </c>
      <c r="C12452" s="15" t="s">
        <v>800</v>
      </c>
      <c r="D12452" s="15" t="s">
        <v>22815</v>
      </c>
      <c r="E12452" s="15">
        <v>11.02</v>
      </c>
      <c r="F12452" s="42">
        <v>46198</v>
      </c>
    </row>
    <row r="12453" spans="1:6" x14ac:dyDescent="0.3">
      <c r="A12453" s="15" t="s">
        <v>33499</v>
      </c>
      <c r="B12453" s="15" t="s">
        <v>795</v>
      </c>
      <c r="C12453" s="15" t="s">
        <v>795</v>
      </c>
      <c r="D12453" s="15" t="s">
        <v>795</v>
      </c>
      <c r="F12453" s="42"/>
    </row>
    <row r="12454" spans="1:6" x14ac:dyDescent="0.3">
      <c r="A12454" s="15" t="s">
        <v>33500</v>
      </c>
      <c r="B12454" s="15" t="s">
        <v>795</v>
      </c>
      <c r="C12454" s="15" t="s">
        <v>795</v>
      </c>
      <c r="D12454" s="15" t="s">
        <v>795</v>
      </c>
      <c r="F12454" s="42"/>
    </row>
    <row r="12455" spans="1:6" x14ac:dyDescent="0.3">
      <c r="A12455" s="15" t="s">
        <v>33499</v>
      </c>
      <c r="B12455" s="15" t="s">
        <v>795</v>
      </c>
      <c r="C12455" s="15" t="s">
        <v>795</v>
      </c>
      <c r="D12455" s="15" t="s">
        <v>795</v>
      </c>
      <c r="F12455" s="42"/>
    </row>
    <row r="12456" spans="1:6" x14ac:dyDescent="0.3">
      <c r="A12456" s="15" t="s">
        <v>37605</v>
      </c>
      <c r="B12456" s="15" t="s">
        <v>46974</v>
      </c>
      <c r="C12456" s="15" t="s">
        <v>800</v>
      </c>
      <c r="D12456" s="15" t="s">
        <v>22816</v>
      </c>
      <c r="E12456" s="15">
        <v>90.344099999999997</v>
      </c>
      <c r="F12456" s="42">
        <v>46198</v>
      </c>
    </row>
    <row r="12457" spans="1:6" x14ac:dyDescent="0.3">
      <c r="A12457" s="15" t="s">
        <v>37604</v>
      </c>
      <c r="B12457" s="15" t="s">
        <v>46975</v>
      </c>
      <c r="C12457" s="15" t="s">
        <v>800</v>
      </c>
      <c r="D12457" s="15" t="s">
        <v>22817</v>
      </c>
      <c r="E12457" s="15">
        <v>90.500200000000007</v>
      </c>
      <c r="F12457" s="42">
        <v>46198</v>
      </c>
    </row>
    <row r="12458" spans="1:6" x14ac:dyDescent="0.3">
      <c r="A12458" s="15" t="s">
        <v>37603</v>
      </c>
      <c r="B12458" s="15" t="s">
        <v>46976</v>
      </c>
      <c r="C12458" s="15" t="s">
        <v>800</v>
      </c>
      <c r="D12458" s="15" t="s">
        <v>22818</v>
      </c>
      <c r="E12458" s="15">
        <v>80.563599999999994</v>
      </c>
      <c r="F12458" s="42">
        <v>46198</v>
      </c>
    </row>
    <row r="12459" spans="1:6" x14ac:dyDescent="0.3">
      <c r="A12459" s="15" t="s">
        <v>37602</v>
      </c>
      <c r="B12459" s="15" t="s">
        <v>46977</v>
      </c>
      <c r="C12459" s="15" t="s">
        <v>800</v>
      </c>
      <c r="D12459" s="15" t="s">
        <v>22819</v>
      </c>
      <c r="E12459" s="15">
        <v>80.568600000000004</v>
      </c>
      <c r="F12459" s="42">
        <v>46198</v>
      </c>
    </row>
    <row r="12460" spans="1:6" x14ac:dyDescent="0.3">
      <c r="A12460" s="15" t="s">
        <v>37601</v>
      </c>
      <c r="B12460" s="15" t="s">
        <v>46978</v>
      </c>
      <c r="C12460" s="15" t="s">
        <v>800</v>
      </c>
      <c r="D12460" s="15" t="s">
        <v>22820</v>
      </c>
      <c r="E12460" s="15">
        <v>41.309399999999997</v>
      </c>
      <c r="F12460" s="42">
        <v>46198</v>
      </c>
    </row>
    <row r="12461" spans="1:6" x14ac:dyDescent="0.3">
      <c r="A12461" s="15" t="s">
        <v>37600</v>
      </c>
      <c r="B12461" s="15" t="s">
        <v>46979</v>
      </c>
      <c r="C12461" s="15" t="s">
        <v>800</v>
      </c>
      <c r="D12461" s="15" t="s">
        <v>22821</v>
      </c>
      <c r="E12461" s="15">
        <v>40.339300000000001</v>
      </c>
      <c r="F12461" s="42">
        <v>46198</v>
      </c>
    </row>
    <row r="12462" spans="1:6" x14ac:dyDescent="0.3">
      <c r="A12462" s="15" t="s">
        <v>33499</v>
      </c>
      <c r="B12462" s="15" t="s">
        <v>795</v>
      </c>
      <c r="C12462" s="15" t="s">
        <v>795</v>
      </c>
      <c r="D12462" s="15" t="s">
        <v>795</v>
      </c>
      <c r="F12462" s="42"/>
    </row>
    <row r="12463" spans="1:6" x14ac:dyDescent="0.3">
      <c r="A12463" s="15" t="s">
        <v>37599</v>
      </c>
      <c r="B12463" s="15" t="s">
        <v>795</v>
      </c>
      <c r="C12463" s="15" t="s">
        <v>795</v>
      </c>
      <c r="D12463" s="15" t="s">
        <v>795</v>
      </c>
      <c r="F12463" s="42"/>
    </row>
    <row r="12464" spans="1:6" x14ac:dyDescent="0.3">
      <c r="A12464" s="15" t="s">
        <v>33499</v>
      </c>
      <c r="B12464" s="15" t="s">
        <v>795</v>
      </c>
      <c r="C12464" s="15" t="s">
        <v>795</v>
      </c>
      <c r="D12464" s="15" t="s">
        <v>795</v>
      </c>
      <c r="F12464" s="42"/>
    </row>
    <row r="12465" spans="1:6" x14ac:dyDescent="0.3">
      <c r="A12465" s="15" t="s">
        <v>37122</v>
      </c>
      <c r="B12465" s="15" t="s">
        <v>795</v>
      </c>
      <c r="C12465" s="15" t="s">
        <v>795</v>
      </c>
      <c r="D12465" s="15" t="s">
        <v>795</v>
      </c>
      <c r="F12465" s="42"/>
    </row>
    <row r="12466" spans="1:6" x14ac:dyDescent="0.3">
      <c r="A12466" s="15" t="s">
        <v>33499</v>
      </c>
      <c r="B12466" s="15" t="s">
        <v>795</v>
      </c>
      <c r="C12466" s="15" t="s">
        <v>795</v>
      </c>
      <c r="D12466" s="15" t="s">
        <v>795</v>
      </c>
      <c r="F12466" s="42"/>
    </row>
    <row r="12467" spans="1:6" x14ac:dyDescent="0.3">
      <c r="A12467" s="15" t="s">
        <v>37598</v>
      </c>
      <c r="B12467" s="15" t="s">
        <v>22822</v>
      </c>
      <c r="C12467" s="15" t="s">
        <v>22823</v>
      </c>
      <c r="D12467" s="15" t="s">
        <v>22824</v>
      </c>
      <c r="E12467" s="15">
        <v>20.018999999999998</v>
      </c>
      <c r="F12467" s="42">
        <v>46198</v>
      </c>
    </row>
    <row r="12468" spans="1:6" x14ac:dyDescent="0.3">
      <c r="A12468" s="15" t="s">
        <v>37597</v>
      </c>
      <c r="B12468" s="15" t="s">
        <v>22825</v>
      </c>
      <c r="C12468" s="15" t="s">
        <v>800</v>
      </c>
      <c r="D12468" s="15" t="s">
        <v>22826</v>
      </c>
      <c r="E12468" s="15">
        <v>24.593</v>
      </c>
      <c r="F12468" s="42">
        <v>46198</v>
      </c>
    </row>
    <row r="12469" spans="1:6" x14ac:dyDescent="0.3">
      <c r="A12469" s="15" t="s">
        <v>37596</v>
      </c>
      <c r="B12469" s="15" t="s">
        <v>22827</v>
      </c>
      <c r="C12469" s="15" t="s">
        <v>22828</v>
      </c>
      <c r="D12469" s="15" t="s">
        <v>22829</v>
      </c>
      <c r="E12469" s="15">
        <v>17.925999999999998</v>
      </c>
      <c r="F12469" s="42">
        <v>46198</v>
      </c>
    </row>
    <row r="12470" spans="1:6" x14ac:dyDescent="0.3">
      <c r="A12470" s="15" t="s">
        <v>37595</v>
      </c>
      <c r="B12470" s="15" t="s">
        <v>22830</v>
      </c>
      <c r="C12470" s="15" t="s">
        <v>800</v>
      </c>
      <c r="D12470" s="15" t="s">
        <v>22831</v>
      </c>
      <c r="E12470" s="15">
        <v>22.018999999999998</v>
      </c>
      <c r="F12470" s="42">
        <v>46198</v>
      </c>
    </row>
    <row r="12471" spans="1:6" x14ac:dyDescent="0.3">
      <c r="A12471" s="15" t="s">
        <v>37594</v>
      </c>
      <c r="B12471" s="15" t="s">
        <v>22832</v>
      </c>
      <c r="C12471" s="15" t="s">
        <v>22833</v>
      </c>
      <c r="D12471" s="15" t="s">
        <v>22834</v>
      </c>
      <c r="E12471" s="15">
        <v>17.256</v>
      </c>
      <c r="F12471" s="42">
        <v>46198</v>
      </c>
    </row>
    <row r="12472" spans="1:6" x14ac:dyDescent="0.3">
      <c r="A12472" s="15" t="s">
        <v>37593</v>
      </c>
      <c r="B12472" s="15" t="s">
        <v>22835</v>
      </c>
      <c r="C12472" s="15" t="s">
        <v>800</v>
      </c>
      <c r="D12472" s="15" t="s">
        <v>22836</v>
      </c>
      <c r="E12472" s="15">
        <v>21.202000000000002</v>
      </c>
      <c r="F12472" s="42">
        <v>46198</v>
      </c>
    </row>
    <row r="12473" spans="1:6" x14ac:dyDescent="0.3">
      <c r="A12473" s="15" t="s">
        <v>37592</v>
      </c>
      <c r="B12473" s="15" t="s">
        <v>22837</v>
      </c>
      <c r="C12473" s="15" t="s">
        <v>800</v>
      </c>
      <c r="D12473" s="15" t="s">
        <v>22838</v>
      </c>
      <c r="E12473" s="15">
        <v>15.491</v>
      </c>
      <c r="F12473" s="42">
        <v>46198</v>
      </c>
    </row>
    <row r="12474" spans="1:6" x14ac:dyDescent="0.3">
      <c r="A12474" s="15" t="s">
        <v>37591</v>
      </c>
      <c r="B12474" s="15" t="s">
        <v>22839</v>
      </c>
      <c r="C12474" s="15" t="s">
        <v>22840</v>
      </c>
      <c r="D12474" s="15" t="s">
        <v>22841</v>
      </c>
      <c r="E12474" s="15">
        <v>19.033000000000001</v>
      </c>
      <c r="F12474" s="42">
        <v>46198</v>
      </c>
    </row>
    <row r="12475" spans="1:6" x14ac:dyDescent="0.3">
      <c r="A12475" s="15" t="s">
        <v>37590</v>
      </c>
      <c r="B12475" s="15" t="s">
        <v>22842</v>
      </c>
      <c r="C12475" s="15" t="s">
        <v>22843</v>
      </c>
      <c r="D12475" s="15" t="s">
        <v>22844</v>
      </c>
      <c r="E12475" s="15">
        <v>13.5687</v>
      </c>
      <c r="F12475" s="42">
        <v>46198</v>
      </c>
    </row>
    <row r="12476" spans="1:6" x14ac:dyDescent="0.3">
      <c r="A12476" s="15" t="s">
        <v>37589</v>
      </c>
      <c r="B12476" s="15" t="s">
        <v>22845</v>
      </c>
      <c r="C12476" s="15" t="s">
        <v>22846</v>
      </c>
      <c r="D12476" s="15" t="s">
        <v>22847</v>
      </c>
      <c r="E12476" s="15">
        <v>12.2773</v>
      </c>
      <c r="F12476" s="42">
        <v>46198</v>
      </c>
    </row>
    <row r="12477" spans="1:6" x14ac:dyDescent="0.3">
      <c r="A12477" s="15" t="s">
        <v>37588</v>
      </c>
      <c r="B12477" s="15" t="s">
        <v>22848</v>
      </c>
      <c r="C12477" s="15" t="s">
        <v>800</v>
      </c>
      <c r="D12477" s="15" t="s">
        <v>22849</v>
      </c>
      <c r="E12477" s="15">
        <v>16.679400000000001</v>
      </c>
      <c r="F12477" s="42">
        <v>46198</v>
      </c>
    </row>
    <row r="12478" spans="1:6" x14ac:dyDescent="0.3">
      <c r="A12478" s="15" t="s">
        <v>37587</v>
      </c>
      <c r="B12478" s="15" t="s">
        <v>22850</v>
      </c>
      <c r="C12478" s="15" t="s">
        <v>800</v>
      </c>
      <c r="D12478" s="15" t="s">
        <v>22851</v>
      </c>
      <c r="E12478" s="15">
        <v>15.0916</v>
      </c>
      <c r="F12478" s="42">
        <v>46198</v>
      </c>
    </row>
    <row r="12479" spans="1:6" x14ac:dyDescent="0.3">
      <c r="A12479" s="15" t="s">
        <v>37586</v>
      </c>
      <c r="B12479" s="15" t="s">
        <v>22852</v>
      </c>
      <c r="C12479" s="15" t="s">
        <v>22853</v>
      </c>
      <c r="D12479" s="15" t="s">
        <v>22854</v>
      </c>
      <c r="E12479" s="15">
        <v>12.119300000000001</v>
      </c>
      <c r="F12479" s="42">
        <v>46198</v>
      </c>
    </row>
    <row r="12480" spans="1:6" x14ac:dyDescent="0.3">
      <c r="A12480" s="15" t="s">
        <v>37585</v>
      </c>
      <c r="B12480" s="15" t="s">
        <v>22855</v>
      </c>
      <c r="C12480" s="15" t="s">
        <v>22856</v>
      </c>
      <c r="D12480" s="15" t="s">
        <v>22857</v>
      </c>
      <c r="E12480" s="15">
        <v>11.059100000000001</v>
      </c>
      <c r="F12480" s="42">
        <v>46198</v>
      </c>
    </row>
    <row r="12481" spans="1:6" x14ac:dyDescent="0.3">
      <c r="A12481" s="15" t="s">
        <v>37584</v>
      </c>
      <c r="B12481" s="15" t="s">
        <v>22858</v>
      </c>
      <c r="C12481" s="15" t="s">
        <v>800</v>
      </c>
      <c r="D12481" s="15" t="s">
        <v>22859</v>
      </c>
      <c r="E12481" s="15">
        <v>14.9015</v>
      </c>
      <c r="F12481" s="42">
        <v>46198</v>
      </c>
    </row>
    <row r="12482" spans="1:6" x14ac:dyDescent="0.3">
      <c r="A12482" s="15" t="s">
        <v>37583</v>
      </c>
      <c r="B12482" s="15" t="s">
        <v>22860</v>
      </c>
      <c r="C12482" s="15" t="s">
        <v>800</v>
      </c>
      <c r="D12482" s="15" t="s">
        <v>22861</v>
      </c>
      <c r="E12482" s="15">
        <v>13.5962</v>
      </c>
      <c r="F12482" s="42">
        <v>46198</v>
      </c>
    </row>
    <row r="12483" spans="1:6" x14ac:dyDescent="0.3">
      <c r="A12483" s="15" t="s">
        <v>33499</v>
      </c>
      <c r="B12483" s="15" t="s">
        <v>795</v>
      </c>
      <c r="C12483" s="15" t="s">
        <v>795</v>
      </c>
      <c r="D12483" s="15" t="s">
        <v>795</v>
      </c>
      <c r="F12483" s="42"/>
    </row>
    <row r="12484" spans="1:6" x14ac:dyDescent="0.3">
      <c r="A12484" s="15" t="s">
        <v>37087</v>
      </c>
      <c r="B12484" s="15" t="s">
        <v>795</v>
      </c>
      <c r="C12484" s="15" t="s">
        <v>795</v>
      </c>
      <c r="D12484" s="15" t="s">
        <v>795</v>
      </c>
      <c r="F12484" s="42"/>
    </row>
    <row r="12485" spans="1:6" x14ac:dyDescent="0.3">
      <c r="A12485" s="15" t="s">
        <v>33499</v>
      </c>
      <c r="B12485" s="15" t="s">
        <v>795</v>
      </c>
      <c r="C12485" s="15" t="s">
        <v>795</v>
      </c>
      <c r="D12485" s="15" t="s">
        <v>795</v>
      </c>
      <c r="F12485" s="42"/>
    </row>
    <row r="12486" spans="1:6" x14ac:dyDescent="0.3">
      <c r="A12486" s="15" t="s">
        <v>37582</v>
      </c>
      <c r="B12486" s="15" t="s">
        <v>22862</v>
      </c>
      <c r="C12486" s="15" t="s">
        <v>800</v>
      </c>
      <c r="D12486" s="15" t="s">
        <v>22863</v>
      </c>
      <c r="E12486" s="15">
        <v>20.059999999999999</v>
      </c>
      <c r="F12486" s="42">
        <v>46198</v>
      </c>
    </row>
    <row r="12487" spans="1:6" x14ac:dyDescent="0.3">
      <c r="A12487" s="15" t="s">
        <v>37581</v>
      </c>
      <c r="B12487" s="15" t="s">
        <v>22864</v>
      </c>
      <c r="C12487" s="15" t="s">
        <v>800</v>
      </c>
      <c r="D12487" s="15" t="s">
        <v>22865</v>
      </c>
      <c r="E12487" s="15">
        <v>20</v>
      </c>
      <c r="F12487" s="42">
        <v>46198</v>
      </c>
    </row>
    <row r="12488" spans="1:6" x14ac:dyDescent="0.3">
      <c r="A12488" s="15" t="s">
        <v>37580</v>
      </c>
      <c r="B12488" s="15" t="s">
        <v>22866</v>
      </c>
      <c r="C12488" s="15" t="s">
        <v>800</v>
      </c>
      <c r="D12488" s="15" t="s">
        <v>22867</v>
      </c>
      <c r="E12488" s="15">
        <v>18.18</v>
      </c>
      <c r="F12488" s="42">
        <v>46198</v>
      </c>
    </row>
    <row r="12489" spans="1:6" x14ac:dyDescent="0.3">
      <c r="A12489" s="15" t="s">
        <v>37579</v>
      </c>
      <c r="B12489" s="15" t="s">
        <v>22868</v>
      </c>
      <c r="C12489" s="15" t="s">
        <v>800</v>
      </c>
      <c r="D12489" s="15" t="s">
        <v>22869</v>
      </c>
      <c r="E12489" s="15">
        <v>18.190000000000001</v>
      </c>
      <c r="F12489" s="42">
        <v>46198</v>
      </c>
    </row>
    <row r="12490" spans="1:6" x14ac:dyDescent="0.3">
      <c r="A12490" s="15" t="s">
        <v>37578</v>
      </c>
      <c r="B12490" s="15" t="s">
        <v>22870</v>
      </c>
      <c r="C12490" s="15" t="s">
        <v>800</v>
      </c>
      <c r="D12490" s="15" t="s">
        <v>22871</v>
      </c>
      <c r="E12490" s="15">
        <v>17.571000000000002</v>
      </c>
      <c r="F12490" s="42">
        <v>46198</v>
      </c>
    </row>
    <row r="12491" spans="1:6" x14ac:dyDescent="0.3">
      <c r="A12491" s="15" t="s">
        <v>37577</v>
      </c>
      <c r="B12491" s="15" t="s">
        <v>22872</v>
      </c>
      <c r="C12491" s="15" t="s">
        <v>800</v>
      </c>
      <c r="D12491" s="15" t="s">
        <v>22873</v>
      </c>
      <c r="E12491" s="15">
        <v>17.379000000000001</v>
      </c>
      <c r="F12491" s="42">
        <v>46198</v>
      </c>
    </row>
    <row r="12492" spans="1:6" x14ac:dyDescent="0.3">
      <c r="A12492" s="15" t="s">
        <v>37576</v>
      </c>
      <c r="B12492" s="15" t="s">
        <v>22874</v>
      </c>
      <c r="C12492" s="15" t="s">
        <v>800</v>
      </c>
      <c r="D12492" s="15" t="s">
        <v>22875</v>
      </c>
      <c r="E12492" s="15">
        <v>15.9345</v>
      </c>
      <c r="F12492" s="42">
        <v>46198</v>
      </c>
    </row>
    <row r="12493" spans="1:6" x14ac:dyDescent="0.3">
      <c r="A12493" s="15" t="s">
        <v>37575</v>
      </c>
      <c r="B12493" s="15" t="s">
        <v>22876</v>
      </c>
      <c r="C12493" s="15" t="s">
        <v>800</v>
      </c>
      <c r="D12493" s="15" t="s">
        <v>22877</v>
      </c>
      <c r="E12493" s="15">
        <v>15.933400000000001</v>
      </c>
      <c r="F12493" s="42">
        <v>46198</v>
      </c>
    </row>
    <row r="12494" spans="1:6" x14ac:dyDescent="0.3">
      <c r="A12494" s="15" t="s">
        <v>37574</v>
      </c>
      <c r="B12494" s="15" t="s">
        <v>22878</v>
      </c>
      <c r="C12494" s="15" t="s">
        <v>800</v>
      </c>
      <c r="D12494" s="15" t="s">
        <v>22879</v>
      </c>
      <c r="E12494" s="15">
        <v>21.47</v>
      </c>
      <c r="F12494" s="42">
        <v>46198</v>
      </c>
    </row>
    <row r="12495" spans="1:6" x14ac:dyDescent="0.3">
      <c r="A12495" s="15" t="s">
        <v>37573</v>
      </c>
      <c r="B12495" s="15" t="s">
        <v>22880</v>
      </c>
      <c r="C12495" s="15" t="s">
        <v>800</v>
      </c>
      <c r="D12495" s="15" t="s">
        <v>22881</v>
      </c>
      <c r="E12495" s="15">
        <v>21.23</v>
      </c>
      <c r="F12495" s="42">
        <v>46198</v>
      </c>
    </row>
    <row r="12496" spans="1:6" x14ac:dyDescent="0.3">
      <c r="A12496" s="15" t="s">
        <v>37572</v>
      </c>
      <c r="B12496" s="15" t="s">
        <v>22882</v>
      </c>
      <c r="C12496" s="15" t="s">
        <v>800</v>
      </c>
      <c r="D12496" s="15" t="s">
        <v>22883</v>
      </c>
      <c r="E12496" s="15">
        <v>19.38</v>
      </c>
      <c r="F12496" s="42">
        <v>46198</v>
      </c>
    </row>
    <row r="12497" spans="1:6" x14ac:dyDescent="0.3">
      <c r="A12497" s="15" t="s">
        <v>37571</v>
      </c>
      <c r="B12497" s="15" t="s">
        <v>22884</v>
      </c>
      <c r="C12497" s="15" t="s">
        <v>800</v>
      </c>
      <c r="D12497" s="15" t="s">
        <v>22885</v>
      </c>
      <c r="E12497" s="15">
        <v>19.38</v>
      </c>
      <c r="F12497" s="42">
        <v>46198</v>
      </c>
    </row>
    <row r="12498" spans="1:6" x14ac:dyDescent="0.3">
      <c r="A12498" s="15" t="s">
        <v>33499</v>
      </c>
      <c r="B12498" s="15" t="s">
        <v>795</v>
      </c>
      <c r="C12498" s="15" t="s">
        <v>795</v>
      </c>
      <c r="D12498" s="15" t="s">
        <v>795</v>
      </c>
      <c r="F12498" s="42"/>
    </row>
    <row r="12499" spans="1:6" x14ac:dyDescent="0.3">
      <c r="A12499" s="15" t="s">
        <v>37073</v>
      </c>
      <c r="B12499" s="15" t="s">
        <v>795</v>
      </c>
      <c r="C12499" s="15" t="s">
        <v>795</v>
      </c>
      <c r="D12499" s="15" t="s">
        <v>795</v>
      </c>
      <c r="F12499" s="42"/>
    </row>
    <row r="12500" spans="1:6" x14ac:dyDescent="0.3">
      <c r="A12500" s="15" t="s">
        <v>33499</v>
      </c>
      <c r="B12500" s="15" t="s">
        <v>795</v>
      </c>
      <c r="C12500" s="15" t="s">
        <v>795</v>
      </c>
      <c r="D12500" s="15" t="s">
        <v>795</v>
      </c>
      <c r="F12500" s="42"/>
    </row>
    <row r="12501" spans="1:6" x14ac:dyDescent="0.3">
      <c r="A12501" s="15" t="s">
        <v>37570</v>
      </c>
      <c r="B12501" s="15" t="s">
        <v>22886</v>
      </c>
      <c r="C12501" s="15" t="s">
        <v>800</v>
      </c>
      <c r="D12501" s="15" t="s">
        <v>22887</v>
      </c>
      <c r="E12501" s="15">
        <v>13.143000000000001</v>
      </c>
      <c r="F12501" s="42">
        <v>46198</v>
      </c>
    </row>
    <row r="12502" spans="1:6" x14ac:dyDescent="0.3">
      <c r="A12502" s="15" t="s">
        <v>37569</v>
      </c>
      <c r="B12502" s="15" t="s">
        <v>22888</v>
      </c>
      <c r="C12502" s="15" t="s">
        <v>22889</v>
      </c>
      <c r="D12502" s="15" t="s">
        <v>22890</v>
      </c>
      <c r="E12502" s="15">
        <v>13.132999999999999</v>
      </c>
      <c r="F12502" s="42">
        <v>46198</v>
      </c>
    </row>
    <row r="12503" spans="1:6" x14ac:dyDescent="0.3">
      <c r="A12503" s="15" t="s">
        <v>37568</v>
      </c>
      <c r="B12503" s="15" t="s">
        <v>22891</v>
      </c>
      <c r="C12503" s="15" t="s">
        <v>800</v>
      </c>
      <c r="D12503" s="15" t="s">
        <v>22892</v>
      </c>
      <c r="E12503" s="15">
        <v>12.568</v>
      </c>
      <c r="F12503" s="42">
        <v>46198</v>
      </c>
    </row>
    <row r="12504" spans="1:6" x14ac:dyDescent="0.3">
      <c r="A12504" s="15" t="s">
        <v>37567</v>
      </c>
      <c r="B12504" s="15" t="s">
        <v>22893</v>
      </c>
      <c r="C12504" s="15" t="s">
        <v>22894</v>
      </c>
      <c r="D12504" s="15" t="s">
        <v>22895</v>
      </c>
      <c r="E12504" s="15">
        <v>12.569000000000001</v>
      </c>
      <c r="F12504" s="42">
        <v>46198</v>
      </c>
    </row>
    <row r="12505" spans="1:6" x14ac:dyDescent="0.3">
      <c r="A12505" s="15" t="s">
        <v>33499</v>
      </c>
      <c r="B12505" s="15" t="s">
        <v>795</v>
      </c>
      <c r="C12505" s="15" t="s">
        <v>795</v>
      </c>
      <c r="D12505" s="15" t="s">
        <v>795</v>
      </c>
      <c r="F12505" s="42"/>
    </row>
    <row r="12506" spans="1:6" x14ac:dyDescent="0.3">
      <c r="A12506" s="15" t="s">
        <v>37566</v>
      </c>
      <c r="B12506" s="15" t="s">
        <v>795</v>
      </c>
      <c r="C12506" s="15" t="s">
        <v>795</v>
      </c>
      <c r="D12506" s="15" t="s">
        <v>795</v>
      </c>
      <c r="F12506" s="42"/>
    </row>
    <row r="12507" spans="1:6" x14ac:dyDescent="0.3">
      <c r="A12507" s="15" t="s">
        <v>33499</v>
      </c>
      <c r="B12507" s="15" t="s">
        <v>795</v>
      </c>
      <c r="C12507" s="15" t="s">
        <v>795</v>
      </c>
      <c r="D12507" s="15" t="s">
        <v>795</v>
      </c>
      <c r="F12507" s="42"/>
    </row>
    <row r="12508" spans="1:6" x14ac:dyDescent="0.3">
      <c r="A12508" s="15" t="s">
        <v>37565</v>
      </c>
      <c r="B12508" s="15" t="s">
        <v>22896</v>
      </c>
      <c r="C12508" s="15" t="s">
        <v>800</v>
      </c>
      <c r="D12508" s="15" t="s">
        <v>22897</v>
      </c>
      <c r="E12508" s="15">
        <v>11.845800000000001</v>
      </c>
      <c r="F12508" s="42">
        <v>46198</v>
      </c>
    </row>
    <row r="12509" spans="1:6" x14ac:dyDescent="0.3">
      <c r="A12509" s="15" t="s">
        <v>37564</v>
      </c>
      <c r="B12509" s="15" t="s">
        <v>22898</v>
      </c>
      <c r="C12509" s="15" t="s">
        <v>800</v>
      </c>
      <c r="D12509" s="15" t="s">
        <v>22899</v>
      </c>
      <c r="E12509" s="15">
        <v>11.845800000000001</v>
      </c>
      <c r="F12509" s="42">
        <v>46198</v>
      </c>
    </row>
    <row r="12510" spans="1:6" x14ac:dyDescent="0.3">
      <c r="A12510" s="15" t="s">
        <v>37563</v>
      </c>
      <c r="B12510" s="15" t="s">
        <v>22900</v>
      </c>
      <c r="C12510" s="15" t="s">
        <v>800</v>
      </c>
      <c r="D12510" s="15" t="s">
        <v>22901</v>
      </c>
      <c r="E12510" s="15">
        <v>11.4434</v>
      </c>
      <c r="F12510" s="42">
        <v>46198</v>
      </c>
    </row>
    <row r="12511" spans="1:6" x14ac:dyDescent="0.3">
      <c r="A12511" s="15" t="s">
        <v>37562</v>
      </c>
      <c r="B12511" s="15" t="s">
        <v>22902</v>
      </c>
      <c r="C12511" s="15" t="s">
        <v>800</v>
      </c>
      <c r="D12511" s="15" t="s">
        <v>22903</v>
      </c>
      <c r="E12511" s="15">
        <v>11.4434</v>
      </c>
      <c r="F12511" s="42">
        <v>46198</v>
      </c>
    </row>
    <row r="12512" spans="1:6" x14ac:dyDescent="0.3">
      <c r="A12512" s="15" t="s">
        <v>33499</v>
      </c>
      <c r="B12512" s="15" t="s">
        <v>795</v>
      </c>
      <c r="C12512" s="15" t="s">
        <v>795</v>
      </c>
      <c r="D12512" s="15" t="s">
        <v>795</v>
      </c>
      <c r="F12512" s="42"/>
    </row>
    <row r="12513" spans="1:6" x14ac:dyDescent="0.3">
      <c r="A12513" s="15" t="s">
        <v>37044</v>
      </c>
      <c r="B12513" s="15" t="s">
        <v>795</v>
      </c>
      <c r="C12513" s="15" t="s">
        <v>795</v>
      </c>
      <c r="D12513" s="15" t="s">
        <v>795</v>
      </c>
      <c r="F12513" s="42"/>
    </row>
    <row r="12514" spans="1:6" x14ac:dyDescent="0.3">
      <c r="A12514" s="15" t="s">
        <v>33499</v>
      </c>
      <c r="B12514" s="15" t="s">
        <v>795</v>
      </c>
      <c r="C12514" s="15" t="s">
        <v>795</v>
      </c>
      <c r="D12514" s="15" t="s">
        <v>795</v>
      </c>
      <c r="F12514" s="42"/>
    </row>
    <row r="12515" spans="1:6" x14ac:dyDescent="0.3">
      <c r="A12515" s="15" t="s">
        <v>37561</v>
      </c>
      <c r="B12515" s="15" t="s">
        <v>22904</v>
      </c>
      <c r="C12515" s="15" t="s">
        <v>800</v>
      </c>
      <c r="D12515" s="15" t="s">
        <v>22905</v>
      </c>
      <c r="E12515" s="15">
        <v>241.2166</v>
      </c>
      <c r="F12515" s="42">
        <v>46198</v>
      </c>
    </row>
    <row r="12516" spans="1:6" x14ac:dyDescent="0.3">
      <c r="A12516" s="15" t="s">
        <v>37560</v>
      </c>
      <c r="B12516" s="15" t="s">
        <v>22906</v>
      </c>
      <c r="C12516" s="15" t="s">
        <v>22907</v>
      </c>
      <c r="D12516" s="15" t="s">
        <v>22908</v>
      </c>
      <c r="E12516" s="15">
        <v>18.348400000000002</v>
      </c>
      <c r="F12516" s="42">
        <v>46198</v>
      </c>
    </row>
    <row r="12517" spans="1:6" x14ac:dyDescent="0.3">
      <c r="A12517" s="15" t="s">
        <v>37559</v>
      </c>
      <c r="B12517" s="15" t="s">
        <v>22909</v>
      </c>
      <c r="C12517" s="15" t="s">
        <v>800</v>
      </c>
      <c r="D12517" s="15" t="s">
        <v>22910</v>
      </c>
      <c r="E12517" s="15">
        <v>218.54130000000001</v>
      </c>
      <c r="F12517" s="42">
        <v>46198</v>
      </c>
    </row>
    <row r="12518" spans="1:6" x14ac:dyDescent="0.3">
      <c r="A12518" s="15" t="s">
        <v>37558</v>
      </c>
      <c r="B12518" s="15" t="s">
        <v>22911</v>
      </c>
      <c r="C12518" s="15" t="s">
        <v>22912</v>
      </c>
      <c r="D12518" s="15" t="s">
        <v>22913</v>
      </c>
      <c r="E12518" s="15">
        <v>16.5931</v>
      </c>
      <c r="F12518" s="42">
        <v>46198</v>
      </c>
    </row>
    <row r="12519" spans="1:6" x14ac:dyDescent="0.3">
      <c r="A12519" s="15" t="s">
        <v>33499</v>
      </c>
      <c r="B12519" s="15" t="s">
        <v>795</v>
      </c>
      <c r="C12519" s="15" t="s">
        <v>795</v>
      </c>
      <c r="D12519" s="15" t="s">
        <v>795</v>
      </c>
      <c r="F12519" s="42"/>
    </row>
    <row r="12520" spans="1:6" x14ac:dyDescent="0.3">
      <c r="A12520" s="15" t="s">
        <v>37043</v>
      </c>
      <c r="B12520" s="15" t="s">
        <v>795</v>
      </c>
      <c r="C12520" s="15" t="s">
        <v>795</v>
      </c>
      <c r="D12520" s="15" t="s">
        <v>795</v>
      </c>
      <c r="F12520" s="42"/>
    </row>
    <row r="12521" spans="1:6" x14ac:dyDescent="0.3">
      <c r="A12521" s="15" t="s">
        <v>33499</v>
      </c>
      <c r="B12521" s="15" t="s">
        <v>795</v>
      </c>
      <c r="C12521" s="15" t="s">
        <v>795</v>
      </c>
      <c r="D12521" s="15" t="s">
        <v>795</v>
      </c>
      <c r="F12521" s="42"/>
    </row>
    <row r="12522" spans="1:6" x14ac:dyDescent="0.3">
      <c r="A12522" s="15" t="s">
        <v>37557</v>
      </c>
      <c r="B12522" s="15" t="s">
        <v>22914</v>
      </c>
      <c r="C12522" s="15" t="s">
        <v>800</v>
      </c>
      <c r="D12522" s="15" t="s">
        <v>22915</v>
      </c>
      <c r="E12522" s="15">
        <v>48.701999999999998</v>
      </c>
      <c r="F12522" s="42">
        <v>46198</v>
      </c>
    </row>
    <row r="12523" spans="1:6" x14ac:dyDescent="0.3">
      <c r="A12523" s="15" t="s">
        <v>37556</v>
      </c>
      <c r="B12523" s="15" t="s">
        <v>22916</v>
      </c>
      <c r="C12523" s="15" t="s">
        <v>800</v>
      </c>
      <c r="D12523" s="15" t="s">
        <v>22917</v>
      </c>
      <c r="E12523" s="15">
        <v>55.682000000000002</v>
      </c>
      <c r="F12523" s="42">
        <v>46198</v>
      </c>
    </row>
    <row r="12524" spans="1:6" x14ac:dyDescent="0.3">
      <c r="A12524" s="15" t="s">
        <v>37555</v>
      </c>
      <c r="B12524" s="15" t="s">
        <v>22918</v>
      </c>
      <c r="C12524" s="15" t="s">
        <v>800</v>
      </c>
      <c r="D12524" s="15" t="s">
        <v>22919</v>
      </c>
      <c r="E12524" s="15">
        <v>21.813700000000001</v>
      </c>
      <c r="F12524" s="42">
        <v>46198</v>
      </c>
    </row>
    <row r="12525" spans="1:6" x14ac:dyDescent="0.3">
      <c r="A12525" s="15" t="s">
        <v>37554</v>
      </c>
      <c r="B12525" s="15" t="s">
        <v>22920</v>
      </c>
      <c r="C12525" s="15" t="s">
        <v>800</v>
      </c>
      <c r="D12525" s="15" t="s">
        <v>22921</v>
      </c>
      <c r="E12525" s="15">
        <v>24.854500000000002</v>
      </c>
      <c r="F12525" s="42">
        <v>46198</v>
      </c>
    </row>
    <row r="12526" spans="1:6" x14ac:dyDescent="0.3">
      <c r="A12526" s="15" t="s">
        <v>37553</v>
      </c>
      <c r="B12526" s="15" t="s">
        <v>22922</v>
      </c>
      <c r="C12526" s="15" t="s">
        <v>800</v>
      </c>
      <c r="D12526" s="15" t="s">
        <v>22923</v>
      </c>
      <c r="E12526" s="15">
        <v>37.237000000000002</v>
      </c>
      <c r="F12526" s="42">
        <v>46198</v>
      </c>
    </row>
    <row r="12527" spans="1:6" x14ac:dyDescent="0.3">
      <c r="A12527" s="15" t="s">
        <v>37552</v>
      </c>
      <c r="B12527" s="15" t="s">
        <v>22924</v>
      </c>
      <c r="C12527" s="15" t="s">
        <v>800</v>
      </c>
      <c r="D12527" s="15" t="s">
        <v>22925</v>
      </c>
      <c r="E12527" s="15">
        <v>42.704999999999998</v>
      </c>
      <c r="F12527" s="42">
        <v>46198</v>
      </c>
    </row>
    <row r="12528" spans="1:6" x14ac:dyDescent="0.3">
      <c r="A12528" s="15" t="s">
        <v>33499</v>
      </c>
      <c r="B12528" s="15" t="s">
        <v>795</v>
      </c>
      <c r="C12528" s="15" t="s">
        <v>795</v>
      </c>
      <c r="D12528" s="15" t="s">
        <v>795</v>
      </c>
      <c r="F12528" s="42"/>
    </row>
    <row r="12529" spans="1:6" x14ac:dyDescent="0.3">
      <c r="A12529" s="15" t="s">
        <v>36764</v>
      </c>
      <c r="B12529" s="15" t="s">
        <v>795</v>
      </c>
      <c r="C12529" s="15" t="s">
        <v>795</v>
      </c>
      <c r="D12529" s="15" t="s">
        <v>795</v>
      </c>
      <c r="F12529" s="42"/>
    </row>
    <row r="12530" spans="1:6" x14ac:dyDescent="0.3">
      <c r="A12530" s="15" t="s">
        <v>33499</v>
      </c>
      <c r="B12530" s="15" t="s">
        <v>795</v>
      </c>
      <c r="C12530" s="15" t="s">
        <v>795</v>
      </c>
      <c r="D12530" s="15" t="s">
        <v>795</v>
      </c>
      <c r="F12530" s="42"/>
    </row>
    <row r="12531" spans="1:6" x14ac:dyDescent="0.3">
      <c r="A12531" s="15" t="s">
        <v>37551</v>
      </c>
      <c r="B12531" s="15" t="s">
        <v>22926</v>
      </c>
      <c r="C12531" s="15" t="s">
        <v>800</v>
      </c>
      <c r="D12531" s="15" t="s">
        <v>22927</v>
      </c>
      <c r="E12531" s="15">
        <v>31.33</v>
      </c>
      <c r="F12531" s="42">
        <v>46198</v>
      </c>
    </row>
    <row r="12532" spans="1:6" x14ac:dyDescent="0.3">
      <c r="A12532" s="15" t="s">
        <v>37550</v>
      </c>
      <c r="B12532" s="15" t="s">
        <v>22928</v>
      </c>
      <c r="C12532" s="15" t="s">
        <v>800</v>
      </c>
      <c r="D12532" s="15" t="s">
        <v>22929</v>
      </c>
      <c r="E12532" s="15">
        <v>31.34</v>
      </c>
      <c r="F12532" s="42">
        <v>46198</v>
      </c>
    </row>
    <row r="12533" spans="1:6" x14ac:dyDescent="0.3">
      <c r="A12533" s="15" t="s">
        <v>37549</v>
      </c>
      <c r="B12533" s="15" t="s">
        <v>22930</v>
      </c>
      <c r="C12533" s="15" t="s">
        <v>800</v>
      </c>
      <c r="D12533" s="15" t="s">
        <v>22931</v>
      </c>
      <c r="E12533" s="15">
        <v>27.99</v>
      </c>
      <c r="F12533" s="42">
        <v>46198</v>
      </c>
    </row>
    <row r="12534" spans="1:6" x14ac:dyDescent="0.3">
      <c r="A12534" s="15" t="s">
        <v>37548</v>
      </c>
      <c r="B12534" s="15" t="s">
        <v>22932</v>
      </c>
      <c r="C12534" s="15" t="s">
        <v>800</v>
      </c>
      <c r="D12534" s="15" t="s">
        <v>22933</v>
      </c>
      <c r="E12534" s="15">
        <v>27.99</v>
      </c>
      <c r="F12534" s="42">
        <v>46198</v>
      </c>
    </row>
    <row r="12535" spans="1:6" x14ac:dyDescent="0.3">
      <c r="A12535" s="15" t="s">
        <v>37547</v>
      </c>
      <c r="B12535" s="15" t="s">
        <v>22934</v>
      </c>
      <c r="C12535" s="15" t="s">
        <v>800</v>
      </c>
      <c r="D12535" s="15" t="s">
        <v>22935</v>
      </c>
      <c r="E12535" s="15">
        <v>20.067299999999999</v>
      </c>
      <c r="F12535" s="42">
        <v>46198</v>
      </c>
    </row>
    <row r="12536" spans="1:6" x14ac:dyDescent="0.3">
      <c r="A12536" s="15" t="s">
        <v>37546</v>
      </c>
      <c r="B12536" s="15" t="s">
        <v>22936</v>
      </c>
      <c r="C12536" s="15" t="s">
        <v>800</v>
      </c>
      <c r="D12536" s="15" t="s">
        <v>22937</v>
      </c>
      <c r="E12536" s="15">
        <v>20.067</v>
      </c>
      <c r="F12536" s="42">
        <v>46198</v>
      </c>
    </row>
    <row r="12537" spans="1:6" x14ac:dyDescent="0.3">
      <c r="A12537" s="15" t="s">
        <v>37545</v>
      </c>
      <c r="B12537" s="15" t="s">
        <v>22938</v>
      </c>
      <c r="C12537" s="15" t="s">
        <v>800</v>
      </c>
      <c r="D12537" s="15" t="s">
        <v>22939</v>
      </c>
      <c r="E12537" s="15">
        <v>18.216999999999999</v>
      </c>
      <c r="F12537" s="42">
        <v>46198</v>
      </c>
    </row>
    <row r="12538" spans="1:6" x14ac:dyDescent="0.3">
      <c r="A12538" s="15" t="s">
        <v>37544</v>
      </c>
      <c r="B12538" s="15" t="s">
        <v>22940</v>
      </c>
      <c r="C12538" s="15" t="s">
        <v>800</v>
      </c>
      <c r="D12538" s="15" t="s">
        <v>22941</v>
      </c>
      <c r="E12538" s="15">
        <v>18.216899999999999</v>
      </c>
      <c r="F12538" s="42">
        <v>46198</v>
      </c>
    </row>
    <row r="12539" spans="1:6" x14ac:dyDescent="0.3">
      <c r="A12539" s="15" t="s">
        <v>37543</v>
      </c>
      <c r="B12539" s="15" t="s">
        <v>22942</v>
      </c>
      <c r="C12539" s="15" t="s">
        <v>800</v>
      </c>
      <c r="D12539" s="15" t="s">
        <v>22943</v>
      </c>
      <c r="E12539" s="15">
        <v>17.1295</v>
      </c>
      <c r="F12539" s="42">
        <v>46198</v>
      </c>
    </row>
    <row r="12540" spans="1:6" x14ac:dyDescent="0.3">
      <c r="A12540" s="15" t="s">
        <v>37542</v>
      </c>
      <c r="B12540" s="15" t="s">
        <v>22944</v>
      </c>
      <c r="C12540" s="15" t="s">
        <v>800</v>
      </c>
      <c r="D12540" s="15" t="s">
        <v>22945</v>
      </c>
      <c r="E12540" s="15">
        <v>17.1294</v>
      </c>
      <c r="F12540" s="42">
        <v>46198</v>
      </c>
    </row>
    <row r="12541" spans="1:6" x14ac:dyDescent="0.3">
      <c r="A12541" s="15" t="s">
        <v>37541</v>
      </c>
      <c r="B12541" s="15" t="s">
        <v>22946</v>
      </c>
      <c r="C12541" s="15" t="s">
        <v>800</v>
      </c>
      <c r="D12541" s="15" t="s">
        <v>22947</v>
      </c>
      <c r="E12541" s="15">
        <v>15.6456</v>
      </c>
      <c r="F12541" s="42">
        <v>46198</v>
      </c>
    </row>
    <row r="12542" spans="1:6" x14ac:dyDescent="0.3">
      <c r="A12542" s="15" t="s">
        <v>37540</v>
      </c>
      <c r="B12542" s="15" t="s">
        <v>22948</v>
      </c>
      <c r="C12542" s="15" t="s">
        <v>800</v>
      </c>
      <c r="D12542" s="15" t="s">
        <v>22949</v>
      </c>
      <c r="E12542" s="15">
        <v>15.645799999999999</v>
      </c>
      <c r="F12542" s="42">
        <v>46198</v>
      </c>
    </row>
    <row r="12543" spans="1:6" x14ac:dyDescent="0.3">
      <c r="A12543" s="15" t="s">
        <v>37539</v>
      </c>
      <c r="B12543" s="15" t="s">
        <v>22950</v>
      </c>
      <c r="C12543" s="15" t="s">
        <v>800</v>
      </c>
      <c r="D12543" s="15" t="s">
        <v>22951</v>
      </c>
      <c r="E12543" s="15">
        <v>38.89</v>
      </c>
      <c r="F12543" s="42">
        <v>46198</v>
      </c>
    </row>
    <row r="12544" spans="1:6" x14ac:dyDescent="0.3">
      <c r="A12544" s="15" t="s">
        <v>37538</v>
      </c>
      <c r="B12544" s="15" t="s">
        <v>22952</v>
      </c>
      <c r="C12544" s="15" t="s">
        <v>800</v>
      </c>
      <c r="D12544" s="15" t="s">
        <v>22953</v>
      </c>
      <c r="E12544" s="15">
        <v>38.880000000000003</v>
      </c>
      <c r="F12544" s="42">
        <v>46198</v>
      </c>
    </row>
    <row r="12545" spans="1:6" x14ac:dyDescent="0.3">
      <c r="A12545" s="15" t="s">
        <v>37537</v>
      </c>
      <c r="B12545" s="15" t="s">
        <v>22954</v>
      </c>
      <c r="C12545" s="15" t="s">
        <v>800</v>
      </c>
      <c r="D12545" s="15" t="s">
        <v>22955</v>
      </c>
      <c r="E12545" s="15">
        <v>34.840000000000003</v>
      </c>
      <c r="F12545" s="42">
        <v>46198</v>
      </c>
    </row>
    <row r="12546" spans="1:6" x14ac:dyDescent="0.3">
      <c r="A12546" s="15" t="s">
        <v>37536</v>
      </c>
      <c r="B12546" s="15" t="s">
        <v>22956</v>
      </c>
      <c r="C12546" s="15" t="s">
        <v>800</v>
      </c>
      <c r="D12546" s="15" t="s">
        <v>22957</v>
      </c>
      <c r="E12546" s="15">
        <v>34.85</v>
      </c>
      <c r="F12546" s="42">
        <v>46198</v>
      </c>
    </row>
    <row r="12547" spans="1:6" x14ac:dyDescent="0.3">
      <c r="A12547" s="15" t="s">
        <v>33499</v>
      </c>
      <c r="B12547" s="15" t="s">
        <v>795</v>
      </c>
      <c r="C12547" s="15" t="s">
        <v>795</v>
      </c>
      <c r="D12547" s="15" t="s">
        <v>795</v>
      </c>
      <c r="F12547" s="42"/>
    </row>
    <row r="12548" spans="1:6" x14ac:dyDescent="0.3">
      <c r="A12548" s="15" t="s">
        <v>208</v>
      </c>
      <c r="B12548" s="15" t="s">
        <v>795</v>
      </c>
      <c r="C12548" s="15" t="s">
        <v>795</v>
      </c>
      <c r="D12548" s="15" t="s">
        <v>795</v>
      </c>
      <c r="F12548" s="42"/>
    </row>
    <row r="12549" spans="1:6" x14ac:dyDescent="0.3">
      <c r="A12549" s="15" t="s">
        <v>33499</v>
      </c>
      <c r="B12549" s="15" t="s">
        <v>795</v>
      </c>
      <c r="C12549" s="15" t="s">
        <v>795</v>
      </c>
      <c r="D12549" s="15" t="s">
        <v>795</v>
      </c>
      <c r="F12549" s="42"/>
    </row>
    <row r="12550" spans="1:6" x14ac:dyDescent="0.3">
      <c r="A12550" s="15" t="s">
        <v>37535</v>
      </c>
      <c r="B12550" s="15" t="s">
        <v>22958</v>
      </c>
      <c r="C12550" s="15" t="s">
        <v>800</v>
      </c>
      <c r="D12550" s="15" t="s">
        <v>22959</v>
      </c>
      <c r="E12550" s="15">
        <v>23.348800000000001</v>
      </c>
      <c r="F12550" s="42">
        <v>46198</v>
      </c>
    </row>
    <row r="12551" spans="1:6" x14ac:dyDescent="0.3">
      <c r="A12551" s="15" t="s">
        <v>37534</v>
      </c>
      <c r="B12551" s="15" t="s">
        <v>22960</v>
      </c>
      <c r="C12551" s="15" t="s">
        <v>800</v>
      </c>
      <c r="D12551" s="15" t="s">
        <v>22961</v>
      </c>
      <c r="E12551" s="15">
        <v>20.302700000000002</v>
      </c>
      <c r="F12551" s="42">
        <v>46198</v>
      </c>
    </row>
    <row r="12552" spans="1:6" x14ac:dyDescent="0.3">
      <c r="A12552" s="15" t="s">
        <v>37533</v>
      </c>
      <c r="B12552" s="15" t="s">
        <v>22962</v>
      </c>
      <c r="C12552" s="15" t="s">
        <v>800</v>
      </c>
      <c r="D12552" s="15" t="s">
        <v>22963</v>
      </c>
      <c r="E12552" s="15">
        <v>23.348800000000001</v>
      </c>
      <c r="F12552" s="42">
        <v>46198</v>
      </c>
    </row>
    <row r="12553" spans="1:6" x14ac:dyDescent="0.3">
      <c r="A12553" s="15" t="s">
        <v>37532</v>
      </c>
      <c r="B12553" s="15" t="s">
        <v>22964</v>
      </c>
      <c r="C12553" s="15" t="s">
        <v>800</v>
      </c>
      <c r="D12553" s="15" t="s">
        <v>22965</v>
      </c>
      <c r="E12553" s="15">
        <v>23.348800000000001</v>
      </c>
      <c r="F12553" s="42">
        <v>46198</v>
      </c>
    </row>
    <row r="12554" spans="1:6" x14ac:dyDescent="0.3">
      <c r="A12554" s="15" t="s">
        <v>37531</v>
      </c>
      <c r="B12554" s="15" t="s">
        <v>22966</v>
      </c>
      <c r="C12554" s="15" t="s">
        <v>800</v>
      </c>
      <c r="D12554" s="15" t="s">
        <v>22967</v>
      </c>
      <c r="E12554" s="15">
        <v>20.299900000000001</v>
      </c>
      <c r="F12554" s="42">
        <v>46198</v>
      </c>
    </row>
    <row r="12555" spans="1:6" x14ac:dyDescent="0.3">
      <c r="A12555" s="15" t="s">
        <v>37530</v>
      </c>
      <c r="B12555" s="15" t="s">
        <v>22968</v>
      </c>
      <c r="C12555" s="15" t="s">
        <v>800</v>
      </c>
      <c r="D12555" s="15" t="s">
        <v>22969</v>
      </c>
      <c r="E12555" s="15">
        <v>20.299900000000001</v>
      </c>
      <c r="F12555" s="42">
        <v>46198</v>
      </c>
    </row>
    <row r="12556" spans="1:6" x14ac:dyDescent="0.3">
      <c r="A12556" s="15" t="s">
        <v>37529</v>
      </c>
      <c r="B12556" s="15" t="s">
        <v>22970</v>
      </c>
      <c r="C12556" s="15" t="s">
        <v>800</v>
      </c>
      <c r="D12556" s="15" t="s">
        <v>22971</v>
      </c>
      <c r="E12556" s="15">
        <v>22.422599999999999</v>
      </c>
      <c r="F12556" s="42">
        <v>46198</v>
      </c>
    </row>
    <row r="12557" spans="1:6" x14ac:dyDescent="0.3">
      <c r="A12557" s="15" t="s">
        <v>37528</v>
      </c>
      <c r="B12557" s="15" t="s">
        <v>22972</v>
      </c>
      <c r="C12557" s="15" t="s">
        <v>800</v>
      </c>
      <c r="D12557" s="15" t="s">
        <v>22973</v>
      </c>
      <c r="E12557" s="15">
        <v>19.1159</v>
      </c>
      <c r="F12557" s="42">
        <v>46198</v>
      </c>
    </row>
    <row r="12558" spans="1:6" x14ac:dyDescent="0.3">
      <c r="A12558" s="15" t="s">
        <v>37527</v>
      </c>
      <c r="B12558" s="15" t="s">
        <v>22974</v>
      </c>
      <c r="C12558" s="15" t="s">
        <v>800</v>
      </c>
      <c r="D12558" s="15" t="s">
        <v>22975</v>
      </c>
      <c r="E12558" s="15">
        <v>32.372999999999998</v>
      </c>
      <c r="F12558" s="42">
        <v>46198</v>
      </c>
    </row>
    <row r="12559" spans="1:6" x14ac:dyDescent="0.3">
      <c r="A12559" s="15" t="s">
        <v>37526</v>
      </c>
      <c r="B12559" s="15" t="s">
        <v>22976</v>
      </c>
      <c r="C12559" s="15" t="s">
        <v>800</v>
      </c>
      <c r="D12559" s="15" t="s">
        <v>22977</v>
      </c>
      <c r="E12559" s="15">
        <v>32.372999999999998</v>
      </c>
      <c r="F12559" s="42">
        <v>46198</v>
      </c>
    </row>
    <row r="12560" spans="1:6" x14ac:dyDescent="0.3">
      <c r="A12560" s="15" t="s">
        <v>37525</v>
      </c>
      <c r="B12560" s="15" t="s">
        <v>22978</v>
      </c>
      <c r="C12560" s="15" t="s">
        <v>800</v>
      </c>
      <c r="D12560" s="15" t="s">
        <v>22979</v>
      </c>
      <c r="E12560" s="15">
        <v>28.4847</v>
      </c>
      <c r="F12560" s="42">
        <v>46198</v>
      </c>
    </row>
    <row r="12561" spans="1:6" x14ac:dyDescent="0.3">
      <c r="A12561" s="15" t="s">
        <v>37524</v>
      </c>
      <c r="B12561" s="15" t="s">
        <v>22980</v>
      </c>
      <c r="C12561" s="15" t="s">
        <v>800</v>
      </c>
      <c r="D12561" s="15" t="s">
        <v>22981</v>
      </c>
      <c r="E12561" s="15">
        <v>28.4847</v>
      </c>
      <c r="F12561" s="42">
        <v>46198</v>
      </c>
    </row>
    <row r="12562" spans="1:6" x14ac:dyDescent="0.3">
      <c r="A12562" s="15" t="s">
        <v>33499</v>
      </c>
      <c r="B12562" s="15" t="s">
        <v>795</v>
      </c>
      <c r="C12562" s="15" t="s">
        <v>795</v>
      </c>
      <c r="D12562" s="15" t="s">
        <v>795</v>
      </c>
      <c r="F12562" s="42"/>
    </row>
    <row r="12563" spans="1:6" x14ac:dyDescent="0.3">
      <c r="A12563" s="15" t="s">
        <v>37523</v>
      </c>
      <c r="B12563" s="15" t="s">
        <v>795</v>
      </c>
      <c r="C12563" s="15" t="s">
        <v>795</v>
      </c>
      <c r="D12563" s="15" t="s">
        <v>795</v>
      </c>
      <c r="F12563" s="42"/>
    </row>
    <row r="12564" spans="1:6" x14ac:dyDescent="0.3">
      <c r="A12564" s="15" t="s">
        <v>33499</v>
      </c>
      <c r="B12564" s="15" t="s">
        <v>795</v>
      </c>
      <c r="C12564" s="15" t="s">
        <v>795</v>
      </c>
      <c r="D12564" s="15" t="s">
        <v>795</v>
      </c>
      <c r="F12564" s="42"/>
    </row>
    <row r="12565" spans="1:6" x14ac:dyDescent="0.3">
      <c r="A12565" s="15" t="s">
        <v>37522</v>
      </c>
      <c r="B12565" s="15" t="s">
        <v>22982</v>
      </c>
      <c r="C12565" s="15" t="s">
        <v>800</v>
      </c>
      <c r="D12565" s="15" t="s">
        <v>22983</v>
      </c>
      <c r="E12565" s="15">
        <v>12.44</v>
      </c>
      <c r="F12565" s="42">
        <v>46198</v>
      </c>
    </row>
    <row r="12566" spans="1:6" x14ac:dyDescent="0.3">
      <c r="A12566" s="15" t="s">
        <v>37521</v>
      </c>
      <c r="B12566" s="15" t="s">
        <v>22984</v>
      </c>
      <c r="C12566" s="15" t="s">
        <v>800</v>
      </c>
      <c r="D12566" s="15" t="s">
        <v>22985</v>
      </c>
      <c r="E12566" s="15">
        <v>12.44</v>
      </c>
      <c r="F12566" s="42">
        <v>46198</v>
      </c>
    </row>
    <row r="12567" spans="1:6" x14ac:dyDescent="0.3">
      <c r="A12567" s="15" t="s">
        <v>37520</v>
      </c>
      <c r="B12567" s="15" t="s">
        <v>22986</v>
      </c>
      <c r="C12567" s="15" t="s">
        <v>800</v>
      </c>
      <c r="D12567" s="15" t="s">
        <v>22987</v>
      </c>
      <c r="E12567" s="15">
        <v>12</v>
      </c>
      <c r="F12567" s="42">
        <v>46198</v>
      </c>
    </row>
    <row r="12568" spans="1:6" x14ac:dyDescent="0.3">
      <c r="A12568" s="15" t="s">
        <v>37519</v>
      </c>
      <c r="B12568" s="15" t="s">
        <v>22988</v>
      </c>
      <c r="C12568" s="15" t="s">
        <v>800</v>
      </c>
      <c r="D12568" s="15" t="s">
        <v>22989</v>
      </c>
      <c r="E12568" s="15">
        <v>12</v>
      </c>
      <c r="F12568" s="42">
        <v>46198</v>
      </c>
    </row>
    <row r="12569" spans="1:6" x14ac:dyDescent="0.3">
      <c r="A12569" s="15" t="s">
        <v>33499</v>
      </c>
      <c r="B12569" s="15" t="s">
        <v>795</v>
      </c>
      <c r="C12569" s="15" t="s">
        <v>795</v>
      </c>
      <c r="D12569" s="15" t="s">
        <v>795</v>
      </c>
      <c r="F12569" s="42"/>
    </row>
    <row r="12570" spans="1:6" x14ac:dyDescent="0.3">
      <c r="A12570" s="15" t="s">
        <v>33636</v>
      </c>
      <c r="B12570" s="15" t="s">
        <v>795</v>
      </c>
      <c r="C12570" s="15" t="s">
        <v>795</v>
      </c>
      <c r="D12570" s="15" t="s">
        <v>795</v>
      </c>
      <c r="F12570" s="42"/>
    </row>
    <row r="12571" spans="1:6" x14ac:dyDescent="0.3">
      <c r="A12571" s="15" t="s">
        <v>33499</v>
      </c>
      <c r="B12571" s="15" t="s">
        <v>795</v>
      </c>
      <c r="C12571" s="15" t="s">
        <v>795</v>
      </c>
      <c r="D12571" s="15" t="s">
        <v>795</v>
      </c>
      <c r="F12571" s="42"/>
    </row>
    <row r="12572" spans="1:6" x14ac:dyDescent="0.3">
      <c r="A12572" s="15" t="s">
        <v>37518</v>
      </c>
      <c r="B12572" s="15" t="s">
        <v>22990</v>
      </c>
      <c r="C12572" s="15" t="s">
        <v>800</v>
      </c>
      <c r="D12572" s="15" t="s">
        <v>22991</v>
      </c>
      <c r="E12572" s="15">
        <v>20.450099999999999</v>
      </c>
      <c r="F12572" s="42">
        <v>46198</v>
      </c>
    </row>
    <row r="12573" spans="1:6" x14ac:dyDescent="0.3">
      <c r="A12573" s="15" t="s">
        <v>37517</v>
      </c>
      <c r="B12573" s="15" t="s">
        <v>22992</v>
      </c>
      <c r="C12573" s="15" t="s">
        <v>800</v>
      </c>
      <c r="D12573" s="15" t="s">
        <v>22993</v>
      </c>
      <c r="E12573" s="15">
        <v>20.452200000000001</v>
      </c>
      <c r="F12573" s="42">
        <v>46198</v>
      </c>
    </row>
    <row r="12574" spans="1:6" x14ac:dyDescent="0.3">
      <c r="A12574" s="15" t="s">
        <v>37516</v>
      </c>
      <c r="B12574" s="15" t="s">
        <v>22994</v>
      </c>
      <c r="C12574" s="15" t="s">
        <v>800</v>
      </c>
      <c r="D12574" s="15" t="s">
        <v>22995</v>
      </c>
      <c r="E12574" s="15">
        <v>19.229800000000001</v>
      </c>
      <c r="F12574" s="42">
        <v>46198</v>
      </c>
    </row>
    <row r="12575" spans="1:6" x14ac:dyDescent="0.3">
      <c r="A12575" s="15" t="s">
        <v>37515</v>
      </c>
      <c r="B12575" s="15" t="s">
        <v>22996</v>
      </c>
      <c r="C12575" s="15" t="s">
        <v>800</v>
      </c>
      <c r="D12575" s="15" t="s">
        <v>22997</v>
      </c>
      <c r="E12575" s="15">
        <v>19.229299999999999</v>
      </c>
      <c r="F12575" s="42">
        <v>46198</v>
      </c>
    </row>
    <row r="12576" spans="1:6" x14ac:dyDescent="0.3">
      <c r="A12576" s="15" t="s">
        <v>37514</v>
      </c>
      <c r="B12576" s="15" t="s">
        <v>22998</v>
      </c>
      <c r="C12576" s="15" t="s">
        <v>800</v>
      </c>
      <c r="D12576" s="15" t="s">
        <v>22999</v>
      </c>
      <c r="E12576" s="15">
        <v>21.3645</v>
      </c>
      <c r="F12576" s="42">
        <v>46198</v>
      </c>
    </row>
    <row r="12577" spans="1:6" x14ac:dyDescent="0.3">
      <c r="A12577" s="15" t="s">
        <v>37513</v>
      </c>
      <c r="B12577" s="15" t="s">
        <v>23000</v>
      </c>
      <c r="C12577" s="15" t="s">
        <v>800</v>
      </c>
      <c r="D12577" s="15" t="s">
        <v>23001</v>
      </c>
      <c r="E12577" s="15">
        <v>21.353100000000001</v>
      </c>
      <c r="F12577" s="42">
        <v>46198</v>
      </c>
    </row>
    <row r="12578" spans="1:6" x14ac:dyDescent="0.3">
      <c r="A12578" s="15" t="s">
        <v>37512</v>
      </c>
      <c r="B12578" s="15" t="s">
        <v>23002</v>
      </c>
      <c r="C12578" s="15" t="s">
        <v>800</v>
      </c>
      <c r="D12578" s="15" t="s">
        <v>23003</v>
      </c>
      <c r="E12578" s="15">
        <v>19.9801</v>
      </c>
      <c r="F12578" s="42">
        <v>46198</v>
      </c>
    </row>
    <row r="12579" spans="1:6" x14ac:dyDescent="0.3">
      <c r="A12579" s="15" t="s">
        <v>37511</v>
      </c>
      <c r="B12579" s="15" t="s">
        <v>23004</v>
      </c>
      <c r="C12579" s="15" t="s">
        <v>800</v>
      </c>
      <c r="D12579" s="15" t="s">
        <v>23005</v>
      </c>
      <c r="E12579" s="15">
        <v>19.980599999999999</v>
      </c>
      <c r="F12579" s="42">
        <v>46198</v>
      </c>
    </row>
    <row r="12580" spans="1:6" x14ac:dyDescent="0.3">
      <c r="A12580" s="15" t="s">
        <v>37510</v>
      </c>
      <c r="B12580" s="15" t="s">
        <v>23006</v>
      </c>
      <c r="C12580" s="15" t="s">
        <v>800</v>
      </c>
      <c r="D12580" s="15" t="s">
        <v>23007</v>
      </c>
      <c r="E12580" s="15">
        <v>16.2684</v>
      </c>
      <c r="F12580" s="42">
        <v>46198</v>
      </c>
    </row>
    <row r="12581" spans="1:6" x14ac:dyDescent="0.3">
      <c r="A12581" s="15" t="s">
        <v>37509</v>
      </c>
      <c r="B12581" s="15" t="s">
        <v>23008</v>
      </c>
      <c r="C12581" s="15" t="s">
        <v>800</v>
      </c>
      <c r="D12581" s="15" t="s">
        <v>23009</v>
      </c>
      <c r="E12581" s="15">
        <v>16.266200000000001</v>
      </c>
      <c r="F12581" s="42">
        <v>46198</v>
      </c>
    </row>
    <row r="12582" spans="1:6" x14ac:dyDescent="0.3">
      <c r="A12582" s="15" t="s">
        <v>37508</v>
      </c>
      <c r="B12582" s="15" t="s">
        <v>23010</v>
      </c>
      <c r="C12582" s="15" t="s">
        <v>800</v>
      </c>
      <c r="D12582" s="15" t="s">
        <v>23011</v>
      </c>
      <c r="E12582" s="15">
        <v>15.757</v>
      </c>
      <c r="F12582" s="42">
        <v>46198</v>
      </c>
    </row>
    <row r="12583" spans="1:6" x14ac:dyDescent="0.3">
      <c r="A12583" s="15" t="s">
        <v>37507</v>
      </c>
      <c r="B12583" s="15" t="s">
        <v>23012</v>
      </c>
      <c r="C12583" s="15" t="s">
        <v>800</v>
      </c>
      <c r="D12583" s="15" t="s">
        <v>23013</v>
      </c>
      <c r="E12583" s="15">
        <v>15.758800000000001</v>
      </c>
      <c r="F12583" s="42">
        <v>46198</v>
      </c>
    </row>
    <row r="12584" spans="1:6" x14ac:dyDescent="0.3">
      <c r="A12584" s="15" t="s">
        <v>37506</v>
      </c>
      <c r="B12584" s="15" t="s">
        <v>23014</v>
      </c>
      <c r="C12584" s="15" t="s">
        <v>800</v>
      </c>
      <c r="D12584" s="15" t="s">
        <v>23015</v>
      </c>
      <c r="E12584" s="15">
        <v>14.975899999999999</v>
      </c>
      <c r="F12584" s="42">
        <v>46198</v>
      </c>
    </row>
    <row r="12585" spans="1:6" x14ac:dyDescent="0.3">
      <c r="A12585" s="15" t="s">
        <v>37505</v>
      </c>
      <c r="B12585" s="15" t="s">
        <v>23016</v>
      </c>
      <c r="C12585" s="15" t="s">
        <v>800</v>
      </c>
      <c r="D12585" s="15" t="s">
        <v>23017</v>
      </c>
      <c r="E12585" s="15">
        <v>14.973699999999999</v>
      </c>
      <c r="F12585" s="42">
        <v>46198</v>
      </c>
    </row>
    <row r="12586" spans="1:6" x14ac:dyDescent="0.3">
      <c r="A12586" s="15" t="s">
        <v>37504</v>
      </c>
      <c r="B12586" s="15" t="s">
        <v>23018</v>
      </c>
      <c r="C12586" s="15" t="s">
        <v>800</v>
      </c>
      <c r="D12586" s="15" t="s">
        <v>23019</v>
      </c>
      <c r="E12586" s="15">
        <v>14.5853</v>
      </c>
      <c r="F12586" s="42">
        <v>46198</v>
      </c>
    </row>
    <row r="12587" spans="1:6" x14ac:dyDescent="0.3">
      <c r="A12587" s="15" t="s">
        <v>37503</v>
      </c>
      <c r="B12587" s="15" t="s">
        <v>23020</v>
      </c>
      <c r="C12587" s="15" t="s">
        <v>800</v>
      </c>
      <c r="D12587" s="15" t="s">
        <v>23021</v>
      </c>
      <c r="E12587" s="15">
        <v>14.585100000000001</v>
      </c>
      <c r="F12587" s="42">
        <v>46198</v>
      </c>
    </row>
    <row r="12588" spans="1:6" x14ac:dyDescent="0.3">
      <c r="A12588" s="15" t="s">
        <v>33499</v>
      </c>
      <c r="B12588" s="15" t="s">
        <v>795</v>
      </c>
      <c r="C12588" s="15" t="s">
        <v>795</v>
      </c>
      <c r="D12588" s="15" t="s">
        <v>795</v>
      </c>
      <c r="F12588" s="42"/>
    </row>
    <row r="12589" spans="1:6" x14ac:dyDescent="0.3">
      <c r="A12589" s="15" t="s">
        <v>33519</v>
      </c>
      <c r="B12589" s="15" t="s">
        <v>795</v>
      </c>
      <c r="C12589" s="15" t="s">
        <v>795</v>
      </c>
      <c r="D12589" s="15" t="s">
        <v>795</v>
      </c>
      <c r="F12589" s="42"/>
    </row>
    <row r="12590" spans="1:6" x14ac:dyDescent="0.3">
      <c r="A12590" s="15" t="s">
        <v>33499</v>
      </c>
      <c r="B12590" s="15" t="s">
        <v>795</v>
      </c>
      <c r="C12590" s="15" t="s">
        <v>795</v>
      </c>
      <c r="D12590" s="15" t="s">
        <v>795</v>
      </c>
      <c r="F12590" s="42"/>
    </row>
    <row r="12591" spans="1:6" x14ac:dyDescent="0.3">
      <c r="A12591" s="15" t="s">
        <v>37502</v>
      </c>
      <c r="B12591" s="15" t="s">
        <v>23022</v>
      </c>
      <c r="C12591" s="15" t="s">
        <v>800</v>
      </c>
      <c r="D12591" s="15" t="s">
        <v>23023</v>
      </c>
      <c r="E12591" s="15">
        <v>38.535200000000003</v>
      </c>
      <c r="F12591" s="42">
        <v>46198</v>
      </c>
    </row>
    <row r="12592" spans="1:6" x14ac:dyDescent="0.3">
      <c r="A12592" s="15" t="s">
        <v>37501</v>
      </c>
      <c r="B12592" s="15" t="s">
        <v>23024</v>
      </c>
      <c r="C12592" s="15" t="s">
        <v>800</v>
      </c>
      <c r="D12592" s="15" t="s">
        <v>23025</v>
      </c>
      <c r="E12592" s="15">
        <v>32.5501</v>
      </c>
      <c r="F12592" s="42">
        <v>46198</v>
      </c>
    </row>
    <row r="12593" spans="1:6" x14ac:dyDescent="0.3">
      <c r="A12593" s="15" t="s">
        <v>37500</v>
      </c>
      <c r="B12593" s="15" t="s">
        <v>23026</v>
      </c>
      <c r="C12593" s="15" t="s">
        <v>800</v>
      </c>
      <c r="D12593" s="15" t="s">
        <v>23027</v>
      </c>
      <c r="E12593" s="15">
        <v>79.780699999999996</v>
      </c>
      <c r="F12593" s="42">
        <v>46198</v>
      </c>
    </row>
    <row r="12594" spans="1:6" x14ac:dyDescent="0.3">
      <c r="A12594" s="15" t="s">
        <v>37499</v>
      </c>
      <c r="B12594" s="15" t="s">
        <v>23028</v>
      </c>
      <c r="C12594" s="15" t="s">
        <v>800</v>
      </c>
      <c r="D12594" s="15" t="s">
        <v>23029</v>
      </c>
      <c r="E12594" s="15">
        <v>66.133799999999994</v>
      </c>
      <c r="F12594" s="42">
        <v>46198</v>
      </c>
    </row>
    <row r="12595" spans="1:6" x14ac:dyDescent="0.3">
      <c r="A12595" s="15" t="s">
        <v>37498</v>
      </c>
      <c r="B12595" s="15" t="s">
        <v>23030</v>
      </c>
      <c r="C12595" s="15" t="s">
        <v>800</v>
      </c>
      <c r="D12595" s="15" t="s">
        <v>23031</v>
      </c>
      <c r="E12595" s="15">
        <v>66.905199999999994</v>
      </c>
      <c r="F12595" s="42">
        <v>46198</v>
      </c>
    </row>
    <row r="12596" spans="1:6" x14ac:dyDescent="0.3">
      <c r="A12596" s="15" t="s">
        <v>37497</v>
      </c>
      <c r="B12596" s="15" t="s">
        <v>23032</v>
      </c>
      <c r="C12596" s="15" t="s">
        <v>800</v>
      </c>
      <c r="D12596" s="15" t="s">
        <v>23033</v>
      </c>
      <c r="E12596" s="15">
        <v>82.346800000000002</v>
      </c>
      <c r="F12596" s="42">
        <v>46198</v>
      </c>
    </row>
    <row r="12597" spans="1:6" x14ac:dyDescent="0.3">
      <c r="A12597" s="15" t="s">
        <v>33499</v>
      </c>
      <c r="B12597" s="15" t="s">
        <v>795</v>
      </c>
      <c r="C12597" s="15" t="s">
        <v>795</v>
      </c>
      <c r="D12597" s="15" t="s">
        <v>795</v>
      </c>
      <c r="F12597" s="42"/>
    </row>
    <row r="12598" spans="1:6" x14ac:dyDescent="0.3">
      <c r="A12598" s="15" t="s">
        <v>33504</v>
      </c>
      <c r="B12598" s="15" t="s">
        <v>795</v>
      </c>
      <c r="C12598" s="15" t="s">
        <v>795</v>
      </c>
      <c r="D12598" s="15" t="s">
        <v>795</v>
      </c>
      <c r="F12598" s="42"/>
    </row>
    <row r="12599" spans="1:6" x14ac:dyDescent="0.3">
      <c r="A12599" s="15" t="s">
        <v>33499</v>
      </c>
      <c r="B12599" s="15" t="s">
        <v>795</v>
      </c>
      <c r="C12599" s="15" t="s">
        <v>795</v>
      </c>
      <c r="D12599" s="15" t="s">
        <v>795</v>
      </c>
      <c r="F12599" s="42"/>
    </row>
    <row r="12600" spans="1:6" x14ac:dyDescent="0.3">
      <c r="A12600" s="15" t="s">
        <v>37496</v>
      </c>
      <c r="B12600" s="15" t="s">
        <v>23034</v>
      </c>
      <c r="C12600" s="15" t="s">
        <v>800</v>
      </c>
      <c r="D12600" s="15" t="s">
        <v>23035</v>
      </c>
      <c r="E12600" s="15">
        <v>17.2</v>
      </c>
      <c r="F12600" s="42">
        <v>46198</v>
      </c>
    </row>
    <row r="12601" spans="1:6" x14ac:dyDescent="0.3">
      <c r="A12601" s="15" t="s">
        <v>37495</v>
      </c>
      <c r="B12601" s="15" t="s">
        <v>23036</v>
      </c>
      <c r="C12601" s="15" t="s">
        <v>800</v>
      </c>
      <c r="D12601" s="15" t="s">
        <v>23037</v>
      </c>
      <c r="E12601" s="15">
        <v>17.2</v>
      </c>
      <c r="F12601" s="42">
        <v>46198</v>
      </c>
    </row>
    <row r="12602" spans="1:6" x14ac:dyDescent="0.3">
      <c r="A12602" s="15" t="s">
        <v>37494</v>
      </c>
      <c r="B12602" s="15" t="s">
        <v>23038</v>
      </c>
      <c r="C12602" s="15" t="s">
        <v>800</v>
      </c>
      <c r="D12602" s="15" t="s">
        <v>23039</v>
      </c>
      <c r="E12602" s="15">
        <v>16.32</v>
      </c>
      <c r="F12602" s="42">
        <v>46198</v>
      </c>
    </row>
    <row r="12603" spans="1:6" x14ac:dyDescent="0.3">
      <c r="A12603" s="15" t="s">
        <v>37493</v>
      </c>
      <c r="B12603" s="15" t="s">
        <v>23040</v>
      </c>
      <c r="C12603" s="15" t="s">
        <v>800</v>
      </c>
      <c r="D12603" s="15" t="s">
        <v>23041</v>
      </c>
      <c r="E12603" s="15">
        <v>16.32</v>
      </c>
      <c r="F12603" s="42">
        <v>46198</v>
      </c>
    </row>
    <row r="12604" spans="1:6" x14ac:dyDescent="0.3">
      <c r="A12604" s="15" t="s">
        <v>33499</v>
      </c>
      <c r="B12604" s="15" t="s">
        <v>795</v>
      </c>
      <c r="C12604" s="15" t="s">
        <v>795</v>
      </c>
      <c r="D12604" s="15" t="s">
        <v>795</v>
      </c>
      <c r="F12604" s="42"/>
    </row>
    <row r="12605" spans="1:6" x14ac:dyDescent="0.3">
      <c r="A12605" s="15" t="s">
        <v>33500</v>
      </c>
      <c r="B12605" s="15" t="s">
        <v>795</v>
      </c>
      <c r="C12605" s="15" t="s">
        <v>795</v>
      </c>
      <c r="D12605" s="15" t="s">
        <v>795</v>
      </c>
      <c r="F12605" s="42"/>
    </row>
    <row r="12606" spans="1:6" x14ac:dyDescent="0.3">
      <c r="A12606" s="15" t="s">
        <v>33499</v>
      </c>
      <c r="B12606" s="15" t="s">
        <v>795</v>
      </c>
      <c r="C12606" s="15" t="s">
        <v>795</v>
      </c>
      <c r="D12606" s="15" t="s">
        <v>795</v>
      </c>
      <c r="F12606" s="42"/>
    </row>
    <row r="12607" spans="1:6" x14ac:dyDescent="0.3">
      <c r="A12607" s="15" t="s">
        <v>37492</v>
      </c>
      <c r="B12607" s="15" t="s">
        <v>46980</v>
      </c>
      <c r="C12607" s="15" t="s">
        <v>800</v>
      </c>
      <c r="D12607" s="15" t="s">
        <v>23042</v>
      </c>
      <c r="E12607" s="15">
        <v>50.399000000000001</v>
      </c>
      <c r="F12607" s="42">
        <v>46198</v>
      </c>
    </row>
    <row r="12608" spans="1:6" x14ac:dyDescent="0.3">
      <c r="A12608" s="15" t="s">
        <v>37491</v>
      </c>
      <c r="B12608" s="15" t="s">
        <v>46981</v>
      </c>
      <c r="C12608" s="15" t="s">
        <v>800</v>
      </c>
      <c r="D12608" s="15" t="s">
        <v>23043</v>
      </c>
      <c r="E12608" s="15">
        <v>54.675600000000003</v>
      </c>
      <c r="F12608" s="42">
        <v>46198</v>
      </c>
    </row>
    <row r="12609" spans="1:6" x14ac:dyDescent="0.3">
      <c r="A12609" s="15" t="s">
        <v>33499</v>
      </c>
      <c r="B12609" s="15" t="s">
        <v>795</v>
      </c>
      <c r="C12609" s="15" t="s">
        <v>795</v>
      </c>
      <c r="D12609" s="15" t="s">
        <v>795</v>
      </c>
      <c r="F12609" s="42"/>
    </row>
    <row r="12610" spans="1:6" x14ac:dyDescent="0.3">
      <c r="A12610" s="15" t="s">
        <v>37490</v>
      </c>
      <c r="B12610" s="15" t="s">
        <v>795</v>
      </c>
      <c r="C12610" s="15" t="s">
        <v>795</v>
      </c>
      <c r="D12610" s="15" t="s">
        <v>795</v>
      </c>
      <c r="F12610" s="42"/>
    </row>
    <row r="12611" spans="1:6" x14ac:dyDescent="0.3">
      <c r="A12611" s="15" t="s">
        <v>33499</v>
      </c>
      <c r="B12611" s="15" t="s">
        <v>795</v>
      </c>
      <c r="C12611" s="15" t="s">
        <v>795</v>
      </c>
      <c r="D12611" s="15" t="s">
        <v>795</v>
      </c>
      <c r="F12611" s="42"/>
    </row>
    <row r="12612" spans="1:6" x14ac:dyDescent="0.3">
      <c r="A12612" s="15" t="s">
        <v>139</v>
      </c>
      <c r="B12612" s="15" t="s">
        <v>795</v>
      </c>
      <c r="C12612" s="15" t="s">
        <v>795</v>
      </c>
      <c r="D12612" s="15" t="s">
        <v>795</v>
      </c>
      <c r="F12612" s="42"/>
    </row>
    <row r="12613" spans="1:6" x14ac:dyDescent="0.3">
      <c r="A12613" s="15" t="s">
        <v>33499</v>
      </c>
      <c r="B12613" s="15" t="s">
        <v>795</v>
      </c>
      <c r="C12613" s="15" t="s">
        <v>795</v>
      </c>
      <c r="D12613" s="15" t="s">
        <v>795</v>
      </c>
      <c r="F12613" s="42"/>
    </row>
    <row r="12614" spans="1:6" x14ac:dyDescent="0.3">
      <c r="A12614" s="15" t="s">
        <v>37489</v>
      </c>
      <c r="B12614" s="15" t="s">
        <v>800</v>
      </c>
      <c r="C12614" s="15" t="s">
        <v>23044</v>
      </c>
      <c r="D12614" s="15" t="s">
        <v>23045</v>
      </c>
      <c r="E12614" s="15">
        <v>10.0087785</v>
      </c>
      <c r="F12614" s="42">
        <v>43572</v>
      </c>
    </row>
    <row r="12615" spans="1:6" x14ac:dyDescent="0.3">
      <c r="A12615" s="15" t="s">
        <v>37488</v>
      </c>
      <c r="B12615" s="15" t="s">
        <v>23046</v>
      </c>
      <c r="C12615" s="15" t="s">
        <v>800</v>
      </c>
      <c r="D12615" s="15" t="s">
        <v>23047</v>
      </c>
      <c r="E12615" s="15">
        <v>1E-4</v>
      </c>
      <c r="F12615" s="42">
        <v>43577</v>
      </c>
    </row>
    <row r="12616" spans="1:6" x14ac:dyDescent="0.3">
      <c r="A12616" s="15" t="s">
        <v>37487</v>
      </c>
      <c r="B12616" s="15" t="s">
        <v>800</v>
      </c>
      <c r="C12616" s="15" t="s">
        <v>23048</v>
      </c>
      <c r="D12616" s="15" t="s">
        <v>23049</v>
      </c>
      <c r="E12616" s="15">
        <v>10.00871954</v>
      </c>
      <c r="F12616" s="42">
        <v>43572</v>
      </c>
    </row>
    <row r="12617" spans="1:6" x14ac:dyDescent="0.3">
      <c r="A12617" s="15" t="s">
        <v>37486</v>
      </c>
      <c r="B12617" s="15" t="s">
        <v>23050</v>
      </c>
      <c r="C12617" s="15" t="s">
        <v>800</v>
      </c>
      <c r="D12617" s="15" t="s">
        <v>23051</v>
      </c>
      <c r="E12617" s="15">
        <v>10.07183073</v>
      </c>
      <c r="F12617" s="42">
        <v>43572</v>
      </c>
    </row>
    <row r="12618" spans="1:6" x14ac:dyDescent="0.3">
      <c r="A12618" s="15" t="s">
        <v>37485</v>
      </c>
      <c r="B12618" s="15" t="s">
        <v>23052</v>
      </c>
      <c r="C12618" s="15" t="s">
        <v>800</v>
      </c>
      <c r="D12618" s="15" t="s">
        <v>23053</v>
      </c>
      <c r="E12618" s="15">
        <v>10.40029408</v>
      </c>
      <c r="F12618" s="42">
        <v>43590</v>
      </c>
    </row>
    <row r="12619" spans="1:6" x14ac:dyDescent="0.3">
      <c r="A12619" s="15" t="s">
        <v>37484</v>
      </c>
      <c r="B12619" s="15" t="s">
        <v>23054</v>
      </c>
      <c r="C12619" s="15" t="s">
        <v>800</v>
      </c>
      <c r="D12619" s="15" t="s">
        <v>23055</v>
      </c>
      <c r="E12619" s="15">
        <v>10.018167</v>
      </c>
      <c r="F12619" s="42">
        <v>43590</v>
      </c>
    </row>
    <row r="12620" spans="1:6" x14ac:dyDescent="0.3">
      <c r="A12620" s="15" t="s">
        <v>37483</v>
      </c>
      <c r="B12620" s="15" t="s">
        <v>23056</v>
      </c>
      <c r="C12620" s="15" t="s">
        <v>800</v>
      </c>
      <c r="D12620" s="15" t="s">
        <v>23057</v>
      </c>
      <c r="E12620" s="15">
        <v>10.39494886</v>
      </c>
      <c r="F12620" s="42">
        <v>43590</v>
      </c>
    </row>
    <row r="12621" spans="1:6" x14ac:dyDescent="0.3">
      <c r="A12621" s="15" t="s">
        <v>37482</v>
      </c>
      <c r="B12621" s="15" t="s">
        <v>23058</v>
      </c>
      <c r="C12621" s="15" t="s">
        <v>800</v>
      </c>
      <c r="D12621" s="15" t="s">
        <v>23059</v>
      </c>
      <c r="E12621" s="15">
        <v>10.0036</v>
      </c>
      <c r="F12621" s="42">
        <v>43615</v>
      </c>
    </row>
    <row r="12622" spans="1:6" x14ac:dyDescent="0.3">
      <c r="A12622" s="15" t="s">
        <v>37481</v>
      </c>
      <c r="B12622" s="15" t="s">
        <v>23060</v>
      </c>
      <c r="C12622" s="15" t="s">
        <v>800</v>
      </c>
      <c r="D12622" s="15" t="s">
        <v>23061</v>
      </c>
      <c r="E12622" s="15">
        <v>10.185499999999999</v>
      </c>
      <c r="F12622" s="42">
        <v>43615</v>
      </c>
    </row>
    <row r="12623" spans="1:6" x14ac:dyDescent="0.3">
      <c r="A12623" s="15" t="s">
        <v>37480</v>
      </c>
      <c r="B12623" s="15" t="s">
        <v>23062</v>
      </c>
      <c r="C12623" s="15" t="s">
        <v>800</v>
      </c>
      <c r="D12623" s="15" t="s">
        <v>23063</v>
      </c>
      <c r="E12623" s="15">
        <v>10.0029</v>
      </c>
      <c r="F12623" s="42">
        <v>43615</v>
      </c>
    </row>
    <row r="12624" spans="1:6" x14ac:dyDescent="0.3">
      <c r="A12624" s="15" t="s">
        <v>37479</v>
      </c>
      <c r="B12624" s="15" t="s">
        <v>23064</v>
      </c>
      <c r="C12624" s="15" t="s">
        <v>800</v>
      </c>
      <c r="D12624" s="15" t="s">
        <v>23065</v>
      </c>
      <c r="E12624" s="15">
        <v>10.186199999999999</v>
      </c>
      <c r="F12624" s="42">
        <v>43615</v>
      </c>
    </row>
    <row r="12625" spans="1:6" x14ac:dyDescent="0.3">
      <c r="A12625" s="15" t="s">
        <v>33499</v>
      </c>
      <c r="B12625" s="15" t="s">
        <v>795</v>
      </c>
      <c r="C12625" s="15" t="s">
        <v>795</v>
      </c>
      <c r="D12625" s="15" t="s">
        <v>795</v>
      </c>
      <c r="F12625" s="42"/>
    </row>
    <row r="12626" spans="1:6" x14ac:dyDescent="0.3">
      <c r="A12626" s="15" t="s">
        <v>208</v>
      </c>
      <c r="B12626" s="15" t="s">
        <v>795</v>
      </c>
      <c r="C12626" s="15" t="s">
        <v>795</v>
      </c>
      <c r="D12626" s="15" t="s">
        <v>795</v>
      </c>
      <c r="F12626" s="42"/>
    </row>
    <row r="12627" spans="1:6" x14ac:dyDescent="0.3">
      <c r="A12627" s="15" t="s">
        <v>33499</v>
      </c>
      <c r="B12627" s="15" t="s">
        <v>795</v>
      </c>
      <c r="C12627" s="15" t="s">
        <v>795</v>
      </c>
      <c r="D12627" s="15" t="s">
        <v>795</v>
      </c>
      <c r="F12627" s="42"/>
    </row>
    <row r="12628" spans="1:6" x14ac:dyDescent="0.3">
      <c r="A12628" s="15" t="s">
        <v>37478</v>
      </c>
      <c r="B12628" s="15" t="s">
        <v>23066</v>
      </c>
      <c r="C12628" s="15" t="s">
        <v>800</v>
      </c>
      <c r="D12628" s="15" t="s">
        <v>23067</v>
      </c>
      <c r="E12628" s="15">
        <v>28.652999999999999</v>
      </c>
      <c r="F12628" s="42">
        <v>46134</v>
      </c>
    </row>
    <row r="12629" spans="1:6" x14ac:dyDescent="0.3">
      <c r="A12629" s="15" t="s">
        <v>37477</v>
      </c>
      <c r="B12629" s="15" t="s">
        <v>23068</v>
      </c>
      <c r="C12629" s="15" t="s">
        <v>23069</v>
      </c>
      <c r="D12629" s="15" t="s">
        <v>23070</v>
      </c>
      <c r="E12629" s="15">
        <v>13.3009</v>
      </c>
      <c r="F12629" s="42">
        <v>46134</v>
      </c>
    </row>
    <row r="12630" spans="1:6" x14ac:dyDescent="0.3">
      <c r="A12630" s="15" t="s">
        <v>37476</v>
      </c>
      <c r="B12630" s="15" t="s">
        <v>23071</v>
      </c>
      <c r="C12630" s="15" t="s">
        <v>23072</v>
      </c>
      <c r="D12630" s="15" t="s">
        <v>23073</v>
      </c>
      <c r="E12630" s="15">
        <v>13.2403</v>
      </c>
      <c r="F12630" s="42">
        <v>46134</v>
      </c>
    </row>
    <row r="12631" spans="1:6" x14ac:dyDescent="0.3">
      <c r="A12631" s="15" t="s">
        <v>37475</v>
      </c>
      <c r="B12631" s="15" t="s">
        <v>23074</v>
      </c>
      <c r="C12631" s="15" t="s">
        <v>800</v>
      </c>
      <c r="D12631" s="15" t="s">
        <v>23075</v>
      </c>
      <c r="E12631" s="15">
        <v>28.325600000000001</v>
      </c>
      <c r="F12631" s="42">
        <v>46134</v>
      </c>
    </row>
    <row r="12632" spans="1:6" x14ac:dyDescent="0.3">
      <c r="A12632" s="15" t="s">
        <v>37474</v>
      </c>
      <c r="B12632" s="15" t="s">
        <v>23076</v>
      </c>
      <c r="C12632" s="15" t="s">
        <v>800</v>
      </c>
      <c r="D12632" s="15" t="s">
        <v>23077</v>
      </c>
      <c r="E12632" s="15">
        <v>38.023800000000001</v>
      </c>
      <c r="F12632" s="42">
        <v>46134</v>
      </c>
    </row>
    <row r="12633" spans="1:6" x14ac:dyDescent="0.3">
      <c r="A12633" s="15" t="s">
        <v>37473</v>
      </c>
      <c r="B12633" s="15" t="s">
        <v>23078</v>
      </c>
      <c r="C12633" s="15" t="s">
        <v>800</v>
      </c>
      <c r="D12633" s="15" t="s">
        <v>23079</v>
      </c>
      <c r="E12633" s="15">
        <v>10</v>
      </c>
      <c r="F12633" s="42">
        <v>43818</v>
      </c>
    </row>
    <row r="12634" spans="1:6" x14ac:dyDescent="0.3">
      <c r="A12634" s="15" t="s">
        <v>37472</v>
      </c>
      <c r="B12634" s="15" t="s">
        <v>23080</v>
      </c>
      <c r="C12634" s="15" t="s">
        <v>800</v>
      </c>
      <c r="D12634" s="15" t="s">
        <v>23081</v>
      </c>
      <c r="E12634" s="15">
        <v>10.855600000000001</v>
      </c>
      <c r="F12634" s="42">
        <v>43818</v>
      </c>
    </row>
    <row r="12635" spans="1:6" x14ac:dyDescent="0.3">
      <c r="A12635" s="15" t="s">
        <v>37471</v>
      </c>
      <c r="B12635" s="15" t="s">
        <v>23082</v>
      </c>
      <c r="C12635" s="15" t="s">
        <v>800</v>
      </c>
      <c r="D12635" s="15" t="s">
        <v>23083</v>
      </c>
      <c r="E12635" s="15">
        <v>10.0001</v>
      </c>
      <c r="F12635" s="42">
        <v>43818</v>
      </c>
    </row>
    <row r="12636" spans="1:6" x14ac:dyDescent="0.3">
      <c r="A12636" s="15" t="s">
        <v>37470</v>
      </c>
      <c r="B12636" s="15" t="s">
        <v>23084</v>
      </c>
      <c r="C12636" s="15" t="s">
        <v>800</v>
      </c>
      <c r="D12636" s="15" t="s">
        <v>23085</v>
      </c>
      <c r="E12636" s="15">
        <v>10.8332</v>
      </c>
      <c r="F12636" s="42">
        <v>43818</v>
      </c>
    </row>
    <row r="12637" spans="1:6" x14ac:dyDescent="0.3">
      <c r="A12637" s="15" t="s">
        <v>37469</v>
      </c>
      <c r="B12637" s="15" t="s">
        <v>23086</v>
      </c>
      <c r="C12637" s="15" t="s">
        <v>800</v>
      </c>
      <c r="D12637" s="15" t="s">
        <v>23087</v>
      </c>
      <c r="E12637" s="15">
        <v>10</v>
      </c>
      <c r="F12637" s="42">
        <v>43769</v>
      </c>
    </row>
    <row r="12638" spans="1:6" x14ac:dyDescent="0.3">
      <c r="A12638" s="15" t="s">
        <v>37468</v>
      </c>
      <c r="B12638" s="15" t="s">
        <v>23088</v>
      </c>
      <c r="C12638" s="15" t="s">
        <v>800</v>
      </c>
      <c r="D12638" s="15" t="s">
        <v>23089</v>
      </c>
      <c r="E12638" s="15">
        <v>10.8758</v>
      </c>
      <c r="F12638" s="42">
        <v>43769</v>
      </c>
    </row>
    <row r="12639" spans="1:6" x14ac:dyDescent="0.3">
      <c r="A12639" s="15" t="s">
        <v>37467</v>
      </c>
      <c r="B12639" s="15" t="s">
        <v>23090</v>
      </c>
      <c r="C12639" s="15" t="s">
        <v>800</v>
      </c>
      <c r="D12639" s="15" t="s">
        <v>23091</v>
      </c>
      <c r="E12639" s="15">
        <v>10</v>
      </c>
      <c r="F12639" s="42">
        <v>43769</v>
      </c>
    </row>
    <row r="12640" spans="1:6" x14ac:dyDescent="0.3">
      <c r="A12640" s="15" t="s">
        <v>37466</v>
      </c>
      <c r="B12640" s="15" t="s">
        <v>23092</v>
      </c>
      <c r="C12640" s="15" t="s">
        <v>800</v>
      </c>
      <c r="D12640" s="15" t="s">
        <v>23093</v>
      </c>
      <c r="E12640" s="15">
        <v>10.853899999999999</v>
      </c>
      <c r="F12640" s="42">
        <v>43769</v>
      </c>
    </row>
    <row r="12641" spans="1:6" x14ac:dyDescent="0.3">
      <c r="A12641" s="15" t="s">
        <v>37465</v>
      </c>
      <c r="B12641" s="15" t="s">
        <v>23094</v>
      </c>
      <c r="C12641" s="15" t="s">
        <v>23095</v>
      </c>
      <c r="D12641" s="15" t="s">
        <v>23096</v>
      </c>
      <c r="E12641" s="15">
        <v>10.0304</v>
      </c>
      <c r="F12641" s="42">
        <v>42681</v>
      </c>
    </row>
    <row r="12642" spans="1:6" x14ac:dyDescent="0.3">
      <c r="A12642" s="15" t="s">
        <v>37464</v>
      </c>
      <c r="B12642" s="15" t="s">
        <v>23097</v>
      </c>
      <c r="C12642" s="15" t="s">
        <v>800</v>
      </c>
      <c r="D12642" s="15" t="s">
        <v>23098</v>
      </c>
      <c r="E12642" s="15">
        <v>38.084000000000003</v>
      </c>
      <c r="F12642" s="42">
        <v>46198</v>
      </c>
    </row>
    <row r="12643" spans="1:6" x14ac:dyDescent="0.3">
      <c r="A12643" s="15" t="s">
        <v>37463</v>
      </c>
      <c r="B12643" s="15" t="s">
        <v>23099</v>
      </c>
      <c r="C12643" s="15" t="s">
        <v>23100</v>
      </c>
      <c r="D12643" s="15" t="s">
        <v>23101</v>
      </c>
      <c r="E12643" s="15">
        <v>13.403600000000001</v>
      </c>
      <c r="F12643" s="42">
        <v>46198</v>
      </c>
    </row>
    <row r="12644" spans="1:6" x14ac:dyDescent="0.3">
      <c r="A12644" s="15" t="s">
        <v>37462</v>
      </c>
      <c r="B12644" s="15" t="s">
        <v>23102</v>
      </c>
      <c r="C12644" s="15" t="s">
        <v>800</v>
      </c>
      <c r="D12644" s="15" t="s">
        <v>23103</v>
      </c>
      <c r="E12644" s="15">
        <v>38.679499999999997</v>
      </c>
      <c r="F12644" s="42">
        <v>46198</v>
      </c>
    </row>
    <row r="12645" spans="1:6" x14ac:dyDescent="0.3">
      <c r="A12645" s="15" t="s">
        <v>37461</v>
      </c>
      <c r="B12645" s="15" t="s">
        <v>23104</v>
      </c>
      <c r="C12645" s="15" t="s">
        <v>23105</v>
      </c>
      <c r="D12645" s="15" t="s">
        <v>23106</v>
      </c>
      <c r="E12645" s="15">
        <v>13.354100000000001</v>
      </c>
      <c r="F12645" s="42">
        <v>46198</v>
      </c>
    </row>
    <row r="12646" spans="1:6" x14ac:dyDescent="0.3">
      <c r="A12646" s="15" t="s">
        <v>37460</v>
      </c>
      <c r="B12646" s="15" t="s">
        <v>23107</v>
      </c>
      <c r="C12646" s="15" t="s">
        <v>23108</v>
      </c>
      <c r="D12646" s="15" t="s">
        <v>23109</v>
      </c>
      <c r="E12646" s="15">
        <v>10</v>
      </c>
      <c r="F12646" s="42">
        <v>44250</v>
      </c>
    </row>
    <row r="12647" spans="1:6" x14ac:dyDescent="0.3">
      <c r="A12647" s="15" t="s">
        <v>37459</v>
      </c>
      <c r="B12647" s="15" t="s">
        <v>23110</v>
      </c>
      <c r="C12647" s="15" t="s">
        <v>800</v>
      </c>
      <c r="D12647" s="15" t="s">
        <v>23111</v>
      </c>
      <c r="E12647" s="15">
        <v>18.449200000000001</v>
      </c>
      <c r="F12647" s="42">
        <v>44250</v>
      </c>
    </row>
    <row r="12648" spans="1:6" x14ac:dyDescent="0.3">
      <c r="A12648" s="15" t="s">
        <v>37458</v>
      </c>
      <c r="B12648" s="15" t="s">
        <v>23112</v>
      </c>
      <c r="C12648" s="15" t="s">
        <v>23113</v>
      </c>
      <c r="D12648" s="15" t="s">
        <v>23114</v>
      </c>
      <c r="E12648" s="15">
        <v>10</v>
      </c>
      <c r="F12648" s="42">
        <v>44250</v>
      </c>
    </row>
    <row r="12649" spans="1:6" x14ac:dyDescent="0.3">
      <c r="A12649" s="15" t="s">
        <v>37457</v>
      </c>
      <c r="B12649" s="15" t="s">
        <v>23115</v>
      </c>
      <c r="C12649" s="15" t="s">
        <v>800</v>
      </c>
      <c r="D12649" s="15" t="s">
        <v>23116</v>
      </c>
      <c r="E12649" s="15">
        <v>18.322299999999998</v>
      </c>
      <c r="F12649" s="42">
        <v>44250</v>
      </c>
    </row>
    <row r="12650" spans="1:6" x14ac:dyDescent="0.3">
      <c r="A12650" s="15" t="s">
        <v>37456</v>
      </c>
      <c r="B12650" s="15" t="s">
        <v>23117</v>
      </c>
      <c r="C12650" s="15" t="s">
        <v>800</v>
      </c>
      <c r="D12650" s="15" t="s">
        <v>23118</v>
      </c>
      <c r="E12650" s="15">
        <v>12.9909</v>
      </c>
      <c r="F12650" s="42">
        <v>43283</v>
      </c>
    </row>
    <row r="12651" spans="1:6" x14ac:dyDescent="0.3">
      <c r="A12651" s="15" t="s">
        <v>37455</v>
      </c>
      <c r="B12651" s="15" t="s">
        <v>23119</v>
      </c>
      <c r="C12651" s="15" t="s">
        <v>800</v>
      </c>
      <c r="D12651" s="15" t="s">
        <v>23120</v>
      </c>
      <c r="E12651" s="15">
        <v>12.9909</v>
      </c>
      <c r="F12651" s="42">
        <v>43283</v>
      </c>
    </row>
    <row r="12652" spans="1:6" x14ac:dyDescent="0.3">
      <c r="A12652" s="15" t="s">
        <v>37454</v>
      </c>
      <c r="B12652" s="15" t="s">
        <v>23121</v>
      </c>
      <c r="C12652" s="15" t="s">
        <v>800</v>
      </c>
      <c r="D12652" s="15" t="s">
        <v>23122</v>
      </c>
      <c r="E12652" s="15">
        <v>12.721</v>
      </c>
      <c r="F12652" s="42">
        <v>43283</v>
      </c>
    </row>
    <row r="12653" spans="1:6" x14ac:dyDescent="0.3">
      <c r="A12653" s="15" t="s">
        <v>37453</v>
      </c>
      <c r="B12653" s="15" t="s">
        <v>23123</v>
      </c>
      <c r="C12653" s="15" t="s">
        <v>800</v>
      </c>
      <c r="D12653" s="15" t="s">
        <v>23124</v>
      </c>
      <c r="E12653" s="15">
        <v>12.721</v>
      </c>
      <c r="F12653" s="42">
        <v>43283</v>
      </c>
    </row>
    <row r="12654" spans="1:6" x14ac:dyDescent="0.3">
      <c r="A12654" s="15" t="s">
        <v>37452</v>
      </c>
      <c r="B12654" s="15" t="s">
        <v>23125</v>
      </c>
      <c r="C12654" s="15" t="s">
        <v>800</v>
      </c>
      <c r="D12654" s="15" t="s">
        <v>23126</v>
      </c>
      <c r="E12654" s="15">
        <v>12.6668</v>
      </c>
      <c r="F12654" s="42">
        <v>43283</v>
      </c>
    </row>
    <row r="12655" spans="1:6" x14ac:dyDescent="0.3">
      <c r="A12655" s="15" t="s">
        <v>37451</v>
      </c>
      <c r="B12655" s="15" t="s">
        <v>23127</v>
      </c>
      <c r="C12655" s="15" t="s">
        <v>800</v>
      </c>
      <c r="D12655" s="15" t="s">
        <v>23128</v>
      </c>
      <c r="E12655" s="15">
        <v>12.6668</v>
      </c>
      <c r="F12655" s="42">
        <v>43283</v>
      </c>
    </row>
    <row r="12656" spans="1:6" x14ac:dyDescent="0.3">
      <c r="A12656" s="15" t="s">
        <v>37450</v>
      </c>
      <c r="B12656" s="15" t="s">
        <v>23129</v>
      </c>
      <c r="C12656" s="15" t="s">
        <v>800</v>
      </c>
      <c r="D12656" s="15" t="s">
        <v>23130</v>
      </c>
      <c r="E12656" s="15">
        <v>12.432499999999999</v>
      </c>
      <c r="F12656" s="42">
        <v>43283</v>
      </c>
    </row>
    <row r="12657" spans="1:6" x14ac:dyDescent="0.3">
      <c r="A12657" s="15" t="s">
        <v>37449</v>
      </c>
      <c r="B12657" s="15" t="s">
        <v>23131</v>
      </c>
      <c r="C12657" s="15" t="s">
        <v>800</v>
      </c>
      <c r="D12657" s="15" t="s">
        <v>23132</v>
      </c>
      <c r="E12657" s="15">
        <v>12.432499999999999</v>
      </c>
      <c r="F12657" s="42">
        <v>43283</v>
      </c>
    </row>
    <row r="12658" spans="1:6" x14ac:dyDescent="0.3">
      <c r="A12658" s="15" t="s">
        <v>33499</v>
      </c>
      <c r="B12658" s="15" t="s">
        <v>795</v>
      </c>
      <c r="C12658" s="15" t="s">
        <v>795</v>
      </c>
      <c r="D12658" s="15" t="s">
        <v>795</v>
      </c>
      <c r="F12658" s="42"/>
    </row>
    <row r="12659" spans="1:6" x14ac:dyDescent="0.3">
      <c r="A12659" s="15" t="s">
        <v>37448</v>
      </c>
      <c r="B12659" s="15" t="s">
        <v>795</v>
      </c>
      <c r="C12659" s="15" t="s">
        <v>795</v>
      </c>
      <c r="D12659" s="15" t="s">
        <v>795</v>
      </c>
      <c r="F12659" s="42"/>
    </row>
    <row r="12660" spans="1:6" x14ac:dyDescent="0.3">
      <c r="A12660" s="15" t="s">
        <v>33499</v>
      </c>
      <c r="B12660" s="15" t="s">
        <v>795</v>
      </c>
      <c r="C12660" s="15" t="s">
        <v>795</v>
      </c>
      <c r="D12660" s="15" t="s">
        <v>795</v>
      </c>
      <c r="F12660" s="42"/>
    </row>
    <row r="12661" spans="1:6" x14ac:dyDescent="0.3">
      <c r="A12661" s="15" t="s">
        <v>37447</v>
      </c>
      <c r="B12661" s="15" t="s">
        <v>795</v>
      </c>
      <c r="C12661" s="15" t="s">
        <v>795</v>
      </c>
      <c r="D12661" s="15" t="s">
        <v>795</v>
      </c>
      <c r="F12661" s="42"/>
    </row>
    <row r="12662" spans="1:6" x14ac:dyDescent="0.3">
      <c r="A12662" s="15" t="s">
        <v>33499</v>
      </c>
      <c r="B12662" s="15" t="s">
        <v>795</v>
      </c>
      <c r="C12662" s="15" t="s">
        <v>795</v>
      </c>
      <c r="D12662" s="15" t="s">
        <v>795</v>
      </c>
      <c r="F12662" s="42"/>
    </row>
    <row r="12663" spans="1:6" x14ac:dyDescent="0.3">
      <c r="A12663" s="15" t="s">
        <v>37446</v>
      </c>
      <c r="B12663" s="15" t="s">
        <v>23133</v>
      </c>
      <c r="C12663" s="15" t="s">
        <v>800</v>
      </c>
      <c r="D12663" s="15" t="s">
        <v>23134</v>
      </c>
      <c r="E12663" s="15">
        <v>30.15</v>
      </c>
      <c r="F12663" s="42">
        <v>46198</v>
      </c>
    </row>
    <row r="12664" spans="1:6" x14ac:dyDescent="0.3">
      <c r="A12664" s="15" t="s">
        <v>37445</v>
      </c>
      <c r="B12664" s="15" t="s">
        <v>23135</v>
      </c>
      <c r="C12664" s="15" t="s">
        <v>800</v>
      </c>
      <c r="D12664" s="15" t="s">
        <v>23136</v>
      </c>
      <c r="E12664" s="15">
        <v>30.15</v>
      </c>
      <c r="F12664" s="42">
        <v>46198</v>
      </c>
    </row>
    <row r="12665" spans="1:6" x14ac:dyDescent="0.3">
      <c r="A12665" s="15" t="s">
        <v>37444</v>
      </c>
      <c r="B12665" s="15" t="s">
        <v>23137</v>
      </c>
      <c r="C12665" s="15" t="s">
        <v>800</v>
      </c>
      <c r="D12665" s="15" t="s">
        <v>23138</v>
      </c>
      <c r="E12665" s="15">
        <v>29.06</v>
      </c>
      <c r="F12665" s="42">
        <v>46198</v>
      </c>
    </row>
    <row r="12666" spans="1:6" x14ac:dyDescent="0.3">
      <c r="A12666" s="15" t="s">
        <v>37443</v>
      </c>
      <c r="B12666" s="15" t="s">
        <v>23139</v>
      </c>
      <c r="C12666" s="15" t="s">
        <v>800</v>
      </c>
      <c r="D12666" s="15" t="s">
        <v>23140</v>
      </c>
      <c r="E12666" s="15">
        <v>29.06</v>
      </c>
      <c r="F12666" s="42">
        <v>46198</v>
      </c>
    </row>
    <row r="12667" spans="1:6" x14ac:dyDescent="0.3">
      <c r="A12667" s="15" t="s">
        <v>37442</v>
      </c>
      <c r="B12667" s="15" t="s">
        <v>23141</v>
      </c>
      <c r="C12667" s="15" t="s">
        <v>800</v>
      </c>
      <c r="D12667" s="15" t="s">
        <v>23142</v>
      </c>
      <c r="E12667" s="15">
        <v>34.67</v>
      </c>
      <c r="F12667" s="42">
        <v>46198</v>
      </c>
    </row>
    <row r="12668" spans="1:6" x14ac:dyDescent="0.3">
      <c r="A12668" s="15" t="s">
        <v>37441</v>
      </c>
      <c r="B12668" s="15" t="s">
        <v>23143</v>
      </c>
      <c r="C12668" s="15" t="s">
        <v>800</v>
      </c>
      <c r="D12668" s="15" t="s">
        <v>23144</v>
      </c>
      <c r="E12668" s="15">
        <v>34.67</v>
      </c>
      <c r="F12668" s="42">
        <v>46198</v>
      </c>
    </row>
    <row r="12669" spans="1:6" x14ac:dyDescent="0.3">
      <c r="A12669" s="15" t="s">
        <v>37440</v>
      </c>
      <c r="B12669" s="15" t="s">
        <v>23145</v>
      </c>
      <c r="C12669" s="15" t="s">
        <v>800</v>
      </c>
      <c r="D12669" s="15" t="s">
        <v>23146</v>
      </c>
      <c r="E12669" s="15">
        <v>33.299999999999997</v>
      </c>
      <c r="F12669" s="42">
        <v>46198</v>
      </c>
    </row>
    <row r="12670" spans="1:6" x14ac:dyDescent="0.3">
      <c r="A12670" s="15" t="s">
        <v>37439</v>
      </c>
      <c r="B12670" s="15" t="s">
        <v>23147</v>
      </c>
      <c r="C12670" s="15" t="s">
        <v>800</v>
      </c>
      <c r="D12670" s="15" t="s">
        <v>23148</v>
      </c>
      <c r="E12670" s="15">
        <v>33.32</v>
      </c>
      <c r="F12670" s="42">
        <v>46198</v>
      </c>
    </row>
    <row r="12671" spans="1:6" x14ac:dyDescent="0.3">
      <c r="A12671" s="15" t="s">
        <v>33499</v>
      </c>
      <c r="B12671" s="15" t="s">
        <v>795</v>
      </c>
      <c r="C12671" s="15" t="s">
        <v>795</v>
      </c>
      <c r="D12671" s="15" t="s">
        <v>795</v>
      </c>
      <c r="F12671" s="42"/>
    </row>
    <row r="12672" spans="1:6" x14ac:dyDescent="0.3">
      <c r="A12672" s="15" t="s">
        <v>36764</v>
      </c>
      <c r="B12672" s="15" t="s">
        <v>795</v>
      </c>
      <c r="C12672" s="15" t="s">
        <v>795</v>
      </c>
      <c r="D12672" s="15" t="s">
        <v>795</v>
      </c>
      <c r="F12672" s="42"/>
    </row>
    <row r="12673" spans="1:6" x14ac:dyDescent="0.3">
      <c r="A12673" s="15" t="s">
        <v>33499</v>
      </c>
      <c r="B12673" s="15" t="s">
        <v>795</v>
      </c>
      <c r="C12673" s="15" t="s">
        <v>795</v>
      </c>
      <c r="D12673" s="15" t="s">
        <v>795</v>
      </c>
      <c r="F12673" s="42"/>
    </row>
    <row r="12674" spans="1:6" x14ac:dyDescent="0.3">
      <c r="A12674" s="15" t="s">
        <v>37438</v>
      </c>
      <c r="B12674" s="15" t="s">
        <v>23149</v>
      </c>
      <c r="C12674" s="15" t="s">
        <v>800</v>
      </c>
      <c r="D12674" s="15" t="s">
        <v>23150</v>
      </c>
      <c r="E12674" s="15">
        <v>28.71</v>
      </c>
      <c r="F12674" s="42">
        <v>46198</v>
      </c>
    </row>
    <row r="12675" spans="1:6" x14ac:dyDescent="0.3">
      <c r="A12675" s="15" t="s">
        <v>37437</v>
      </c>
      <c r="B12675" s="15" t="s">
        <v>23151</v>
      </c>
      <c r="C12675" s="15" t="s">
        <v>800</v>
      </c>
      <c r="D12675" s="15" t="s">
        <v>23152</v>
      </c>
      <c r="E12675" s="15">
        <v>30.05</v>
      </c>
      <c r="F12675" s="42">
        <v>46198</v>
      </c>
    </row>
    <row r="12676" spans="1:6" x14ac:dyDescent="0.3">
      <c r="A12676" s="15" t="s">
        <v>37436</v>
      </c>
      <c r="B12676" s="15" t="s">
        <v>23153</v>
      </c>
      <c r="C12676" s="15" t="s">
        <v>800</v>
      </c>
      <c r="D12676" s="15" t="s">
        <v>23154</v>
      </c>
      <c r="E12676" s="15">
        <v>30.05</v>
      </c>
      <c r="F12676" s="42">
        <v>46198</v>
      </c>
    </row>
    <row r="12677" spans="1:6" x14ac:dyDescent="0.3">
      <c r="A12677" s="15" t="s">
        <v>37435</v>
      </c>
      <c r="B12677" s="15" t="s">
        <v>23155</v>
      </c>
      <c r="C12677" s="15" t="s">
        <v>800</v>
      </c>
      <c r="D12677" s="15" t="s">
        <v>23156</v>
      </c>
      <c r="E12677" s="15">
        <v>28.71</v>
      </c>
      <c r="F12677" s="42">
        <v>46198</v>
      </c>
    </row>
    <row r="12678" spans="1:6" x14ac:dyDescent="0.3">
      <c r="A12678" s="15" t="s">
        <v>37434</v>
      </c>
      <c r="B12678" s="15" t="s">
        <v>23157</v>
      </c>
      <c r="C12678" s="15" t="s">
        <v>800</v>
      </c>
      <c r="D12678" s="15" t="s">
        <v>23158</v>
      </c>
      <c r="E12678" s="15">
        <v>22.73</v>
      </c>
      <c r="F12678" s="42">
        <v>43734</v>
      </c>
    </row>
    <row r="12679" spans="1:6" x14ac:dyDescent="0.3">
      <c r="A12679" s="15" t="s">
        <v>37433</v>
      </c>
      <c r="B12679" s="15" t="s">
        <v>23159</v>
      </c>
      <c r="C12679" s="15" t="s">
        <v>800</v>
      </c>
      <c r="D12679" s="15" t="s">
        <v>23160</v>
      </c>
      <c r="E12679" s="15">
        <v>39.090000000000003</v>
      </c>
      <c r="F12679" s="42">
        <v>43734</v>
      </c>
    </row>
    <row r="12680" spans="1:6" x14ac:dyDescent="0.3">
      <c r="A12680" s="15" t="s">
        <v>33499</v>
      </c>
      <c r="B12680" s="15" t="s">
        <v>795</v>
      </c>
      <c r="C12680" s="15" t="s">
        <v>795</v>
      </c>
      <c r="D12680" s="15" t="s">
        <v>795</v>
      </c>
      <c r="F12680" s="42"/>
    </row>
    <row r="12681" spans="1:6" x14ac:dyDescent="0.3">
      <c r="A12681" s="15" t="s">
        <v>208</v>
      </c>
      <c r="B12681" s="15" t="s">
        <v>795</v>
      </c>
      <c r="C12681" s="15" t="s">
        <v>795</v>
      </c>
      <c r="D12681" s="15" t="s">
        <v>795</v>
      </c>
      <c r="F12681" s="42"/>
    </row>
    <row r="12682" spans="1:6" x14ac:dyDescent="0.3">
      <c r="A12682" s="15" t="s">
        <v>33499</v>
      </c>
      <c r="B12682" s="15" t="s">
        <v>795</v>
      </c>
      <c r="C12682" s="15" t="s">
        <v>795</v>
      </c>
      <c r="D12682" s="15" t="s">
        <v>795</v>
      </c>
      <c r="F12682" s="42"/>
    </row>
    <row r="12683" spans="1:6" x14ac:dyDescent="0.3">
      <c r="A12683" s="15" t="s">
        <v>37432</v>
      </c>
      <c r="B12683" s="15" t="s">
        <v>23161</v>
      </c>
      <c r="C12683" s="15" t="s">
        <v>800</v>
      </c>
      <c r="D12683" s="15" t="s">
        <v>23162</v>
      </c>
      <c r="E12683" s="15">
        <v>32.082000000000001</v>
      </c>
      <c r="F12683" s="42">
        <v>43192</v>
      </c>
    </row>
    <row r="12684" spans="1:6" x14ac:dyDescent="0.3">
      <c r="A12684" s="15" t="s">
        <v>37431</v>
      </c>
      <c r="B12684" s="15" t="s">
        <v>23163</v>
      </c>
      <c r="C12684" s="15" t="s">
        <v>800</v>
      </c>
      <c r="D12684" s="15" t="s">
        <v>23164</v>
      </c>
      <c r="E12684" s="15">
        <v>32.082000000000001</v>
      </c>
      <c r="F12684" s="42">
        <v>43192</v>
      </c>
    </row>
    <row r="12685" spans="1:6" x14ac:dyDescent="0.3">
      <c r="A12685" s="15" t="s">
        <v>33499</v>
      </c>
      <c r="B12685" s="15" t="s">
        <v>795</v>
      </c>
      <c r="C12685" s="15" t="s">
        <v>795</v>
      </c>
      <c r="D12685" s="15" t="s">
        <v>795</v>
      </c>
      <c r="F12685" s="42"/>
    </row>
    <row r="12686" spans="1:6" x14ac:dyDescent="0.3">
      <c r="A12686" s="15" t="s">
        <v>33636</v>
      </c>
      <c r="B12686" s="15" t="s">
        <v>795</v>
      </c>
      <c r="C12686" s="15" t="s">
        <v>795</v>
      </c>
      <c r="D12686" s="15" t="s">
        <v>795</v>
      </c>
      <c r="F12686" s="42"/>
    </row>
    <row r="12687" spans="1:6" x14ac:dyDescent="0.3">
      <c r="A12687" s="15" t="s">
        <v>33499</v>
      </c>
      <c r="B12687" s="15" t="s">
        <v>795</v>
      </c>
      <c r="C12687" s="15" t="s">
        <v>795</v>
      </c>
      <c r="D12687" s="15" t="s">
        <v>795</v>
      </c>
      <c r="F12687" s="42"/>
    </row>
    <row r="12688" spans="1:6" x14ac:dyDescent="0.3">
      <c r="A12688" s="15" t="s">
        <v>37430</v>
      </c>
      <c r="B12688" s="15" t="s">
        <v>23165</v>
      </c>
      <c r="C12688" s="15" t="s">
        <v>800</v>
      </c>
      <c r="D12688" s="15" t="s">
        <v>23166</v>
      </c>
      <c r="E12688" s="15">
        <v>42.732199999999999</v>
      </c>
      <c r="F12688" s="42">
        <v>46111</v>
      </c>
    </row>
    <row r="12689" spans="1:6" x14ac:dyDescent="0.3">
      <c r="A12689" s="15" t="s">
        <v>37429</v>
      </c>
      <c r="B12689" s="15" t="s">
        <v>23167</v>
      </c>
      <c r="C12689" s="15" t="s">
        <v>800</v>
      </c>
      <c r="D12689" s="15" t="s">
        <v>23168</v>
      </c>
      <c r="E12689" s="15">
        <v>36.014000000000003</v>
      </c>
      <c r="F12689" s="42">
        <v>46111</v>
      </c>
    </row>
    <row r="12690" spans="1:6" x14ac:dyDescent="0.3">
      <c r="A12690" s="15" t="s">
        <v>37428</v>
      </c>
      <c r="B12690" s="15" t="s">
        <v>23169</v>
      </c>
      <c r="C12690" s="15" t="s">
        <v>800</v>
      </c>
      <c r="D12690" s="15" t="s">
        <v>23170</v>
      </c>
      <c r="E12690" s="15">
        <v>39.9512</v>
      </c>
      <c r="F12690" s="42">
        <v>46111</v>
      </c>
    </row>
    <row r="12691" spans="1:6" x14ac:dyDescent="0.3">
      <c r="A12691" s="15" t="s">
        <v>37427</v>
      </c>
      <c r="B12691" s="15" t="s">
        <v>23171</v>
      </c>
      <c r="C12691" s="15" t="s">
        <v>800</v>
      </c>
      <c r="D12691" s="15" t="s">
        <v>23172</v>
      </c>
      <c r="E12691" s="15">
        <v>33.8292</v>
      </c>
      <c r="F12691" s="42">
        <v>46111</v>
      </c>
    </row>
    <row r="12692" spans="1:6" x14ac:dyDescent="0.3">
      <c r="A12692" s="15" t="s">
        <v>37426</v>
      </c>
      <c r="B12692" s="15" t="s">
        <v>23173</v>
      </c>
      <c r="C12692" s="15" t="s">
        <v>800</v>
      </c>
      <c r="D12692" s="15" t="s">
        <v>23174</v>
      </c>
      <c r="E12692" s="15">
        <v>49.771000000000001</v>
      </c>
      <c r="F12692" s="42">
        <v>46198</v>
      </c>
    </row>
    <row r="12693" spans="1:6" x14ac:dyDescent="0.3">
      <c r="A12693" s="15" t="s">
        <v>37425</v>
      </c>
      <c r="B12693" s="15" t="s">
        <v>23175</v>
      </c>
      <c r="C12693" s="15" t="s">
        <v>800</v>
      </c>
      <c r="D12693" s="15" t="s">
        <v>23176</v>
      </c>
      <c r="E12693" s="15">
        <v>42.231900000000003</v>
      </c>
      <c r="F12693" s="42">
        <v>46198</v>
      </c>
    </row>
    <row r="12694" spans="1:6" x14ac:dyDescent="0.3">
      <c r="A12694" s="15" t="s">
        <v>37424</v>
      </c>
      <c r="B12694" s="15" t="s">
        <v>23177</v>
      </c>
      <c r="C12694" s="15" t="s">
        <v>800</v>
      </c>
      <c r="D12694" s="15" t="s">
        <v>23178</v>
      </c>
      <c r="E12694" s="15">
        <v>47.224699999999999</v>
      </c>
      <c r="F12694" s="42">
        <v>46198</v>
      </c>
    </row>
    <row r="12695" spans="1:6" x14ac:dyDescent="0.3">
      <c r="A12695" s="15" t="s">
        <v>37423</v>
      </c>
      <c r="B12695" s="15" t="s">
        <v>23179</v>
      </c>
      <c r="C12695" s="15" t="s">
        <v>800</v>
      </c>
      <c r="D12695" s="15" t="s">
        <v>23180</v>
      </c>
      <c r="E12695" s="15">
        <v>40.008800000000001</v>
      </c>
      <c r="F12695" s="42">
        <v>46198</v>
      </c>
    </row>
    <row r="12696" spans="1:6" x14ac:dyDescent="0.3">
      <c r="A12696" s="15" t="s">
        <v>37422</v>
      </c>
      <c r="B12696" s="15" t="s">
        <v>23181</v>
      </c>
      <c r="C12696" s="15" t="s">
        <v>800</v>
      </c>
      <c r="D12696" s="15" t="s">
        <v>23182</v>
      </c>
      <c r="E12696" s="15">
        <v>32.8155</v>
      </c>
      <c r="F12696" s="42">
        <v>46198</v>
      </c>
    </row>
    <row r="12697" spans="1:6" x14ac:dyDescent="0.3">
      <c r="A12697" s="15" t="s">
        <v>37421</v>
      </c>
      <c r="B12697" s="15" t="s">
        <v>23183</v>
      </c>
      <c r="C12697" s="15" t="s">
        <v>800</v>
      </c>
      <c r="D12697" s="15" t="s">
        <v>23184</v>
      </c>
      <c r="E12697" s="15">
        <v>32.816699999999997</v>
      </c>
      <c r="F12697" s="42">
        <v>46198</v>
      </c>
    </row>
    <row r="12698" spans="1:6" x14ac:dyDescent="0.3">
      <c r="A12698" s="15" t="s">
        <v>37420</v>
      </c>
      <c r="B12698" s="15" t="s">
        <v>23185</v>
      </c>
      <c r="C12698" s="15" t="s">
        <v>800</v>
      </c>
      <c r="D12698" s="15" t="s">
        <v>23186</v>
      </c>
      <c r="E12698" s="15">
        <v>31.4559</v>
      </c>
      <c r="F12698" s="42">
        <v>46198</v>
      </c>
    </row>
    <row r="12699" spans="1:6" x14ac:dyDescent="0.3">
      <c r="A12699" s="15" t="s">
        <v>37419</v>
      </c>
      <c r="B12699" s="15" t="s">
        <v>23187</v>
      </c>
      <c r="C12699" s="15" t="s">
        <v>800</v>
      </c>
      <c r="D12699" s="15" t="s">
        <v>23188</v>
      </c>
      <c r="E12699" s="15">
        <v>31.469000000000001</v>
      </c>
      <c r="F12699" s="42">
        <v>46198</v>
      </c>
    </row>
    <row r="12700" spans="1:6" x14ac:dyDescent="0.3">
      <c r="A12700" s="15" t="s">
        <v>37418</v>
      </c>
      <c r="B12700" s="15" t="s">
        <v>23189</v>
      </c>
      <c r="C12700" s="15" t="s">
        <v>800</v>
      </c>
      <c r="D12700" s="15" t="s">
        <v>23190</v>
      </c>
      <c r="E12700" s="15">
        <v>31.8279</v>
      </c>
      <c r="F12700" s="42">
        <v>46198</v>
      </c>
    </row>
    <row r="12701" spans="1:6" x14ac:dyDescent="0.3">
      <c r="A12701" s="15" t="s">
        <v>37417</v>
      </c>
      <c r="B12701" s="15" t="s">
        <v>23191</v>
      </c>
      <c r="C12701" s="15" t="s">
        <v>800</v>
      </c>
      <c r="D12701" s="15" t="s">
        <v>23192</v>
      </c>
      <c r="E12701" s="15">
        <v>31.800899999999999</v>
      </c>
      <c r="F12701" s="42">
        <v>46198</v>
      </c>
    </row>
    <row r="12702" spans="1:6" x14ac:dyDescent="0.3">
      <c r="A12702" s="15" t="s">
        <v>37416</v>
      </c>
      <c r="B12702" s="15" t="s">
        <v>23193</v>
      </c>
      <c r="C12702" s="15" t="s">
        <v>800</v>
      </c>
      <c r="D12702" s="15" t="s">
        <v>23194</v>
      </c>
      <c r="E12702" s="15">
        <v>30.5398</v>
      </c>
      <c r="F12702" s="42">
        <v>46198</v>
      </c>
    </row>
    <row r="12703" spans="1:6" x14ac:dyDescent="0.3">
      <c r="A12703" s="15" t="s">
        <v>37415</v>
      </c>
      <c r="B12703" s="15" t="s">
        <v>23195</v>
      </c>
      <c r="C12703" s="15" t="s">
        <v>800</v>
      </c>
      <c r="D12703" s="15" t="s">
        <v>23196</v>
      </c>
      <c r="E12703" s="15">
        <v>30.546299999999999</v>
      </c>
      <c r="F12703" s="42">
        <v>46198</v>
      </c>
    </row>
    <row r="12704" spans="1:6" x14ac:dyDescent="0.3">
      <c r="A12704" s="15" t="s">
        <v>33499</v>
      </c>
      <c r="B12704" s="15" t="s">
        <v>795</v>
      </c>
      <c r="C12704" s="15" t="s">
        <v>795</v>
      </c>
      <c r="D12704" s="15" t="s">
        <v>795</v>
      </c>
      <c r="F12704" s="42"/>
    </row>
    <row r="12705" spans="1:6" x14ac:dyDescent="0.3">
      <c r="A12705" s="15" t="s">
        <v>37414</v>
      </c>
      <c r="B12705" s="15" t="s">
        <v>795</v>
      </c>
      <c r="C12705" s="15" t="s">
        <v>795</v>
      </c>
      <c r="D12705" s="15" t="s">
        <v>795</v>
      </c>
      <c r="F12705" s="42"/>
    </row>
    <row r="12706" spans="1:6" x14ac:dyDescent="0.3">
      <c r="A12706" s="15" t="s">
        <v>33499</v>
      </c>
      <c r="B12706" s="15" t="s">
        <v>795</v>
      </c>
      <c r="C12706" s="15" t="s">
        <v>795</v>
      </c>
      <c r="D12706" s="15" t="s">
        <v>795</v>
      </c>
      <c r="F12706" s="42"/>
    </row>
    <row r="12707" spans="1:6" x14ac:dyDescent="0.3">
      <c r="A12707" s="15" t="s">
        <v>37413</v>
      </c>
      <c r="B12707" s="15" t="s">
        <v>23197</v>
      </c>
      <c r="C12707" s="15" t="s">
        <v>800</v>
      </c>
      <c r="D12707" s="15" t="s">
        <v>23198</v>
      </c>
      <c r="E12707" s="15">
        <v>36.895600000000002</v>
      </c>
      <c r="F12707" s="42">
        <v>46198</v>
      </c>
    </row>
    <row r="12708" spans="1:6" x14ac:dyDescent="0.3">
      <c r="A12708" s="15" t="s">
        <v>37412</v>
      </c>
      <c r="B12708" s="15" t="s">
        <v>23199</v>
      </c>
      <c r="C12708" s="15" t="s">
        <v>800</v>
      </c>
      <c r="D12708" s="15" t="s">
        <v>23200</v>
      </c>
      <c r="E12708" s="15">
        <v>32.356000000000002</v>
      </c>
      <c r="F12708" s="42">
        <v>46198</v>
      </c>
    </row>
    <row r="12709" spans="1:6" x14ac:dyDescent="0.3">
      <c r="A12709" s="15" t="s">
        <v>37411</v>
      </c>
      <c r="B12709" s="15" t="s">
        <v>23201</v>
      </c>
      <c r="C12709" s="15" t="s">
        <v>800</v>
      </c>
      <c r="D12709" s="15" t="s">
        <v>23202</v>
      </c>
      <c r="E12709" s="15">
        <v>35.756</v>
      </c>
      <c r="F12709" s="42">
        <v>46198</v>
      </c>
    </row>
    <row r="12710" spans="1:6" x14ac:dyDescent="0.3">
      <c r="A12710" s="15" t="s">
        <v>37410</v>
      </c>
      <c r="B12710" s="15" t="s">
        <v>23203</v>
      </c>
      <c r="C12710" s="15" t="s">
        <v>800</v>
      </c>
      <c r="D12710" s="15" t="s">
        <v>23204</v>
      </c>
      <c r="E12710" s="15">
        <v>31.283799999999999</v>
      </c>
      <c r="F12710" s="42">
        <v>46198</v>
      </c>
    </row>
    <row r="12711" spans="1:6" x14ac:dyDescent="0.3">
      <c r="A12711" s="15" t="s">
        <v>37409</v>
      </c>
      <c r="B12711" s="15" t="s">
        <v>23205</v>
      </c>
      <c r="C12711" s="15" t="s">
        <v>800</v>
      </c>
      <c r="D12711" s="15" t="s">
        <v>23206</v>
      </c>
      <c r="E12711" s="15">
        <v>31.863800000000001</v>
      </c>
      <c r="F12711" s="42">
        <v>46198</v>
      </c>
    </row>
    <row r="12712" spans="1:6" x14ac:dyDescent="0.3">
      <c r="A12712" s="15" t="s">
        <v>37408</v>
      </c>
      <c r="B12712" s="15" t="s">
        <v>23207</v>
      </c>
      <c r="C12712" s="15" t="s">
        <v>800</v>
      </c>
      <c r="D12712" s="15" t="s">
        <v>23208</v>
      </c>
      <c r="E12712" s="15">
        <v>30.3279</v>
      </c>
      <c r="F12712" s="42">
        <v>46198</v>
      </c>
    </row>
    <row r="12713" spans="1:6" x14ac:dyDescent="0.3">
      <c r="A12713" s="15" t="s">
        <v>37407</v>
      </c>
      <c r="B12713" s="15" t="s">
        <v>23209</v>
      </c>
      <c r="C12713" s="15" t="s">
        <v>800</v>
      </c>
      <c r="D12713" s="15" t="s">
        <v>23210</v>
      </c>
      <c r="E12713" s="15">
        <v>31.127700000000001</v>
      </c>
      <c r="F12713" s="42">
        <v>46198</v>
      </c>
    </row>
    <row r="12714" spans="1:6" x14ac:dyDescent="0.3">
      <c r="A12714" s="15" t="s">
        <v>37406</v>
      </c>
      <c r="B12714" s="15" t="s">
        <v>23211</v>
      </c>
      <c r="C12714" s="15" t="s">
        <v>800</v>
      </c>
      <c r="D12714" s="15" t="s">
        <v>23212</v>
      </c>
      <c r="E12714" s="15">
        <v>29.595800000000001</v>
      </c>
      <c r="F12714" s="42">
        <v>46198</v>
      </c>
    </row>
    <row r="12715" spans="1:6" x14ac:dyDescent="0.3">
      <c r="A12715" s="15" t="s">
        <v>37405</v>
      </c>
      <c r="B12715" s="15" t="s">
        <v>23213</v>
      </c>
      <c r="C12715" s="15" t="s">
        <v>800</v>
      </c>
      <c r="D12715" s="15" t="s">
        <v>23214</v>
      </c>
      <c r="E12715" s="15">
        <v>30.0047</v>
      </c>
      <c r="F12715" s="42">
        <v>46198</v>
      </c>
    </row>
    <row r="12716" spans="1:6" x14ac:dyDescent="0.3">
      <c r="A12716" s="15" t="s">
        <v>37404</v>
      </c>
      <c r="B12716" s="15" t="s">
        <v>23215</v>
      </c>
      <c r="C12716" s="15" t="s">
        <v>800</v>
      </c>
      <c r="D12716" s="15" t="s">
        <v>23216</v>
      </c>
      <c r="E12716" s="15">
        <v>29.040299999999998</v>
      </c>
      <c r="F12716" s="42">
        <v>46198</v>
      </c>
    </row>
    <row r="12717" spans="1:6" x14ac:dyDescent="0.3">
      <c r="A12717" s="15" t="s">
        <v>37403</v>
      </c>
      <c r="B12717" s="15" t="s">
        <v>23217</v>
      </c>
      <c r="C12717" s="15" t="s">
        <v>800</v>
      </c>
      <c r="D12717" s="15" t="s">
        <v>23218</v>
      </c>
      <c r="E12717" s="15">
        <v>28.550999999999998</v>
      </c>
      <c r="F12717" s="42">
        <v>46198</v>
      </c>
    </row>
    <row r="12718" spans="1:6" x14ac:dyDescent="0.3">
      <c r="A12718" s="15" t="s">
        <v>37402</v>
      </c>
      <c r="B12718" s="15" t="s">
        <v>23219</v>
      </c>
      <c r="C12718" s="15" t="s">
        <v>800</v>
      </c>
      <c r="D12718" s="15" t="s">
        <v>23220</v>
      </c>
      <c r="E12718" s="15">
        <v>27.592700000000001</v>
      </c>
      <c r="F12718" s="42">
        <v>46198</v>
      </c>
    </row>
    <row r="12719" spans="1:6" x14ac:dyDescent="0.3">
      <c r="A12719" s="15" t="s">
        <v>37401</v>
      </c>
      <c r="B12719" s="15" t="s">
        <v>23221</v>
      </c>
      <c r="C12719" s="15" t="s">
        <v>800</v>
      </c>
      <c r="D12719" s="15" t="s">
        <v>23222</v>
      </c>
      <c r="E12719" s="15">
        <v>31.219799999999999</v>
      </c>
      <c r="F12719" s="42">
        <v>46198</v>
      </c>
    </row>
    <row r="12720" spans="1:6" x14ac:dyDescent="0.3">
      <c r="A12720" s="15" t="s">
        <v>37400</v>
      </c>
      <c r="B12720" s="15" t="s">
        <v>23223</v>
      </c>
      <c r="C12720" s="15" t="s">
        <v>800</v>
      </c>
      <c r="D12720" s="15" t="s">
        <v>23224</v>
      </c>
      <c r="E12720" s="15">
        <v>29.722899999999999</v>
      </c>
      <c r="F12720" s="42">
        <v>46198</v>
      </c>
    </row>
    <row r="12721" spans="1:6" x14ac:dyDescent="0.3">
      <c r="A12721" s="15" t="s">
        <v>37399</v>
      </c>
      <c r="B12721" s="15" t="s">
        <v>23225</v>
      </c>
      <c r="C12721" s="15" t="s">
        <v>800</v>
      </c>
      <c r="D12721" s="15" t="s">
        <v>23226</v>
      </c>
      <c r="E12721" s="15">
        <v>30.290400000000002</v>
      </c>
      <c r="F12721" s="42">
        <v>46198</v>
      </c>
    </row>
    <row r="12722" spans="1:6" x14ac:dyDescent="0.3">
      <c r="A12722" s="15" t="s">
        <v>37398</v>
      </c>
      <c r="B12722" s="15" t="s">
        <v>23227</v>
      </c>
      <c r="C12722" s="15" t="s">
        <v>800</v>
      </c>
      <c r="D12722" s="15" t="s">
        <v>23228</v>
      </c>
      <c r="E12722" s="15">
        <v>28.802</v>
      </c>
      <c r="F12722" s="42">
        <v>46198</v>
      </c>
    </row>
    <row r="12723" spans="1:6" x14ac:dyDescent="0.3">
      <c r="A12723" s="15" t="s">
        <v>37397</v>
      </c>
      <c r="B12723" s="15" t="s">
        <v>23229</v>
      </c>
      <c r="C12723" s="15" t="s">
        <v>800</v>
      </c>
      <c r="D12723" s="15" t="s">
        <v>23230</v>
      </c>
      <c r="E12723" s="15">
        <v>31.712499999999999</v>
      </c>
      <c r="F12723" s="42">
        <v>45742</v>
      </c>
    </row>
    <row r="12724" spans="1:6" x14ac:dyDescent="0.3">
      <c r="A12724" s="15" t="s">
        <v>37396</v>
      </c>
      <c r="B12724" s="15" t="s">
        <v>23231</v>
      </c>
      <c r="C12724" s="15" t="s">
        <v>800</v>
      </c>
      <c r="D12724" s="15" t="s">
        <v>23232</v>
      </c>
      <c r="E12724" s="15">
        <v>25.183800000000002</v>
      </c>
      <c r="F12724" s="42">
        <v>45742</v>
      </c>
    </row>
    <row r="12725" spans="1:6" x14ac:dyDescent="0.3">
      <c r="A12725" s="15" t="s">
        <v>37395</v>
      </c>
      <c r="B12725" s="15" t="s">
        <v>23233</v>
      </c>
      <c r="C12725" s="15" t="s">
        <v>800</v>
      </c>
      <c r="D12725" s="15" t="s">
        <v>23234</v>
      </c>
      <c r="E12725" s="15">
        <v>30.9664</v>
      </c>
      <c r="F12725" s="42">
        <v>45742</v>
      </c>
    </row>
    <row r="12726" spans="1:6" x14ac:dyDescent="0.3">
      <c r="A12726" s="15" t="s">
        <v>37394</v>
      </c>
      <c r="B12726" s="15" t="s">
        <v>23235</v>
      </c>
      <c r="C12726" s="15" t="s">
        <v>800</v>
      </c>
      <c r="D12726" s="15" t="s">
        <v>23236</v>
      </c>
      <c r="E12726" s="15">
        <v>24.475100000000001</v>
      </c>
      <c r="F12726" s="42">
        <v>45742</v>
      </c>
    </row>
    <row r="12727" spans="1:6" x14ac:dyDescent="0.3">
      <c r="A12727" s="15" t="s">
        <v>37393</v>
      </c>
      <c r="B12727" s="15" t="s">
        <v>23237</v>
      </c>
      <c r="C12727" s="15" t="s">
        <v>800</v>
      </c>
      <c r="D12727" s="15" t="s">
        <v>23238</v>
      </c>
      <c r="E12727" s="15">
        <v>32.154600000000002</v>
      </c>
      <c r="F12727" s="42">
        <v>46198</v>
      </c>
    </row>
    <row r="12728" spans="1:6" x14ac:dyDescent="0.3">
      <c r="A12728" s="15" t="s">
        <v>37392</v>
      </c>
      <c r="B12728" s="15" t="s">
        <v>23239</v>
      </c>
      <c r="C12728" s="15" t="s">
        <v>800</v>
      </c>
      <c r="D12728" s="15" t="s">
        <v>23240</v>
      </c>
      <c r="E12728" s="15">
        <v>30.6111</v>
      </c>
      <c r="F12728" s="42">
        <v>46198</v>
      </c>
    </row>
    <row r="12729" spans="1:6" x14ac:dyDescent="0.3">
      <c r="A12729" s="15" t="s">
        <v>37391</v>
      </c>
      <c r="B12729" s="15" t="s">
        <v>23241</v>
      </c>
      <c r="C12729" s="15" t="s">
        <v>800</v>
      </c>
      <c r="D12729" s="15" t="s">
        <v>23242</v>
      </c>
      <c r="E12729" s="15">
        <v>31.0838</v>
      </c>
      <c r="F12729" s="42">
        <v>46198</v>
      </c>
    </row>
    <row r="12730" spans="1:6" x14ac:dyDescent="0.3">
      <c r="A12730" s="15" t="s">
        <v>37390</v>
      </c>
      <c r="B12730" s="15" t="s">
        <v>23243</v>
      </c>
      <c r="C12730" s="15" t="s">
        <v>800</v>
      </c>
      <c r="D12730" s="15" t="s">
        <v>23244</v>
      </c>
      <c r="E12730" s="15">
        <v>29.549399999999999</v>
      </c>
      <c r="F12730" s="42">
        <v>46198</v>
      </c>
    </row>
    <row r="12731" spans="1:6" x14ac:dyDescent="0.3">
      <c r="A12731" s="15" t="s">
        <v>37389</v>
      </c>
      <c r="B12731" s="15" t="s">
        <v>23245</v>
      </c>
      <c r="C12731" s="15" t="s">
        <v>800</v>
      </c>
      <c r="D12731" s="15" t="s">
        <v>23246</v>
      </c>
      <c r="E12731" s="15">
        <v>37.0122</v>
      </c>
      <c r="F12731" s="42">
        <v>46198</v>
      </c>
    </row>
    <row r="12732" spans="1:6" x14ac:dyDescent="0.3">
      <c r="A12732" s="15" t="s">
        <v>37388</v>
      </c>
      <c r="B12732" s="15" t="s">
        <v>23247</v>
      </c>
      <c r="C12732" s="15" t="s">
        <v>800</v>
      </c>
      <c r="D12732" s="15" t="s">
        <v>23248</v>
      </c>
      <c r="E12732" s="15">
        <v>34.006</v>
      </c>
      <c r="F12732" s="42">
        <v>46198</v>
      </c>
    </row>
    <row r="12733" spans="1:6" x14ac:dyDescent="0.3">
      <c r="A12733" s="15" t="s">
        <v>37387</v>
      </c>
      <c r="B12733" s="15" t="s">
        <v>23249</v>
      </c>
      <c r="C12733" s="15" t="s">
        <v>800</v>
      </c>
      <c r="D12733" s="15" t="s">
        <v>23250</v>
      </c>
      <c r="E12733" s="15">
        <v>36.226300000000002</v>
      </c>
      <c r="F12733" s="42">
        <v>46198</v>
      </c>
    </row>
    <row r="12734" spans="1:6" x14ac:dyDescent="0.3">
      <c r="A12734" s="15" t="s">
        <v>37386</v>
      </c>
      <c r="B12734" s="15" t="s">
        <v>23251</v>
      </c>
      <c r="C12734" s="15" t="s">
        <v>800</v>
      </c>
      <c r="D12734" s="15" t="s">
        <v>23252</v>
      </c>
      <c r="E12734" s="15">
        <v>33.243499999999997</v>
      </c>
      <c r="F12734" s="42">
        <v>46198</v>
      </c>
    </row>
    <row r="12735" spans="1:6" x14ac:dyDescent="0.3">
      <c r="A12735" s="15" t="s">
        <v>37385</v>
      </c>
      <c r="B12735" s="15" t="s">
        <v>23253</v>
      </c>
      <c r="C12735" s="15" t="s">
        <v>800</v>
      </c>
      <c r="D12735" s="15" t="s">
        <v>23254</v>
      </c>
      <c r="E12735" s="15">
        <v>36.321599999999997</v>
      </c>
      <c r="F12735" s="42">
        <v>46104</v>
      </c>
    </row>
    <row r="12736" spans="1:6" x14ac:dyDescent="0.3">
      <c r="A12736" s="15" t="s">
        <v>37384</v>
      </c>
      <c r="B12736" s="15" t="s">
        <v>23255</v>
      </c>
      <c r="C12736" s="15" t="s">
        <v>800</v>
      </c>
      <c r="D12736" s="15" t="s">
        <v>23256</v>
      </c>
      <c r="E12736" s="15">
        <v>28.061599999999999</v>
      </c>
      <c r="F12736" s="42">
        <v>46104</v>
      </c>
    </row>
    <row r="12737" spans="1:6" x14ac:dyDescent="0.3">
      <c r="A12737" s="15" t="s">
        <v>37383</v>
      </c>
      <c r="B12737" s="15" t="s">
        <v>23257</v>
      </c>
      <c r="C12737" s="15" t="s">
        <v>800</v>
      </c>
      <c r="D12737" s="15" t="s">
        <v>23258</v>
      </c>
      <c r="E12737" s="15">
        <v>35.177599999999998</v>
      </c>
      <c r="F12737" s="42">
        <v>46104</v>
      </c>
    </row>
    <row r="12738" spans="1:6" x14ac:dyDescent="0.3">
      <c r="A12738" s="15" t="s">
        <v>37382</v>
      </c>
      <c r="B12738" s="15" t="s">
        <v>23259</v>
      </c>
      <c r="C12738" s="15" t="s">
        <v>800</v>
      </c>
      <c r="D12738" s="15" t="s">
        <v>23260</v>
      </c>
      <c r="E12738" s="15">
        <v>27.032</v>
      </c>
      <c r="F12738" s="42">
        <v>46104</v>
      </c>
    </row>
    <row r="12739" spans="1:6" x14ac:dyDescent="0.3">
      <c r="A12739" s="15" t="s">
        <v>33499</v>
      </c>
      <c r="B12739" s="15" t="s">
        <v>795</v>
      </c>
      <c r="C12739" s="15" t="s">
        <v>795</v>
      </c>
      <c r="D12739" s="15" t="s">
        <v>795</v>
      </c>
      <c r="F12739" s="42"/>
    </row>
    <row r="12740" spans="1:6" x14ac:dyDescent="0.3">
      <c r="A12740" s="15" t="s">
        <v>33500</v>
      </c>
      <c r="B12740" s="15" t="s">
        <v>795</v>
      </c>
      <c r="C12740" s="15" t="s">
        <v>795</v>
      </c>
      <c r="D12740" s="15" t="s">
        <v>795</v>
      </c>
      <c r="F12740" s="42"/>
    </row>
    <row r="12741" spans="1:6" x14ac:dyDescent="0.3">
      <c r="A12741" s="15" t="s">
        <v>33499</v>
      </c>
      <c r="B12741" s="15" t="s">
        <v>795</v>
      </c>
      <c r="C12741" s="15" t="s">
        <v>795</v>
      </c>
      <c r="D12741" s="15" t="s">
        <v>795</v>
      </c>
      <c r="F12741" s="42"/>
    </row>
    <row r="12742" spans="1:6" x14ac:dyDescent="0.3">
      <c r="A12742" s="15" t="s">
        <v>37381</v>
      </c>
      <c r="B12742" s="15" t="s">
        <v>23261</v>
      </c>
      <c r="C12742" s="15" t="s">
        <v>800</v>
      </c>
      <c r="D12742" s="15" t="s">
        <v>23262</v>
      </c>
      <c r="E12742" s="15">
        <v>23.2926</v>
      </c>
      <c r="F12742" s="42">
        <v>44463</v>
      </c>
    </row>
    <row r="12743" spans="1:6" x14ac:dyDescent="0.3">
      <c r="A12743" s="15" t="s">
        <v>37380</v>
      </c>
      <c r="B12743" s="15" t="s">
        <v>23263</v>
      </c>
      <c r="C12743" s="15" t="s">
        <v>800</v>
      </c>
      <c r="D12743" s="15" t="s">
        <v>23264</v>
      </c>
      <c r="E12743" s="15">
        <v>21.168299999999999</v>
      </c>
      <c r="F12743" s="42">
        <v>44463</v>
      </c>
    </row>
    <row r="12744" spans="1:6" x14ac:dyDescent="0.3">
      <c r="A12744" s="15" t="s">
        <v>37379</v>
      </c>
      <c r="B12744" s="15" t="s">
        <v>23265</v>
      </c>
      <c r="C12744" s="15" t="s">
        <v>800</v>
      </c>
      <c r="D12744" s="15" t="s">
        <v>23266</v>
      </c>
      <c r="E12744" s="15">
        <v>22.077100000000002</v>
      </c>
      <c r="F12744" s="42">
        <v>44463</v>
      </c>
    </row>
    <row r="12745" spans="1:6" x14ac:dyDescent="0.3">
      <c r="A12745" s="15" t="s">
        <v>37378</v>
      </c>
      <c r="B12745" s="15" t="s">
        <v>23267</v>
      </c>
      <c r="C12745" s="15" t="s">
        <v>800</v>
      </c>
      <c r="D12745" s="15" t="s">
        <v>23268</v>
      </c>
      <c r="E12745" s="15">
        <v>19.988099999999999</v>
      </c>
      <c r="F12745" s="42">
        <v>44463</v>
      </c>
    </row>
    <row r="12746" spans="1:6" x14ac:dyDescent="0.3">
      <c r="A12746" s="15" t="s">
        <v>37377</v>
      </c>
      <c r="B12746" s="15" t="s">
        <v>23269</v>
      </c>
      <c r="C12746" s="15" t="s">
        <v>800</v>
      </c>
      <c r="D12746" s="15" t="s">
        <v>23270</v>
      </c>
      <c r="E12746" s="15">
        <v>16.4953</v>
      </c>
      <c r="F12746" s="42">
        <v>44463</v>
      </c>
    </row>
    <row r="12747" spans="1:6" x14ac:dyDescent="0.3">
      <c r="A12747" s="15" t="s">
        <v>37376</v>
      </c>
      <c r="B12747" s="15" t="s">
        <v>23271</v>
      </c>
      <c r="C12747" s="15" t="s">
        <v>800</v>
      </c>
      <c r="D12747" s="15" t="s">
        <v>23272</v>
      </c>
      <c r="E12747" s="15">
        <v>16.4953</v>
      </c>
      <c r="F12747" s="42">
        <v>44463</v>
      </c>
    </row>
    <row r="12748" spans="1:6" x14ac:dyDescent="0.3">
      <c r="A12748" s="15" t="s">
        <v>37375</v>
      </c>
      <c r="B12748" s="15" t="s">
        <v>23273</v>
      </c>
      <c r="C12748" s="15" t="s">
        <v>800</v>
      </c>
      <c r="D12748" s="15" t="s">
        <v>23274</v>
      </c>
      <c r="E12748" s="15">
        <v>15.718299999999999</v>
      </c>
      <c r="F12748" s="42">
        <v>44463</v>
      </c>
    </row>
    <row r="12749" spans="1:6" x14ac:dyDescent="0.3">
      <c r="A12749" s="15" t="s">
        <v>37374</v>
      </c>
      <c r="B12749" s="15" t="s">
        <v>23275</v>
      </c>
      <c r="C12749" s="15" t="s">
        <v>800</v>
      </c>
      <c r="D12749" s="15" t="s">
        <v>23276</v>
      </c>
      <c r="E12749" s="15">
        <v>15.718299999999999</v>
      </c>
      <c r="F12749" s="42">
        <v>44463</v>
      </c>
    </row>
    <row r="12750" spans="1:6" x14ac:dyDescent="0.3">
      <c r="A12750" s="15" t="s">
        <v>37373</v>
      </c>
      <c r="B12750" s="15" t="s">
        <v>23277</v>
      </c>
      <c r="C12750" s="15" t="s">
        <v>800</v>
      </c>
      <c r="D12750" s="15" t="s">
        <v>23278</v>
      </c>
      <c r="E12750" s="15">
        <v>15.4735</v>
      </c>
      <c r="F12750" s="42">
        <v>44463</v>
      </c>
    </row>
    <row r="12751" spans="1:6" x14ac:dyDescent="0.3">
      <c r="A12751" s="15" t="s">
        <v>37372</v>
      </c>
      <c r="B12751" s="15" t="s">
        <v>23279</v>
      </c>
      <c r="C12751" s="15" t="s">
        <v>800</v>
      </c>
      <c r="D12751" s="15" t="s">
        <v>23280</v>
      </c>
      <c r="E12751" s="15">
        <v>15.4735</v>
      </c>
      <c r="F12751" s="42">
        <v>44463</v>
      </c>
    </row>
    <row r="12752" spans="1:6" x14ac:dyDescent="0.3">
      <c r="A12752" s="15" t="s">
        <v>37371</v>
      </c>
      <c r="B12752" s="15" t="s">
        <v>23281</v>
      </c>
      <c r="C12752" s="15" t="s">
        <v>800</v>
      </c>
      <c r="D12752" s="15" t="s">
        <v>23282</v>
      </c>
      <c r="E12752" s="15">
        <v>14.7433</v>
      </c>
      <c r="F12752" s="42">
        <v>44463</v>
      </c>
    </row>
    <row r="12753" spans="1:6" x14ac:dyDescent="0.3">
      <c r="A12753" s="15" t="s">
        <v>37370</v>
      </c>
      <c r="B12753" s="15" t="s">
        <v>23283</v>
      </c>
      <c r="C12753" s="15" t="s">
        <v>800</v>
      </c>
      <c r="D12753" s="15" t="s">
        <v>23284</v>
      </c>
      <c r="E12753" s="15">
        <v>14.7433</v>
      </c>
      <c r="F12753" s="42">
        <v>44463</v>
      </c>
    </row>
    <row r="12754" spans="1:6" x14ac:dyDescent="0.3">
      <c r="A12754" s="15" t="s">
        <v>37369</v>
      </c>
      <c r="B12754" s="15" t="s">
        <v>23285</v>
      </c>
      <c r="C12754" s="15" t="s">
        <v>800</v>
      </c>
      <c r="D12754" s="15" t="s">
        <v>23286</v>
      </c>
      <c r="E12754" s="15">
        <v>12.708600000000001</v>
      </c>
      <c r="F12754" s="42">
        <v>44463</v>
      </c>
    </row>
    <row r="12755" spans="1:6" x14ac:dyDescent="0.3">
      <c r="A12755" s="15" t="s">
        <v>37368</v>
      </c>
      <c r="B12755" s="15" t="s">
        <v>23287</v>
      </c>
      <c r="C12755" s="15" t="s">
        <v>800</v>
      </c>
      <c r="D12755" s="15" t="s">
        <v>23288</v>
      </c>
      <c r="E12755" s="15">
        <v>12.708</v>
      </c>
      <c r="F12755" s="42">
        <v>44463</v>
      </c>
    </row>
    <row r="12756" spans="1:6" x14ac:dyDescent="0.3">
      <c r="A12756" s="15" t="s">
        <v>37367</v>
      </c>
      <c r="B12756" s="15" t="s">
        <v>23289</v>
      </c>
      <c r="C12756" s="15" t="s">
        <v>800</v>
      </c>
      <c r="D12756" s="15" t="s">
        <v>23290</v>
      </c>
      <c r="E12756" s="15">
        <v>12.219799999999999</v>
      </c>
      <c r="F12756" s="42">
        <v>44463</v>
      </c>
    </row>
    <row r="12757" spans="1:6" x14ac:dyDescent="0.3">
      <c r="A12757" s="15" t="s">
        <v>37366</v>
      </c>
      <c r="B12757" s="15" t="s">
        <v>23291</v>
      </c>
      <c r="C12757" s="15" t="s">
        <v>800</v>
      </c>
      <c r="D12757" s="15" t="s">
        <v>23292</v>
      </c>
      <c r="E12757" s="15">
        <v>12.219900000000001</v>
      </c>
      <c r="F12757" s="42">
        <v>44463</v>
      </c>
    </row>
    <row r="12758" spans="1:6" x14ac:dyDescent="0.3">
      <c r="A12758" s="15" t="s">
        <v>37365</v>
      </c>
      <c r="B12758" s="15" t="s">
        <v>800</v>
      </c>
      <c r="C12758" s="15" t="s">
        <v>800</v>
      </c>
      <c r="D12758" s="15" t="s">
        <v>23293</v>
      </c>
      <c r="E12758" s="15">
        <v>219.8015</v>
      </c>
      <c r="F12758" s="42">
        <v>46198</v>
      </c>
    </row>
    <row r="12759" spans="1:6" x14ac:dyDescent="0.3">
      <c r="A12759" s="15" t="s">
        <v>33499</v>
      </c>
      <c r="B12759" s="15" t="s">
        <v>795</v>
      </c>
      <c r="C12759" s="15" t="s">
        <v>795</v>
      </c>
      <c r="D12759" s="15" t="s">
        <v>795</v>
      </c>
      <c r="F12759" s="42"/>
    </row>
    <row r="12760" spans="1:6" x14ac:dyDescent="0.3">
      <c r="A12760" s="15" t="s">
        <v>37364</v>
      </c>
      <c r="B12760" s="15" t="s">
        <v>795</v>
      </c>
      <c r="C12760" s="15" t="s">
        <v>795</v>
      </c>
      <c r="D12760" s="15" t="s">
        <v>795</v>
      </c>
      <c r="F12760" s="42"/>
    </row>
    <row r="12761" spans="1:6" x14ac:dyDescent="0.3">
      <c r="A12761" s="15" t="s">
        <v>33499</v>
      </c>
      <c r="B12761" s="15" t="s">
        <v>795</v>
      </c>
      <c r="C12761" s="15" t="s">
        <v>795</v>
      </c>
      <c r="D12761" s="15" t="s">
        <v>795</v>
      </c>
      <c r="F12761" s="42"/>
    </row>
    <row r="12762" spans="1:6" x14ac:dyDescent="0.3">
      <c r="A12762" s="15" t="s">
        <v>37043</v>
      </c>
      <c r="B12762" s="15" t="s">
        <v>795</v>
      </c>
      <c r="C12762" s="15" t="s">
        <v>795</v>
      </c>
      <c r="D12762" s="15" t="s">
        <v>795</v>
      </c>
      <c r="F12762" s="42"/>
    </row>
    <row r="12763" spans="1:6" x14ac:dyDescent="0.3">
      <c r="A12763" s="15" t="s">
        <v>33499</v>
      </c>
      <c r="B12763" s="15" t="s">
        <v>795</v>
      </c>
      <c r="C12763" s="15" t="s">
        <v>795</v>
      </c>
      <c r="D12763" s="15" t="s">
        <v>795</v>
      </c>
      <c r="F12763" s="42"/>
    </row>
    <row r="12764" spans="1:6" x14ac:dyDescent="0.3">
      <c r="A12764" s="15" t="s">
        <v>37363</v>
      </c>
      <c r="B12764" s="15" t="s">
        <v>23294</v>
      </c>
      <c r="C12764" s="15" t="s">
        <v>800</v>
      </c>
      <c r="D12764" s="15" t="s">
        <v>23295</v>
      </c>
      <c r="E12764" s="15">
        <v>13.298</v>
      </c>
      <c r="F12764" s="42">
        <v>44581</v>
      </c>
    </row>
    <row r="12765" spans="1:6" x14ac:dyDescent="0.3">
      <c r="A12765" s="15" t="s">
        <v>37362</v>
      </c>
      <c r="B12765" s="15" t="s">
        <v>23296</v>
      </c>
      <c r="C12765" s="15" t="s">
        <v>800</v>
      </c>
      <c r="D12765" s="15" t="s">
        <v>23297</v>
      </c>
      <c r="E12765" s="15">
        <v>13.895</v>
      </c>
      <c r="F12765" s="42">
        <v>44581</v>
      </c>
    </row>
    <row r="12766" spans="1:6" x14ac:dyDescent="0.3">
      <c r="A12766" s="15" t="s">
        <v>37361</v>
      </c>
      <c r="B12766" s="15" t="s">
        <v>23298</v>
      </c>
      <c r="C12766" s="15" t="s">
        <v>800</v>
      </c>
      <c r="D12766" s="15" t="s">
        <v>23299</v>
      </c>
      <c r="E12766" s="15">
        <v>10</v>
      </c>
      <c r="F12766" s="42">
        <v>44581</v>
      </c>
    </row>
    <row r="12767" spans="1:6" x14ac:dyDescent="0.3">
      <c r="A12767" s="15" t="s">
        <v>37360</v>
      </c>
      <c r="B12767" s="15" t="s">
        <v>23300</v>
      </c>
      <c r="C12767" s="15" t="s">
        <v>800</v>
      </c>
      <c r="D12767" s="15" t="s">
        <v>23301</v>
      </c>
      <c r="E12767" s="15">
        <v>10</v>
      </c>
      <c r="F12767" s="42">
        <v>44581</v>
      </c>
    </row>
    <row r="12768" spans="1:6" x14ac:dyDescent="0.3">
      <c r="A12768" s="15" t="s">
        <v>37359</v>
      </c>
      <c r="B12768" s="15" t="s">
        <v>23302</v>
      </c>
      <c r="C12768" s="15" t="s">
        <v>800</v>
      </c>
      <c r="D12768" s="15" t="s">
        <v>23303</v>
      </c>
      <c r="E12768" s="15">
        <v>14.316000000000001</v>
      </c>
      <c r="F12768" s="42">
        <v>44575</v>
      </c>
    </row>
    <row r="12769" spans="1:6" x14ac:dyDescent="0.3">
      <c r="A12769" s="15" t="s">
        <v>37358</v>
      </c>
      <c r="B12769" s="15" t="s">
        <v>23304</v>
      </c>
      <c r="C12769" s="15" t="s">
        <v>800</v>
      </c>
      <c r="D12769" s="15" t="s">
        <v>23305</v>
      </c>
      <c r="E12769" s="15">
        <v>14.837</v>
      </c>
      <c r="F12769" s="42">
        <v>44575</v>
      </c>
    </row>
    <row r="12770" spans="1:6" x14ac:dyDescent="0.3">
      <c r="A12770" s="15" t="s">
        <v>37357</v>
      </c>
      <c r="B12770" s="15" t="s">
        <v>23306</v>
      </c>
      <c r="C12770" s="15" t="s">
        <v>800</v>
      </c>
      <c r="D12770" s="15" t="s">
        <v>23307</v>
      </c>
      <c r="E12770" s="15">
        <v>10</v>
      </c>
      <c r="F12770" s="42">
        <v>44575</v>
      </c>
    </row>
    <row r="12771" spans="1:6" x14ac:dyDescent="0.3">
      <c r="A12771" s="15" t="s">
        <v>37356</v>
      </c>
      <c r="B12771" s="15" t="s">
        <v>23308</v>
      </c>
      <c r="C12771" s="15" t="s">
        <v>800</v>
      </c>
      <c r="D12771" s="15" t="s">
        <v>23309</v>
      </c>
      <c r="E12771" s="15">
        <v>10</v>
      </c>
      <c r="F12771" s="42">
        <v>44575</v>
      </c>
    </row>
    <row r="12772" spans="1:6" x14ac:dyDescent="0.3">
      <c r="A12772" s="15" t="s">
        <v>33499</v>
      </c>
      <c r="B12772" s="15" t="s">
        <v>795</v>
      </c>
      <c r="C12772" s="15" t="s">
        <v>795</v>
      </c>
      <c r="D12772" s="15" t="s">
        <v>795</v>
      </c>
      <c r="F12772" s="42"/>
    </row>
    <row r="12773" spans="1:6" x14ac:dyDescent="0.3">
      <c r="A12773" s="15" t="s">
        <v>36764</v>
      </c>
      <c r="B12773" s="15" t="s">
        <v>795</v>
      </c>
      <c r="C12773" s="15" t="s">
        <v>795</v>
      </c>
      <c r="D12773" s="15" t="s">
        <v>795</v>
      </c>
      <c r="F12773" s="42"/>
    </row>
    <row r="12774" spans="1:6" x14ac:dyDescent="0.3">
      <c r="A12774" s="15" t="s">
        <v>33499</v>
      </c>
      <c r="B12774" s="15" t="s">
        <v>795</v>
      </c>
      <c r="C12774" s="15" t="s">
        <v>795</v>
      </c>
      <c r="D12774" s="15" t="s">
        <v>795</v>
      </c>
      <c r="F12774" s="42"/>
    </row>
    <row r="12775" spans="1:6" x14ac:dyDescent="0.3">
      <c r="A12775" s="15" t="s">
        <v>37355</v>
      </c>
      <c r="B12775" s="15" t="s">
        <v>23310</v>
      </c>
      <c r="C12775" s="15" t="s">
        <v>800</v>
      </c>
      <c r="D12775" s="15" t="s">
        <v>23311</v>
      </c>
      <c r="E12775" s="15">
        <v>15.62</v>
      </c>
      <c r="F12775" s="42">
        <v>44501</v>
      </c>
    </row>
    <row r="12776" spans="1:6" x14ac:dyDescent="0.3">
      <c r="A12776" s="15" t="s">
        <v>37354</v>
      </c>
      <c r="B12776" s="15" t="s">
        <v>23312</v>
      </c>
      <c r="C12776" s="15" t="s">
        <v>800</v>
      </c>
      <c r="D12776" s="15" t="s">
        <v>23313</v>
      </c>
      <c r="E12776" s="15">
        <v>16.04</v>
      </c>
      <c r="F12776" s="42">
        <v>44501</v>
      </c>
    </row>
    <row r="12777" spans="1:6" x14ac:dyDescent="0.3">
      <c r="A12777" s="15" t="s">
        <v>37353</v>
      </c>
      <c r="B12777" s="15" t="s">
        <v>23314</v>
      </c>
      <c r="C12777" s="15" t="s">
        <v>800</v>
      </c>
      <c r="D12777" s="15" t="s">
        <v>23315</v>
      </c>
      <c r="E12777" s="15">
        <v>16.04</v>
      </c>
      <c r="F12777" s="42">
        <v>44501</v>
      </c>
    </row>
    <row r="12778" spans="1:6" x14ac:dyDescent="0.3">
      <c r="A12778" s="15" t="s">
        <v>37352</v>
      </c>
      <c r="B12778" s="15" t="s">
        <v>23316</v>
      </c>
      <c r="C12778" s="15" t="s">
        <v>800</v>
      </c>
      <c r="D12778" s="15" t="s">
        <v>23317</v>
      </c>
      <c r="E12778" s="15">
        <v>15.62</v>
      </c>
      <c r="F12778" s="42">
        <v>44501</v>
      </c>
    </row>
    <row r="12779" spans="1:6" x14ac:dyDescent="0.3">
      <c r="A12779" s="15" t="s">
        <v>37351</v>
      </c>
      <c r="B12779" s="15" t="s">
        <v>23318</v>
      </c>
      <c r="C12779" s="15" t="s">
        <v>800</v>
      </c>
      <c r="D12779" s="15" t="s">
        <v>23319</v>
      </c>
      <c r="E12779" s="15">
        <v>15.77</v>
      </c>
      <c r="F12779" s="42">
        <v>44523</v>
      </c>
    </row>
    <row r="12780" spans="1:6" x14ac:dyDescent="0.3">
      <c r="A12780" s="15" t="s">
        <v>37350</v>
      </c>
      <c r="B12780" s="15" t="s">
        <v>23320</v>
      </c>
      <c r="C12780" s="15" t="s">
        <v>800</v>
      </c>
      <c r="D12780" s="15" t="s">
        <v>23321</v>
      </c>
      <c r="E12780" s="15">
        <v>16.14</v>
      </c>
      <c r="F12780" s="42">
        <v>44523</v>
      </c>
    </row>
    <row r="12781" spans="1:6" x14ac:dyDescent="0.3">
      <c r="A12781" s="15" t="s">
        <v>37349</v>
      </c>
      <c r="B12781" s="15" t="s">
        <v>23322</v>
      </c>
      <c r="C12781" s="15" t="s">
        <v>800</v>
      </c>
      <c r="D12781" s="15" t="s">
        <v>23323</v>
      </c>
      <c r="E12781" s="15">
        <v>16.14</v>
      </c>
      <c r="F12781" s="42">
        <v>44523</v>
      </c>
    </row>
    <row r="12782" spans="1:6" x14ac:dyDescent="0.3">
      <c r="A12782" s="15" t="s">
        <v>37348</v>
      </c>
      <c r="B12782" s="15" t="s">
        <v>23324</v>
      </c>
      <c r="C12782" s="15" t="s">
        <v>800</v>
      </c>
      <c r="D12782" s="15" t="s">
        <v>23325</v>
      </c>
      <c r="E12782" s="15">
        <v>15.77</v>
      </c>
      <c r="F12782" s="42">
        <v>44523</v>
      </c>
    </row>
    <row r="12783" spans="1:6" x14ac:dyDescent="0.3">
      <c r="A12783" s="15" t="s">
        <v>37347</v>
      </c>
      <c r="B12783" s="15" t="s">
        <v>23326</v>
      </c>
      <c r="C12783" s="15" t="s">
        <v>800</v>
      </c>
      <c r="D12783" s="15" t="s">
        <v>23327</v>
      </c>
      <c r="E12783" s="15">
        <v>16.55</v>
      </c>
      <c r="F12783" s="42">
        <v>44599</v>
      </c>
    </row>
    <row r="12784" spans="1:6" x14ac:dyDescent="0.3">
      <c r="A12784" s="15" t="s">
        <v>37346</v>
      </c>
      <c r="B12784" s="15" t="s">
        <v>23328</v>
      </c>
      <c r="C12784" s="15" t="s">
        <v>800</v>
      </c>
      <c r="D12784" s="15" t="s">
        <v>23329</v>
      </c>
      <c r="E12784" s="15">
        <v>17.010000000000002</v>
      </c>
      <c r="F12784" s="42">
        <v>44599</v>
      </c>
    </row>
    <row r="12785" spans="1:6" x14ac:dyDescent="0.3">
      <c r="A12785" s="15" t="s">
        <v>37345</v>
      </c>
      <c r="B12785" s="15" t="s">
        <v>23330</v>
      </c>
      <c r="C12785" s="15" t="s">
        <v>800</v>
      </c>
      <c r="D12785" s="15" t="s">
        <v>23331</v>
      </c>
      <c r="E12785" s="15">
        <v>17.010000000000002</v>
      </c>
      <c r="F12785" s="42">
        <v>44599</v>
      </c>
    </row>
    <row r="12786" spans="1:6" x14ac:dyDescent="0.3">
      <c r="A12786" s="15" t="s">
        <v>37344</v>
      </c>
      <c r="B12786" s="15" t="s">
        <v>23332</v>
      </c>
      <c r="C12786" s="15" t="s">
        <v>800</v>
      </c>
      <c r="D12786" s="15" t="s">
        <v>23333</v>
      </c>
      <c r="E12786" s="15">
        <v>16.55</v>
      </c>
      <c r="F12786" s="42">
        <v>44599</v>
      </c>
    </row>
    <row r="12787" spans="1:6" x14ac:dyDescent="0.3">
      <c r="A12787" s="15" t="s">
        <v>37343</v>
      </c>
      <c r="B12787" s="15" t="s">
        <v>23334</v>
      </c>
      <c r="C12787" s="15" t="s">
        <v>800</v>
      </c>
      <c r="D12787" s="15" t="s">
        <v>23335</v>
      </c>
      <c r="E12787" s="15">
        <v>14.76</v>
      </c>
      <c r="F12787" s="42">
        <v>44631</v>
      </c>
    </row>
    <row r="12788" spans="1:6" x14ac:dyDescent="0.3">
      <c r="A12788" s="15" t="s">
        <v>37342</v>
      </c>
      <c r="B12788" s="15" t="s">
        <v>23336</v>
      </c>
      <c r="C12788" s="15" t="s">
        <v>800</v>
      </c>
      <c r="D12788" s="15" t="s">
        <v>23337</v>
      </c>
      <c r="E12788" s="15">
        <v>15.13</v>
      </c>
      <c r="F12788" s="42">
        <v>44631</v>
      </c>
    </row>
    <row r="12789" spans="1:6" x14ac:dyDescent="0.3">
      <c r="A12789" s="15" t="s">
        <v>37341</v>
      </c>
      <c r="B12789" s="15" t="s">
        <v>23338</v>
      </c>
      <c r="C12789" s="15" t="s">
        <v>800</v>
      </c>
      <c r="D12789" s="15" t="s">
        <v>23339</v>
      </c>
      <c r="E12789" s="15">
        <v>15.13</v>
      </c>
      <c r="F12789" s="42">
        <v>44631</v>
      </c>
    </row>
    <row r="12790" spans="1:6" x14ac:dyDescent="0.3">
      <c r="A12790" s="15" t="s">
        <v>37340</v>
      </c>
      <c r="B12790" s="15" t="s">
        <v>23340</v>
      </c>
      <c r="C12790" s="15" t="s">
        <v>800</v>
      </c>
      <c r="D12790" s="15" t="s">
        <v>23341</v>
      </c>
      <c r="E12790" s="15">
        <v>14.76</v>
      </c>
      <c r="F12790" s="42">
        <v>44631</v>
      </c>
    </row>
    <row r="12791" spans="1:6" x14ac:dyDescent="0.3">
      <c r="A12791" s="15" t="s">
        <v>37339</v>
      </c>
      <c r="B12791" s="15" t="s">
        <v>23342</v>
      </c>
      <c r="C12791" s="15" t="s">
        <v>800</v>
      </c>
      <c r="D12791" s="15" t="s">
        <v>23343</v>
      </c>
      <c r="E12791" s="15">
        <v>18.190000000000001</v>
      </c>
      <c r="F12791" s="42">
        <v>44531</v>
      </c>
    </row>
    <row r="12792" spans="1:6" x14ac:dyDescent="0.3">
      <c r="A12792" s="15" t="s">
        <v>37338</v>
      </c>
      <c r="B12792" s="15" t="s">
        <v>23344</v>
      </c>
      <c r="C12792" s="15" t="s">
        <v>800</v>
      </c>
      <c r="D12792" s="15" t="s">
        <v>23345</v>
      </c>
      <c r="E12792" s="15">
        <v>18.510000000000002</v>
      </c>
      <c r="F12792" s="42">
        <v>44531</v>
      </c>
    </row>
    <row r="12793" spans="1:6" x14ac:dyDescent="0.3">
      <c r="A12793" s="15" t="s">
        <v>37337</v>
      </c>
      <c r="B12793" s="15" t="s">
        <v>23346</v>
      </c>
      <c r="C12793" s="15" t="s">
        <v>800</v>
      </c>
      <c r="D12793" s="15" t="s">
        <v>23347</v>
      </c>
      <c r="E12793" s="15">
        <v>18.510000000000002</v>
      </c>
      <c r="F12793" s="42">
        <v>44531</v>
      </c>
    </row>
    <row r="12794" spans="1:6" x14ac:dyDescent="0.3">
      <c r="A12794" s="15" t="s">
        <v>37336</v>
      </c>
      <c r="B12794" s="15" t="s">
        <v>23348</v>
      </c>
      <c r="C12794" s="15" t="s">
        <v>800</v>
      </c>
      <c r="D12794" s="15" t="s">
        <v>23349</v>
      </c>
      <c r="E12794" s="15">
        <v>18.190000000000001</v>
      </c>
      <c r="F12794" s="42">
        <v>44531</v>
      </c>
    </row>
    <row r="12795" spans="1:6" x14ac:dyDescent="0.3">
      <c r="A12795" s="15" t="s">
        <v>37335</v>
      </c>
      <c r="B12795" s="15" t="s">
        <v>23350</v>
      </c>
      <c r="C12795" s="15" t="s">
        <v>800</v>
      </c>
      <c r="D12795" s="15" t="s">
        <v>23351</v>
      </c>
      <c r="E12795" s="15">
        <v>12.8</v>
      </c>
      <c r="F12795" s="42">
        <v>43564</v>
      </c>
    </row>
    <row r="12796" spans="1:6" x14ac:dyDescent="0.3">
      <c r="A12796" s="15" t="s">
        <v>37334</v>
      </c>
      <c r="B12796" s="15" t="s">
        <v>23352</v>
      </c>
      <c r="C12796" s="15" t="s">
        <v>800</v>
      </c>
      <c r="D12796" s="15" t="s">
        <v>23353</v>
      </c>
      <c r="E12796" s="15">
        <v>13.27</v>
      </c>
      <c r="F12796" s="42">
        <v>43564</v>
      </c>
    </row>
    <row r="12797" spans="1:6" x14ac:dyDescent="0.3">
      <c r="A12797" s="15" t="s">
        <v>37333</v>
      </c>
      <c r="B12797" s="15" t="s">
        <v>23354</v>
      </c>
      <c r="C12797" s="15" t="s">
        <v>800</v>
      </c>
      <c r="D12797" s="15" t="s">
        <v>23355</v>
      </c>
      <c r="E12797" s="15">
        <v>10.01</v>
      </c>
      <c r="F12797" s="42">
        <v>43564</v>
      </c>
    </row>
    <row r="12798" spans="1:6" x14ac:dyDescent="0.3">
      <c r="A12798" s="15" t="s">
        <v>37332</v>
      </c>
      <c r="B12798" s="15" t="s">
        <v>23356</v>
      </c>
      <c r="C12798" s="15" t="s">
        <v>800</v>
      </c>
      <c r="D12798" s="15" t="s">
        <v>23357</v>
      </c>
      <c r="E12798" s="15">
        <v>9.61</v>
      </c>
      <c r="F12798" s="42">
        <v>43564</v>
      </c>
    </row>
    <row r="12799" spans="1:6" x14ac:dyDescent="0.3">
      <c r="A12799" s="15" t="s">
        <v>37331</v>
      </c>
      <c r="B12799" s="15" t="s">
        <v>23358</v>
      </c>
      <c r="C12799" s="15" t="s">
        <v>800</v>
      </c>
      <c r="D12799" s="15" t="s">
        <v>23359</v>
      </c>
      <c r="E12799" s="15">
        <v>13.99</v>
      </c>
      <c r="F12799" s="42">
        <v>43518</v>
      </c>
    </row>
    <row r="12800" spans="1:6" x14ac:dyDescent="0.3">
      <c r="A12800" s="15" t="s">
        <v>37330</v>
      </c>
      <c r="B12800" s="15" t="s">
        <v>23360</v>
      </c>
      <c r="C12800" s="15" t="s">
        <v>800</v>
      </c>
      <c r="D12800" s="15" t="s">
        <v>23361</v>
      </c>
      <c r="E12800" s="15">
        <v>10.29</v>
      </c>
      <c r="F12800" s="42">
        <v>43518</v>
      </c>
    </row>
    <row r="12801" spans="1:6" x14ac:dyDescent="0.3">
      <c r="A12801" s="15" t="s">
        <v>37329</v>
      </c>
      <c r="B12801" s="15" t="s">
        <v>23362</v>
      </c>
      <c r="C12801" s="15" t="s">
        <v>800</v>
      </c>
      <c r="D12801" s="15" t="s">
        <v>23363</v>
      </c>
      <c r="E12801" s="15">
        <v>14.46</v>
      </c>
      <c r="F12801" s="42">
        <v>43518</v>
      </c>
    </row>
    <row r="12802" spans="1:6" x14ac:dyDescent="0.3">
      <c r="A12802" s="15" t="s">
        <v>37328</v>
      </c>
      <c r="B12802" s="15" t="s">
        <v>23364</v>
      </c>
      <c r="C12802" s="15" t="s">
        <v>800</v>
      </c>
      <c r="D12802" s="15" t="s">
        <v>23365</v>
      </c>
      <c r="E12802" s="15">
        <v>10.69</v>
      </c>
      <c r="F12802" s="42">
        <v>43518</v>
      </c>
    </row>
    <row r="12803" spans="1:6" x14ac:dyDescent="0.3">
      <c r="A12803" s="15" t="s">
        <v>37327</v>
      </c>
      <c r="B12803" s="15" t="s">
        <v>23366</v>
      </c>
      <c r="C12803" s="15" t="s">
        <v>800</v>
      </c>
      <c r="D12803" s="15" t="s">
        <v>23367</v>
      </c>
      <c r="E12803" s="15">
        <v>13.56</v>
      </c>
      <c r="F12803" s="42">
        <v>43521</v>
      </c>
    </row>
    <row r="12804" spans="1:6" x14ac:dyDescent="0.3">
      <c r="A12804" s="15" t="s">
        <v>37326</v>
      </c>
      <c r="B12804" s="15" t="s">
        <v>23368</v>
      </c>
      <c r="C12804" s="15" t="s">
        <v>800</v>
      </c>
      <c r="D12804" s="15" t="s">
        <v>23369</v>
      </c>
      <c r="E12804" s="15">
        <v>14.19</v>
      </c>
      <c r="F12804" s="42">
        <v>43521</v>
      </c>
    </row>
    <row r="12805" spans="1:6" x14ac:dyDescent="0.3">
      <c r="A12805" s="15" t="s">
        <v>37325</v>
      </c>
      <c r="B12805" s="15" t="s">
        <v>23370</v>
      </c>
      <c r="C12805" s="15" t="s">
        <v>800</v>
      </c>
      <c r="D12805" s="15" t="s">
        <v>23371</v>
      </c>
      <c r="E12805" s="15">
        <v>9.68</v>
      </c>
      <c r="F12805" s="42">
        <v>43521</v>
      </c>
    </row>
    <row r="12806" spans="1:6" x14ac:dyDescent="0.3">
      <c r="A12806" s="15" t="s">
        <v>37324</v>
      </c>
      <c r="B12806" s="15" t="s">
        <v>23372</v>
      </c>
      <c r="C12806" s="15" t="s">
        <v>800</v>
      </c>
      <c r="D12806" s="15" t="s">
        <v>23373</v>
      </c>
      <c r="E12806" s="15">
        <v>9.15</v>
      </c>
      <c r="F12806" s="42">
        <v>43521</v>
      </c>
    </row>
    <row r="12807" spans="1:6" x14ac:dyDescent="0.3">
      <c r="A12807" s="15" t="s">
        <v>37323</v>
      </c>
      <c r="B12807" s="15" t="s">
        <v>23374</v>
      </c>
      <c r="C12807" s="15" t="s">
        <v>800</v>
      </c>
      <c r="D12807" s="15" t="s">
        <v>23375</v>
      </c>
      <c r="E12807" s="15">
        <v>12.06</v>
      </c>
      <c r="F12807" s="42">
        <v>42788</v>
      </c>
    </row>
    <row r="12808" spans="1:6" x14ac:dyDescent="0.3">
      <c r="A12808" s="15" t="s">
        <v>37322</v>
      </c>
      <c r="B12808" s="15" t="s">
        <v>23376</v>
      </c>
      <c r="C12808" s="15" t="s">
        <v>800</v>
      </c>
      <c r="D12808" s="15" t="s">
        <v>23377</v>
      </c>
      <c r="E12808" s="15">
        <v>20.54</v>
      </c>
      <c r="F12808" s="42">
        <v>42788</v>
      </c>
    </row>
    <row r="12809" spans="1:6" x14ac:dyDescent="0.3">
      <c r="A12809" s="15" t="s">
        <v>37321</v>
      </c>
      <c r="B12809" s="15" t="s">
        <v>23378</v>
      </c>
      <c r="C12809" s="15" t="s">
        <v>800</v>
      </c>
      <c r="D12809" s="15" t="s">
        <v>23379</v>
      </c>
      <c r="E12809" s="15">
        <v>21.08</v>
      </c>
      <c r="F12809" s="42">
        <v>42788</v>
      </c>
    </row>
    <row r="12810" spans="1:6" x14ac:dyDescent="0.3">
      <c r="A12810" s="15" t="s">
        <v>37320</v>
      </c>
      <c r="B12810" s="15" t="s">
        <v>23380</v>
      </c>
      <c r="C12810" s="15" t="s">
        <v>800</v>
      </c>
      <c r="D12810" s="15" t="s">
        <v>23381</v>
      </c>
      <c r="E12810" s="15">
        <v>12.48</v>
      </c>
      <c r="F12810" s="42">
        <v>42788</v>
      </c>
    </row>
    <row r="12811" spans="1:6" x14ac:dyDescent="0.3">
      <c r="A12811" s="15" t="s">
        <v>37319</v>
      </c>
      <c r="B12811" s="15" t="s">
        <v>23382</v>
      </c>
      <c r="C12811" s="15" t="s">
        <v>800</v>
      </c>
      <c r="D12811" s="15" t="s">
        <v>23383</v>
      </c>
      <c r="E12811" s="15">
        <v>14.47</v>
      </c>
      <c r="F12811" s="42">
        <v>44196</v>
      </c>
    </row>
    <row r="12812" spans="1:6" x14ac:dyDescent="0.3">
      <c r="A12812" s="15" t="s">
        <v>37318</v>
      </c>
      <c r="B12812" s="15" t="s">
        <v>23384</v>
      </c>
      <c r="C12812" s="15" t="s">
        <v>800</v>
      </c>
      <c r="D12812" s="15" t="s">
        <v>23385</v>
      </c>
      <c r="E12812" s="15">
        <v>13.23</v>
      </c>
      <c r="F12812" s="42">
        <v>44196</v>
      </c>
    </row>
    <row r="12813" spans="1:6" x14ac:dyDescent="0.3">
      <c r="A12813" s="15" t="s">
        <v>37317</v>
      </c>
      <c r="B12813" s="15" t="s">
        <v>23386</v>
      </c>
      <c r="C12813" s="15" t="s">
        <v>800</v>
      </c>
      <c r="D12813" s="15" t="s">
        <v>23387</v>
      </c>
      <c r="E12813" s="15">
        <v>16.02</v>
      </c>
      <c r="F12813" s="42">
        <v>44228</v>
      </c>
    </row>
    <row r="12814" spans="1:6" x14ac:dyDescent="0.3">
      <c r="A12814" s="15" t="s">
        <v>37316</v>
      </c>
      <c r="B12814" s="15" t="s">
        <v>23388</v>
      </c>
      <c r="C12814" s="15" t="s">
        <v>800</v>
      </c>
      <c r="D12814" s="15" t="s">
        <v>23389</v>
      </c>
      <c r="E12814" s="15">
        <v>14.68</v>
      </c>
      <c r="F12814" s="42">
        <v>44228</v>
      </c>
    </row>
    <row r="12815" spans="1:6" x14ac:dyDescent="0.3">
      <c r="A12815" s="15" t="s">
        <v>37315</v>
      </c>
      <c r="B12815" s="15" t="s">
        <v>23390</v>
      </c>
      <c r="C12815" s="15" t="s">
        <v>800</v>
      </c>
      <c r="D12815" s="15" t="s">
        <v>23391</v>
      </c>
      <c r="E12815" s="15">
        <v>13.67</v>
      </c>
      <c r="F12815" s="42">
        <v>44319</v>
      </c>
    </row>
    <row r="12816" spans="1:6" x14ac:dyDescent="0.3">
      <c r="A12816" s="15" t="s">
        <v>37314</v>
      </c>
      <c r="B12816" s="15" t="s">
        <v>23392</v>
      </c>
      <c r="C12816" s="15" t="s">
        <v>800</v>
      </c>
      <c r="D12816" s="15" t="s">
        <v>23393</v>
      </c>
      <c r="E12816" s="15">
        <v>12.5</v>
      </c>
      <c r="F12816" s="42">
        <v>44319</v>
      </c>
    </row>
    <row r="12817" spans="1:6" x14ac:dyDescent="0.3">
      <c r="A12817" s="15" t="s">
        <v>37313</v>
      </c>
      <c r="B12817" s="15" t="s">
        <v>23394</v>
      </c>
      <c r="C12817" s="15" t="s">
        <v>800</v>
      </c>
      <c r="D12817" s="15" t="s">
        <v>23395</v>
      </c>
      <c r="E12817" s="15">
        <v>11.62</v>
      </c>
      <c r="F12817" s="42">
        <v>43222</v>
      </c>
    </row>
    <row r="12818" spans="1:6" x14ac:dyDescent="0.3">
      <c r="A12818" s="15" t="s">
        <v>37312</v>
      </c>
      <c r="B12818" s="15" t="s">
        <v>23396</v>
      </c>
      <c r="C12818" s="15" t="s">
        <v>800</v>
      </c>
      <c r="D12818" s="15" t="s">
        <v>23397</v>
      </c>
      <c r="E12818" s="15">
        <v>10.89</v>
      </c>
      <c r="F12818" s="42">
        <v>43222</v>
      </c>
    </row>
    <row r="12819" spans="1:6" x14ac:dyDescent="0.3">
      <c r="A12819" s="15" t="s">
        <v>37311</v>
      </c>
      <c r="B12819" s="15" t="s">
        <v>23398</v>
      </c>
      <c r="C12819" s="15" t="s">
        <v>800</v>
      </c>
      <c r="D12819" s="15" t="s">
        <v>23399</v>
      </c>
      <c r="E12819" s="15">
        <v>11.11</v>
      </c>
      <c r="F12819" s="42">
        <v>43270</v>
      </c>
    </row>
    <row r="12820" spans="1:6" x14ac:dyDescent="0.3">
      <c r="A12820" s="15" t="s">
        <v>37310</v>
      </c>
      <c r="B12820" s="15" t="s">
        <v>23400</v>
      </c>
      <c r="C12820" s="15" t="s">
        <v>800</v>
      </c>
      <c r="D12820" s="15" t="s">
        <v>23401</v>
      </c>
      <c r="E12820" s="15">
        <v>10.47</v>
      </c>
      <c r="F12820" s="42">
        <v>43270</v>
      </c>
    </row>
    <row r="12821" spans="1:6" x14ac:dyDescent="0.3">
      <c r="A12821" s="15" t="s">
        <v>37309</v>
      </c>
      <c r="B12821" s="15" t="s">
        <v>23402</v>
      </c>
      <c r="C12821" s="15" t="s">
        <v>800</v>
      </c>
      <c r="D12821" s="15" t="s">
        <v>23403</v>
      </c>
      <c r="E12821" s="15">
        <v>10.29</v>
      </c>
      <c r="F12821" s="42">
        <v>43290</v>
      </c>
    </row>
    <row r="12822" spans="1:6" x14ac:dyDescent="0.3">
      <c r="A12822" s="15" t="s">
        <v>37308</v>
      </c>
      <c r="B12822" s="15" t="s">
        <v>23404</v>
      </c>
      <c r="C12822" s="15" t="s">
        <v>800</v>
      </c>
      <c r="D12822" s="15" t="s">
        <v>23405</v>
      </c>
      <c r="E12822" s="15">
        <v>10.97</v>
      </c>
      <c r="F12822" s="42">
        <v>43290</v>
      </c>
    </row>
    <row r="12823" spans="1:6" x14ac:dyDescent="0.3">
      <c r="A12823" s="15" t="s">
        <v>37307</v>
      </c>
      <c r="B12823" s="15" t="s">
        <v>23406</v>
      </c>
      <c r="C12823" s="15" t="s">
        <v>800</v>
      </c>
      <c r="D12823" s="15" t="s">
        <v>23407</v>
      </c>
      <c r="E12823" s="15">
        <v>9.98</v>
      </c>
      <c r="F12823" s="42">
        <v>43306</v>
      </c>
    </row>
    <row r="12824" spans="1:6" x14ac:dyDescent="0.3">
      <c r="A12824" s="15" t="s">
        <v>37306</v>
      </c>
      <c r="B12824" s="15" t="s">
        <v>23408</v>
      </c>
      <c r="C12824" s="15" t="s">
        <v>800</v>
      </c>
      <c r="D12824" s="15" t="s">
        <v>23409</v>
      </c>
      <c r="E12824" s="15">
        <v>10.54</v>
      </c>
      <c r="F12824" s="42">
        <v>43306</v>
      </c>
    </row>
    <row r="12825" spans="1:6" x14ac:dyDescent="0.3">
      <c r="A12825" s="15" t="s">
        <v>37305</v>
      </c>
      <c r="B12825" s="15" t="s">
        <v>23410</v>
      </c>
      <c r="C12825" s="15" t="s">
        <v>800</v>
      </c>
      <c r="D12825" s="15" t="s">
        <v>23411</v>
      </c>
      <c r="E12825" s="15">
        <v>10.71</v>
      </c>
      <c r="F12825" s="42">
        <v>43129</v>
      </c>
    </row>
    <row r="12826" spans="1:6" x14ac:dyDescent="0.3">
      <c r="A12826" s="15" t="s">
        <v>37304</v>
      </c>
      <c r="B12826" s="15" t="s">
        <v>23412</v>
      </c>
      <c r="C12826" s="15" t="s">
        <v>800</v>
      </c>
      <c r="D12826" s="15" t="s">
        <v>23413</v>
      </c>
      <c r="E12826" s="15">
        <v>10.82</v>
      </c>
      <c r="F12826" s="42">
        <v>43129</v>
      </c>
    </row>
    <row r="12827" spans="1:6" x14ac:dyDescent="0.3">
      <c r="A12827" s="15" t="s">
        <v>37303</v>
      </c>
      <c r="B12827" s="15" t="s">
        <v>23414</v>
      </c>
      <c r="C12827" s="15" t="s">
        <v>800</v>
      </c>
      <c r="D12827" s="15" t="s">
        <v>23415</v>
      </c>
      <c r="E12827" s="15">
        <v>9.9499999999999993</v>
      </c>
      <c r="F12827" s="42">
        <v>43376</v>
      </c>
    </row>
    <row r="12828" spans="1:6" x14ac:dyDescent="0.3">
      <c r="A12828" s="15" t="s">
        <v>37302</v>
      </c>
      <c r="B12828" s="15" t="s">
        <v>23416</v>
      </c>
      <c r="C12828" s="15" t="s">
        <v>800</v>
      </c>
      <c r="D12828" s="15" t="s">
        <v>23417</v>
      </c>
      <c r="E12828" s="15">
        <v>9.4600000000000009</v>
      </c>
      <c r="F12828" s="42">
        <v>43376</v>
      </c>
    </row>
    <row r="12829" spans="1:6" x14ac:dyDescent="0.3">
      <c r="A12829" s="15" t="s">
        <v>37301</v>
      </c>
      <c r="B12829" s="15" t="s">
        <v>23418</v>
      </c>
      <c r="C12829" s="15" t="s">
        <v>800</v>
      </c>
      <c r="D12829" s="15" t="s">
        <v>23419</v>
      </c>
      <c r="E12829" s="15">
        <v>10.54</v>
      </c>
      <c r="F12829" s="42">
        <v>43382</v>
      </c>
    </row>
    <row r="12830" spans="1:6" x14ac:dyDescent="0.3">
      <c r="A12830" s="15" t="s">
        <v>37300</v>
      </c>
      <c r="B12830" s="15" t="s">
        <v>23420</v>
      </c>
      <c r="C12830" s="15" t="s">
        <v>800</v>
      </c>
      <c r="D12830" s="15" t="s">
        <v>23421</v>
      </c>
      <c r="E12830" s="15">
        <v>9.89</v>
      </c>
      <c r="F12830" s="42">
        <v>43382</v>
      </c>
    </row>
    <row r="12831" spans="1:6" x14ac:dyDescent="0.3">
      <c r="A12831" s="15" t="s">
        <v>37299</v>
      </c>
      <c r="B12831" s="15" t="s">
        <v>23422</v>
      </c>
      <c r="C12831" s="15" t="s">
        <v>800</v>
      </c>
      <c r="D12831" s="15" t="s">
        <v>23423</v>
      </c>
      <c r="E12831" s="15">
        <v>13.82</v>
      </c>
      <c r="F12831" s="42">
        <v>43343</v>
      </c>
    </row>
    <row r="12832" spans="1:6" x14ac:dyDescent="0.3">
      <c r="A12832" s="15" t="s">
        <v>37298</v>
      </c>
      <c r="B12832" s="15" t="s">
        <v>23424</v>
      </c>
      <c r="C12832" s="15" t="s">
        <v>800</v>
      </c>
      <c r="D12832" s="15" t="s">
        <v>23425</v>
      </c>
      <c r="E12832" s="15">
        <v>14.35</v>
      </c>
      <c r="F12832" s="42">
        <v>43343</v>
      </c>
    </row>
    <row r="12833" spans="1:6" x14ac:dyDescent="0.3">
      <c r="A12833" s="15" t="s">
        <v>37297</v>
      </c>
      <c r="B12833" s="15" t="s">
        <v>23426</v>
      </c>
      <c r="C12833" s="15" t="s">
        <v>800</v>
      </c>
      <c r="D12833" s="15" t="s">
        <v>23427</v>
      </c>
      <c r="E12833" s="15">
        <v>10.220000000000001</v>
      </c>
      <c r="F12833" s="42">
        <v>43343</v>
      </c>
    </row>
    <row r="12834" spans="1:6" x14ac:dyDescent="0.3">
      <c r="A12834" s="15" t="s">
        <v>37296</v>
      </c>
      <c r="B12834" s="15" t="s">
        <v>23428</v>
      </c>
      <c r="C12834" s="15" t="s">
        <v>800</v>
      </c>
      <c r="D12834" s="15" t="s">
        <v>23429</v>
      </c>
      <c r="E12834" s="15">
        <v>9.9600000000000009</v>
      </c>
      <c r="F12834" s="42">
        <v>43343</v>
      </c>
    </row>
    <row r="12835" spans="1:6" x14ac:dyDescent="0.3">
      <c r="A12835" s="15" t="s">
        <v>37295</v>
      </c>
      <c r="B12835" s="15" t="s">
        <v>23430</v>
      </c>
      <c r="C12835" s="15" t="s">
        <v>800</v>
      </c>
      <c r="D12835" s="15" t="s">
        <v>23431</v>
      </c>
      <c r="E12835" s="15">
        <v>16.559999999999999</v>
      </c>
      <c r="F12835" s="42">
        <v>43523</v>
      </c>
    </row>
    <row r="12836" spans="1:6" x14ac:dyDescent="0.3">
      <c r="A12836" s="15" t="s">
        <v>37294</v>
      </c>
      <c r="B12836" s="15" t="s">
        <v>23432</v>
      </c>
      <c r="C12836" s="15" t="s">
        <v>800</v>
      </c>
      <c r="D12836" s="15" t="s">
        <v>23433</v>
      </c>
      <c r="E12836" s="15">
        <v>17.28</v>
      </c>
      <c r="F12836" s="42">
        <v>43523</v>
      </c>
    </row>
    <row r="12837" spans="1:6" x14ac:dyDescent="0.3">
      <c r="A12837" s="15" t="s">
        <v>37293</v>
      </c>
      <c r="B12837" s="15" t="s">
        <v>23434</v>
      </c>
      <c r="C12837" s="15" t="s">
        <v>800</v>
      </c>
      <c r="D12837" s="15" t="s">
        <v>23435</v>
      </c>
      <c r="E12837" s="15">
        <v>12.19</v>
      </c>
      <c r="F12837" s="42">
        <v>43523</v>
      </c>
    </row>
    <row r="12838" spans="1:6" x14ac:dyDescent="0.3">
      <c r="A12838" s="15" t="s">
        <v>37292</v>
      </c>
      <c r="B12838" s="15" t="s">
        <v>23436</v>
      </c>
      <c r="C12838" s="15" t="s">
        <v>800</v>
      </c>
      <c r="D12838" s="15" t="s">
        <v>23437</v>
      </c>
      <c r="E12838" s="15">
        <v>11.58</v>
      </c>
      <c r="F12838" s="42">
        <v>43523</v>
      </c>
    </row>
    <row r="12839" spans="1:6" x14ac:dyDescent="0.3">
      <c r="A12839" s="15" t="s">
        <v>37291</v>
      </c>
      <c r="B12839" s="15" t="s">
        <v>23438</v>
      </c>
      <c r="C12839" s="15" t="s">
        <v>800</v>
      </c>
      <c r="D12839" s="15" t="s">
        <v>23439</v>
      </c>
      <c r="E12839" s="15">
        <v>13.78</v>
      </c>
      <c r="F12839" s="42">
        <v>43600</v>
      </c>
    </row>
    <row r="12840" spans="1:6" x14ac:dyDescent="0.3">
      <c r="A12840" s="15" t="s">
        <v>37290</v>
      </c>
      <c r="B12840" s="15" t="s">
        <v>23440</v>
      </c>
      <c r="C12840" s="15" t="s">
        <v>800</v>
      </c>
      <c r="D12840" s="15" t="s">
        <v>23441</v>
      </c>
      <c r="E12840" s="15">
        <v>14.28</v>
      </c>
      <c r="F12840" s="42">
        <v>43600</v>
      </c>
    </row>
    <row r="12841" spans="1:6" x14ac:dyDescent="0.3">
      <c r="A12841" s="15" t="s">
        <v>37289</v>
      </c>
      <c r="B12841" s="15" t="s">
        <v>23442</v>
      </c>
      <c r="C12841" s="15" t="s">
        <v>800</v>
      </c>
      <c r="D12841" s="15" t="s">
        <v>23443</v>
      </c>
      <c r="E12841" s="15">
        <v>10.85</v>
      </c>
      <c r="F12841" s="42">
        <v>43600</v>
      </c>
    </row>
    <row r="12842" spans="1:6" x14ac:dyDescent="0.3">
      <c r="A12842" s="15" t="s">
        <v>37288</v>
      </c>
      <c r="B12842" s="15" t="s">
        <v>23444</v>
      </c>
      <c r="C12842" s="15" t="s">
        <v>800</v>
      </c>
      <c r="D12842" s="15" t="s">
        <v>23445</v>
      </c>
      <c r="E12842" s="15">
        <v>10.47</v>
      </c>
      <c r="F12842" s="42">
        <v>43600</v>
      </c>
    </row>
    <row r="12843" spans="1:6" x14ac:dyDescent="0.3">
      <c r="A12843" s="15" t="s">
        <v>37287</v>
      </c>
      <c r="B12843" s="15" t="s">
        <v>23446</v>
      </c>
      <c r="C12843" s="15" t="s">
        <v>800</v>
      </c>
      <c r="D12843" s="15" t="s">
        <v>23447</v>
      </c>
      <c r="E12843" s="15">
        <v>11.9</v>
      </c>
      <c r="F12843" s="42">
        <v>43642</v>
      </c>
    </row>
    <row r="12844" spans="1:6" x14ac:dyDescent="0.3">
      <c r="A12844" s="15" t="s">
        <v>37286</v>
      </c>
      <c r="B12844" s="15" t="s">
        <v>23448</v>
      </c>
      <c r="C12844" s="15" t="s">
        <v>800</v>
      </c>
      <c r="D12844" s="15" t="s">
        <v>23449</v>
      </c>
      <c r="E12844" s="15">
        <v>11.35</v>
      </c>
      <c r="F12844" s="42">
        <v>43642</v>
      </c>
    </row>
    <row r="12845" spans="1:6" x14ac:dyDescent="0.3">
      <c r="A12845" s="15" t="s">
        <v>37285</v>
      </c>
      <c r="B12845" s="15" t="s">
        <v>23450</v>
      </c>
      <c r="C12845" s="15" t="s">
        <v>800</v>
      </c>
      <c r="D12845" s="15" t="s">
        <v>23451</v>
      </c>
      <c r="E12845" s="15">
        <v>11.43</v>
      </c>
      <c r="F12845" s="42">
        <v>43465</v>
      </c>
    </row>
    <row r="12846" spans="1:6" x14ac:dyDescent="0.3">
      <c r="A12846" s="15" t="s">
        <v>37284</v>
      </c>
      <c r="B12846" s="15" t="s">
        <v>23452</v>
      </c>
      <c r="C12846" s="15" t="s">
        <v>800</v>
      </c>
      <c r="D12846" s="15" t="s">
        <v>23453</v>
      </c>
      <c r="E12846" s="15">
        <v>10.42</v>
      </c>
      <c r="F12846" s="42">
        <v>43465</v>
      </c>
    </row>
    <row r="12847" spans="1:6" x14ac:dyDescent="0.3">
      <c r="A12847" s="15" t="s">
        <v>37283</v>
      </c>
      <c r="B12847" s="15" t="s">
        <v>23454</v>
      </c>
      <c r="C12847" s="15" t="s">
        <v>800</v>
      </c>
      <c r="D12847" s="15" t="s">
        <v>23455</v>
      </c>
      <c r="E12847" s="15">
        <v>11.89</v>
      </c>
      <c r="F12847" s="42">
        <v>43843</v>
      </c>
    </row>
    <row r="12848" spans="1:6" x14ac:dyDescent="0.3">
      <c r="A12848" s="15" t="s">
        <v>37282</v>
      </c>
      <c r="B12848" s="15" t="s">
        <v>23456</v>
      </c>
      <c r="C12848" s="15" t="s">
        <v>800</v>
      </c>
      <c r="D12848" s="15" t="s">
        <v>23457</v>
      </c>
      <c r="E12848" s="15">
        <v>12.32</v>
      </c>
      <c r="F12848" s="42">
        <v>43843</v>
      </c>
    </row>
    <row r="12849" spans="1:6" x14ac:dyDescent="0.3">
      <c r="A12849" s="15" t="s">
        <v>37281</v>
      </c>
      <c r="B12849" s="15" t="s">
        <v>23458</v>
      </c>
      <c r="C12849" s="15" t="s">
        <v>800</v>
      </c>
      <c r="D12849" s="15" t="s">
        <v>23459</v>
      </c>
      <c r="E12849" s="15">
        <v>10.91</v>
      </c>
      <c r="F12849" s="42">
        <v>43843</v>
      </c>
    </row>
    <row r="12850" spans="1:6" x14ac:dyDescent="0.3">
      <c r="A12850" s="15" t="s">
        <v>37280</v>
      </c>
      <c r="B12850" s="15" t="s">
        <v>23460</v>
      </c>
      <c r="C12850" s="15" t="s">
        <v>800</v>
      </c>
      <c r="D12850" s="15" t="s">
        <v>23461</v>
      </c>
      <c r="E12850" s="15">
        <v>10.5</v>
      </c>
      <c r="F12850" s="42">
        <v>43843</v>
      </c>
    </row>
    <row r="12851" spans="1:6" x14ac:dyDescent="0.3">
      <c r="A12851" s="15" t="s">
        <v>37279</v>
      </c>
      <c r="B12851" s="15" t="s">
        <v>23462</v>
      </c>
      <c r="C12851" s="15" t="s">
        <v>800</v>
      </c>
      <c r="D12851" s="15" t="s">
        <v>23463</v>
      </c>
      <c r="E12851" s="15">
        <v>13.09</v>
      </c>
      <c r="F12851" s="42">
        <v>43859</v>
      </c>
    </row>
    <row r="12852" spans="1:6" x14ac:dyDescent="0.3">
      <c r="A12852" s="15" t="s">
        <v>37278</v>
      </c>
      <c r="B12852" s="15" t="s">
        <v>23464</v>
      </c>
      <c r="C12852" s="15" t="s">
        <v>800</v>
      </c>
      <c r="D12852" s="15" t="s">
        <v>23465</v>
      </c>
      <c r="E12852" s="15">
        <v>13.54</v>
      </c>
      <c r="F12852" s="42">
        <v>43859</v>
      </c>
    </row>
    <row r="12853" spans="1:6" x14ac:dyDescent="0.3">
      <c r="A12853" s="15" t="s">
        <v>37277</v>
      </c>
      <c r="B12853" s="15" t="s">
        <v>23466</v>
      </c>
      <c r="C12853" s="15" t="s">
        <v>800</v>
      </c>
      <c r="D12853" s="15" t="s">
        <v>23467</v>
      </c>
      <c r="E12853" s="15">
        <v>11.69</v>
      </c>
      <c r="F12853" s="42">
        <v>43859</v>
      </c>
    </row>
    <row r="12854" spans="1:6" x14ac:dyDescent="0.3">
      <c r="A12854" s="15" t="s">
        <v>37276</v>
      </c>
      <c r="B12854" s="15" t="s">
        <v>23468</v>
      </c>
      <c r="C12854" s="15" t="s">
        <v>800</v>
      </c>
      <c r="D12854" s="15" t="s">
        <v>23469</v>
      </c>
      <c r="E12854" s="15">
        <v>11.27</v>
      </c>
      <c r="F12854" s="42">
        <v>43859</v>
      </c>
    </row>
    <row r="12855" spans="1:6" x14ac:dyDescent="0.3">
      <c r="A12855" s="15" t="s">
        <v>37275</v>
      </c>
      <c r="B12855" s="15" t="s">
        <v>23470</v>
      </c>
      <c r="C12855" s="15" t="s">
        <v>800</v>
      </c>
      <c r="D12855" s="15" t="s">
        <v>23471</v>
      </c>
      <c r="E12855" s="15">
        <v>12.21</v>
      </c>
      <c r="F12855" s="42">
        <v>44201</v>
      </c>
    </row>
    <row r="12856" spans="1:6" x14ac:dyDescent="0.3">
      <c r="A12856" s="15" t="s">
        <v>37274</v>
      </c>
      <c r="B12856" s="15" t="s">
        <v>23472</v>
      </c>
      <c r="C12856" s="15" t="s">
        <v>800</v>
      </c>
      <c r="D12856" s="15" t="s">
        <v>23473</v>
      </c>
      <c r="E12856" s="15">
        <v>11.68</v>
      </c>
      <c r="F12856" s="42">
        <v>44201</v>
      </c>
    </row>
    <row r="12857" spans="1:6" x14ac:dyDescent="0.3">
      <c r="A12857" s="15" t="s">
        <v>37273</v>
      </c>
      <c r="B12857" s="15" t="s">
        <v>23474</v>
      </c>
      <c r="C12857" s="15" t="s">
        <v>800</v>
      </c>
      <c r="D12857" s="15" t="s">
        <v>23475</v>
      </c>
      <c r="E12857" s="15">
        <v>11.95</v>
      </c>
      <c r="F12857" s="42">
        <v>44200</v>
      </c>
    </row>
    <row r="12858" spans="1:6" x14ac:dyDescent="0.3">
      <c r="A12858" s="15" t="s">
        <v>37272</v>
      </c>
      <c r="B12858" s="15" t="s">
        <v>23476</v>
      </c>
      <c r="C12858" s="15" t="s">
        <v>800</v>
      </c>
      <c r="D12858" s="15" t="s">
        <v>23477</v>
      </c>
      <c r="E12858" s="15">
        <v>11.46</v>
      </c>
      <c r="F12858" s="42">
        <v>44200</v>
      </c>
    </row>
    <row r="12859" spans="1:6" x14ac:dyDescent="0.3">
      <c r="A12859" s="15" t="s">
        <v>37271</v>
      </c>
      <c r="B12859" s="15" t="s">
        <v>23478</v>
      </c>
      <c r="C12859" s="15" t="s">
        <v>800</v>
      </c>
      <c r="D12859" s="15" t="s">
        <v>23479</v>
      </c>
      <c r="E12859" s="15">
        <v>12.39</v>
      </c>
      <c r="F12859" s="42">
        <v>44229</v>
      </c>
    </row>
    <row r="12860" spans="1:6" x14ac:dyDescent="0.3">
      <c r="A12860" s="15" t="s">
        <v>37270</v>
      </c>
      <c r="B12860" s="15" t="s">
        <v>23480</v>
      </c>
      <c r="C12860" s="15" t="s">
        <v>800</v>
      </c>
      <c r="D12860" s="15" t="s">
        <v>23481</v>
      </c>
      <c r="E12860" s="15">
        <v>12.99</v>
      </c>
      <c r="F12860" s="42">
        <v>44229</v>
      </c>
    </row>
    <row r="12861" spans="1:6" x14ac:dyDescent="0.3">
      <c r="A12861" s="15" t="s">
        <v>37269</v>
      </c>
      <c r="B12861" s="15" t="s">
        <v>23482</v>
      </c>
      <c r="C12861" s="15" t="s">
        <v>800</v>
      </c>
      <c r="D12861" s="15" t="s">
        <v>23483</v>
      </c>
      <c r="E12861" s="15">
        <v>12.39</v>
      </c>
      <c r="F12861" s="42">
        <v>44229</v>
      </c>
    </row>
    <row r="12862" spans="1:6" x14ac:dyDescent="0.3">
      <c r="A12862" s="15" t="s">
        <v>37268</v>
      </c>
      <c r="B12862" s="15" t="s">
        <v>23484</v>
      </c>
      <c r="C12862" s="15" t="s">
        <v>800</v>
      </c>
      <c r="D12862" s="15" t="s">
        <v>23485</v>
      </c>
      <c r="E12862" s="15">
        <v>11.81</v>
      </c>
      <c r="F12862" s="42">
        <v>44229</v>
      </c>
    </row>
    <row r="12863" spans="1:6" x14ac:dyDescent="0.3">
      <c r="A12863" s="15" t="s">
        <v>37267</v>
      </c>
      <c r="B12863" s="15" t="s">
        <v>23486</v>
      </c>
      <c r="C12863" s="15" t="s">
        <v>800</v>
      </c>
      <c r="D12863" s="15" t="s">
        <v>23487</v>
      </c>
      <c r="E12863" s="15">
        <v>12.7</v>
      </c>
      <c r="F12863" s="42">
        <v>44231</v>
      </c>
    </row>
    <row r="12864" spans="1:6" x14ac:dyDescent="0.3">
      <c r="A12864" s="15" t="s">
        <v>37266</v>
      </c>
      <c r="B12864" s="15" t="s">
        <v>23488</v>
      </c>
      <c r="C12864" s="15" t="s">
        <v>800</v>
      </c>
      <c r="D12864" s="15" t="s">
        <v>23489</v>
      </c>
      <c r="E12864" s="15">
        <v>13.18</v>
      </c>
      <c r="F12864" s="42">
        <v>44231</v>
      </c>
    </row>
    <row r="12865" spans="1:6" x14ac:dyDescent="0.3">
      <c r="A12865" s="15" t="s">
        <v>37265</v>
      </c>
      <c r="B12865" s="15" t="s">
        <v>23490</v>
      </c>
      <c r="C12865" s="15" t="s">
        <v>800</v>
      </c>
      <c r="D12865" s="15" t="s">
        <v>23491</v>
      </c>
      <c r="E12865" s="15">
        <v>12.7</v>
      </c>
      <c r="F12865" s="42">
        <v>44231</v>
      </c>
    </row>
    <row r="12866" spans="1:6" x14ac:dyDescent="0.3">
      <c r="A12866" s="15" t="s">
        <v>37264</v>
      </c>
      <c r="B12866" s="15" t="s">
        <v>23492</v>
      </c>
      <c r="C12866" s="15" t="s">
        <v>800</v>
      </c>
      <c r="D12866" s="15" t="s">
        <v>23493</v>
      </c>
      <c r="E12866" s="15">
        <v>12.39</v>
      </c>
      <c r="F12866" s="42">
        <v>44231</v>
      </c>
    </row>
    <row r="12867" spans="1:6" x14ac:dyDescent="0.3">
      <c r="A12867" s="15" t="s">
        <v>37263</v>
      </c>
      <c r="B12867" s="15" t="s">
        <v>23494</v>
      </c>
      <c r="C12867" s="15" t="s">
        <v>800</v>
      </c>
      <c r="D12867" s="15" t="s">
        <v>23495</v>
      </c>
      <c r="E12867" s="15">
        <v>12.52</v>
      </c>
      <c r="F12867" s="42">
        <v>44257</v>
      </c>
    </row>
    <row r="12868" spans="1:6" x14ac:dyDescent="0.3">
      <c r="A12868" s="15" t="s">
        <v>37262</v>
      </c>
      <c r="B12868" s="15" t="s">
        <v>23496</v>
      </c>
      <c r="C12868" s="15" t="s">
        <v>800</v>
      </c>
      <c r="D12868" s="15" t="s">
        <v>23497</v>
      </c>
      <c r="E12868" s="15">
        <v>12.93</v>
      </c>
      <c r="F12868" s="42">
        <v>44257</v>
      </c>
    </row>
    <row r="12869" spans="1:6" x14ac:dyDescent="0.3">
      <c r="A12869" s="15" t="s">
        <v>37261</v>
      </c>
      <c r="B12869" s="15" t="s">
        <v>23498</v>
      </c>
      <c r="C12869" s="15" t="s">
        <v>800</v>
      </c>
      <c r="D12869" s="15" t="s">
        <v>23499</v>
      </c>
      <c r="E12869" s="15">
        <v>12.32</v>
      </c>
      <c r="F12869" s="42">
        <v>44257</v>
      </c>
    </row>
    <row r="12870" spans="1:6" x14ac:dyDescent="0.3">
      <c r="A12870" s="15" t="s">
        <v>37260</v>
      </c>
      <c r="B12870" s="15" t="s">
        <v>23500</v>
      </c>
      <c r="C12870" s="15" t="s">
        <v>800</v>
      </c>
      <c r="D12870" s="15" t="s">
        <v>23501</v>
      </c>
      <c r="E12870" s="15">
        <v>12.01</v>
      </c>
      <c r="F12870" s="42">
        <v>44257</v>
      </c>
    </row>
    <row r="12871" spans="1:6" x14ac:dyDescent="0.3">
      <c r="A12871" s="15" t="s">
        <v>37259</v>
      </c>
      <c r="B12871" s="15" t="s">
        <v>23502</v>
      </c>
      <c r="C12871" s="15" t="s">
        <v>800</v>
      </c>
      <c r="D12871" s="15" t="s">
        <v>23503</v>
      </c>
      <c r="E12871" s="15">
        <v>12.9</v>
      </c>
      <c r="F12871" s="42">
        <v>44295</v>
      </c>
    </row>
    <row r="12872" spans="1:6" x14ac:dyDescent="0.3">
      <c r="A12872" s="15" t="s">
        <v>37258</v>
      </c>
      <c r="B12872" s="15" t="s">
        <v>23504</v>
      </c>
      <c r="C12872" s="15" t="s">
        <v>800</v>
      </c>
      <c r="D12872" s="15" t="s">
        <v>23505</v>
      </c>
      <c r="E12872" s="15">
        <v>13.36</v>
      </c>
      <c r="F12872" s="42">
        <v>44295</v>
      </c>
    </row>
    <row r="12873" spans="1:6" x14ac:dyDescent="0.3">
      <c r="A12873" s="15" t="s">
        <v>37257</v>
      </c>
      <c r="B12873" s="15" t="s">
        <v>23506</v>
      </c>
      <c r="C12873" s="15" t="s">
        <v>800</v>
      </c>
      <c r="D12873" s="15" t="s">
        <v>23507</v>
      </c>
      <c r="E12873" s="15">
        <v>13.04</v>
      </c>
      <c r="F12873" s="42">
        <v>44295</v>
      </c>
    </row>
    <row r="12874" spans="1:6" x14ac:dyDescent="0.3">
      <c r="A12874" s="15" t="s">
        <v>37256</v>
      </c>
      <c r="B12874" s="15" t="s">
        <v>23508</v>
      </c>
      <c r="C12874" s="15" t="s">
        <v>800</v>
      </c>
      <c r="D12874" s="15" t="s">
        <v>23509</v>
      </c>
      <c r="E12874" s="15">
        <v>12.59</v>
      </c>
      <c r="F12874" s="42">
        <v>44295</v>
      </c>
    </row>
    <row r="12875" spans="1:6" x14ac:dyDescent="0.3">
      <c r="A12875" s="15" t="s">
        <v>37255</v>
      </c>
      <c r="B12875" s="15" t="s">
        <v>23510</v>
      </c>
      <c r="C12875" s="15" t="s">
        <v>800</v>
      </c>
      <c r="D12875" s="15" t="s">
        <v>23511</v>
      </c>
      <c r="E12875" s="15">
        <v>14.75</v>
      </c>
      <c r="F12875" s="42">
        <v>44333</v>
      </c>
    </row>
    <row r="12876" spans="1:6" x14ac:dyDescent="0.3">
      <c r="A12876" s="15" t="s">
        <v>37254</v>
      </c>
      <c r="B12876" s="15" t="s">
        <v>23512</v>
      </c>
      <c r="C12876" s="15" t="s">
        <v>800</v>
      </c>
      <c r="D12876" s="15" t="s">
        <v>23513</v>
      </c>
      <c r="E12876" s="15">
        <v>15.23</v>
      </c>
      <c r="F12876" s="42">
        <v>44333</v>
      </c>
    </row>
    <row r="12877" spans="1:6" x14ac:dyDescent="0.3">
      <c r="A12877" s="15" t="s">
        <v>37253</v>
      </c>
      <c r="B12877" s="15" t="s">
        <v>23514</v>
      </c>
      <c r="C12877" s="15" t="s">
        <v>800</v>
      </c>
      <c r="D12877" s="15" t="s">
        <v>23515</v>
      </c>
      <c r="E12877" s="15">
        <v>14.87</v>
      </c>
      <c r="F12877" s="42">
        <v>44333</v>
      </c>
    </row>
    <row r="12878" spans="1:6" x14ac:dyDescent="0.3">
      <c r="A12878" s="15" t="s">
        <v>37252</v>
      </c>
      <c r="B12878" s="15" t="s">
        <v>23516</v>
      </c>
      <c r="C12878" s="15" t="s">
        <v>800</v>
      </c>
      <c r="D12878" s="15" t="s">
        <v>23517</v>
      </c>
      <c r="E12878" s="15">
        <v>14.41</v>
      </c>
      <c r="F12878" s="42">
        <v>44333</v>
      </c>
    </row>
    <row r="12879" spans="1:6" x14ac:dyDescent="0.3">
      <c r="A12879" s="15" t="s">
        <v>37251</v>
      </c>
      <c r="B12879" s="15" t="s">
        <v>23518</v>
      </c>
      <c r="C12879" s="15" t="s">
        <v>800</v>
      </c>
      <c r="D12879" s="15" t="s">
        <v>23519</v>
      </c>
      <c r="E12879" s="15">
        <v>14.45</v>
      </c>
      <c r="F12879" s="42">
        <v>44371</v>
      </c>
    </row>
    <row r="12880" spans="1:6" x14ac:dyDescent="0.3">
      <c r="A12880" s="15" t="s">
        <v>37250</v>
      </c>
      <c r="B12880" s="15" t="s">
        <v>23520</v>
      </c>
      <c r="C12880" s="15" t="s">
        <v>800</v>
      </c>
      <c r="D12880" s="15" t="s">
        <v>23521</v>
      </c>
      <c r="E12880" s="15">
        <v>14.94</v>
      </c>
      <c r="F12880" s="42">
        <v>44371</v>
      </c>
    </row>
    <row r="12881" spans="1:6" x14ac:dyDescent="0.3">
      <c r="A12881" s="15" t="s">
        <v>37249</v>
      </c>
      <c r="B12881" s="15" t="s">
        <v>23522</v>
      </c>
      <c r="C12881" s="15" t="s">
        <v>800</v>
      </c>
      <c r="D12881" s="15" t="s">
        <v>23523</v>
      </c>
      <c r="E12881" s="15">
        <v>14.94</v>
      </c>
      <c r="F12881" s="42">
        <v>44371</v>
      </c>
    </row>
    <row r="12882" spans="1:6" x14ac:dyDescent="0.3">
      <c r="A12882" s="15" t="s">
        <v>37248</v>
      </c>
      <c r="B12882" s="15" t="s">
        <v>23524</v>
      </c>
      <c r="C12882" s="15" t="s">
        <v>800</v>
      </c>
      <c r="D12882" s="15" t="s">
        <v>23525</v>
      </c>
      <c r="E12882" s="15">
        <v>14.45</v>
      </c>
      <c r="F12882" s="42">
        <v>44371</v>
      </c>
    </row>
    <row r="12883" spans="1:6" x14ac:dyDescent="0.3">
      <c r="A12883" s="15" t="s">
        <v>37247</v>
      </c>
      <c r="B12883" s="15" t="s">
        <v>23526</v>
      </c>
      <c r="C12883" s="15" t="s">
        <v>800</v>
      </c>
      <c r="D12883" s="15" t="s">
        <v>23527</v>
      </c>
      <c r="E12883" s="15">
        <v>11.51</v>
      </c>
      <c r="F12883" s="42">
        <v>43465</v>
      </c>
    </row>
    <row r="12884" spans="1:6" x14ac:dyDescent="0.3">
      <c r="A12884" s="15" t="s">
        <v>37246</v>
      </c>
      <c r="B12884" s="15" t="s">
        <v>23528</v>
      </c>
      <c r="C12884" s="15" t="s">
        <v>800</v>
      </c>
      <c r="D12884" s="15" t="s">
        <v>23529</v>
      </c>
      <c r="E12884" s="15">
        <v>10.48</v>
      </c>
      <c r="F12884" s="42">
        <v>43465</v>
      </c>
    </row>
    <row r="12885" spans="1:6" x14ac:dyDescent="0.3">
      <c r="A12885" s="15" t="s">
        <v>37245</v>
      </c>
      <c r="B12885" s="15" t="s">
        <v>23530</v>
      </c>
      <c r="C12885" s="15" t="s">
        <v>800</v>
      </c>
      <c r="D12885" s="15" t="s">
        <v>23531</v>
      </c>
      <c r="E12885" s="15">
        <v>13.43</v>
      </c>
      <c r="F12885" s="42">
        <v>44399</v>
      </c>
    </row>
    <row r="12886" spans="1:6" x14ac:dyDescent="0.3">
      <c r="A12886" s="15" t="s">
        <v>37244</v>
      </c>
      <c r="B12886" s="15" t="s">
        <v>23532</v>
      </c>
      <c r="C12886" s="15" t="s">
        <v>800</v>
      </c>
      <c r="D12886" s="15" t="s">
        <v>23533</v>
      </c>
      <c r="E12886" s="15">
        <v>13.78</v>
      </c>
      <c r="F12886" s="42">
        <v>44399</v>
      </c>
    </row>
    <row r="12887" spans="1:6" x14ac:dyDescent="0.3">
      <c r="A12887" s="15" t="s">
        <v>37243</v>
      </c>
      <c r="B12887" s="15" t="s">
        <v>23534</v>
      </c>
      <c r="C12887" s="15" t="s">
        <v>800</v>
      </c>
      <c r="D12887" s="15" t="s">
        <v>23535</v>
      </c>
      <c r="E12887" s="15">
        <v>13.78</v>
      </c>
      <c r="F12887" s="42">
        <v>44399</v>
      </c>
    </row>
    <row r="12888" spans="1:6" x14ac:dyDescent="0.3">
      <c r="A12888" s="15" t="s">
        <v>37242</v>
      </c>
      <c r="B12888" s="15" t="s">
        <v>23536</v>
      </c>
      <c r="C12888" s="15" t="s">
        <v>800</v>
      </c>
      <c r="D12888" s="15" t="s">
        <v>23537</v>
      </c>
      <c r="E12888" s="15">
        <v>13.43</v>
      </c>
      <c r="F12888" s="42">
        <v>44399</v>
      </c>
    </row>
    <row r="12889" spans="1:6" x14ac:dyDescent="0.3">
      <c r="A12889" s="15" t="s">
        <v>37241</v>
      </c>
      <c r="B12889" s="15" t="s">
        <v>23538</v>
      </c>
      <c r="C12889" s="15" t="s">
        <v>800</v>
      </c>
      <c r="D12889" s="15" t="s">
        <v>23539</v>
      </c>
      <c r="E12889" s="15">
        <v>11.48</v>
      </c>
      <c r="F12889" s="42">
        <v>43549</v>
      </c>
    </row>
    <row r="12890" spans="1:6" x14ac:dyDescent="0.3">
      <c r="A12890" s="15" t="s">
        <v>37240</v>
      </c>
      <c r="B12890" s="15" t="s">
        <v>23540</v>
      </c>
      <c r="C12890" s="15" t="s">
        <v>800</v>
      </c>
      <c r="D12890" s="15" t="s">
        <v>23541</v>
      </c>
      <c r="E12890" s="15">
        <v>10.49</v>
      </c>
      <c r="F12890" s="42">
        <v>43549</v>
      </c>
    </row>
    <row r="12891" spans="1:6" x14ac:dyDescent="0.3">
      <c r="A12891" s="15" t="s">
        <v>37239</v>
      </c>
      <c r="B12891" s="15" t="s">
        <v>23542</v>
      </c>
      <c r="C12891" s="15" t="s">
        <v>800</v>
      </c>
      <c r="D12891" s="15" t="s">
        <v>23543</v>
      </c>
      <c r="E12891" s="15">
        <v>10.17</v>
      </c>
      <c r="F12891" s="42">
        <v>43593</v>
      </c>
    </row>
    <row r="12892" spans="1:6" x14ac:dyDescent="0.3">
      <c r="A12892" s="15" t="s">
        <v>37238</v>
      </c>
      <c r="B12892" s="15" t="s">
        <v>23544</v>
      </c>
      <c r="C12892" s="15" t="s">
        <v>800</v>
      </c>
      <c r="D12892" s="15" t="s">
        <v>23545</v>
      </c>
      <c r="E12892" s="15">
        <v>21.15</v>
      </c>
      <c r="F12892" s="42">
        <v>43593</v>
      </c>
    </row>
    <row r="12893" spans="1:6" x14ac:dyDescent="0.3">
      <c r="A12893" s="15" t="s">
        <v>37237</v>
      </c>
      <c r="B12893" s="15" t="s">
        <v>23546</v>
      </c>
      <c r="C12893" s="15" t="s">
        <v>800</v>
      </c>
      <c r="D12893" s="15" t="s">
        <v>23547</v>
      </c>
      <c r="E12893" s="15">
        <v>22.23</v>
      </c>
      <c r="F12893" s="42">
        <v>43593</v>
      </c>
    </row>
    <row r="12894" spans="1:6" x14ac:dyDescent="0.3">
      <c r="A12894" s="15" t="s">
        <v>37236</v>
      </c>
      <c r="B12894" s="15" t="s">
        <v>23548</v>
      </c>
      <c r="C12894" s="15" t="s">
        <v>800</v>
      </c>
      <c r="D12894" s="15" t="s">
        <v>23549</v>
      </c>
      <c r="E12894" s="15">
        <v>10.82</v>
      </c>
      <c r="F12894" s="42">
        <v>43593</v>
      </c>
    </row>
    <row r="12895" spans="1:6" x14ac:dyDescent="0.3">
      <c r="A12895" s="15" t="s">
        <v>37235</v>
      </c>
      <c r="B12895" s="15" t="s">
        <v>23550</v>
      </c>
      <c r="C12895" s="15" t="s">
        <v>800</v>
      </c>
      <c r="D12895" s="15" t="s">
        <v>23551</v>
      </c>
      <c r="E12895" s="15">
        <v>14.71</v>
      </c>
      <c r="F12895" s="42">
        <v>43508</v>
      </c>
    </row>
    <row r="12896" spans="1:6" x14ac:dyDescent="0.3">
      <c r="A12896" s="15" t="s">
        <v>37234</v>
      </c>
      <c r="B12896" s="15" t="s">
        <v>23552</v>
      </c>
      <c r="C12896" s="15" t="s">
        <v>800</v>
      </c>
      <c r="D12896" s="15" t="s">
        <v>23553</v>
      </c>
      <c r="E12896" s="15">
        <v>15.46</v>
      </c>
      <c r="F12896" s="42">
        <v>43508</v>
      </c>
    </row>
    <row r="12897" spans="1:6" x14ac:dyDescent="0.3">
      <c r="A12897" s="15" t="s">
        <v>37233</v>
      </c>
      <c r="B12897" s="15" t="s">
        <v>23554</v>
      </c>
      <c r="C12897" s="15" t="s">
        <v>800</v>
      </c>
      <c r="D12897" s="15" t="s">
        <v>23555</v>
      </c>
      <c r="E12897" s="15">
        <v>11.26</v>
      </c>
      <c r="F12897" s="42">
        <v>43508</v>
      </c>
    </row>
    <row r="12898" spans="1:6" x14ac:dyDescent="0.3">
      <c r="A12898" s="15" t="s">
        <v>37232</v>
      </c>
      <c r="B12898" s="15" t="s">
        <v>23556</v>
      </c>
      <c r="C12898" s="15" t="s">
        <v>800</v>
      </c>
      <c r="D12898" s="15" t="s">
        <v>23557</v>
      </c>
      <c r="E12898" s="15">
        <v>10.59</v>
      </c>
      <c r="F12898" s="42">
        <v>43508</v>
      </c>
    </row>
    <row r="12899" spans="1:6" x14ac:dyDescent="0.3">
      <c r="A12899" s="15" t="s">
        <v>37231</v>
      </c>
      <c r="B12899" s="15" t="s">
        <v>23558</v>
      </c>
      <c r="C12899" s="15" t="s">
        <v>800</v>
      </c>
      <c r="D12899" s="15" t="s">
        <v>23559</v>
      </c>
      <c r="E12899" s="15">
        <v>12.66</v>
      </c>
      <c r="F12899" s="42">
        <v>43279</v>
      </c>
    </row>
    <row r="12900" spans="1:6" x14ac:dyDescent="0.3">
      <c r="A12900" s="15" t="s">
        <v>37230</v>
      </c>
      <c r="B12900" s="15" t="s">
        <v>23560</v>
      </c>
      <c r="C12900" s="15" t="s">
        <v>800</v>
      </c>
      <c r="D12900" s="15" t="s">
        <v>23561</v>
      </c>
      <c r="E12900" s="15">
        <v>9.9600000000000009</v>
      </c>
      <c r="F12900" s="42">
        <v>43279</v>
      </c>
    </row>
    <row r="12901" spans="1:6" x14ac:dyDescent="0.3">
      <c r="A12901" s="15" t="s">
        <v>37229</v>
      </c>
      <c r="B12901" s="15" t="s">
        <v>23562</v>
      </c>
      <c r="C12901" s="15" t="s">
        <v>800</v>
      </c>
      <c r="D12901" s="15" t="s">
        <v>23563</v>
      </c>
      <c r="E12901" s="15">
        <v>13.25</v>
      </c>
      <c r="F12901" s="42">
        <v>43279</v>
      </c>
    </row>
    <row r="12902" spans="1:6" x14ac:dyDescent="0.3">
      <c r="A12902" s="15" t="s">
        <v>37228</v>
      </c>
      <c r="B12902" s="15" t="s">
        <v>23564</v>
      </c>
      <c r="C12902" s="15" t="s">
        <v>800</v>
      </c>
      <c r="D12902" s="15" t="s">
        <v>23565</v>
      </c>
      <c r="E12902" s="15">
        <v>10.43</v>
      </c>
      <c r="F12902" s="42">
        <v>43279</v>
      </c>
    </row>
    <row r="12903" spans="1:6" x14ac:dyDescent="0.3">
      <c r="A12903" s="15" t="s">
        <v>37227</v>
      </c>
      <c r="B12903" s="15" t="s">
        <v>23566</v>
      </c>
      <c r="C12903" s="15" t="s">
        <v>800</v>
      </c>
      <c r="D12903" s="15" t="s">
        <v>23567</v>
      </c>
      <c r="E12903" s="15">
        <v>10.98</v>
      </c>
      <c r="F12903" s="42">
        <v>43262</v>
      </c>
    </row>
    <row r="12904" spans="1:6" x14ac:dyDescent="0.3">
      <c r="A12904" s="15" t="s">
        <v>37226</v>
      </c>
      <c r="B12904" s="15" t="s">
        <v>23568</v>
      </c>
      <c r="C12904" s="15" t="s">
        <v>800</v>
      </c>
      <c r="D12904" s="15" t="s">
        <v>23569</v>
      </c>
      <c r="E12904" s="15">
        <v>10.51</v>
      </c>
      <c r="F12904" s="42">
        <v>43262</v>
      </c>
    </row>
    <row r="12905" spans="1:6" x14ac:dyDescent="0.3">
      <c r="A12905" s="15" t="s">
        <v>37225</v>
      </c>
      <c r="B12905" s="15" t="s">
        <v>23570</v>
      </c>
      <c r="C12905" s="15" t="s">
        <v>800</v>
      </c>
      <c r="D12905" s="15" t="s">
        <v>23571</v>
      </c>
      <c r="E12905" s="15">
        <v>10.88</v>
      </c>
      <c r="F12905" s="42">
        <v>44067</v>
      </c>
    </row>
    <row r="12906" spans="1:6" x14ac:dyDescent="0.3">
      <c r="A12906" s="15" t="s">
        <v>37224</v>
      </c>
      <c r="B12906" s="15" t="s">
        <v>23572</v>
      </c>
      <c r="C12906" s="15" t="s">
        <v>800</v>
      </c>
      <c r="D12906" s="15" t="s">
        <v>23573</v>
      </c>
      <c r="E12906" s="15">
        <v>10.17</v>
      </c>
      <c r="F12906" s="42">
        <v>44067</v>
      </c>
    </row>
    <row r="12907" spans="1:6" x14ac:dyDescent="0.3">
      <c r="A12907" s="15" t="s">
        <v>37223</v>
      </c>
      <c r="B12907" s="15" t="s">
        <v>23574</v>
      </c>
      <c r="C12907" s="15" t="s">
        <v>800</v>
      </c>
      <c r="D12907" s="15" t="s">
        <v>23575</v>
      </c>
      <c r="E12907" s="15">
        <v>12.27</v>
      </c>
      <c r="F12907" s="42">
        <v>43770</v>
      </c>
    </row>
    <row r="12908" spans="1:6" x14ac:dyDescent="0.3">
      <c r="A12908" s="15" t="s">
        <v>37222</v>
      </c>
      <c r="B12908" s="15" t="s">
        <v>23576</v>
      </c>
      <c r="C12908" s="15" t="s">
        <v>800</v>
      </c>
      <c r="D12908" s="15" t="s">
        <v>23577</v>
      </c>
      <c r="E12908" s="15">
        <v>12.6</v>
      </c>
      <c r="F12908" s="42">
        <v>43770</v>
      </c>
    </row>
    <row r="12909" spans="1:6" x14ac:dyDescent="0.3">
      <c r="A12909" s="15" t="s">
        <v>37221</v>
      </c>
      <c r="B12909" s="15" t="s">
        <v>23578</v>
      </c>
      <c r="C12909" s="15" t="s">
        <v>800</v>
      </c>
      <c r="D12909" s="15" t="s">
        <v>23579</v>
      </c>
      <c r="E12909" s="15">
        <v>10.85</v>
      </c>
      <c r="F12909" s="42">
        <v>43770</v>
      </c>
    </row>
    <row r="12910" spans="1:6" x14ac:dyDescent="0.3">
      <c r="A12910" s="15" t="s">
        <v>37220</v>
      </c>
      <c r="B12910" s="15" t="s">
        <v>23580</v>
      </c>
      <c r="C12910" s="15" t="s">
        <v>800</v>
      </c>
      <c r="D12910" s="15" t="s">
        <v>23581</v>
      </c>
      <c r="E12910" s="15">
        <v>10.53</v>
      </c>
      <c r="F12910" s="42">
        <v>43770</v>
      </c>
    </row>
    <row r="12911" spans="1:6" x14ac:dyDescent="0.3">
      <c r="A12911" s="15" t="s">
        <v>33499</v>
      </c>
      <c r="B12911" s="15" t="s">
        <v>795</v>
      </c>
      <c r="C12911" s="15" t="s">
        <v>795</v>
      </c>
      <c r="D12911" s="15" t="s">
        <v>795</v>
      </c>
      <c r="F12911" s="42"/>
    </row>
    <row r="12912" spans="1:6" x14ac:dyDescent="0.3">
      <c r="A12912" s="15" t="s">
        <v>139</v>
      </c>
      <c r="B12912" s="15" t="s">
        <v>795</v>
      </c>
      <c r="C12912" s="15" t="s">
        <v>795</v>
      </c>
      <c r="D12912" s="15" t="s">
        <v>795</v>
      </c>
      <c r="F12912" s="42"/>
    </row>
    <row r="12913" spans="1:6" x14ac:dyDescent="0.3">
      <c r="A12913" s="15" t="s">
        <v>33499</v>
      </c>
      <c r="B12913" s="15" t="s">
        <v>795</v>
      </c>
      <c r="C12913" s="15" t="s">
        <v>795</v>
      </c>
      <c r="D12913" s="15" t="s">
        <v>795</v>
      </c>
      <c r="F12913" s="42"/>
    </row>
    <row r="12914" spans="1:6" x14ac:dyDescent="0.3">
      <c r="A12914" s="15" t="s">
        <v>37219</v>
      </c>
      <c r="B12914" s="15" t="s">
        <v>23582</v>
      </c>
      <c r="C12914" s="15" t="s">
        <v>800</v>
      </c>
      <c r="D12914" s="15" t="s">
        <v>23583</v>
      </c>
      <c r="E12914" s="15">
        <v>11.212776570000001</v>
      </c>
      <c r="F12914" s="42">
        <v>43227</v>
      </c>
    </row>
    <row r="12915" spans="1:6" x14ac:dyDescent="0.3">
      <c r="A12915" s="15" t="s">
        <v>37218</v>
      </c>
      <c r="B12915" s="15" t="s">
        <v>23584</v>
      </c>
      <c r="C12915" s="15" t="s">
        <v>800</v>
      </c>
      <c r="D12915" s="15" t="s">
        <v>23585</v>
      </c>
      <c r="E12915" s="15">
        <v>13.27862178</v>
      </c>
      <c r="F12915" s="42">
        <v>43227</v>
      </c>
    </row>
    <row r="12916" spans="1:6" x14ac:dyDescent="0.3">
      <c r="A12916" s="15" t="s">
        <v>37217</v>
      </c>
      <c r="B12916" s="15" t="s">
        <v>23586</v>
      </c>
      <c r="C12916" s="15" t="s">
        <v>800</v>
      </c>
      <c r="D12916" s="15" t="s">
        <v>23587</v>
      </c>
      <c r="E12916" s="15">
        <v>11.00627096</v>
      </c>
      <c r="F12916" s="42">
        <v>43227</v>
      </c>
    </row>
    <row r="12917" spans="1:6" x14ac:dyDescent="0.3">
      <c r="A12917" s="15" t="s">
        <v>37216</v>
      </c>
      <c r="B12917" s="15" t="s">
        <v>23588</v>
      </c>
      <c r="C12917" s="15" t="s">
        <v>800</v>
      </c>
      <c r="D12917" s="15" t="s">
        <v>23589</v>
      </c>
      <c r="E12917" s="15">
        <v>13.070731439999999</v>
      </c>
      <c r="F12917" s="42">
        <v>43227</v>
      </c>
    </row>
    <row r="12918" spans="1:6" x14ac:dyDescent="0.3">
      <c r="A12918" s="15" t="s">
        <v>37215</v>
      </c>
      <c r="B12918" s="15" t="s">
        <v>23590</v>
      </c>
      <c r="C12918" s="15" t="s">
        <v>800</v>
      </c>
      <c r="D12918" s="15" t="s">
        <v>23591</v>
      </c>
      <c r="E12918" s="15">
        <v>29.187100399999999</v>
      </c>
      <c r="F12918" s="42">
        <v>45344</v>
      </c>
    </row>
    <row r="12919" spans="1:6" x14ac:dyDescent="0.3">
      <c r="A12919" s="15" t="s">
        <v>37214</v>
      </c>
      <c r="B12919" s="15" t="s">
        <v>23592</v>
      </c>
      <c r="C12919" s="15" t="s">
        <v>800</v>
      </c>
      <c r="D12919" s="15" t="s">
        <v>23593</v>
      </c>
      <c r="E12919" s="15">
        <v>31.062626460000001</v>
      </c>
      <c r="F12919" s="42">
        <v>45344</v>
      </c>
    </row>
    <row r="12920" spans="1:6" x14ac:dyDescent="0.3">
      <c r="A12920" s="15" t="s">
        <v>37213</v>
      </c>
      <c r="B12920" s="15" t="s">
        <v>23594</v>
      </c>
      <c r="C12920" s="15" t="s">
        <v>800</v>
      </c>
      <c r="D12920" s="15" t="s">
        <v>23595</v>
      </c>
      <c r="E12920" s="15">
        <v>30.84950529</v>
      </c>
      <c r="F12920" s="42">
        <v>45344</v>
      </c>
    </row>
    <row r="12921" spans="1:6" x14ac:dyDescent="0.3">
      <c r="A12921" s="15" t="s">
        <v>37212</v>
      </c>
      <c r="B12921" s="15" t="s">
        <v>23596</v>
      </c>
      <c r="C12921" s="15" t="s">
        <v>800</v>
      </c>
      <c r="D12921" s="15" t="s">
        <v>23597</v>
      </c>
      <c r="E12921" s="15">
        <v>29.18842837</v>
      </c>
      <c r="F12921" s="42">
        <v>45344</v>
      </c>
    </row>
    <row r="12922" spans="1:6" x14ac:dyDescent="0.3">
      <c r="A12922" s="15" t="s">
        <v>37211</v>
      </c>
      <c r="B12922" s="15" t="s">
        <v>23598</v>
      </c>
      <c r="C12922" s="15" t="s">
        <v>800</v>
      </c>
      <c r="D12922" s="15" t="s">
        <v>23599</v>
      </c>
      <c r="E12922" s="15">
        <v>14.74284682</v>
      </c>
      <c r="F12922" s="42">
        <v>44334</v>
      </c>
    </row>
    <row r="12923" spans="1:6" x14ac:dyDescent="0.3">
      <c r="A12923" s="15" t="s">
        <v>37210</v>
      </c>
      <c r="B12923" s="15" t="s">
        <v>23600</v>
      </c>
      <c r="C12923" s="15" t="s">
        <v>800</v>
      </c>
      <c r="D12923" s="15" t="s">
        <v>23601</v>
      </c>
      <c r="E12923" s="15">
        <v>14.74283395</v>
      </c>
      <c r="F12923" s="42">
        <v>44334</v>
      </c>
    </row>
    <row r="12924" spans="1:6" x14ac:dyDescent="0.3">
      <c r="A12924" s="15" t="s">
        <v>37209</v>
      </c>
      <c r="B12924" s="15" t="s">
        <v>23602</v>
      </c>
      <c r="C12924" s="15" t="s">
        <v>800</v>
      </c>
      <c r="D12924" s="15" t="s">
        <v>23603</v>
      </c>
      <c r="E12924" s="15">
        <v>14.636548100000001</v>
      </c>
      <c r="F12924" s="42">
        <v>44334</v>
      </c>
    </row>
    <row r="12925" spans="1:6" x14ac:dyDescent="0.3">
      <c r="A12925" s="15" t="s">
        <v>37208</v>
      </c>
      <c r="B12925" s="15" t="s">
        <v>23604</v>
      </c>
      <c r="C12925" s="15" t="s">
        <v>800</v>
      </c>
      <c r="D12925" s="15" t="s">
        <v>23605</v>
      </c>
      <c r="E12925" s="15">
        <v>14.63654539</v>
      </c>
      <c r="F12925" s="42">
        <v>44334</v>
      </c>
    </row>
    <row r="12926" spans="1:6" x14ac:dyDescent="0.3">
      <c r="A12926" s="15" t="s">
        <v>37207</v>
      </c>
      <c r="B12926" s="15" t="s">
        <v>23606</v>
      </c>
      <c r="C12926" s="15" t="s">
        <v>800</v>
      </c>
      <c r="D12926" s="15" t="s">
        <v>23607</v>
      </c>
      <c r="E12926" s="15">
        <v>15.09747791</v>
      </c>
      <c r="F12926" s="42">
        <v>44439</v>
      </c>
    </row>
    <row r="12927" spans="1:6" x14ac:dyDescent="0.3">
      <c r="A12927" s="15" t="s">
        <v>37206</v>
      </c>
      <c r="B12927" s="15" t="s">
        <v>23608</v>
      </c>
      <c r="C12927" s="15" t="s">
        <v>800</v>
      </c>
      <c r="D12927" s="15" t="s">
        <v>23609</v>
      </c>
      <c r="E12927" s="15">
        <v>14.616852590000001</v>
      </c>
      <c r="F12927" s="42">
        <v>44439</v>
      </c>
    </row>
    <row r="12928" spans="1:6" x14ac:dyDescent="0.3">
      <c r="A12928" s="15" t="s">
        <v>37205</v>
      </c>
      <c r="B12928" s="15" t="s">
        <v>23610</v>
      </c>
      <c r="C12928" s="15" t="s">
        <v>800</v>
      </c>
      <c r="D12928" s="15" t="s">
        <v>23611</v>
      </c>
      <c r="E12928" s="15">
        <v>14.61685271</v>
      </c>
      <c r="F12928" s="42">
        <v>44439</v>
      </c>
    </row>
    <row r="12929" spans="1:6" x14ac:dyDescent="0.3">
      <c r="A12929" s="15" t="s">
        <v>37204</v>
      </c>
      <c r="B12929" s="15" t="s">
        <v>23612</v>
      </c>
      <c r="C12929" s="15" t="s">
        <v>800</v>
      </c>
      <c r="D12929" s="15" t="s">
        <v>23613</v>
      </c>
      <c r="E12929" s="15">
        <v>15.097524590000001</v>
      </c>
      <c r="F12929" s="42">
        <v>44439</v>
      </c>
    </row>
    <row r="12930" spans="1:6" x14ac:dyDescent="0.3">
      <c r="A12930" s="15" t="s">
        <v>33499</v>
      </c>
      <c r="B12930" s="15" t="s">
        <v>795</v>
      </c>
      <c r="C12930" s="15" t="s">
        <v>795</v>
      </c>
      <c r="D12930" s="15" t="s">
        <v>795</v>
      </c>
      <c r="F12930" s="42"/>
    </row>
    <row r="12931" spans="1:6" x14ac:dyDescent="0.3">
      <c r="A12931" s="15" t="s">
        <v>208</v>
      </c>
      <c r="B12931" s="15" t="s">
        <v>795</v>
      </c>
      <c r="C12931" s="15" t="s">
        <v>795</v>
      </c>
      <c r="D12931" s="15" t="s">
        <v>795</v>
      </c>
      <c r="F12931" s="42"/>
    </row>
    <row r="12932" spans="1:6" x14ac:dyDescent="0.3">
      <c r="A12932" s="15" t="s">
        <v>33499</v>
      </c>
      <c r="B12932" s="15" t="s">
        <v>795</v>
      </c>
      <c r="C12932" s="15" t="s">
        <v>795</v>
      </c>
      <c r="D12932" s="15" t="s">
        <v>795</v>
      </c>
      <c r="F12932" s="42"/>
    </row>
    <row r="12933" spans="1:6" x14ac:dyDescent="0.3">
      <c r="A12933" s="15" t="s">
        <v>37203</v>
      </c>
      <c r="B12933" s="15" t="s">
        <v>23614</v>
      </c>
      <c r="C12933" s="15" t="s">
        <v>800</v>
      </c>
      <c r="D12933" s="15" t="s">
        <v>23615</v>
      </c>
      <c r="E12933" s="15">
        <v>10.327</v>
      </c>
      <c r="F12933" s="42">
        <v>44126</v>
      </c>
    </row>
    <row r="12934" spans="1:6" x14ac:dyDescent="0.3">
      <c r="A12934" s="15" t="s">
        <v>37202</v>
      </c>
      <c r="B12934" s="15" t="s">
        <v>23616</v>
      </c>
      <c r="C12934" s="15" t="s">
        <v>800</v>
      </c>
      <c r="D12934" s="15" t="s">
        <v>23617</v>
      </c>
      <c r="E12934" s="15">
        <v>10.327</v>
      </c>
      <c r="F12934" s="42">
        <v>44126</v>
      </c>
    </row>
    <row r="12935" spans="1:6" x14ac:dyDescent="0.3">
      <c r="A12935" s="15" t="s">
        <v>37201</v>
      </c>
      <c r="B12935" s="15" t="s">
        <v>23618</v>
      </c>
      <c r="C12935" s="15" t="s">
        <v>800</v>
      </c>
      <c r="D12935" s="15" t="s">
        <v>23619</v>
      </c>
      <c r="E12935" s="15">
        <v>10.045199999999999</v>
      </c>
      <c r="F12935" s="42">
        <v>44126</v>
      </c>
    </row>
    <row r="12936" spans="1:6" x14ac:dyDescent="0.3">
      <c r="A12936" s="15" t="s">
        <v>37200</v>
      </c>
      <c r="B12936" s="15" t="s">
        <v>23620</v>
      </c>
      <c r="C12936" s="15" t="s">
        <v>800</v>
      </c>
      <c r="D12936" s="15" t="s">
        <v>23621</v>
      </c>
      <c r="E12936" s="15">
        <v>10.045199999999999</v>
      </c>
      <c r="F12936" s="42">
        <v>44126</v>
      </c>
    </row>
    <row r="12937" spans="1:6" x14ac:dyDescent="0.3">
      <c r="A12937" s="15" t="s">
        <v>37199</v>
      </c>
      <c r="B12937" s="15" t="s">
        <v>23622</v>
      </c>
      <c r="C12937" s="15" t="s">
        <v>800</v>
      </c>
      <c r="D12937" s="15" t="s">
        <v>23623</v>
      </c>
      <c r="E12937" s="15">
        <v>11.4785</v>
      </c>
      <c r="F12937" s="42">
        <v>44277</v>
      </c>
    </row>
    <row r="12938" spans="1:6" x14ac:dyDescent="0.3">
      <c r="A12938" s="15" t="s">
        <v>37198</v>
      </c>
      <c r="B12938" s="15" t="s">
        <v>23624</v>
      </c>
      <c r="C12938" s="15" t="s">
        <v>800</v>
      </c>
      <c r="D12938" s="15" t="s">
        <v>23625</v>
      </c>
      <c r="E12938" s="15">
        <v>11.4785</v>
      </c>
      <c r="F12938" s="42">
        <v>44277</v>
      </c>
    </row>
    <row r="12939" spans="1:6" x14ac:dyDescent="0.3">
      <c r="A12939" s="15" t="s">
        <v>37197</v>
      </c>
      <c r="B12939" s="15" t="s">
        <v>23626</v>
      </c>
      <c r="C12939" s="15" t="s">
        <v>800</v>
      </c>
      <c r="D12939" s="15" t="s">
        <v>23627</v>
      </c>
      <c r="E12939" s="15">
        <v>11.1685</v>
      </c>
      <c r="F12939" s="42">
        <v>44277</v>
      </c>
    </row>
    <row r="12940" spans="1:6" x14ac:dyDescent="0.3">
      <c r="A12940" s="15" t="s">
        <v>37196</v>
      </c>
      <c r="B12940" s="15" t="s">
        <v>23628</v>
      </c>
      <c r="C12940" s="15" t="s">
        <v>800</v>
      </c>
      <c r="D12940" s="15" t="s">
        <v>23629</v>
      </c>
      <c r="E12940" s="15">
        <v>11.1685</v>
      </c>
      <c r="F12940" s="42">
        <v>44277</v>
      </c>
    </row>
    <row r="12941" spans="1:6" x14ac:dyDescent="0.3">
      <c r="A12941" s="15" t="s">
        <v>37195</v>
      </c>
      <c r="B12941" s="15" t="s">
        <v>23630</v>
      </c>
      <c r="C12941" s="15" t="s">
        <v>800</v>
      </c>
      <c r="D12941" s="15" t="s">
        <v>23631</v>
      </c>
      <c r="E12941" s="15">
        <v>10.6411</v>
      </c>
      <c r="F12941" s="42">
        <v>44214</v>
      </c>
    </row>
    <row r="12942" spans="1:6" x14ac:dyDescent="0.3">
      <c r="A12942" s="15" t="s">
        <v>37194</v>
      </c>
      <c r="B12942" s="15" t="s">
        <v>23632</v>
      </c>
      <c r="C12942" s="15" t="s">
        <v>800</v>
      </c>
      <c r="D12942" s="15" t="s">
        <v>23633</v>
      </c>
      <c r="E12942" s="15">
        <v>10.6411</v>
      </c>
      <c r="F12942" s="42">
        <v>44214</v>
      </c>
    </row>
    <row r="12943" spans="1:6" x14ac:dyDescent="0.3">
      <c r="A12943" s="15" t="s">
        <v>37193</v>
      </c>
      <c r="B12943" s="15" t="s">
        <v>23634</v>
      </c>
      <c r="C12943" s="15" t="s">
        <v>800</v>
      </c>
      <c r="D12943" s="15" t="s">
        <v>23635</v>
      </c>
      <c r="E12943" s="15">
        <v>10.3583</v>
      </c>
      <c r="F12943" s="42">
        <v>44214</v>
      </c>
    </row>
    <row r="12944" spans="1:6" x14ac:dyDescent="0.3">
      <c r="A12944" s="15" t="s">
        <v>37192</v>
      </c>
      <c r="B12944" s="15" t="s">
        <v>23636</v>
      </c>
      <c r="C12944" s="15" t="s">
        <v>800</v>
      </c>
      <c r="D12944" s="15" t="s">
        <v>23637</v>
      </c>
      <c r="E12944" s="15">
        <v>10.3583</v>
      </c>
      <c r="F12944" s="42">
        <v>44214</v>
      </c>
    </row>
    <row r="12945" spans="1:6" x14ac:dyDescent="0.3">
      <c r="A12945" s="15" t="s">
        <v>37191</v>
      </c>
      <c r="B12945" s="15" t="s">
        <v>23638</v>
      </c>
      <c r="C12945" s="15" t="s">
        <v>800</v>
      </c>
      <c r="D12945" s="15" t="s">
        <v>23639</v>
      </c>
      <c r="E12945" s="15">
        <v>10</v>
      </c>
      <c r="F12945" s="42">
        <v>44326</v>
      </c>
    </row>
    <row r="12946" spans="1:6" x14ac:dyDescent="0.3">
      <c r="A12946" s="15" t="s">
        <v>37190</v>
      </c>
      <c r="B12946" s="15" t="s">
        <v>23640</v>
      </c>
      <c r="C12946" s="15" t="s">
        <v>800</v>
      </c>
      <c r="D12946" s="15" t="s">
        <v>23641</v>
      </c>
      <c r="E12946" s="15">
        <v>10</v>
      </c>
      <c r="F12946" s="42">
        <v>44326</v>
      </c>
    </row>
    <row r="12947" spans="1:6" x14ac:dyDescent="0.3">
      <c r="A12947" s="15" t="s">
        <v>37189</v>
      </c>
      <c r="B12947" s="15" t="s">
        <v>23642</v>
      </c>
      <c r="C12947" s="15" t="s">
        <v>800</v>
      </c>
      <c r="D12947" s="15" t="s">
        <v>23643</v>
      </c>
      <c r="E12947" s="15">
        <v>12.686400000000001</v>
      </c>
      <c r="F12947" s="42">
        <v>44326</v>
      </c>
    </row>
    <row r="12948" spans="1:6" x14ac:dyDescent="0.3">
      <c r="A12948" s="15" t="s">
        <v>37188</v>
      </c>
      <c r="B12948" s="15" t="s">
        <v>23644</v>
      </c>
      <c r="C12948" s="15" t="s">
        <v>800</v>
      </c>
      <c r="D12948" s="15" t="s">
        <v>23645</v>
      </c>
      <c r="E12948" s="15">
        <v>12.644</v>
      </c>
      <c r="F12948" s="42">
        <v>44326</v>
      </c>
    </row>
    <row r="12949" spans="1:6" x14ac:dyDescent="0.3">
      <c r="A12949" s="15" t="s">
        <v>37187</v>
      </c>
      <c r="B12949" s="15" t="s">
        <v>23646</v>
      </c>
      <c r="C12949" s="15" t="s">
        <v>800</v>
      </c>
      <c r="D12949" s="15" t="s">
        <v>23647</v>
      </c>
      <c r="E12949" s="15">
        <v>16.597000000000001</v>
      </c>
      <c r="F12949" s="42">
        <v>44592</v>
      </c>
    </row>
    <row r="12950" spans="1:6" x14ac:dyDescent="0.3">
      <c r="A12950" s="15" t="s">
        <v>37186</v>
      </c>
      <c r="B12950" s="15" t="s">
        <v>23648</v>
      </c>
      <c r="C12950" s="15" t="s">
        <v>800</v>
      </c>
      <c r="D12950" s="15" t="s">
        <v>23649</v>
      </c>
      <c r="E12950" s="15">
        <v>16.065200000000001</v>
      </c>
      <c r="F12950" s="42">
        <v>44592</v>
      </c>
    </row>
    <row r="12951" spans="1:6" x14ac:dyDescent="0.3">
      <c r="A12951" s="15" t="s">
        <v>37185</v>
      </c>
      <c r="B12951" s="15" t="s">
        <v>23650</v>
      </c>
      <c r="C12951" s="15" t="s">
        <v>800</v>
      </c>
      <c r="D12951" s="15" t="s">
        <v>23651</v>
      </c>
      <c r="E12951" s="15">
        <v>16.597000000000001</v>
      </c>
      <c r="F12951" s="42">
        <v>44592</v>
      </c>
    </row>
    <row r="12952" spans="1:6" x14ac:dyDescent="0.3">
      <c r="A12952" s="15" t="s">
        <v>37184</v>
      </c>
      <c r="B12952" s="15" t="s">
        <v>23652</v>
      </c>
      <c r="C12952" s="15" t="s">
        <v>800</v>
      </c>
      <c r="D12952" s="15" t="s">
        <v>23653</v>
      </c>
      <c r="E12952" s="15">
        <v>16.065200000000001</v>
      </c>
      <c r="F12952" s="42">
        <v>44592</v>
      </c>
    </row>
    <row r="12953" spans="1:6" x14ac:dyDescent="0.3">
      <c r="A12953" s="15" t="s">
        <v>37183</v>
      </c>
      <c r="B12953" s="15" t="s">
        <v>23654</v>
      </c>
      <c r="C12953" s="15" t="s">
        <v>800</v>
      </c>
      <c r="D12953" s="15" t="s">
        <v>23655</v>
      </c>
      <c r="E12953" s="15">
        <v>13.8329</v>
      </c>
      <c r="F12953" s="42">
        <v>43585</v>
      </c>
    </row>
    <row r="12954" spans="1:6" x14ac:dyDescent="0.3">
      <c r="A12954" s="15" t="s">
        <v>37182</v>
      </c>
      <c r="B12954" s="15" t="s">
        <v>23656</v>
      </c>
      <c r="C12954" s="15" t="s">
        <v>800</v>
      </c>
      <c r="D12954" s="15" t="s">
        <v>23657</v>
      </c>
      <c r="E12954" s="15">
        <v>13.8329</v>
      </c>
      <c r="F12954" s="42">
        <v>43585</v>
      </c>
    </row>
    <row r="12955" spans="1:6" x14ac:dyDescent="0.3">
      <c r="A12955" s="15" t="s">
        <v>37181</v>
      </c>
      <c r="B12955" s="15" t="s">
        <v>23658</v>
      </c>
      <c r="C12955" s="15" t="s">
        <v>800</v>
      </c>
      <c r="D12955" s="15" t="s">
        <v>23659</v>
      </c>
      <c r="E12955" s="15">
        <v>13.0421</v>
      </c>
      <c r="F12955" s="42">
        <v>43585</v>
      </c>
    </row>
    <row r="12956" spans="1:6" x14ac:dyDescent="0.3">
      <c r="A12956" s="15" t="s">
        <v>37180</v>
      </c>
      <c r="B12956" s="15" t="s">
        <v>23660</v>
      </c>
      <c r="C12956" s="15" t="s">
        <v>800</v>
      </c>
      <c r="D12956" s="15" t="s">
        <v>23661</v>
      </c>
      <c r="E12956" s="15">
        <v>13.0421</v>
      </c>
      <c r="F12956" s="42">
        <v>43585</v>
      </c>
    </row>
    <row r="12957" spans="1:6" x14ac:dyDescent="0.3">
      <c r="A12957" s="15" t="s">
        <v>37179</v>
      </c>
      <c r="B12957" s="15" t="s">
        <v>23662</v>
      </c>
      <c r="C12957" s="15" t="s">
        <v>800</v>
      </c>
      <c r="D12957" s="15" t="s">
        <v>23663</v>
      </c>
      <c r="E12957" s="15">
        <v>12.5434</v>
      </c>
      <c r="F12957" s="42">
        <v>43185</v>
      </c>
    </row>
    <row r="12958" spans="1:6" x14ac:dyDescent="0.3">
      <c r="A12958" s="15" t="s">
        <v>37178</v>
      </c>
      <c r="B12958" s="15" t="s">
        <v>23664</v>
      </c>
      <c r="C12958" s="15" t="s">
        <v>800</v>
      </c>
      <c r="D12958" s="15" t="s">
        <v>23665</v>
      </c>
      <c r="E12958" s="15">
        <v>12.5434</v>
      </c>
      <c r="F12958" s="42">
        <v>43185</v>
      </c>
    </row>
    <row r="12959" spans="1:6" x14ac:dyDescent="0.3">
      <c r="A12959" s="15" t="s">
        <v>37177</v>
      </c>
      <c r="B12959" s="15" t="s">
        <v>23666</v>
      </c>
      <c r="C12959" s="15" t="s">
        <v>800</v>
      </c>
      <c r="D12959" s="15" t="s">
        <v>23667</v>
      </c>
      <c r="E12959" s="15">
        <v>12.1517</v>
      </c>
      <c r="F12959" s="42">
        <v>43185</v>
      </c>
    </row>
    <row r="12960" spans="1:6" x14ac:dyDescent="0.3">
      <c r="A12960" s="15" t="s">
        <v>37176</v>
      </c>
      <c r="B12960" s="15" t="s">
        <v>23668</v>
      </c>
      <c r="C12960" s="15" t="s">
        <v>800</v>
      </c>
      <c r="D12960" s="15" t="s">
        <v>23669</v>
      </c>
      <c r="E12960" s="15">
        <v>12.1517</v>
      </c>
      <c r="F12960" s="42">
        <v>43185</v>
      </c>
    </row>
    <row r="12961" spans="1:6" x14ac:dyDescent="0.3">
      <c r="A12961" s="15" t="s">
        <v>37175</v>
      </c>
      <c r="B12961" s="15" t="s">
        <v>23670</v>
      </c>
      <c r="C12961" s="15" t="s">
        <v>800</v>
      </c>
      <c r="D12961" s="15" t="s">
        <v>23671</v>
      </c>
      <c r="E12961" s="15">
        <v>10</v>
      </c>
      <c r="F12961" s="42">
        <v>43098</v>
      </c>
    </row>
    <row r="12962" spans="1:6" x14ac:dyDescent="0.3">
      <c r="A12962" s="15" t="s">
        <v>37174</v>
      </c>
      <c r="B12962" s="15" t="s">
        <v>23672</v>
      </c>
      <c r="C12962" s="15" t="s">
        <v>800</v>
      </c>
      <c r="D12962" s="15" t="s">
        <v>23673</v>
      </c>
      <c r="E12962" s="15">
        <v>14.5494</v>
      </c>
      <c r="F12962" s="42">
        <v>43098</v>
      </c>
    </row>
    <row r="12963" spans="1:6" x14ac:dyDescent="0.3">
      <c r="A12963" s="15" t="s">
        <v>37173</v>
      </c>
      <c r="B12963" s="15" t="s">
        <v>23674</v>
      </c>
      <c r="C12963" s="15" t="s">
        <v>800</v>
      </c>
      <c r="D12963" s="15" t="s">
        <v>23675</v>
      </c>
      <c r="E12963" s="15">
        <v>10</v>
      </c>
      <c r="F12963" s="42">
        <v>43098</v>
      </c>
    </row>
    <row r="12964" spans="1:6" x14ac:dyDescent="0.3">
      <c r="A12964" s="15" t="s">
        <v>37172</v>
      </c>
      <c r="B12964" s="15" t="s">
        <v>23676</v>
      </c>
      <c r="C12964" s="15" t="s">
        <v>800</v>
      </c>
      <c r="D12964" s="15" t="s">
        <v>23677</v>
      </c>
      <c r="E12964" s="15">
        <v>14.2989</v>
      </c>
      <c r="F12964" s="42">
        <v>43098</v>
      </c>
    </row>
    <row r="12965" spans="1:6" x14ac:dyDescent="0.3">
      <c r="A12965" s="15" t="s">
        <v>37171</v>
      </c>
      <c r="B12965" s="15" t="s">
        <v>23678</v>
      </c>
      <c r="C12965" s="15" t="s">
        <v>800</v>
      </c>
      <c r="D12965" s="15" t="s">
        <v>23679</v>
      </c>
      <c r="E12965" s="15">
        <v>12.0184</v>
      </c>
      <c r="F12965" s="42">
        <v>43280</v>
      </c>
    </row>
    <row r="12966" spans="1:6" x14ac:dyDescent="0.3">
      <c r="A12966" s="15" t="s">
        <v>37170</v>
      </c>
      <c r="B12966" s="15" t="s">
        <v>23680</v>
      </c>
      <c r="C12966" s="15" t="s">
        <v>800</v>
      </c>
      <c r="D12966" s="15" t="s">
        <v>23681</v>
      </c>
      <c r="E12966" s="15">
        <v>13.316599999999999</v>
      </c>
      <c r="F12966" s="42">
        <v>43280</v>
      </c>
    </row>
    <row r="12967" spans="1:6" x14ac:dyDescent="0.3">
      <c r="A12967" s="15" t="s">
        <v>37169</v>
      </c>
      <c r="B12967" s="15" t="s">
        <v>23682</v>
      </c>
      <c r="C12967" s="15" t="s">
        <v>800</v>
      </c>
      <c r="D12967" s="15" t="s">
        <v>23683</v>
      </c>
      <c r="E12967" s="15">
        <v>11.5589</v>
      </c>
      <c r="F12967" s="42">
        <v>43280</v>
      </c>
    </row>
    <row r="12968" spans="1:6" x14ac:dyDescent="0.3">
      <c r="A12968" s="15" t="s">
        <v>37168</v>
      </c>
      <c r="B12968" s="15" t="s">
        <v>23684</v>
      </c>
      <c r="C12968" s="15" t="s">
        <v>800</v>
      </c>
      <c r="D12968" s="15" t="s">
        <v>23685</v>
      </c>
      <c r="E12968" s="15">
        <v>12.8527</v>
      </c>
      <c r="F12968" s="42">
        <v>43280</v>
      </c>
    </row>
    <row r="12969" spans="1:6" x14ac:dyDescent="0.3">
      <c r="A12969" s="15" t="s">
        <v>37167</v>
      </c>
      <c r="B12969" s="15" t="s">
        <v>23686</v>
      </c>
      <c r="C12969" s="15" t="s">
        <v>800</v>
      </c>
      <c r="D12969" s="15" t="s">
        <v>23687</v>
      </c>
      <c r="E12969" s="15">
        <v>17.903600000000001</v>
      </c>
      <c r="F12969" s="42">
        <v>42954</v>
      </c>
    </row>
    <row r="12970" spans="1:6" x14ac:dyDescent="0.3">
      <c r="A12970" s="15" t="s">
        <v>37166</v>
      </c>
      <c r="B12970" s="15" t="s">
        <v>23688</v>
      </c>
      <c r="C12970" s="15" t="s">
        <v>800</v>
      </c>
      <c r="D12970" s="15" t="s">
        <v>23689</v>
      </c>
      <c r="E12970" s="15">
        <v>17.903600000000001</v>
      </c>
      <c r="F12970" s="42">
        <v>42954</v>
      </c>
    </row>
    <row r="12971" spans="1:6" x14ac:dyDescent="0.3">
      <c r="A12971" s="15" t="s">
        <v>37165</v>
      </c>
      <c r="B12971" s="15" t="s">
        <v>23690</v>
      </c>
      <c r="C12971" s="15" t="s">
        <v>800</v>
      </c>
      <c r="D12971" s="15" t="s">
        <v>23691</v>
      </c>
      <c r="E12971" s="15">
        <v>17.461099999999998</v>
      </c>
      <c r="F12971" s="42">
        <v>42954</v>
      </c>
    </row>
    <row r="12972" spans="1:6" x14ac:dyDescent="0.3">
      <c r="A12972" s="15" t="s">
        <v>37164</v>
      </c>
      <c r="B12972" s="15" t="s">
        <v>23692</v>
      </c>
      <c r="C12972" s="15" t="s">
        <v>800</v>
      </c>
      <c r="D12972" s="15" t="s">
        <v>23693</v>
      </c>
      <c r="E12972" s="15">
        <v>17.461099999999998</v>
      </c>
      <c r="F12972" s="42">
        <v>42954</v>
      </c>
    </row>
    <row r="12973" spans="1:6" x14ac:dyDescent="0.3">
      <c r="A12973" s="15" t="s">
        <v>37163</v>
      </c>
      <c r="B12973" s="15" t="s">
        <v>23694</v>
      </c>
      <c r="C12973" s="15" t="s">
        <v>800</v>
      </c>
      <c r="D12973" s="15" t="s">
        <v>23695</v>
      </c>
      <c r="E12973" s="15">
        <v>13.8255</v>
      </c>
      <c r="F12973" s="42">
        <v>42979</v>
      </c>
    </row>
    <row r="12974" spans="1:6" x14ac:dyDescent="0.3">
      <c r="A12974" s="15" t="s">
        <v>37162</v>
      </c>
      <c r="B12974" s="15" t="s">
        <v>23696</v>
      </c>
      <c r="C12974" s="15" t="s">
        <v>800</v>
      </c>
      <c r="D12974" s="15" t="s">
        <v>23697</v>
      </c>
      <c r="E12974" s="15">
        <v>13.8255</v>
      </c>
      <c r="F12974" s="42">
        <v>42979</v>
      </c>
    </row>
    <row r="12975" spans="1:6" x14ac:dyDescent="0.3">
      <c r="A12975" s="15" t="s">
        <v>37161</v>
      </c>
      <c r="B12975" s="15" t="s">
        <v>23698</v>
      </c>
      <c r="C12975" s="15" t="s">
        <v>800</v>
      </c>
      <c r="D12975" s="15" t="s">
        <v>23699</v>
      </c>
      <c r="E12975" s="15">
        <v>13.2339</v>
      </c>
      <c r="F12975" s="42">
        <v>42979</v>
      </c>
    </row>
    <row r="12976" spans="1:6" x14ac:dyDescent="0.3">
      <c r="A12976" s="15" t="s">
        <v>37160</v>
      </c>
      <c r="B12976" s="15" t="s">
        <v>23700</v>
      </c>
      <c r="C12976" s="15" t="s">
        <v>800</v>
      </c>
      <c r="D12976" s="15" t="s">
        <v>23701</v>
      </c>
      <c r="E12976" s="15">
        <v>13.2339</v>
      </c>
      <c r="F12976" s="42">
        <v>42979</v>
      </c>
    </row>
    <row r="12977" spans="1:6" x14ac:dyDescent="0.3">
      <c r="A12977" s="15" t="s">
        <v>37159</v>
      </c>
      <c r="B12977" s="15" t="s">
        <v>23702</v>
      </c>
      <c r="C12977" s="15" t="s">
        <v>800</v>
      </c>
      <c r="D12977" s="15" t="s">
        <v>23703</v>
      </c>
      <c r="E12977" s="15">
        <v>14.4939</v>
      </c>
      <c r="F12977" s="42">
        <v>43017</v>
      </c>
    </row>
    <row r="12978" spans="1:6" x14ac:dyDescent="0.3">
      <c r="A12978" s="15" t="s">
        <v>37158</v>
      </c>
      <c r="B12978" s="15" t="s">
        <v>23704</v>
      </c>
      <c r="C12978" s="15" t="s">
        <v>800</v>
      </c>
      <c r="D12978" s="15" t="s">
        <v>23705</v>
      </c>
      <c r="E12978" s="15">
        <v>14.4939</v>
      </c>
      <c r="F12978" s="42">
        <v>43017</v>
      </c>
    </row>
    <row r="12979" spans="1:6" x14ac:dyDescent="0.3">
      <c r="A12979" s="15" t="s">
        <v>37157</v>
      </c>
      <c r="B12979" s="15" t="s">
        <v>23706</v>
      </c>
      <c r="C12979" s="15" t="s">
        <v>800</v>
      </c>
      <c r="D12979" s="15" t="s">
        <v>23707</v>
      </c>
      <c r="E12979" s="15">
        <v>13.8573</v>
      </c>
      <c r="F12979" s="42">
        <v>43017</v>
      </c>
    </row>
    <row r="12980" spans="1:6" x14ac:dyDescent="0.3">
      <c r="A12980" s="15" t="s">
        <v>37156</v>
      </c>
      <c r="B12980" s="15" t="s">
        <v>23708</v>
      </c>
      <c r="C12980" s="15" t="s">
        <v>800</v>
      </c>
      <c r="D12980" s="15" t="s">
        <v>23709</v>
      </c>
      <c r="E12980" s="15">
        <v>13.8573</v>
      </c>
      <c r="F12980" s="42">
        <v>43017</v>
      </c>
    </row>
    <row r="12981" spans="1:6" x14ac:dyDescent="0.3">
      <c r="A12981" s="15" t="s">
        <v>37155</v>
      </c>
      <c r="B12981" s="15" t="s">
        <v>23710</v>
      </c>
      <c r="C12981" s="15" t="s">
        <v>800</v>
      </c>
      <c r="D12981" s="15" t="s">
        <v>23711</v>
      </c>
      <c r="E12981" s="15">
        <v>12.2273</v>
      </c>
      <c r="F12981" s="42">
        <v>43438</v>
      </c>
    </row>
    <row r="12982" spans="1:6" x14ac:dyDescent="0.3">
      <c r="A12982" s="15" t="s">
        <v>37154</v>
      </c>
      <c r="B12982" s="15" t="s">
        <v>23712</v>
      </c>
      <c r="C12982" s="15" t="s">
        <v>800</v>
      </c>
      <c r="D12982" s="15" t="s">
        <v>23713</v>
      </c>
      <c r="E12982" s="15">
        <v>23.824100000000001</v>
      </c>
      <c r="F12982" s="42">
        <v>43438</v>
      </c>
    </row>
    <row r="12983" spans="1:6" x14ac:dyDescent="0.3">
      <c r="A12983" s="15" t="s">
        <v>37153</v>
      </c>
      <c r="B12983" s="15" t="s">
        <v>23714</v>
      </c>
      <c r="C12983" s="15" t="s">
        <v>800</v>
      </c>
      <c r="D12983" s="15" t="s">
        <v>23715</v>
      </c>
      <c r="E12983" s="15">
        <v>11.2608</v>
      </c>
      <c r="F12983" s="42">
        <v>43438</v>
      </c>
    </row>
    <row r="12984" spans="1:6" x14ac:dyDescent="0.3">
      <c r="A12984" s="15" t="s">
        <v>37152</v>
      </c>
      <c r="B12984" s="15" t="s">
        <v>23716</v>
      </c>
      <c r="C12984" s="15" t="s">
        <v>800</v>
      </c>
      <c r="D12984" s="15" t="s">
        <v>23717</v>
      </c>
      <c r="E12984" s="15">
        <v>22.668800000000001</v>
      </c>
      <c r="F12984" s="42">
        <v>43438</v>
      </c>
    </row>
    <row r="12985" spans="1:6" x14ac:dyDescent="0.3">
      <c r="A12985" s="15" t="s">
        <v>37151</v>
      </c>
      <c r="B12985" s="15" t="s">
        <v>23718</v>
      </c>
      <c r="C12985" s="15" t="s">
        <v>800</v>
      </c>
      <c r="D12985" s="15" t="s">
        <v>23719</v>
      </c>
      <c r="E12985" s="15">
        <v>12.256399999999999</v>
      </c>
      <c r="F12985" s="42">
        <v>43466</v>
      </c>
    </row>
    <row r="12986" spans="1:6" x14ac:dyDescent="0.3">
      <c r="A12986" s="15" t="s">
        <v>37150</v>
      </c>
      <c r="B12986" s="15" t="s">
        <v>23720</v>
      </c>
      <c r="C12986" s="15" t="s">
        <v>800</v>
      </c>
      <c r="D12986" s="15" t="s">
        <v>23721</v>
      </c>
      <c r="E12986" s="15">
        <v>23.883700000000001</v>
      </c>
      <c r="F12986" s="42">
        <v>43466</v>
      </c>
    </row>
    <row r="12987" spans="1:6" x14ac:dyDescent="0.3">
      <c r="A12987" s="15" t="s">
        <v>37149</v>
      </c>
      <c r="B12987" s="15" t="s">
        <v>23722</v>
      </c>
      <c r="C12987" s="15" t="s">
        <v>800</v>
      </c>
      <c r="D12987" s="15" t="s">
        <v>23723</v>
      </c>
      <c r="E12987" s="15">
        <v>11.251799999999999</v>
      </c>
      <c r="F12987" s="42">
        <v>43466</v>
      </c>
    </row>
    <row r="12988" spans="1:6" x14ac:dyDescent="0.3">
      <c r="A12988" s="15" t="s">
        <v>37148</v>
      </c>
      <c r="B12988" s="15" t="s">
        <v>23724</v>
      </c>
      <c r="C12988" s="15" t="s">
        <v>800</v>
      </c>
      <c r="D12988" s="15" t="s">
        <v>23725</v>
      </c>
      <c r="E12988" s="15">
        <v>22.652000000000001</v>
      </c>
      <c r="F12988" s="42">
        <v>43466</v>
      </c>
    </row>
    <row r="12989" spans="1:6" x14ac:dyDescent="0.3">
      <c r="A12989" s="15" t="s">
        <v>37147</v>
      </c>
      <c r="B12989" s="15" t="s">
        <v>23726</v>
      </c>
      <c r="C12989" s="15" t="s">
        <v>800</v>
      </c>
      <c r="D12989" s="15" t="s">
        <v>23727</v>
      </c>
      <c r="E12989" s="15">
        <v>13.6958</v>
      </c>
      <c r="F12989" s="42">
        <v>43613</v>
      </c>
    </row>
    <row r="12990" spans="1:6" x14ac:dyDescent="0.3">
      <c r="A12990" s="15" t="s">
        <v>37146</v>
      </c>
      <c r="B12990" s="15" t="s">
        <v>23728</v>
      </c>
      <c r="C12990" s="15" t="s">
        <v>800</v>
      </c>
      <c r="D12990" s="15" t="s">
        <v>23729</v>
      </c>
      <c r="E12990" s="15">
        <v>19.330100000000002</v>
      </c>
      <c r="F12990" s="42">
        <v>43613</v>
      </c>
    </row>
    <row r="12991" spans="1:6" x14ac:dyDescent="0.3">
      <c r="A12991" s="15" t="s">
        <v>37145</v>
      </c>
      <c r="B12991" s="15" t="s">
        <v>23730</v>
      </c>
      <c r="C12991" s="15" t="s">
        <v>800</v>
      </c>
      <c r="D12991" s="15" t="s">
        <v>23731</v>
      </c>
      <c r="E12991" s="15">
        <v>12.913600000000001</v>
      </c>
      <c r="F12991" s="42">
        <v>43613</v>
      </c>
    </row>
    <row r="12992" spans="1:6" x14ac:dyDescent="0.3">
      <c r="A12992" s="15" t="s">
        <v>37144</v>
      </c>
      <c r="B12992" s="15" t="s">
        <v>23732</v>
      </c>
      <c r="C12992" s="15" t="s">
        <v>800</v>
      </c>
      <c r="D12992" s="15" t="s">
        <v>23733</v>
      </c>
      <c r="E12992" s="15">
        <v>18.505199999999999</v>
      </c>
      <c r="F12992" s="42">
        <v>43613</v>
      </c>
    </row>
    <row r="12993" spans="1:6" x14ac:dyDescent="0.3">
      <c r="A12993" s="15" t="s">
        <v>33499</v>
      </c>
      <c r="B12993" s="15" t="s">
        <v>795</v>
      </c>
      <c r="C12993" s="15" t="s">
        <v>795</v>
      </c>
      <c r="D12993" s="15" t="s">
        <v>795</v>
      </c>
      <c r="F12993" s="42"/>
    </row>
    <row r="12994" spans="1:6" x14ac:dyDescent="0.3">
      <c r="A12994" s="15" t="s">
        <v>33500</v>
      </c>
      <c r="B12994" s="15" t="s">
        <v>795</v>
      </c>
      <c r="C12994" s="15" t="s">
        <v>795</v>
      </c>
      <c r="D12994" s="15" t="s">
        <v>795</v>
      </c>
      <c r="F12994" s="42"/>
    </row>
    <row r="12995" spans="1:6" x14ac:dyDescent="0.3">
      <c r="A12995" s="15" t="s">
        <v>33499</v>
      </c>
      <c r="B12995" s="15" t="s">
        <v>795</v>
      </c>
      <c r="C12995" s="15" t="s">
        <v>795</v>
      </c>
      <c r="D12995" s="15" t="s">
        <v>795</v>
      </c>
      <c r="F12995" s="42"/>
    </row>
    <row r="12996" spans="1:6" x14ac:dyDescent="0.3">
      <c r="A12996" s="15" t="s">
        <v>37143</v>
      </c>
      <c r="B12996" s="15" t="s">
        <v>23734</v>
      </c>
      <c r="C12996" s="15" t="s">
        <v>800</v>
      </c>
      <c r="D12996" s="15" t="s">
        <v>23735</v>
      </c>
      <c r="E12996" s="15">
        <v>14.205</v>
      </c>
      <c r="F12996" s="42">
        <v>44081</v>
      </c>
    </row>
    <row r="12997" spans="1:6" x14ac:dyDescent="0.3">
      <c r="A12997" s="15" t="s">
        <v>37142</v>
      </c>
      <c r="B12997" s="15" t="s">
        <v>23736</v>
      </c>
      <c r="C12997" s="15" t="s">
        <v>800</v>
      </c>
      <c r="D12997" s="15" t="s">
        <v>23737</v>
      </c>
      <c r="E12997" s="15">
        <v>15.3687</v>
      </c>
      <c r="F12997" s="42">
        <v>44081</v>
      </c>
    </row>
    <row r="12998" spans="1:6" x14ac:dyDescent="0.3">
      <c r="A12998" s="15" t="s">
        <v>37141</v>
      </c>
      <c r="B12998" s="15" t="s">
        <v>23738</v>
      </c>
      <c r="C12998" s="15" t="s">
        <v>800</v>
      </c>
      <c r="D12998" s="15" t="s">
        <v>23739</v>
      </c>
      <c r="E12998" s="15">
        <v>13.2056</v>
      </c>
      <c r="F12998" s="42">
        <v>44081</v>
      </c>
    </row>
    <row r="12999" spans="1:6" x14ac:dyDescent="0.3">
      <c r="A12999" s="15" t="s">
        <v>37140</v>
      </c>
      <c r="B12999" s="15" t="s">
        <v>23740</v>
      </c>
      <c r="C12999" s="15" t="s">
        <v>800</v>
      </c>
      <c r="D12999" s="15" t="s">
        <v>23741</v>
      </c>
      <c r="E12999" s="15">
        <v>14.3308</v>
      </c>
      <c r="F12999" s="42">
        <v>44081</v>
      </c>
    </row>
    <row r="13000" spans="1:6" x14ac:dyDescent="0.3">
      <c r="A13000" s="15" t="s">
        <v>37139</v>
      </c>
      <c r="B13000" s="15" t="s">
        <v>23742</v>
      </c>
      <c r="C13000" s="15" t="s">
        <v>800</v>
      </c>
      <c r="D13000" s="15" t="s">
        <v>23743</v>
      </c>
      <c r="E13000" s="15">
        <v>10.6409</v>
      </c>
      <c r="F13000" s="42">
        <v>44110</v>
      </c>
    </row>
    <row r="13001" spans="1:6" x14ac:dyDescent="0.3">
      <c r="A13001" s="15" t="s">
        <v>37138</v>
      </c>
      <c r="B13001" s="15" t="s">
        <v>23744</v>
      </c>
      <c r="C13001" s="15" t="s">
        <v>800</v>
      </c>
      <c r="D13001" s="15" t="s">
        <v>23745</v>
      </c>
      <c r="E13001" s="15">
        <v>10.6409</v>
      </c>
      <c r="F13001" s="42">
        <v>44110</v>
      </c>
    </row>
    <row r="13002" spans="1:6" x14ac:dyDescent="0.3">
      <c r="A13002" s="15" t="s">
        <v>37137</v>
      </c>
      <c r="B13002" s="15" t="s">
        <v>23746</v>
      </c>
      <c r="C13002" s="15" t="s">
        <v>800</v>
      </c>
      <c r="D13002" s="15" t="s">
        <v>23747</v>
      </c>
      <c r="E13002" s="15">
        <v>10.2531</v>
      </c>
      <c r="F13002" s="42">
        <v>44110</v>
      </c>
    </row>
    <row r="13003" spans="1:6" x14ac:dyDescent="0.3">
      <c r="A13003" s="15" t="s">
        <v>37136</v>
      </c>
      <c r="B13003" s="15" t="s">
        <v>23748</v>
      </c>
      <c r="C13003" s="15" t="s">
        <v>800</v>
      </c>
      <c r="D13003" s="15" t="s">
        <v>23749</v>
      </c>
      <c r="E13003" s="15">
        <v>10.253</v>
      </c>
      <c r="F13003" s="42">
        <v>44110</v>
      </c>
    </row>
    <row r="13004" spans="1:6" x14ac:dyDescent="0.3">
      <c r="A13004" s="15" t="s">
        <v>37135</v>
      </c>
      <c r="B13004" s="15" t="s">
        <v>23750</v>
      </c>
      <c r="C13004" s="15" t="s">
        <v>800</v>
      </c>
      <c r="D13004" s="15" t="s">
        <v>23751</v>
      </c>
      <c r="E13004" s="15">
        <v>11.8178</v>
      </c>
      <c r="F13004" s="42">
        <v>44179</v>
      </c>
    </row>
    <row r="13005" spans="1:6" x14ac:dyDescent="0.3">
      <c r="A13005" s="15" t="s">
        <v>37134</v>
      </c>
      <c r="B13005" s="15" t="s">
        <v>23752</v>
      </c>
      <c r="C13005" s="15" t="s">
        <v>800</v>
      </c>
      <c r="D13005" s="15" t="s">
        <v>23753</v>
      </c>
      <c r="E13005" s="15">
        <v>11.8178</v>
      </c>
      <c r="F13005" s="42">
        <v>44179</v>
      </c>
    </row>
    <row r="13006" spans="1:6" x14ac:dyDescent="0.3">
      <c r="A13006" s="15" t="s">
        <v>37133</v>
      </c>
      <c r="B13006" s="15" t="s">
        <v>23754</v>
      </c>
      <c r="C13006" s="15" t="s">
        <v>800</v>
      </c>
      <c r="D13006" s="15" t="s">
        <v>23755</v>
      </c>
      <c r="E13006" s="15">
        <v>11.361700000000001</v>
      </c>
      <c r="F13006" s="42">
        <v>44179</v>
      </c>
    </row>
    <row r="13007" spans="1:6" x14ac:dyDescent="0.3">
      <c r="A13007" s="15" t="s">
        <v>37132</v>
      </c>
      <c r="B13007" s="15" t="s">
        <v>23756</v>
      </c>
      <c r="C13007" s="15" t="s">
        <v>800</v>
      </c>
      <c r="D13007" s="15" t="s">
        <v>23757</v>
      </c>
      <c r="E13007" s="15">
        <v>11.361700000000001</v>
      </c>
      <c r="F13007" s="42">
        <v>44179</v>
      </c>
    </row>
    <row r="13008" spans="1:6" x14ac:dyDescent="0.3">
      <c r="A13008" s="15" t="s">
        <v>37131</v>
      </c>
      <c r="B13008" s="15" t="s">
        <v>23758</v>
      </c>
      <c r="C13008" s="15" t="s">
        <v>800</v>
      </c>
      <c r="D13008" s="15" t="s">
        <v>23759</v>
      </c>
      <c r="E13008" s="15">
        <v>13.725300000000001</v>
      </c>
      <c r="F13008" s="42">
        <v>44293</v>
      </c>
    </row>
    <row r="13009" spans="1:6" x14ac:dyDescent="0.3">
      <c r="A13009" s="15" t="s">
        <v>37130</v>
      </c>
      <c r="B13009" s="15" t="s">
        <v>23760</v>
      </c>
      <c r="C13009" s="15" t="s">
        <v>800</v>
      </c>
      <c r="D13009" s="15" t="s">
        <v>23761</v>
      </c>
      <c r="E13009" s="15">
        <v>13.725300000000001</v>
      </c>
      <c r="F13009" s="42">
        <v>44293</v>
      </c>
    </row>
    <row r="13010" spans="1:6" x14ac:dyDescent="0.3">
      <c r="A13010" s="15" t="s">
        <v>37129</v>
      </c>
      <c r="B13010" s="15" t="s">
        <v>23762</v>
      </c>
      <c r="C13010" s="15" t="s">
        <v>800</v>
      </c>
      <c r="D13010" s="15" t="s">
        <v>23763</v>
      </c>
      <c r="E13010" s="15">
        <v>13.216900000000001</v>
      </c>
      <c r="F13010" s="42">
        <v>44293</v>
      </c>
    </row>
    <row r="13011" spans="1:6" x14ac:dyDescent="0.3">
      <c r="A13011" s="15" t="s">
        <v>37128</v>
      </c>
      <c r="B13011" s="15" t="s">
        <v>23764</v>
      </c>
      <c r="C13011" s="15" t="s">
        <v>800</v>
      </c>
      <c r="D13011" s="15" t="s">
        <v>23765</v>
      </c>
      <c r="E13011" s="15">
        <v>13.216900000000001</v>
      </c>
      <c r="F13011" s="42">
        <v>44293</v>
      </c>
    </row>
    <row r="13012" spans="1:6" x14ac:dyDescent="0.3">
      <c r="A13012" s="15" t="s">
        <v>37127</v>
      </c>
      <c r="B13012" s="15" t="s">
        <v>23766</v>
      </c>
      <c r="C13012" s="15" t="s">
        <v>800</v>
      </c>
      <c r="D13012" s="15" t="s">
        <v>23767</v>
      </c>
      <c r="E13012" s="15">
        <v>13.1836</v>
      </c>
      <c r="F13012" s="42">
        <v>44463</v>
      </c>
    </row>
    <row r="13013" spans="1:6" x14ac:dyDescent="0.3">
      <c r="A13013" s="15" t="s">
        <v>37126</v>
      </c>
      <c r="B13013" s="15" t="s">
        <v>23768</v>
      </c>
      <c r="C13013" s="15" t="s">
        <v>800</v>
      </c>
      <c r="D13013" s="15" t="s">
        <v>23769</v>
      </c>
      <c r="E13013" s="15">
        <v>13.1836</v>
      </c>
      <c r="F13013" s="42">
        <v>44463</v>
      </c>
    </row>
    <row r="13014" spans="1:6" x14ac:dyDescent="0.3">
      <c r="A13014" s="15" t="s">
        <v>37125</v>
      </c>
      <c r="B13014" s="15" t="s">
        <v>23770</v>
      </c>
      <c r="C13014" s="15" t="s">
        <v>800</v>
      </c>
      <c r="D13014" s="15" t="s">
        <v>23771</v>
      </c>
      <c r="E13014" s="15">
        <v>12.737</v>
      </c>
      <c r="F13014" s="42">
        <v>44463</v>
      </c>
    </row>
    <row r="13015" spans="1:6" x14ac:dyDescent="0.3">
      <c r="A13015" s="15" t="s">
        <v>37124</v>
      </c>
      <c r="B13015" s="15" t="s">
        <v>23772</v>
      </c>
      <c r="C13015" s="15" t="s">
        <v>800</v>
      </c>
      <c r="D13015" s="15" t="s">
        <v>23773</v>
      </c>
      <c r="E13015" s="15">
        <v>12.737</v>
      </c>
      <c r="F13015" s="42">
        <v>44463</v>
      </c>
    </row>
    <row r="13016" spans="1:6" x14ac:dyDescent="0.3">
      <c r="A13016" s="15" t="s">
        <v>33499</v>
      </c>
      <c r="B13016" s="15" t="s">
        <v>795</v>
      </c>
      <c r="C13016" s="15" t="s">
        <v>795</v>
      </c>
      <c r="D13016" s="15" t="s">
        <v>795</v>
      </c>
      <c r="F13016" s="42"/>
    </row>
    <row r="13017" spans="1:6" x14ac:dyDescent="0.3">
      <c r="A13017" s="15" t="s">
        <v>37123</v>
      </c>
      <c r="B13017" s="15" t="s">
        <v>795</v>
      </c>
      <c r="C13017" s="15" t="s">
        <v>795</v>
      </c>
      <c r="D13017" s="15" t="s">
        <v>795</v>
      </c>
      <c r="F13017" s="42"/>
    </row>
    <row r="13018" spans="1:6" x14ac:dyDescent="0.3">
      <c r="A13018" s="15" t="s">
        <v>33499</v>
      </c>
      <c r="B13018" s="15" t="s">
        <v>795</v>
      </c>
      <c r="C13018" s="15" t="s">
        <v>795</v>
      </c>
      <c r="D13018" s="15" t="s">
        <v>795</v>
      </c>
      <c r="F13018" s="42"/>
    </row>
    <row r="13019" spans="1:6" x14ac:dyDescent="0.3">
      <c r="A13019" s="15" t="s">
        <v>37122</v>
      </c>
      <c r="B13019" s="15" t="s">
        <v>795</v>
      </c>
      <c r="C13019" s="15" t="s">
        <v>795</v>
      </c>
      <c r="D13019" s="15" t="s">
        <v>795</v>
      </c>
      <c r="F13019" s="42"/>
    </row>
    <row r="13020" spans="1:6" x14ac:dyDescent="0.3">
      <c r="A13020" s="15" t="s">
        <v>33499</v>
      </c>
      <c r="B13020" s="15" t="s">
        <v>795</v>
      </c>
      <c r="C13020" s="15" t="s">
        <v>795</v>
      </c>
      <c r="D13020" s="15" t="s">
        <v>795</v>
      </c>
      <c r="F13020" s="42"/>
    </row>
    <row r="13021" spans="1:6" x14ac:dyDescent="0.3">
      <c r="A13021" s="15" t="s">
        <v>37121</v>
      </c>
      <c r="B13021" s="15" t="s">
        <v>23774</v>
      </c>
      <c r="C13021" s="15" t="s">
        <v>800</v>
      </c>
      <c r="D13021" s="15" t="s">
        <v>23775</v>
      </c>
      <c r="E13021" s="15">
        <v>10.187900000000001</v>
      </c>
      <c r="F13021" s="42">
        <v>45363</v>
      </c>
    </row>
    <row r="13022" spans="1:6" x14ac:dyDescent="0.3">
      <c r="A13022" s="15" t="s">
        <v>37120</v>
      </c>
      <c r="B13022" s="15" t="s">
        <v>23776</v>
      </c>
      <c r="C13022" s="15" t="s">
        <v>800</v>
      </c>
      <c r="D13022" s="15" t="s">
        <v>23777</v>
      </c>
      <c r="E13022" s="15">
        <v>10</v>
      </c>
      <c r="F13022" s="42">
        <v>45363</v>
      </c>
    </row>
    <row r="13023" spans="1:6" x14ac:dyDescent="0.3">
      <c r="A13023" s="15" t="s">
        <v>37119</v>
      </c>
      <c r="B13023" s="15" t="s">
        <v>23778</v>
      </c>
      <c r="C13023" s="15" t="s">
        <v>800</v>
      </c>
      <c r="D13023" s="15" t="s">
        <v>23779</v>
      </c>
      <c r="E13023" s="15">
        <v>10.183999999999999</v>
      </c>
      <c r="F13023" s="42">
        <v>45363</v>
      </c>
    </row>
    <row r="13024" spans="1:6" x14ac:dyDescent="0.3">
      <c r="A13024" s="15" t="s">
        <v>37118</v>
      </c>
      <c r="B13024" s="15" t="s">
        <v>23780</v>
      </c>
      <c r="C13024" s="15" t="s">
        <v>800</v>
      </c>
      <c r="D13024" s="15" t="s">
        <v>23781</v>
      </c>
      <c r="E13024" s="15">
        <v>10</v>
      </c>
      <c r="F13024" s="42">
        <v>45363</v>
      </c>
    </row>
    <row r="13025" spans="1:6" x14ac:dyDescent="0.3">
      <c r="A13025" s="15" t="s">
        <v>37117</v>
      </c>
      <c r="B13025" s="15" t="s">
        <v>23782</v>
      </c>
      <c r="C13025" s="15" t="s">
        <v>800</v>
      </c>
      <c r="D13025" s="15" t="s">
        <v>23783</v>
      </c>
      <c r="E13025" s="15">
        <v>10.171799999999999</v>
      </c>
      <c r="F13025" s="42">
        <v>45364</v>
      </c>
    </row>
    <row r="13026" spans="1:6" x14ac:dyDescent="0.3">
      <c r="A13026" s="15" t="s">
        <v>37116</v>
      </c>
      <c r="B13026" s="15" t="s">
        <v>23784</v>
      </c>
      <c r="C13026" s="15" t="s">
        <v>800</v>
      </c>
      <c r="D13026" s="15" t="s">
        <v>23785</v>
      </c>
      <c r="E13026" s="15">
        <v>10</v>
      </c>
      <c r="F13026" s="42">
        <v>45364</v>
      </c>
    </row>
    <row r="13027" spans="1:6" x14ac:dyDescent="0.3">
      <c r="A13027" s="15" t="s">
        <v>37115</v>
      </c>
      <c r="B13027" s="15" t="s">
        <v>23786</v>
      </c>
      <c r="C13027" s="15" t="s">
        <v>800</v>
      </c>
      <c r="D13027" s="15" t="s">
        <v>23787</v>
      </c>
      <c r="E13027" s="15">
        <v>10.1694</v>
      </c>
      <c r="F13027" s="42">
        <v>45364</v>
      </c>
    </row>
    <row r="13028" spans="1:6" x14ac:dyDescent="0.3">
      <c r="A13028" s="15" t="s">
        <v>37114</v>
      </c>
      <c r="B13028" s="15" t="s">
        <v>23788</v>
      </c>
      <c r="C13028" s="15" t="s">
        <v>800</v>
      </c>
      <c r="D13028" s="15" t="s">
        <v>23789</v>
      </c>
      <c r="E13028" s="15">
        <v>10</v>
      </c>
      <c r="F13028" s="42">
        <v>45364</v>
      </c>
    </row>
    <row r="13029" spans="1:6" x14ac:dyDescent="0.3">
      <c r="A13029" s="15" t="s">
        <v>37113</v>
      </c>
      <c r="B13029" s="15" t="s">
        <v>23790</v>
      </c>
      <c r="C13029" s="15" t="s">
        <v>800</v>
      </c>
      <c r="D13029" s="15" t="s">
        <v>23791</v>
      </c>
      <c r="E13029" s="15">
        <v>10.2094</v>
      </c>
      <c r="F13029" s="42">
        <v>45400</v>
      </c>
    </row>
    <row r="13030" spans="1:6" x14ac:dyDescent="0.3">
      <c r="A13030" s="15" t="s">
        <v>37112</v>
      </c>
      <c r="B13030" s="15" t="s">
        <v>23792</v>
      </c>
      <c r="C13030" s="15" t="s">
        <v>800</v>
      </c>
      <c r="D13030" s="15" t="s">
        <v>23793</v>
      </c>
      <c r="E13030" s="15">
        <v>10</v>
      </c>
      <c r="F13030" s="42">
        <v>45400</v>
      </c>
    </row>
    <row r="13031" spans="1:6" x14ac:dyDescent="0.3">
      <c r="A13031" s="15" t="s">
        <v>37111</v>
      </c>
      <c r="B13031" s="15" t="s">
        <v>23794</v>
      </c>
      <c r="C13031" s="15" t="s">
        <v>800</v>
      </c>
      <c r="D13031" s="15" t="s">
        <v>23795</v>
      </c>
      <c r="E13031" s="15">
        <v>10.2066</v>
      </c>
      <c r="F13031" s="42">
        <v>45400</v>
      </c>
    </row>
    <row r="13032" spans="1:6" x14ac:dyDescent="0.3">
      <c r="A13032" s="15" t="s">
        <v>37110</v>
      </c>
      <c r="B13032" s="15" t="s">
        <v>23796</v>
      </c>
      <c r="C13032" s="15" t="s">
        <v>800</v>
      </c>
      <c r="D13032" s="15" t="s">
        <v>23797</v>
      </c>
      <c r="E13032" s="15">
        <v>10</v>
      </c>
      <c r="F13032" s="42">
        <v>45400</v>
      </c>
    </row>
    <row r="13033" spans="1:6" x14ac:dyDescent="0.3">
      <c r="A13033" s="15" t="s">
        <v>37109</v>
      </c>
      <c r="B13033" s="15" t="s">
        <v>23798</v>
      </c>
      <c r="C13033" s="15" t="s">
        <v>800</v>
      </c>
      <c r="D13033" s="15" t="s">
        <v>23799</v>
      </c>
      <c r="E13033" s="15">
        <v>13.5458</v>
      </c>
      <c r="F13033" s="42">
        <v>46198</v>
      </c>
    </row>
    <row r="13034" spans="1:6" x14ac:dyDescent="0.3">
      <c r="A13034" s="15" t="s">
        <v>37108</v>
      </c>
      <c r="B13034" s="15" t="s">
        <v>23800</v>
      </c>
      <c r="C13034" s="15" t="s">
        <v>800</v>
      </c>
      <c r="D13034" s="15" t="s">
        <v>23801</v>
      </c>
      <c r="E13034" s="15">
        <v>13.547700000000001</v>
      </c>
      <c r="F13034" s="42">
        <v>46198</v>
      </c>
    </row>
    <row r="13035" spans="1:6" x14ac:dyDescent="0.3">
      <c r="A13035" s="15" t="s">
        <v>37107</v>
      </c>
      <c r="B13035" s="15" t="s">
        <v>23802</v>
      </c>
      <c r="C13035" s="15" t="s">
        <v>800</v>
      </c>
      <c r="D13035" s="15" t="s">
        <v>23803</v>
      </c>
      <c r="E13035" s="15">
        <v>13.4785</v>
      </c>
      <c r="F13035" s="42">
        <v>46198</v>
      </c>
    </row>
    <row r="13036" spans="1:6" x14ac:dyDescent="0.3">
      <c r="A13036" s="15" t="s">
        <v>37106</v>
      </c>
      <c r="B13036" s="15" t="s">
        <v>23804</v>
      </c>
      <c r="C13036" s="15" t="s">
        <v>800</v>
      </c>
      <c r="D13036" s="15" t="s">
        <v>23805</v>
      </c>
      <c r="E13036" s="15">
        <v>13.4785</v>
      </c>
      <c r="F13036" s="42">
        <v>46198</v>
      </c>
    </row>
    <row r="13037" spans="1:6" x14ac:dyDescent="0.3">
      <c r="A13037" s="15" t="s">
        <v>37105</v>
      </c>
      <c r="B13037" s="15" t="s">
        <v>23806</v>
      </c>
      <c r="C13037" s="15" t="s">
        <v>800</v>
      </c>
      <c r="D13037" s="15" t="s">
        <v>23807</v>
      </c>
      <c r="E13037" s="15">
        <v>13.573499999999999</v>
      </c>
      <c r="F13037" s="42">
        <v>46198</v>
      </c>
    </row>
    <row r="13038" spans="1:6" x14ac:dyDescent="0.3">
      <c r="A13038" s="15" t="s">
        <v>37104</v>
      </c>
      <c r="B13038" s="15" t="s">
        <v>23808</v>
      </c>
      <c r="C13038" s="15" t="s">
        <v>800</v>
      </c>
      <c r="D13038" s="15" t="s">
        <v>23809</v>
      </c>
      <c r="E13038" s="15">
        <v>13.5754</v>
      </c>
      <c r="F13038" s="42">
        <v>46198</v>
      </c>
    </row>
    <row r="13039" spans="1:6" x14ac:dyDescent="0.3">
      <c r="A13039" s="15" t="s">
        <v>37103</v>
      </c>
      <c r="B13039" s="15" t="s">
        <v>23810</v>
      </c>
      <c r="C13039" s="15" t="s">
        <v>800</v>
      </c>
      <c r="D13039" s="15" t="s">
        <v>23811</v>
      </c>
      <c r="E13039" s="15">
        <v>13.511799999999999</v>
      </c>
      <c r="F13039" s="42">
        <v>46198</v>
      </c>
    </row>
    <row r="13040" spans="1:6" x14ac:dyDescent="0.3">
      <c r="A13040" s="15" t="s">
        <v>37102</v>
      </c>
      <c r="B13040" s="15" t="s">
        <v>23812</v>
      </c>
      <c r="C13040" s="15" t="s">
        <v>800</v>
      </c>
      <c r="D13040" s="15" t="s">
        <v>23813</v>
      </c>
      <c r="E13040" s="15">
        <v>13.511799999999999</v>
      </c>
      <c r="F13040" s="42">
        <v>46198</v>
      </c>
    </row>
    <row r="13041" spans="1:6" x14ac:dyDescent="0.3">
      <c r="A13041" s="15" t="s">
        <v>37101</v>
      </c>
      <c r="B13041" s="15" t="s">
        <v>23814</v>
      </c>
      <c r="C13041" s="15" t="s">
        <v>800</v>
      </c>
      <c r="D13041" s="15" t="s">
        <v>23815</v>
      </c>
      <c r="E13041" s="15">
        <v>13.1549</v>
      </c>
      <c r="F13041" s="42">
        <v>46198</v>
      </c>
    </row>
    <row r="13042" spans="1:6" x14ac:dyDescent="0.3">
      <c r="A13042" s="15" t="s">
        <v>37100</v>
      </c>
      <c r="B13042" s="15" t="s">
        <v>23816</v>
      </c>
      <c r="C13042" s="15" t="s">
        <v>800</v>
      </c>
      <c r="D13042" s="15" t="s">
        <v>23817</v>
      </c>
      <c r="E13042" s="15">
        <v>13.1107</v>
      </c>
      <c r="F13042" s="42">
        <v>46198</v>
      </c>
    </row>
    <row r="13043" spans="1:6" x14ac:dyDescent="0.3">
      <c r="A13043" s="15" t="s">
        <v>37099</v>
      </c>
      <c r="B13043" s="15" t="s">
        <v>23818</v>
      </c>
      <c r="C13043" s="15" t="s">
        <v>800</v>
      </c>
      <c r="D13043" s="15" t="s">
        <v>23819</v>
      </c>
      <c r="E13043" s="15">
        <v>13.1106</v>
      </c>
      <c r="F13043" s="42">
        <v>46198</v>
      </c>
    </row>
    <row r="13044" spans="1:6" x14ac:dyDescent="0.3">
      <c r="A13044" s="15" t="s">
        <v>37098</v>
      </c>
      <c r="B13044" s="15" t="s">
        <v>23820</v>
      </c>
      <c r="C13044" s="15" t="s">
        <v>800</v>
      </c>
      <c r="D13044" s="15" t="s">
        <v>23821</v>
      </c>
      <c r="E13044" s="15">
        <v>12.581</v>
      </c>
      <c r="F13044" s="42">
        <v>46134</v>
      </c>
    </row>
    <row r="13045" spans="1:6" x14ac:dyDescent="0.3">
      <c r="A13045" s="15" t="s">
        <v>37097</v>
      </c>
      <c r="B13045" s="15" t="s">
        <v>23822</v>
      </c>
      <c r="C13045" s="15" t="s">
        <v>800</v>
      </c>
      <c r="D13045" s="15" t="s">
        <v>23823</v>
      </c>
      <c r="E13045" s="15">
        <v>10</v>
      </c>
      <c r="F13045" s="42">
        <v>46134</v>
      </c>
    </row>
    <row r="13046" spans="1:6" x14ac:dyDescent="0.3">
      <c r="A13046" s="15" t="s">
        <v>37096</v>
      </c>
      <c r="B13046" s="15" t="s">
        <v>23824</v>
      </c>
      <c r="C13046" s="15" t="s">
        <v>800</v>
      </c>
      <c r="D13046" s="15" t="s">
        <v>23825</v>
      </c>
      <c r="E13046" s="15">
        <v>12.5389</v>
      </c>
      <c r="F13046" s="42">
        <v>46134</v>
      </c>
    </row>
    <row r="13047" spans="1:6" x14ac:dyDescent="0.3">
      <c r="A13047" s="15" t="s">
        <v>37095</v>
      </c>
      <c r="B13047" s="15" t="s">
        <v>23826</v>
      </c>
      <c r="C13047" s="15" t="s">
        <v>800</v>
      </c>
      <c r="D13047" s="15" t="s">
        <v>23827</v>
      </c>
      <c r="E13047" s="15">
        <v>10.371600000000001</v>
      </c>
      <c r="F13047" s="42">
        <v>45167</v>
      </c>
    </row>
    <row r="13048" spans="1:6" x14ac:dyDescent="0.3">
      <c r="A13048" s="15" t="s">
        <v>37094</v>
      </c>
      <c r="B13048" s="15" t="s">
        <v>23828</v>
      </c>
      <c r="C13048" s="15" t="s">
        <v>800</v>
      </c>
      <c r="D13048" s="15" t="s">
        <v>23829</v>
      </c>
      <c r="E13048" s="15">
        <v>10</v>
      </c>
      <c r="F13048" s="42">
        <v>45167</v>
      </c>
    </row>
    <row r="13049" spans="1:6" x14ac:dyDescent="0.3">
      <c r="A13049" s="15" t="s">
        <v>37093</v>
      </c>
      <c r="B13049" s="15" t="s">
        <v>23830</v>
      </c>
      <c r="C13049" s="15" t="s">
        <v>800</v>
      </c>
      <c r="D13049" s="15" t="s">
        <v>23831</v>
      </c>
      <c r="E13049" s="15">
        <v>10.3665</v>
      </c>
      <c r="F13049" s="42">
        <v>45167</v>
      </c>
    </row>
    <row r="13050" spans="1:6" x14ac:dyDescent="0.3">
      <c r="A13050" s="15" t="s">
        <v>37092</v>
      </c>
      <c r="B13050" s="15" t="s">
        <v>23832</v>
      </c>
      <c r="C13050" s="15" t="s">
        <v>800</v>
      </c>
      <c r="D13050" s="15" t="s">
        <v>23833</v>
      </c>
      <c r="E13050" s="15">
        <v>10</v>
      </c>
      <c r="F13050" s="42">
        <v>45167</v>
      </c>
    </row>
    <row r="13051" spans="1:6" x14ac:dyDescent="0.3">
      <c r="A13051" s="15" t="s">
        <v>37091</v>
      </c>
      <c r="B13051" s="15" t="s">
        <v>23834</v>
      </c>
      <c r="C13051" s="15" t="s">
        <v>800</v>
      </c>
      <c r="D13051" s="15" t="s">
        <v>23835</v>
      </c>
      <c r="E13051" s="15">
        <v>12.353899999999999</v>
      </c>
      <c r="F13051" s="42">
        <v>46121</v>
      </c>
    </row>
    <row r="13052" spans="1:6" x14ac:dyDescent="0.3">
      <c r="A13052" s="15" t="s">
        <v>37090</v>
      </c>
      <c r="B13052" s="15" t="s">
        <v>23836</v>
      </c>
      <c r="C13052" s="15" t="s">
        <v>800</v>
      </c>
      <c r="D13052" s="15" t="s">
        <v>23837</v>
      </c>
      <c r="E13052" s="15">
        <v>10</v>
      </c>
      <c r="F13052" s="42">
        <v>46121</v>
      </c>
    </row>
    <row r="13053" spans="1:6" x14ac:dyDescent="0.3">
      <c r="A13053" s="15" t="s">
        <v>37089</v>
      </c>
      <c r="B13053" s="15" t="s">
        <v>23838</v>
      </c>
      <c r="C13053" s="15" t="s">
        <v>800</v>
      </c>
      <c r="D13053" s="15" t="s">
        <v>23839</v>
      </c>
      <c r="E13053" s="15">
        <v>12.317</v>
      </c>
      <c r="F13053" s="42">
        <v>46121</v>
      </c>
    </row>
    <row r="13054" spans="1:6" x14ac:dyDescent="0.3">
      <c r="A13054" s="15" t="s">
        <v>37088</v>
      </c>
      <c r="B13054" s="15" t="s">
        <v>23840</v>
      </c>
      <c r="C13054" s="15" t="s">
        <v>800</v>
      </c>
      <c r="D13054" s="15" t="s">
        <v>23841</v>
      </c>
      <c r="E13054" s="15">
        <v>10</v>
      </c>
      <c r="F13054" s="42">
        <v>46121</v>
      </c>
    </row>
    <row r="13055" spans="1:6" x14ac:dyDescent="0.3">
      <c r="A13055" s="15" t="s">
        <v>33499</v>
      </c>
      <c r="B13055" s="15" t="s">
        <v>795</v>
      </c>
      <c r="C13055" s="15" t="s">
        <v>795</v>
      </c>
      <c r="D13055" s="15" t="s">
        <v>795</v>
      </c>
      <c r="F13055" s="42"/>
    </row>
    <row r="13056" spans="1:6" x14ac:dyDescent="0.3">
      <c r="A13056" s="15" t="s">
        <v>37087</v>
      </c>
      <c r="B13056" s="15" t="s">
        <v>795</v>
      </c>
      <c r="C13056" s="15" t="s">
        <v>795</v>
      </c>
      <c r="D13056" s="15" t="s">
        <v>795</v>
      </c>
      <c r="F13056" s="42"/>
    </row>
    <row r="13057" spans="1:6" x14ac:dyDescent="0.3">
      <c r="A13057" s="15" t="s">
        <v>33499</v>
      </c>
      <c r="B13057" s="15" t="s">
        <v>795</v>
      </c>
      <c r="C13057" s="15" t="s">
        <v>795</v>
      </c>
      <c r="D13057" s="15" t="s">
        <v>795</v>
      </c>
      <c r="F13057" s="42"/>
    </row>
    <row r="13058" spans="1:6" x14ac:dyDescent="0.3">
      <c r="A13058" s="15" t="s">
        <v>37086</v>
      </c>
      <c r="B13058" s="15" t="s">
        <v>23842</v>
      </c>
      <c r="C13058" s="15" t="s">
        <v>800</v>
      </c>
      <c r="D13058" s="15" t="s">
        <v>23843</v>
      </c>
      <c r="E13058" s="15">
        <v>10.207800000000001</v>
      </c>
      <c r="F13058" s="42">
        <v>46184</v>
      </c>
    </row>
    <row r="13059" spans="1:6" x14ac:dyDescent="0.3">
      <c r="A13059" s="15" t="s">
        <v>37085</v>
      </c>
      <c r="B13059" s="15" t="s">
        <v>23844</v>
      </c>
      <c r="C13059" s="15" t="s">
        <v>800</v>
      </c>
      <c r="D13059" s="15" t="s">
        <v>23845</v>
      </c>
      <c r="E13059" s="15">
        <v>10.207800000000001</v>
      </c>
      <c r="F13059" s="42">
        <v>46184</v>
      </c>
    </row>
    <row r="13060" spans="1:6" x14ac:dyDescent="0.3">
      <c r="A13060" s="15" t="s">
        <v>37084</v>
      </c>
      <c r="B13060" s="15" t="s">
        <v>23846</v>
      </c>
      <c r="C13060" s="15" t="s">
        <v>800</v>
      </c>
      <c r="D13060" s="15" t="s">
        <v>23847</v>
      </c>
      <c r="E13060" s="15">
        <v>10.203200000000001</v>
      </c>
      <c r="F13060" s="42">
        <v>46184</v>
      </c>
    </row>
    <row r="13061" spans="1:6" x14ac:dyDescent="0.3">
      <c r="A13061" s="15" t="s">
        <v>37083</v>
      </c>
      <c r="B13061" s="15" t="s">
        <v>23848</v>
      </c>
      <c r="C13061" s="15" t="s">
        <v>800</v>
      </c>
      <c r="D13061" s="15" t="s">
        <v>23849</v>
      </c>
      <c r="E13061" s="15">
        <v>10.203200000000001</v>
      </c>
      <c r="F13061" s="42">
        <v>46184</v>
      </c>
    </row>
    <row r="13062" spans="1:6" x14ac:dyDescent="0.3">
      <c r="A13062" s="15" t="s">
        <v>37082</v>
      </c>
      <c r="B13062" s="15" t="s">
        <v>23850</v>
      </c>
      <c r="C13062" s="15" t="s">
        <v>800</v>
      </c>
      <c r="D13062" s="15" t="s">
        <v>23851</v>
      </c>
      <c r="E13062" s="15">
        <v>10.182</v>
      </c>
      <c r="F13062" s="42">
        <v>46184</v>
      </c>
    </row>
    <row r="13063" spans="1:6" x14ac:dyDescent="0.3">
      <c r="A13063" s="15" t="s">
        <v>37081</v>
      </c>
      <c r="B13063" s="15" t="s">
        <v>23852</v>
      </c>
      <c r="C13063" s="15" t="s">
        <v>800</v>
      </c>
      <c r="D13063" s="15" t="s">
        <v>23853</v>
      </c>
      <c r="E13063" s="15">
        <v>10.182</v>
      </c>
      <c r="F13063" s="42">
        <v>46184</v>
      </c>
    </row>
    <row r="13064" spans="1:6" x14ac:dyDescent="0.3">
      <c r="A13064" s="15" t="s">
        <v>37080</v>
      </c>
      <c r="B13064" s="15" t="s">
        <v>23854</v>
      </c>
      <c r="C13064" s="15" t="s">
        <v>800</v>
      </c>
      <c r="D13064" s="15" t="s">
        <v>23855</v>
      </c>
      <c r="E13064" s="15">
        <v>10.178100000000001</v>
      </c>
      <c r="F13064" s="42">
        <v>46184</v>
      </c>
    </row>
    <row r="13065" spans="1:6" x14ac:dyDescent="0.3">
      <c r="A13065" s="15" t="s">
        <v>37079</v>
      </c>
      <c r="B13065" s="15" t="s">
        <v>23856</v>
      </c>
      <c r="C13065" s="15" t="s">
        <v>800</v>
      </c>
      <c r="D13065" s="15" t="s">
        <v>23857</v>
      </c>
      <c r="E13065" s="15">
        <v>10.178100000000001</v>
      </c>
      <c r="F13065" s="42">
        <v>46184</v>
      </c>
    </row>
    <row r="13066" spans="1:6" x14ac:dyDescent="0.3">
      <c r="A13066" s="15" t="s">
        <v>37078</v>
      </c>
      <c r="B13066" s="15" t="s">
        <v>23858</v>
      </c>
      <c r="C13066" s="15" t="s">
        <v>800</v>
      </c>
      <c r="D13066" s="15" t="s">
        <v>23859</v>
      </c>
      <c r="E13066" s="15">
        <v>12.6282</v>
      </c>
      <c r="F13066" s="42">
        <v>46198</v>
      </c>
    </row>
    <row r="13067" spans="1:6" x14ac:dyDescent="0.3">
      <c r="A13067" s="15" t="s">
        <v>37077</v>
      </c>
      <c r="B13067" s="15" t="s">
        <v>23860</v>
      </c>
      <c r="C13067" s="15" t="s">
        <v>800</v>
      </c>
      <c r="D13067" s="15" t="s">
        <v>23861</v>
      </c>
      <c r="E13067" s="15">
        <v>12.6282</v>
      </c>
      <c r="F13067" s="42">
        <v>46198</v>
      </c>
    </row>
    <row r="13068" spans="1:6" x14ac:dyDescent="0.3">
      <c r="A13068" s="15" t="s">
        <v>37076</v>
      </c>
      <c r="B13068" s="15" t="s">
        <v>23862</v>
      </c>
      <c r="C13068" s="15" t="s">
        <v>800</v>
      </c>
      <c r="D13068" s="15" t="s">
        <v>23863</v>
      </c>
      <c r="E13068" s="15">
        <v>12.536199999999999</v>
      </c>
      <c r="F13068" s="42">
        <v>46198</v>
      </c>
    </row>
    <row r="13069" spans="1:6" x14ac:dyDescent="0.3">
      <c r="A13069" s="15" t="s">
        <v>37075</v>
      </c>
      <c r="B13069" s="15" t="s">
        <v>23864</v>
      </c>
      <c r="C13069" s="15" t="s">
        <v>800</v>
      </c>
      <c r="D13069" s="15" t="s">
        <v>23865</v>
      </c>
      <c r="E13069" s="15">
        <v>12.536199999999999</v>
      </c>
      <c r="F13069" s="42">
        <v>46198</v>
      </c>
    </row>
    <row r="13070" spans="1:6" x14ac:dyDescent="0.3">
      <c r="A13070" s="15" t="s">
        <v>37074</v>
      </c>
      <c r="B13070" s="15" t="s">
        <v>23866</v>
      </c>
      <c r="C13070" s="15" t="s">
        <v>800</v>
      </c>
      <c r="D13070" s="15" t="s">
        <v>23867</v>
      </c>
      <c r="E13070" s="15">
        <v>12.5458</v>
      </c>
      <c r="F13070" s="42">
        <v>46198</v>
      </c>
    </row>
    <row r="13071" spans="1:6" x14ac:dyDescent="0.3">
      <c r="A13071" s="15" t="s">
        <v>33499</v>
      </c>
      <c r="B13071" s="15" t="s">
        <v>795</v>
      </c>
      <c r="C13071" s="15" t="s">
        <v>795</v>
      </c>
      <c r="D13071" s="15" t="s">
        <v>795</v>
      </c>
      <c r="F13071" s="42"/>
    </row>
    <row r="13072" spans="1:6" x14ac:dyDescent="0.3">
      <c r="A13072" s="15" t="s">
        <v>37073</v>
      </c>
      <c r="B13072" s="15" t="s">
        <v>795</v>
      </c>
      <c r="C13072" s="15" t="s">
        <v>795</v>
      </c>
      <c r="D13072" s="15" t="s">
        <v>795</v>
      </c>
      <c r="F13072" s="42"/>
    </row>
    <row r="13073" spans="1:6" x14ac:dyDescent="0.3">
      <c r="A13073" s="15" t="s">
        <v>33499</v>
      </c>
      <c r="B13073" s="15" t="s">
        <v>795</v>
      </c>
      <c r="C13073" s="15" t="s">
        <v>795</v>
      </c>
      <c r="D13073" s="15" t="s">
        <v>795</v>
      </c>
      <c r="F13073" s="42"/>
    </row>
    <row r="13074" spans="1:6" x14ac:dyDescent="0.3">
      <c r="A13074" s="15" t="s">
        <v>37072</v>
      </c>
      <c r="B13074" s="15" t="s">
        <v>23868</v>
      </c>
      <c r="C13074" s="15" t="s">
        <v>800</v>
      </c>
      <c r="D13074" s="15" t="s">
        <v>23869</v>
      </c>
      <c r="E13074" s="15">
        <v>10.191172399999999</v>
      </c>
      <c r="F13074" s="42">
        <v>45792</v>
      </c>
    </row>
    <row r="13075" spans="1:6" x14ac:dyDescent="0.3">
      <c r="A13075" s="15" t="s">
        <v>37071</v>
      </c>
      <c r="B13075" s="15" t="s">
        <v>23870</v>
      </c>
      <c r="C13075" s="15" t="s">
        <v>800</v>
      </c>
      <c r="D13075" s="15" t="s">
        <v>23871</v>
      </c>
      <c r="E13075" s="15">
        <v>10.191169560000001</v>
      </c>
      <c r="F13075" s="42">
        <v>45792</v>
      </c>
    </row>
    <row r="13076" spans="1:6" x14ac:dyDescent="0.3">
      <c r="A13076" s="15" t="s">
        <v>37070</v>
      </c>
      <c r="B13076" s="15" t="s">
        <v>23872</v>
      </c>
      <c r="C13076" s="15" t="s">
        <v>800</v>
      </c>
      <c r="D13076" s="15" t="s">
        <v>23873</v>
      </c>
      <c r="E13076" s="15">
        <v>10.188285860000001</v>
      </c>
      <c r="F13076" s="42">
        <v>45792</v>
      </c>
    </row>
    <row r="13077" spans="1:6" x14ac:dyDescent="0.3">
      <c r="A13077" s="15" t="s">
        <v>37069</v>
      </c>
      <c r="B13077" s="15" t="s">
        <v>23874</v>
      </c>
      <c r="C13077" s="15" t="s">
        <v>800</v>
      </c>
      <c r="D13077" s="15" t="s">
        <v>23875</v>
      </c>
      <c r="E13077" s="15">
        <v>10.18828585</v>
      </c>
      <c r="F13077" s="42">
        <v>45792</v>
      </c>
    </row>
    <row r="13078" spans="1:6" x14ac:dyDescent="0.3">
      <c r="A13078" s="15" t="s">
        <v>37068</v>
      </c>
      <c r="B13078" s="15" t="s">
        <v>23876</v>
      </c>
      <c r="C13078" s="15" t="s">
        <v>800</v>
      </c>
      <c r="D13078" s="15" t="s">
        <v>23877</v>
      </c>
      <c r="E13078" s="15">
        <v>11.489100000000001</v>
      </c>
      <c r="F13078" s="42">
        <v>46198</v>
      </c>
    </row>
    <row r="13079" spans="1:6" x14ac:dyDescent="0.3">
      <c r="A13079" s="15" t="s">
        <v>37067</v>
      </c>
      <c r="B13079" s="15" t="s">
        <v>23878</v>
      </c>
      <c r="C13079" s="15" t="s">
        <v>800</v>
      </c>
      <c r="D13079" s="15" t="s">
        <v>23879</v>
      </c>
      <c r="E13079" s="15">
        <v>18.001000000000001</v>
      </c>
      <c r="F13079" s="42">
        <v>46198</v>
      </c>
    </row>
    <row r="13080" spans="1:6" x14ac:dyDescent="0.3">
      <c r="A13080" s="15" t="s">
        <v>37066</v>
      </c>
      <c r="B13080" s="15" t="s">
        <v>23880</v>
      </c>
      <c r="C13080" s="15" t="s">
        <v>800</v>
      </c>
      <c r="D13080" s="15" t="s">
        <v>23881</v>
      </c>
      <c r="E13080" s="15">
        <v>15.228199999999999</v>
      </c>
      <c r="F13080" s="42">
        <v>46198</v>
      </c>
    </row>
    <row r="13081" spans="1:6" x14ac:dyDescent="0.3">
      <c r="A13081" s="15" t="s">
        <v>37065</v>
      </c>
      <c r="B13081" s="15" t="s">
        <v>23882</v>
      </c>
      <c r="C13081" s="15" t="s">
        <v>800</v>
      </c>
      <c r="D13081" s="15" t="s">
        <v>23883</v>
      </c>
      <c r="E13081" s="15">
        <v>17.675999999999998</v>
      </c>
      <c r="F13081" s="42">
        <v>46198</v>
      </c>
    </row>
    <row r="13082" spans="1:6" x14ac:dyDescent="0.3">
      <c r="A13082" s="15" t="s">
        <v>37064</v>
      </c>
      <c r="B13082" s="15" t="s">
        <v>23884</v>
      </c>
      <c r="C13082" s="15" t="s">
        <v>800</v>
      </c>
      <c r="D13082" s="15" t="s">
        <v>23885</v>
      </c>
      <c r="E13082" s="15">
        <v>10.41782744</v>
      </c>
      <c r="F13082" s="42">
        <v>44677</v>
      </c>
    </row>
    <row r="13083" spans="1:6" x14ac:dyDescent="0.3">
      <c r="A13083" s="15" t="s">
        <v>37063</v>
      </c>
      <c r="B13083" s="15" t="s">
        <v>23886</v>
      </c>
      <c r="C13083" s="15" t="s">
        <v>800</v>
      </c>
      <c r="D13083" s="15" t="s">
        <v>23887</v>
      </c>
      <c r="E13083" s="15">
        <v>10.4732</v>
      </c>
      <c r="F13083" s="42">
        <v>44677</v>
      </c>
    </row>
    <row r="13084" spans="1:6" x14ac:dyDescent="0.3">
      <c r="A13084" s="15" t="s">
        <v>37062</v>
      </c>
      <c r="B13084" s="15" t="s">
        <v>23888</v>
      </c>
      <c r="C13084" s="15" t="s">
        <v>800</v>
      </c>
      <c r="D13084" s="15" t="s">
        <v>23889</v>
      </c>
      <c r="E13084" s="15">
        <v>12.861922010000001</v>
      </c>
      <c r="F13084" s="42">
        <v>44677</v>
      </c>
    </row>
    <row r="13085" spans="1:6" x14ac:dyDescent="0.3">
      <c r="A13085" s="15" t="s">
        <v>33499</v>
      </c>
      <c r="B13085" s="15" t="s">
        <v>795</v>
      </c>
      <c r="C13085" s="15" t="s">
        <v>795</v>
      </c>
      <c r="D13085" s="15" t="s">
        <v>795</v>
      </c>
      <c r="F13085" s="42"/>
    </row>
    <row r="13086" spans="1:6" x14ac:dyDescent="0.3">
      <c r="A13086" s="15" t="s">
        <v>37061</v>
      </c>
      <c r="B13086" s="15" t="s">
        <v>795</v>
      </c>
      <c r="C13086" s="15" t="s">
        <v>795</v>
      </c>
      <c r="D13086" s="15" t="s">
        <v>795</v>
      </c>
      <c r="F13086" s="42"/>
    </row>
    <row r="13087" spans="1:6" x14ac:dyDescent="0.3">
      <c r="A13087" s="15" t="s">
        <v>33499</v>
      </c>
      <c r="B13087" s="15" t="s">
        <v>795</v>
      </c>
      <c r="C13087" s="15" t="s">
        <v>795</v>
      </c>
      <c r="D13087" s="15" t="s">
        <v>795</v>
      </c>
      <c r="F13087" s="42"/>
    </row>
    <row r="13088" spans="1:6" x14ac:dyDescent="0.3">
      <c r="A13088" s="15" t="s">
        <v>37060</v>
      </c>
      <c r="B13088" s="15" t="s">
        <v>23890</v>
      </c>
      <c r="C13088" s="15" t="s">
        <v>800</v>
      </c>
      <c r="D13088" s="15" t="s">
        <v>23891</v>
      </c>
      <c r="E13088" s="15">
        <v>13.2967</v>
      </c>
      <c r="F13088" s="42">
        <v>46198</v>
      </c>
    </row>
    <row r="13089" spans="1:6" x14ac:dyDescent="0.3">
      <c r="A13089" s="15" t="s">
        <v>37059</v>
      </c>
      <c r="B13089" s="15" t="s">
        <v>23892</v>
      </c>
      <c r="C13089" s="15" t="s">
        <v>23893</v>
      </c>
      <c r="D13089" s="15" t="s">
        <v>23894</v>
      </c>
      <c r="E13089" s="15">
        <v>13.2967</v>
      </c>
      <c r="F13089" s="42">
        <v>46198</v>
      </c>
    </row>
    <row r="13090" spans="1:6" x14ac:dyDescent="0.3">
      <c r="A13090" s="15" t="s">
        <v>37058</v>
      </c>
      <c r="B13090" s="15" t="s">
        <v>23895</v>
      </c>
      <c r="C13090" s="15" t="s">
        <v>23896</v>
      </c>
      <c r="D13090" s="15" t="s">
        <v>23897</v>
      </c>
      <c r="E13090" s="15">
        <v>13.2006</v>
      </c>
      <c r="F13090" s="42">
        <v>46198</v>
      </c>
    </row>
    <row r="13091" spans="1:6" x14ac:dyDescent="0.3">
      <c r="A13091" s="15" t="s">
        <v>37057</v>
      </c>
      <c r="B13091" s="15" t="s">
        <v>23898</v>
      </c>
      <c r="C13091" s="15" t="s">
        <v>800</v>
      </c>
      <c r="D13091" s="15" t="s">
        <v>23899</v>
      </c>
      <c r="E13091" s="15">
        <v>13.2012</v>
      </c>
      <c r="F13091" s="42">
        <v>46198</v>
      </c>
    </row>
    <row r="13092" spans="1:6" x14ac:dyDescent="0.3">
      <c r="A13092" s="15" t="s">
        <v>37056</v>
      </c>
      <c r="B13092" s="15" t="s">
        <v>23900</v>
      </c>
      <c r="C13092" s="15" t="s">
        <v>800</v>
      </c>
      <c r="D13092" s="15" t="s">
        <v>23901</v>
      </c>
      <c r="E13092" s="15">
        <v>12.9336</v>
      </c>
      <c r="F13092" s="42">
        <v>46198</v>
      </c>
    </row>
    <row r="13093" spans="1:6" x14ac:dyDescent="0.3">
      <c r="A13093" s="15" t="s">
        <v>37055</v>
      </c>
      <c r="B13093" s="15" t="s">
        <v>23902</v>
      </c>
      <c r="C13093" s="15" t="s">
        <v>23903</v>
      </c>
      <c r="D13093" s="15" t="s">
        <v>23904</v>
      </c>
      <c r="E13093" s="15">
        <v>12.712899999999999</v>
      </c>
      <c r="F13093" s="42">
        <v>46125</v>
      </c>
    </row>
    <row r="13094" spans="1:6" x14ac:dyDescent="0.3">
      <c r="A13094" s="15" t="s">
        <v>37054</v>
      </c>
      <c r="B13094" s="15" t="s">
        <v>23905</v>
      </c>
      <c r="C13094" s="15" t="s">
        <v>800</v>
      </c>
      <c r="D13094" s="15" t="s">
        <v>23906</v>
      </c>
      <c r="E13094" s="15">
        <v>12.883100000000001</v>
      </c>
      <c r="F13094" s="42">
        <v>46198</v>
      </c>
    </row>
    <row r="13095" spans="1:6" x14ac:dyDescent="0.3">
      <c r="A13095" s="15" t="s">
        <v>37053</v>
      </c>
      <c r="B13095" s="15" t="s">
        <v>23907</v>
      </c>
      <c r="C13095" s="15" t="s">
        <v>23908</v>
      </c>
      <c r="D13095" s="15" t="s">
        <v>23909</v>
      </c>
      <c r="E13095" s="15">
        <v>12.6654</v>
      </c>
      <c r="F13095" s="42">
        <v>46125</v>
      </c>
    </row>
    <row r="13096" spans="1:6" x14ac:dyDescent="0.3">
      <c r="A13096" s="15" t="s">
        <v>37052</v>
      </c>
      <c r="B13096" s="15" t="s">
        <v>23910</v>
      </c>
      <c r="C13096" s="15" t="s">
        <v>800</v>
      </c>
      <c r="D13096" s="15" t="s">
        <v>23911</v>
      </c>
      <c r="E13096" s="15">
        <v>12.7765</v>
      </c>
      <c r="F13096" s="42">
        <v>46171</v>
      </c>
    </row>
    <row r="13097" spans="1:6" x14ac:dyDescent="0.3">
      <c r="A13097" s="15" t="s">
        <v>37051</v>
      </c>
      <c r="B13097" s="15" t="s">
        <v>23912</v>
      </c>
      <c r="C13097" s="15" t="s">
        <v>23913</v>
      </c>
      <c r="D13097" s="15" t="s">
        <v>23914</v>
      </c>
      <c r="E13097" s="15">
        <v>12.775499999999999</v>
      </c>
      <c r="F13097" s="42">
        <v>46171</v>
      </c>
    </row>
    <row r="13098" spans="1:6" x14ac:dyDescent="0.3">
      <c r="A13098" s="15" t="s">
        <v>37050</v>
      </c>
      <c r="B13098" s="15" t="s">
        <v>23915</v>
      </c>
      <c r="C13098" s="15" t="s">
        <v>800</v>
      </c>
      <c r="D13098" s="15" t="s">
        <v>23916</v>
      </c>
      <c r="E13098" s="15">
        <v>12.7094</v>
      </c>
      <c r="F13098" s="42">
        <v>46171</v>
      </c>
    </row>
    <row r="13099" spans="1:6" x14ac:dyDescent="0.3">
      <c r="A13099" s="15" t="s">
        <v>37049</v>
      </c>
      <c r="B13099" s="15" t="s">
        <v>23917</v>
      </c>
      <c r="C13099" s="15" t="s">
        <v>23918</v>
      </c>
      <c r="D13099" s="15" t="s">
        <v>23919</v>
      </c>
      <c r="E13099" s="15">
        <v>12.7094</v>
      </c>
      <c r="F13099" s="42">
        <v>46171</v>
      </c>
    </row>
    <row r="13100" spans="1:6" x14ac:dyDescent="0.3">
      <c r="A13100" s="15" t="s">
        <v>37048</v>
      </c>
      <c r="B13100" s="15" t="s">
        <v>23920</v>
      </c>
      <c r="C13100" s="15" t="s">
        <v>800</v>
      </c>
      <c r="D13100" s="15" t="s">
        <v>23921</v>
      </c>
      <c r="E13100" s="15">
        <v>12.692600000000001</v>
      </c>
      <c r="F13100" s="42">
        <v>46198</v>
      </c>
    </row>
    <row r="13101" spans="1:6" x14ac:dyDescent="0.3">
      <c r="A13101" s="15" t="s">
        <v>37047</v>
      </c>
      <c r="B13101" s="15" t="s">
        <v>23922</v>
      </c>
      <c r="C13101" s="15" t="s">
        <v>23923</v>
      </c>
      <c r="D13101" s="15" t="s">
        <v>23924</v>
      </c>
      <c r="E13101" s="15">
        <v>12.693</v>
      </c>
      <c r="F13101" s="42">
        <v>46198</v>
      </c>
    </row>
    <row r="13102" spans="1:6" x14ac:dyDescent="0.3">
      <c r="A13102" s="15" t="s">
        <v>37046</v>
      </c>
      <c r="B13102" s="15" t="s">
        <v>23925</v>
      </c>
      <c r="C13102" s="15" t="s">
        <v>800</v>
      </c>
      <c r="D13102" s="15" t="s">
        <v>23926</v>
      </c>
      <c r="E13102" s="15">
        <v>12.6502</v>
      </c>
      <c r="F13102" s="42">
        <v>46198</v>
      </c>
    </row>
    <row r="13103" spans="1:6" x14ac:dyDescent="0.3">
      <c r="A13103" s="15" t="s">
        <v>37045</v>
      </c>
      <c r="B13103" s="15" t="s">
        <v>23927</v>
      </c>
      <c r="C13103" s="15" t="s">
        <v>23928</v>
      </c>
      <c r="D13103" s="15" t="s">
        <v>23929</v>
      </c>
      <c r="E13103" s="15">
        <v>12.437200000000001</v>
      </c>
      <c r="F13103" s="42">
        <v>46125</v>
      </c>
    </row>
    <row r="13104" spans="1:6" x14ac:dyDescent="0.3">
      <c r="A13104" s="15" t="s">
        <v>33499</v>
      </c>
      <c r="B13104" s="15" t="s">
        <v>795</v>
      </c>
      <c r="C13104" s="15" t="s">
        <v>795</v>
      </c>
      <c r="D13104" s="15" t="s">
        <v>795</v>
      </c>
      <c r="F13104" s="42"/>
    </row>
    <row r="13105" spans="1:6" x14ac:dyDescent="0.3">
      <c r="A13105" s="15" t="s">
        <v>37043</v>
      </c>
      <c r="B13105" s="15" t="s">
        <v>795</v>
      </c>
      <c r="C13105" s="15" t="s">
        <v>795</v>
      </c>
      <c r="D13105" s="15" t="s">
        <v>795</v>
      </c>
      <c r="F13105" s="42"/>
    </row>
    <row r="13106" spans="1:6" x14ac:dyDescent="0.3">
      <c r="A13106" s="15" t="s">
        <v>33499</v>
      </c>
      <c r="B13106" s="15" t="s">
        <v>795</v>
      </c>
      <c r="C13106" s="15" t="s">
        <v>795</v>
      </c>
      <c r="D13106" s="15" t="s">
        <v>795</v>
      </c>
      <c r="F13106" s="42"/>
    </row>
    <row r="13107" spans="1:6" x14ac:dyDescent="0.3">
      <c r="A13107" s="15" t="s">
        <v>37042</v>
      </c>
      <c r="B13107" s="15" t="s">
        <v>23930</v>
      </c>
      <c r="C13107" s="15" t="s">
        <v>800</v>
      </c>
      <c r="D13107" s="15" t="s">
        <v>23931</v>
      </c>
      <c r="E13107" s="15">
        <v>10.084199999999999</v>
      </c>
      <c r="F13107" s="42">
        <v>46198</v>
      </c>
    </row>
    <row r="13108" spans="1:6" x14ac:dyDescent="0.3">
      <c r="A13108" s="15" t="s">
        <v>37041</v>
      </c>
      <c r="B13108" s="15" t="s">
        <v>23932</v>
      </c>
      <c r="C13108" s="15" t="s">
        <v>800</v>
      </c>
      <c r="D13108" s="15" t="s">
        <v>23933</v>
      </c>
      <c r="E13108" s="15">
        <v>10.084199999999999</v>
      </c>
      <c r="F13108" s="42">
        <v>46198</v>
      </c>
    </row>
    <row r="13109" spans="1:6" x14ac:dyDescent="0.3">
      <c r="A13109" s="15" t="s">
        <v>37040</v>
      </c>
      <c r="B13109" s="15" t="s">
        <v>23934</v>
      </c>
      <c r="C13109" s="15" t="s">
        <v>800</v>
      </c>
      <c r="D13109" s="15" t="s">
        <v>23935</v>
      </c>
      <c r="E13109" s="15">
        <v>10.084199999999999</v>
      </c>
      <c r="F13109" s="42">
        <v>46198</v>
      </c>
    </row>
    <row r="13110" spans="1:6" x14ac:dyDescent="0.3">
      <c r="A13110" s="15" t="s">
        <v>37039</v>
      </c>
      <c r="B13110" s="15" t="s">
        <v>23936</v>
      </c>
      <c r="C13110" s="15" t="s">
        <v>800</v>
      </c>
      <c r="D13110" s="15" t="s">
        <v>23937</v>
      </c>
      <c r="E13110" s="15">
        <v>10.084199999999999</v>
      </c>
      <c r="F13110" s="42">
        <v>46198</v>
      </c>
    </row>
    <row r="13111" spans="1:6" x14ac:dyDescent="0.3">
      <c r="A13111" s="15" t="s">
        <v>37038</v>
      </c>
      <c r="B13111" s="15" t="s">
        <v>23938</v>
      </c>
      <c r="C13111" s="15" t="s">
        <v>800</v>
      </c>
      <c r="D13111" s="15" t="s">
        <v>23939</v>
      </c>
      <c r="E13111" s="15">
        <v>12.399900000000001</v>
      </c>
      <c r="F13111" s="42">
        <v>44692</v>
      </c>
    </row>
    <row r="13112" spans="1:6" x14ac:dyDescent="0.3">
      <c r="A13112" s="15" t="s">
        <v>37037</v>
      </c>
      <c r="B13112" s="15" t="s">
        <v>23940</v>
      </c>
      <c r="C13112" s="15" t="s">
        <v>800</v>
      </c>
      <c r="D13112" s="15" t="s">
        <v>23941</v>
      </c>
      <c r="E13112" s="15">
        <v>12.473100000000001</v>
      </c>
      <c r="F13112" s="42">
        <v>44692</v>
      </c>
    </row>
    <row r="13113" spans="1:6" x14ac:dyDescent="0.3">
      <c r="A13113" s="15" t="s">
        <v>37036</v>
      </c>
      <c r="B13113" s="15" t="s">
        <v>23942</v>
      </c>
      <c r="C13113" s="15" t="s">
        <v>800</v>
      </c>
      <c r="D13113" s="15" t="s">
        <v>23943</v>
      </c>
      <c r="E13113" s="15">
        <v>10</v>
      </c>
      <c r="F13113" s="42">
        <v>44692</v>
      </c>
    </row>
    <row r="13114" spans="1:6" x14ac:dyDescent="0.3">
      <c r="A13114" s="15" t="s">
        <v>37035</v>
      </c>
      <c r="B13114" s="15" t="s">
        <v>23944</v>
      </c>
      <c r="C13114" s="15" t="s">
        <v>800</v>
      </c>
      <c r="D13114" s="15" t="s">
        <v>23945</v>
      </c>
      <c r="E13114" s="15">
        <v>10</v>
      </c>
      <c r="F13114" s="42">
        <v>44692</v>
      </c>
    </row>
    <row r="13115" spans="1:6" x14ac:dyDescent="0.3">
      <c r="A13115" s="15" t="s">
        <v>37034</v>
      </c>
      <c r="B13115" s="15" t="s">
        <v>23946</v>
      </c>
      <c r="C13115" s="15" t="s">
        <v>800</v>
      </c>
      <c r="D13115" s="15" t="s">
        <v>23947</v>
      </c>
      <c r="E13115" s="15">
        <v>10</v>
      </c>
      <c r="F13115" s="42">
        <v>44692</v>
      </c>
    </row>
    <row r="13116" spans="1:6" x14ac:dyDescent="0.3">
      <c r="A13116" s="15" t="s">
        <v>37033</v>
      </c>
      <c r="B13116" s="15" t="s">
        <v>23948</v>
      </c>
      <c r="C13116" s="15" t="s">
        <v>800</v>
      </c>
      <c r="D13116" s="15" t="s">
        <v>23949</v>
      </c>
      <c r="E13116" s="15">
        <v>10</v>
      </c>
      <c r="F13116" s="42">
        <v>44692</v>
      </c>
    </row>
    <row r="13117" spans="1:6" x14ac:dyDescent="0.3">
      <c r="A13117" s="15" t="s">
        <v>37032</v>
      </c>
      <c r="B13117" s="15" t="s">
        <v>23950</v>
      </c>
      <c r="C13117" s="15" t="s">
        <v>800</v>
      </c>
      <c r="D13117" s="15" t="s">
        <v>23951</v>
      </c>
      <c r="E13117" s="15">
        <v>12.3925</v>
      </c>
      <c r="F13117" s="42">
        <v>44669</v>
      </c>
    </row>
    <row r="13118" spans="1:6" x14ac:dyDescent="0.3">
      <c r="A13118" s="15" t="s">
        <v>37031</v>
      </c>
      <c r="B13118" s="15" t="s">
        <v>23952</v>
      </c>
      <c r="C13118" s="15" t="s">
        <v>800</v>
      </c>
      <c r="D13118" s="15" t="s">
        <v>23953</v>
      </c>
      <c r="E13118" s="15">
        <v>12.4472</v>
      </c>
      <c r="F13118" s="42">
        <v>44669</v>
      </c>
    </row>
    <row r="13119" spans="1:6" x14ac:dyDescent="0.3">
      <c r="A13119" s="15" t="s">
        <v>37030</v>
      </c>
      <c r="B13119" s="15" t="s">
        <v>23954</v>
      </c>
      <c r="C13119" s="15" t="s">
        <v>800</v>
      </c>
      <c r="D13119" s="15" t="s">
        <v>23955</v>
      </c>
      <c r="E13119" s="15">
        <v>10</v>
      </c>
      <c r="F13119" s="42">
        <v>44669</v>
      </c>
    </row>
    <row r="13120" spans="1:6" x14ac:dyDescent="0.3">
      <c r="A13120" s="15" t="s">
        <v>37029</v>
      </c>
      <c r="B13120" s="15" t="s">
        <v>23956</v>
      </c>
      <c r="C13120" s="15" t="s">
        <v>800</v>
      </c>
      <c r="D13120" s="15" t="s">
        <v>23957</v>
      </c>
      <c r="E13120" s="15">
        <v>10</v>
      </c>
      <c r="F13120" s="42">
        <v>44669</v>
      </c>
    </row>
    <row r="13121" spans="1:6" x14ac:dyDescent="0.3">
      <c r="A13121" s="15" t="s">
        <v>37028</v>
      </c>
      <c r="B13121" s="15" t="s">
        <v>23958</v>
      </c>
      <c r="C13121" s="15" t="s">
        <v>800</v>
      </c>
      <c r="D13121" s="15" t="s">
        <v>23959</v>
      </c>
      <c r="E13121" s="15">
        <v>10</v>
      </c>
      <c r="F13121" s="42">
        <v>44669</v>
      </c>
    </row>
    <row r="13122" spans="1:6" x14ac:dyDescent="0.3">
      <c r="A13122" s="15" t="s">
        <v>37027</v>
      </c>
      <c r="B13122" s="15" t="s">
        <v>23960</v>
      </c>
      <c r="C13122" s="15" t="s">
        <v>800</v>
      </c>
      <c r="D13122" s="15" t="s">
        <v>23961</v>
      </c>
      <c r="E13122" s="15">
        <v>12.353999999999999</v>
      </c>
      <c r="F13122" s="42">
        <v>44669</v>
      </c>
    </row>
    <row r="13123" spans="1:6" x14ac:dyDescent="0.3">
      <c r="A13123" s="15" t="s">
        <v>37026</v>
      </c>
      <c r="B13123" s="15" t="s">
        <v>23962</v>
      </c>
      <c r="C13123" s="15" t="s">
        <v>800</v>
      </c>
      <c r="D13123" s="15" t="s">
        <v>23963</v>
      </c>
      <c r="E13123" s="15">
        <v>12.452</v>
      </c>
      <c r="F13123" s="42">
        <v>44669</v>
      </c>
    </row>
    <row r="13124" spans="1:6" x14ac:dyDescent="0.3">
      <c r="A13124" s="15" t="s">
        <v>37025</v>
      </c>
      <c r="B13124" s="15" t="s">
        <v>23964</v>
      </c>
      <c r="C13124" s="15" t="s">
        <v>800</v>
      </c>
      <c r="D13124" s="15" t="s">
        <v>23965</v>
      </c>
      <c r="E13124" s="15">
        <v>10</v>
      </c>
      <c r="F13124" s="42">
        <v>44669</v>
      </c>
    </row>
    <row r="13125" spans="1:6" x14ac:dyDescent="0.3">
      <c r="A13125" s="15" t="s">
        <v>37024</v>
      </c>
      <c r="B13125" s="15" t="s">
        <v>23966</v>
      </c>
      <c r="C13125" s="15" t="s">
        <v>800</v>
      </c>
      <c r="D13125" s="15" t="s">
        <v>23967</v>
      </c>
      <c r="E13125" s="15">
        <v>10</v>
      </c>
      <c r="F13125" s="42">
        <v>44669</v>
      </c>
    </row>
    <row r="13126" spans="1:6" x14ac:dyDescent="0.3">
      <c r="A13126" s="15" t="s">
        <v>37023</v>
      </c>
      <c r="B13126" s="15" t="s">
        <v>23968</v>
      </c>
      <c r="C13126" s="15" t="s">
        <v>800</v>
      </c>
      <c r="D13126" s="15" t="s">
        <v>23969</v>
      </c>
      <c r="E13126" s="15">
        <v>10</v>
      </c>
      <c r="F13126" s="42">
        <v>44669</v>
      </c>
    </row>
    <row r="13127" spans="1:6" x14ac:dyDescent="0.3">
      <c r="A13127" s="15" t="s">
        <v>37022</v>
      </c>
      <c r="B13127" s="15" t="s">
        <v>23970</v>
      </c>
      <c r="C13127" s="15" t="s">
        <v>800</v>
      </c>
      <c r="D13127" s="15" t="s">
        <v>23971</v>
      </c>
      <c r="E13127" s="15">
        <v>10</v>
      </c>
      <c r="F13127" s="42">
        <v>44669</v>
      </c>
    </row>
    <row r="13128" spans="1:6" x14ac:dyDescent="0.3">
      <c r="A13128" s="15" t="s">
        <v>37021</v>
      </c>
      <c r="B13128" s="15" t="s">
        <v>23972</v>
      </c>
      <c r="C13128" s="15" t="s">
        <v>800</v>
      </c>
      <c r="D13128" s="15" t="s">
        <v>23973</v>
      </c>
      <c r="E13128" s="15">
        <v>12.5025</v>
      </c>
      <c r="F13128" s="42">
        <v>44662</v>
      </c>
    </row>
    <row r="13129" spans="1:6" x14ac:dyDescent="0.3">
      <c r="A13129" s="15" t="s">
        <v>37020</v>
      </c>
      <c r="B13129" s="15" t="s">
        <v>23974</v>
      </c>
      <c r="C13129" s="15" t="s">
        <v>800</v>
      </c>
      <c r="D13129" s="15" t="s">
        <v>23975</v>
      </c>
      <c r="E13129" s="15">
        <v>12.601599999999999</v>
      </c>
      <c r="F13129" s="42">
        <v>44662</v>
      </c>
    </row>
    <row r="13130" spans="1:6" x14ac:dyDescent="0.3">
      <c r="A13130" s="15" t="s">
        <v>37019</v>
      </c>
      <c r="B13130" s="15" t="s">
        <v>800</v>
      </c>
      <c r="C13130" s="15" t="s">
        <v>23976</v>
      </c>
      <c r="D13130" s="15" t="s">
        <v>23977</v>
      </c>
      <c r="E13130" s="15">
        <v>10</v>
      </c>
      <c r="F13130" s="42">
        <v>44662</v>
      </c>
    </row>
    <row r="13131" spans="1:6" x14ac:dyDescent="0.3">
      <c r="A13131" s="15" t="s">
        <v>37018</v>
      </c>
      <c r="B13131" s="15" t="s">
        <v>23978</v>
      </c>
      <c r="C13131" s="15" t="s">
        <v>800</v>
      </c>
      <c r="D13131" s="15" t="s">
        <v>23979</v>
      </c>
      <c r="E13131" s="15">
        <v>10</v>
      </c>
      <c r="F13131" s="42">
        <v>44662</v>
      </c>
    </row>
    <row r="13132" spans="1:6" x14ac:dyDescent="0.3">
      <c r="A13132" s="15" t="s">
        <v>37017</v>
      </c>
      <c r="B13132" s="15" t="s">
        <v>23980</v>
      </c>
      <c r="C13132" s="15" t="s">
        <v>800</v>
      </c>
      <c r="D13132" s="15" t="s">
        <v>23981</v>
      </c>
      <c r="E13132" s="15">
        <v>10</v>
      </c>
      <c r="F13132" s="42">
        <v>44662</v>
      </c>
    </row>
    <row r="13133" spans="1:6" x14ac:dyDescent="0.3">
      <c r="A13133" s="15" t="s">
        <v>37016</v>
      </c>
      <c r="B13133" s="15" t="s">
        <v>23982</v>
      </c>
      <c r="C13133" s="15" t="s">
        <v>800</v>
      </c>
      <c r="D13133" s="15" t="s">
        <v>23983</v>
      </c>
      <c r="E13133" s="15">
        <v>10</v>
      </c>
      <c r="F13133" s="42">
        <v>44662</v>
      </c>
    </row>
    <row r="13134" spans="1:6" x14ac:dyDescent="0.3">
      <c r="A13134" s="15" t="s">
        <v>37015</v>
      </c>
      <c r="B13134" s="15" t="s">
        <v>23984</v>
      </c>
      <c r="C13134" s="15" t="s">
        <v>800</v>
      </c>
      <c r="D13134" s="15" t="s">
        <v>23985</v>
      </c>
      <c r="E13134" s="15">
        <v>12.4084</v>
      </c>
      <c r="F13134" s="42">
        <v>44669</v>
      </c>
    </row>
    <row r="13135" spans="1:6" x14ac:dyDescent="0.3">
      <c r="A13135" s="15" t="s">
        <v>37014</v>
      </c>
      <c r="B13135" s="15" t="s">
        <v>23986</v>
      </c>
      <c r="C13135" s="15" t="s">
        <v>800</v>
      </c>
      <c r="D13135" s="15" t="s">
        <v>23987</v>
      </c>
      <c r="E13135" s="15">
        <v>12.507</v>
      </c>
      <c r="F13135" s="42">
        <v>44669</v>
      </c>
    </row>
    <row r="13136" spans="1:6" x14ac:dyDescent="0.3">
      <c r="A13136" s="15" t="s">
        <v>37013</v>
      </c>
      <c r="B13136" s="15" t="s">
        <v>23988</v>
      </c>
      <c r="C13136" s="15" t="s">
        <v>800</v>
      </c>
      <c r="D13136" s="15" t="s">
        <v>23989</v>
      </c>
      <c r="E13136" s="15">
        <v>10</v>
      </c>
      <c r="F13136" s="42">
        <v>44669</v>
      </c>
    </row>
    <row r="13137" spans="1:6" x14ac:dyDescent="0.3">
      <c r="A13137" s="15" t="s">
        <v>37012</v>
      </c>
      <c r="B13137" s="15" t="s">
        <v>23990</v>
      </c>
      <c r="C13137" s="15" t="s">
        <v>800</v>
      </c>
      <c r="D13137" s="15" t="s">
        <v>23991</v>
      </c>
      <c r="E13137" s="15">
        <v>10</v>
      </c>
      <c r="F13137" s="42">
        <v>44669</v>
      </c>
    </row>
    <row r="13138" spans="1:6" x14ac:dyDescent="0.3">
      <c r="A13138" s="15" t="s">
        <v>37011</v>
      </c>
      <c r="B13138" s="15" t="s">
        <v>23992</v>
      </c>
      <c r="C13138" s="15" t="s">
        <v>800</v>
      </c>
      <c r="D13138" s="15" t="s">
        <v>23993</v>
      </c>
      <c r="E13138" s="15">
        <v>10</v>
      </c>
      <c r="F13138" s="42">
        <v>44669</v>
      </c>
    </row>
    <row r="13139" spans="1:6" x14ac:dyDescent="0.3">
      <c r="A13139" s="15" t="s">
        <v>37010</v>
      </c>
      <c r="B13139" s="15" t="s">
        <v>23994</v>
      </c>
      <c r="C13139" s="15" t="s">
        <v>800</v>
      </c>
      <c r="D13139" s="15" t="s">
        <v>23995</v>
      </c>
      <c r="E13139" s="15">
        <v>10</v>
      </c>
      <c r="F13139" s="42">
        <v>44669</v>
      </c>
    </row>
    <row r="13140" spans="1:6" x14ac:dyDescent="0.3">
      <c r="A13140" s="15" t="s">
        <v>37009</v>
      </c>
      <c r="B13140" s="15" t="s">
        <v>23996</v>
      </c>
      <c r="C13140" s="15" t="s">
        <v>800</v>
      </c>
      <c r="D13140" s="15" t="s">
        <v>23997</v>
      </c>
      <c r="E13140" s="15">
        <v>12.5318</v>
      </c>
      <c r="F13140" s="42">
        <v>44662</v>
      </c>
    </row>
    <row r="13141" spans="1:6" x14ac:dyDescent="0.3">
      <c r="A13141" s="15" t="s">
        <v>37008</v>
      </c>
      <c r="B13141" s="15" t="s">
        <v>23998</v>
      </c>
      <c r="C13141" s="15" t="s">
        <v>800</v>
      </c>
      <c r="D13141" s="15" t="s">
        <v>23999</v>
      </c>
      <c r="E13141" s="15">
        <v>12.631399999999999</v>
      </c>
      <c r="F13141" s="42">
        <v>44662</v>
      </c>
    </row>
    <row r="13142" spans="1:6" x14ac:dyDescent="0.3">
      <c r="A13142" s="15" t="s">
        <v>37007</v>
      </c>
      <c r="B13142" s="15" t="s">
        <v>24000</v>
      </c>
      <c r="C13142" s="15" t="s">
        <v>800</v>
      </c>
      <c r="D13142" s="15" t="s">
        <v>24001</v>
      </c>
      <c r="E13142" s="15">
        <v>10</v>
      </c>
      <c r="F13142" s="42">
        <v>44662</v>
      </c>
    </row>
    <row r="13143" spans="1:6" x14ac:dyDescent="0.3">
      <c r="A13143" s="15" t="s">
        <v>37006</v>
      </c>
      <c r="B13143" s="15" t="s">
        <v>24002</v>
      </c>
      <c r="C13143" s="15" t="s">
        <v>800</v>
      </c>
      <c r="D13143" s="15" t="s">
        <v>24003</v>
      </c>
      <c r="E13143" s="15">
        <v>10</v>
      </c>
      <c r="F13143" s="42">
        <v>44662</v>
      </c>
    </row>
    <row r="13144" spans="1:6" x14ac:dyDescent="0.3">
      <c r="A13144" s="15" t="s">
        <v>37005</v>
      </c>
      <c r="B13144" s="15" t="s">
        <v>24004</v>
      </c>
      <c r="C13144" s="15" t="s">
        <v>800</v>
      </c>
      <c r="D13144" s="15" t="s">
        <v>24005</v>
      </c>
      <c r="E13144" s="15">
        <v>10</v>
      </c>
      <c r="F13144" s="42">
        <v>44662</v>
      </c>
    </row>
    <row r="13145" spans="1:6" x14ac:dyDescent="0.3">
      <c r="A13145" s="15" t="s">
        <v>37004</v>
      </c>
      <c r="B13145" s="15" t="s">
        <v>24006</v>
      </c>
      <c r="C13145" s="15" t="s">
        <v>800</v>
      </c>
      <c r="D13145" s="15" t="s">
        <v>24007</v>
      </c>
      <c r="E13145" s="15">
        <v>10</v>
      </c>
      <c r="F13145" s="42">
        <v>44662</v>
      </c>
    </row>
    <row r="13146" spans="1:6" x14ac:dyDescent="0.3">
      <c r="A13146" s="15" t="s">
        <v>37003</v>
      </c>
      <c r="B13146" s="15" t="s">
        <v>24008</v>
      </c>
      <c r="C13146" s="15" t="s">
        <v>800</v>
      </c>
      <c r="D13146" s="15" t="s">
        <v>24009</v>
      </c>
      <c r="E13146" s="15">
        <v>12.585100000000001</v>
      </c>
      <c r="F13146" s="42">
        <v>44662</v>
      </c>
    </row>
    <row r="13147" spans="1:6" x14ac:dyDescent="0.3">
      <c r="A13147" s="15" t="s">
        <v>37002</v>
      </c>
      <c r="B13147" s="15" t="s">
        <v>24010</v>
      </c>
      <c r="C13147" s="15" t="s">
        <v>800</v>
      </c>
      <c r="D13147" s="15" t="s">
        <v>24011</v>
      </c>
      <c r="E13147" s="15">
        <v>12.6858</v>
      </c>
      <c r="F13147" s="42">
        <v>44662</v>
      </c>
    </row>
    <row r="13148" spans="1:6" x14ac:dyDescent="0.3">
      <c r="A13148" s="15" t="s">
        <v>37001</v>
      </c>
      <c r="B13148" s="15" t="s">
        <v>24012</v>
      </c>
      <c r="C13148" s="15" t="s">
        <v>800</v>
      </c>
      <c r="D13148" s="15" t="s">
        <v>24013</v>
      </c>
      <c r="E13148" s="15">
        <v>10</v>
      </c>
      <c r="F13148" s="42">
        <v>44662</v>
      </c>
    </row>
    <row r="13149" spans="1:6" x14ac:dyDescent="0.3">
      <c r="A13149" s="15" t="s">
        <v>37000</v>
      </c>
      <c r="B13149" s="15" t="s">
        <v>24014</v>
      </c>
      <c r="C13149" s="15" t="s">
        <v>800</v>
      </c>
      <c r="D13149" s="15" t="s">
        <v>24015</v>
      </c>
      <c r="E13149" s="15">
        <v>10</v>
      </c>
      <c r="F13149" s="42">
        <v>44662</v>
      </c>
    </row>
    <row r="13150" spans="1:6" x14ac:dyDescent="0.3">
      <c r="A13150" s="15" t="s">
        <v>36999</v>
      </c>
      <c r="B13150" s="15" t="s">
        <v>24016</v>
      </c>
      <c r="C13150" s="15" t="s">
        <v>800</v>
      </c>
      <c r="D13150" s="15" t="s">
        <v>24017</v>
      </c>
      <c r="E13150" s="15">
        <v>10</v>
      </c>
      <c r="F13150" s="42">
        <v>44662</v>
      </c>
    </row>
    <row r="13151" spans="1:6" x14ac:dyDescent="0.3">
      <c r="A13151" s="15" t="s">
        <v>36998</v>
      </c>
      <c r="B13151" s="15" t="s">
        <v>24018</v>
      </c>
      <c r="C13151" s="15" t="s">
        <v>800</v>
      </c>
      <c r="D13151" s="15" t="s">
        <v>24019</v>
      </c>
      <c r="E13151" s="15">
        <v>10</v>
      </c>
      <c r="F13151" s="42">
        <v>44662</v>
      </c>
    </row>
    <row r="13152" spans="1:6" x14ac:dyDescent="0.3">
      <c r="A13152" s="15" t="s">
        <v>36997</v>
      </c>
      <c r="B13152" s="15" t="s">
        <v>24020</v>
      </c>
      <c r="C13152" s="15" t="s">
        <v>800</v>
      </c>
      <c r="D13152" s="15" t="s">
        <v>24021</v>
      </c>
      <c r="E13152" s="15">
        <v>12.574999999999999</v>
      </c>
      <c r="F13152" s="42">
        <v>44662</v>
      </c>
    </row>
    <row r="13153" spans="1:6" x14ac:dyDescent="0.3">
      <c r="A13153" s="15" t="s">
        <v>36996</v>
      </c>
      <c r="B13153" s="15" t="s">
        <v>24022</v>
      </c>
      <c r="C13153" s="15" t="s">
        <v>800</v>
      </c>
      <c r="D13153" s="15" t="s">
        <v>24023</v>
      </c>
      <c r="E13153" s="15">
        <v>12.675000000000001</v>
      </c>
      <c r="F13153" s="42">
        <v>44662</v>
      </c>
    </row>
    <row r="13154" spans="1:6" x14ac:dyDescent="0.3">
      <c r="A13154" s="15" t="s">
        <v>36995</v>
      </c>
      <c r="B13154" s="15" t="s">
        <v>24024</v>
      </c>
      <c r="C13154" s="15" t="s">
        <v>800</v>
      </c>
      <c r="D13154" s="15" t="s">
        <v>24025</v>
      </c>
      <c r="E13154" s="15">
        <v>10</v>
      </c>
      <c r="F13154" s="42">
        <v>44662</v>
      </c>
    </row>
    <row r="13155" spans="1:6" x14ac:dyDescent="0.3">
      <c r="A13155" s="15" t="s">
        <v>36994</v>
      </c>
      <c r="B13155" s="15" t="s">
        <v>24026</v>
      </c>
      <c r="C13155" s="15" t="s">
        <v>800</v>
      </c>
      <c r="D13155" s="15" t="s">
        <v>24027</v>
      </c>
      <c r="E13155" s="15">
        <v>10</v>
      </c>
      <c r="F13155" s="42">
        <v>44662</v>
      </c>
    </row>
    <row r="13156" spans="1:6" x14ac:dyDescent="0.3">
      <c r="A13156" s="15" t="s">
        <v>36993</v>
      </c>
      <c r="B13156" s="15" t="s">
        <v>24028</v>
      </c>
      <c r="C13156" s="15" t="s">
        <v>800</v>
      </c>
      <c r="D13156" s="15" t="s">
        <v>24029</v>
      </c>
      <c r="E13156" s="15">
        <v>10</v>
      </c>
      <c r="F13156" s="42">
        <v>44662</v>
      </c>
    </row>
    <row r="13157" spans="1:6" x14ac:dyDescent="0.3">
      <c r="A13157" s="15" t="s">
        <v>36992</v>
      </c>
      <c r="B13157" s="15" t="s">
        <v>24030</v>
      </c>
      <c r="C13157" s="15" t="s">
        <v>800</v>
      </c>
      <c r="D13157" s="15" t="s">
        <v>24031</v>
      </c>
      <c r="E13157" s="15">
        <v>10</v>
      </c>
      <c r="F13157" s="42">
        <v>44662</v>
      </c>
    </row>
    <row r="13158" spans="1:6" x14ac:dyDescent="0.3">
      <c r="A13158" s="15" t="s">
        <v>36991</v>
      </c>
      <c r="B13158" s="15" t="s">
        <v>24032</v>
      </c>
      <c r="C13158" s="15" t="s">
        <v>800</v>
      </c>
      <c r="D13158" s="15" t="s">
        <v>24033</v>
      </c>
      <c r="E13158" s="15">
        <v>12.3088</v>
      </c>
      <c r="F13158" s="42">
        <v>45925</v>
      </c>
    </row>
    <row r="13159" spans="1:6" x14ac:dyDescent="0.3">
      <c r="A13159" s="15" t="s">
        <v>36990</v>
      </c>
      <c r="B13159" s="15" t="s">
        <v>24034</v>
      </c>
      <c r="C13159" s="15" t="s">
        <v>800</v>
      </c>
      <c r="D13159" s="15" t="s">
        <v>24035</v>
      </c>
      <c r="E13159" s="15">
        <v>12.415100000000001</v>
      </c>
      <c r="F13159" s="42">
        <v>45925</v>
      </c>
    </row>
    <row r="13160" spans="1:6" x14ac:dyDescent="0.3">
      <c r="A13160" s="15" t="s">
        <v>36989</v>
      </c>
      <c r="B13160" s="15" t="s">
        <v>24036</v>
      </c>
      <c r="C13160" s="15" t="s">
        <v>800</v>
      </c>
      <c r="D13160" s="15" t="s">
        <v>24037</v>
      </c>
      <c r="E13160" s="15">
        <v>10</v>
      </c>
      <c r="F13160" s="42">
        <v>45925</v>
      </c>
    </row>
    <row r="13161" spans="1:6" x14ac:dyDescent="0.3">
      <c r="A13161" s="15" t="s">
        <v>36988</v>
      </c>
      <c r="B13161" s="15" t="s">
        <v>24038</v>
      </c>
      <c r="C13161" s="15" t="s">
        <v>800</v>
      </c>
      <c r="D13161" s="15" t="s">
        <v>24039</v>
      </c>
      <c r="E13161" s="15">
        <v>10</v>
      </c>
      <c r="F13161" s="42">
        <v>45925</v>
      </c>
    </row>
    <row r="13162" spans="1:6" x14ac:dyDescent="0.3">
      <c r="A13162" s="15" t="s">
        <v>36987</v>
      </c>
      <c r="B13162" s="15" t="s">
        <v>24040</v>
      </c>
      <c r="C13162" s="15" t="s">
        <v>800</v>
      </c>
      <c r="D13162" s="15" t="s">
        <v>24041</v>
      </c>
      <c r="E13162" s="15">
        <v>10</v>
      </c>
      <c r="F13162" s="42">
        <v>45925</v>
      </c>
    </row>
    <row r="13163" spans="1:6" x14ac:dyDescent="0.3">
      <c r="A13163" s="15" t="s">
        <v>36986</v>
      </c>
      <c r="B13163" s="15" t="s">
        <v>24042</v>
      </c>
      <c r="C13163" s="15" t="s">
        <v>800</v>
      </c>
      <c r="D13163" s="15" t="s">
        <v>24043</v>
      </c>
      <c r="E13163" s="15">
        <v>10</v>
      </c>
      <c r="F13163" s="42">
        <v>45925</v>
      </c>
    </row>
    <row r="13164" spans="1:6" x14ac:dyDescent="0.3">
      <c r="A13164" s="15" t="s">
        <v>36985</v>
      </c>
      <c r="B13164" s="15" t="s">
        <v>24044</v>
      </c>
      <c r="C13164" s="15" t="s">
        <v>800</v>
      </c>
      <c r="D13164" s="15" t="s">
        <v>24045</v>
      </c>
      <c r="E13164" s="15">
        <v>11.989100000000001</v>
      </c>
      <c r="F13164" s="42">
        <v>45796</v>
      </c>
    </row>
    <row r="13165" spans="1:6" x14ac:dyDescent="0.3">
      <c r="A13165" s="15" t="s">
        <v>36984</v>
      </c>
      <c r="B13165" s="15" t="s">
        <v>24046</v>
      </c>
      <c r="C13165" s="15" t="s">
        <v>800</v>
      </c>
      <c r="D13165" s="15" t="s">
        <v>24047</v>
      </c>
      <c r="E13165" s="15">
        <v>12.0456</v>
      </c>
      <c r="F13165" s="42">
        <v>45796</v>
      </c>
    </row>
    <row r="13166" spans="1:6" x14ac:dyDescent="0.3">
      <c r="A13166" s="15" t="s">
        <v>36983</v>
      </c>
      <c r="B13166" s="15" t="s">
        <v>24048</v>
      </c>
      <c r="C13166" s="15" t="s">
        <v>800</v>
      </c>
      <c r="D13166" s="15" t="s">
        <v>24049</v>
      </c>
      <c r="E13166" s="15">
        <v>10</v>
      </c>
      <c r="F13166" s="42">
        <v>45796</v>
      </c>
    </row>
    <row r="13167" spans="1:6" x14ac:dyDescent="0.3">
      <c r="A13167" s="15" t="s">
        <v>36982</v>
      </c>
      <c r="B13167" s="15" t="s">
        <v>24050</v>
      </c>
      <c r="C13167" s="15" t="s">
        <v>800</v>
      </c>
      <c r="D13167" s="15" t="s">
        <v>24051</v>
      </c>
      <c r="E13167" s="15">
        <v>10</v>
      </c>
      <c r="F13167" s="42">
        <v>45796</v>
      </c>
    </row>
    <row r="13168" spans="1:6" x14ac:dyDescent="0.3">
      <c r="A13168" s="15" t="s">
        <v>36981</v>
      </c>
      <c r="B13168" s="15" t="s">
        <v>24052</v>
      </c>
      <c r="C13168" s="15" t="s">
        <v>800</v>
      </c>
      <c r="D13168" s="15" t="s">
        <v>24053</v>
      </c>
      <c r="E13168" s="15">
        <v>10</v>
      </c>
      <c r="F13168" s="42">
        <v>45796</v>
      </c>
    </row>
    <row r="13169" spans="1:6" x14ac:dyDescent="0.3">
      <c r="A13169" s="15" t="s">
        <v>36980</v>
      </c>
      <c r="B13169" s="15" t="s">
        <v>24054</v>
      </c>
      <c r="C13169" s="15" t="s">
        <v>800</v>
      </c>
      <c r="D13169" s="15" t="s">
        <v>24055</v>
      </c>
      <c r="E13169" s="15">
        <v>10</v>
      </c>
      <c r="F13169" s="42">
        <v>45796</v>
      </c>
    </row>
    <row r="13170" spans="1:6" x14ac:dyDescent="0.3">
      <c r="A13170" s="15" t="s">
        <v>36979</v>
      </c>
      <c r="B13170" s="15" t="s">
        <v>24056</v>
      </c>
      <c r="C13170" s="15" t="s">
        <v>800</v>
      </c>
      <c r="D13170" s="15" t="s">
        <v>24057</v>
      </c>
      <c r="E13170" s="15">
        <v>12.664400000000001</v>
      </c>
      <c r="F13170" s="42">
        <v>44662</v>
      </c>
    </row>
    <row r="13171" spans="1:6" x14ac:dyDescent="0.3">
      <c r="A13171" s="15" t="s">
        <v>36978</v>
      </c>
      <c r="B13171" s="15" t="s">
        <v>24058</v>
      </c>
      <c r="C13171" s="15" t="s">
        <v>800</v>
      </c>
      <c r="D13171" s="15" t="s">
        <v>24059</v>
      </c>
      <c r="E13171" s="15">
        <v>12.7715</v>
      </c>
      <c r="F13171" s="42">
        <v>44662</v>
      </c>
    </row>
    <row r="13172" spans="1:6" x14ac:dyDescent="0.3">
      <c r="A13172" s="15" t="s">
        <v>36977</v>
      </c>
      <c r="B13172" s="15" t="s">
        <v>24060</v>
      </c>
      <c r="C13172" s="15" t="s">
        <v>800</v>
      </c>
      <c r="D13172" s="15" t="s">
        <v>24061</v>
      </c>
      <c r="E13172" s="15">
        <v>10</v>
      </c>
      <c r="F13172" s="42">
        <v>44662</v>
      </c>
    </row>
    <row r="13173" spans="1:6" x14ac:dyDescent="0.3">
      <c r="A13173" s="15" t="s">
        <v>36976</v>
      </c>
      <c r="B13173" s="15" t="s">
        <v>24062</v>
      </c>
      <c r="C13173" s="15" t="s">
        <v>800</v>
      </c>
      <c r="D13173" s="15" t="s">
        <v>24063</v>
      </c>
      <c r="E13173" s="15">
        <v>10</v>
      </c>
      <c r="F13173" s="42">
        <v>44662</v>
      </c>
    </row>
    <row r="13174" spans="1:6" x14ac:dyDescent="0.3">
      <c r="A13174" s="15" t="s">
        <v>36975</v>
      </c>
      <c r="B13174" s="15" t="s">
        <v>24064</v>
      </c>
      <c r="C13174" s="15" t="s">
        <v>800</v>
      </c>
      <c r="D13174" s="15" t="s">
        <v>24065</v>
      </c>
      <c r="E13174" s="15">
        <v>10</v>
      </c>
      <c r="F13174" s="42">
        <v>44662</v>
      </c>
    </row>
    <row r="13175" spans="1:6" x14ac:dyDescent="0.3">
      <c r="A13175" s="15" t="s">
        <v>36974</v>
      </c>
      <c r="B13175" s="15" t="s">
        <v>24066</v>
      </c>
      <c r="C13175" s="15" t="s">
        <v>800</v>
      </c>
      <c r="D13175" s="15" t="s">
        <v>24067</v>
      </c>
      <c r="E13175" s="15">
        <v>10</v>
      </c>
      <c r="F13175" s="42">
        <v>44662</v>
      </c>
    </row>
    <row r="13176" spans="1:6" x14ac:dyDescent="0.3">
      <c r="A13176" s="15" t="s">
        <v>36973</v>
      </c>
      <c r="B13176" s="15" t="s">
        <v>24068</v>
      </c>
      <c r="C13176" s="15" t="s">
        <v>800</v>
      </c>
      <c r="D13176" s="15" t="s">
        <v>24069</v>
      </c>
      <c r="E13176" s="15">
        <v>10</v>
      </c>
      <c r="F13176" s="42">
        <v>43964</v>
      </c>
    </row>
    <row r="13177" spans="1:6" x14ac:dyDescent="0.3">
      <c r="A13177" s="15" t="s">
        <v>36972</v>
      </c>
      <c r="B13177" s="15" t="s">
        <v>24070</v>
      </c>
      <c r="C13177" s="15" t="s">
        <v>800</v>
      </c>
      <c r="D13177" s="15" t="s">
        <v>24071</v>
      </c>
      <c r="E13177" s="15">
        <v>12.895099999999999</v>
      </c>
      <c r="F13177" s="42">
        <v>43964</v>
      </c>
    </row>
    <row r="13178" spans="1:6" x14ac:dyDescent="0.3">
      <c r="A13178" s="15" t="s">
        <v>36971</v>
      </c>
      <c r="B13178" s="15" t="s">
        <v>24072</v>
      </c>
      <c r="C13178" s="15" t="s">
        <v>800</v>
      </c>
      <c r="D13178" s="15" t="s">
        <v>24073</v>
      </c>
      <c r="E13178" s="15">
        <v>10</v>
      </c>
      <c r="F13178" s="42">
        <v>43964</v>
      </c>
    </row>
    <row r="13179" spans="1:6" x14ac:dyDescent="0.3">
      <c r="A13179" s="15" t="s">
        <v>36970</v>
      </c>
      <c r="B13179" s="15" t="s">
        <v>24074</v>
      </c>
      <c r="C13179" s="15" t="s">
        <v>800</v>
      </c>
      <c r="D13179" s="15" t="s">
        <v>24075</v>
      </c>
      <c r="E13179" s="15">
        <v>10</v>
      </c>
      <c r="F13179" s="42">
        <v>43964</v>
      </c>
    </row>
    <row r="13180" spans="1:6" x14ac:dyDescent="0.3">
      <c r="A13180" s="15" t="s">
        <v>36969</v>
      </c>
      <c r="B13180" s="15" t="s">
        <v>24076</v>
      </c>
      <c r="C13180" s="15" t="s">
        <v>800</v>
      </c>
      <c r="D13180" s="15" t="s">
        <v>24077</v>
      </c>
      <c r="E13180" s="15">
        <v>12.743600000000001</v>
      </c>
      <c r="F13180" s="42">
        <v>43964</v>
      </c>
    </row>
    <row r="13181" spans="1:6" x14ac:dyDescent="0.3">
      <c r="A13181" s="15" t="s">
        <v>36968</v>
      </c>
      <c r="B13181" s="15" t="s">
        <v>24078</v>
      </c>
      <c r="C13181" s="15" t="s">
        <v>800</v>
      </c>
      <c r="D13181" s="15" t="s">
        <v>24079</v>
      </c>
      <c r="E13181" s="15">
        <v>10</v>
      </c>
      <c r="F13181" s="42">
        <v>43964</v>
      </c>
    </row>
    <row r="13182" spans="1:6" x14ac:dyDescent="0.3">
      <c r="A13182" s="15" t="s">
        <v>36967</v>
      </c>
      <c r="B13182" s="15" t="s">
        <v>24080</v>
      </c>
      <c r="C13182" s="15" t="s">
        <v>800</v>
      </c>
      <c r="D13182" s="15" t="s">
        <v>24081</v>
      </c>
      <c r="E13182" s="15">
        <v>12.682399999999999</v>
      </c>
      <c r="F13182" s="42">
        <v>44662</v>
      </c>
    </row>
    <row r="13183" spans="1:6" x14ac:dyDescent="0.3">
      <c r="A13183" s="15" t="s">
        <v>36966</v>
      </c>
      <c r="B13183" s="15" t="s">
        <v>24082</v>
      </c>
      <c r="C13183" s="15" t="s">
        <v>800</v>
      </c>
      <c r="D13183" s="15" t="s">
        <v>24083</v>
      </c>
      <c r="E13183" s="15">
        <v>12.7896</v>
      </c>
      <c r="F13183" s="42">
        <v>44662</v>
      </c>
    </row>
    <row r="13184" spans="1:6" x14ac:dyDescent="0.3">
      <c r="A13184" s="15" t="s">
        <v>36965</v>
      </c>
      <c r="B13184" s="15" t="s">
        <v>24084</v>
      </c>
      <c r="C13184" s="15" t="s">
        <v>800</v>
      </c>
      <c r="D13184" s="15" t="s">
        <v>24085</v>
      </c>
      <c r="E13184" s="15">
        <v>10</v>
      </c>
      <c r="F13184" s="42">
        <v>44662</v>
      </c>
    </row>
    <row r="13185" spans="1:6" x14ac:dyDescent="0.3">
      <c r="A13185" s="15" t="s">
        <v>36964</v>
      </c>
      <c r="B13185" s="15" t="s">
        <v>24086</v>
      </c>
      <c r="C13185" s="15" t="s">
        <v>800</v>
      </c>
      <c r="D13185" s="15" t="s">
        <v>24087</v>
      </c>
      <c r="E13185" s="15">
        <v>10</v>
      </c>
      <c r="F13185" s="42">
        <v>44662</v>
      </c>
    </row>
    <row r="13186" spans="1:6" x14ac:dyDescent="0.3">
      <c r="A13186" s="15" t="s">
        <v>36963</v>
      </c>
      <c r="B13186" s="15" t="s">
        <v>24088</v>
      </c>
      <c r="C13186" s="15" t="s">
        <v>800</v>
      </c>
      <c r="D13186" s="15" t="s">
        <v>24089</v>
      </c>
      <c r="E13186" s="15">
        <v>10</v>
      </c>
      <c r="F13186" s="42">
        <v>44662</v>
      </c>
    </row>
    <row r="13187" spans="1:6" x14ac:dyDescent="0.3">
      <c r="A13187" s="15" t="s">
        <v>36962</v>
      </c>
      <c r="B13187" s="15" t="s">
        <v>24090</v>
      </c>
      <c r="C13187" s="15" t="s">
        <v>800</v>
      </c>
      <c r="D13187" s="15" t="s">
        <v>24091</v>
      </c>
      <c r="E13187" s="15">
        <v>10</v>
      </c>
      <c r="F13187" s="42">
        <v>44662</v>
      </c>
    </row>
    <row r="13188" spans="1:6" x14ac:dyDescent="0.3">
      <c r="A13188" s="15" t="s">
        <v>36961</v>
      </c>
      <c r="B13188" s="15" t="s">
        <v>24092</v>
      </c>
      <c r="C13188" s="15" t="s">
        <v>800</v>
      </c>
      <c r="D13188" s="15" t="s">
        <v>24093</v>
      </c>
      <c r="E13188" s="15">
        <v>12.722899999999999</v>
      </c>
      <c r="F13188" s="42">
        <v>44663</v>
      </c>
    </row>
    <row r="13189" spans="1:6" x14ac:dyDescent="0.3">
      <c r="A13189" s="15" t="s">
        <v>36960</v>
      </c>
      <c r="B13189" s="15" t="s">
        <v>24094</v>
      </c>
      <c r="C13189" s="15" t="s">
        <v>800</v>
      </c>
      <c r="D13189" s="15" t="s">
        <v>24095</v>
      </c>
      <c r="E13189" s="15">
        <v>12.8188</v>
      </c>
      <c r="F13189" s="42">
        <v>44663</v>
      </c>
    </row>
    <row r="13190" spans="1:6" x14ac:dyDescent="0.3">
      <c r="A13190" s="15" t="s">
        <v>36959</v>
      </c>
      <c r="B13190" s="15" t="s">
        <v>24096</v>
      </c>
      <c r="C13190" s="15" t="s">
        <v>800</v>
      </c>
      <c r="D13190" s="15" t="s">
        <v>24097</v>
      </c>
      <c r="E13190" s="15">
        <v>10</v>
      </c>
      <c r="F13190" s="42">
        <v>44663</v>
      </c>
    </row>
    <row r="13191" spans="1:6" x14ac:dyDescent="0.3">
      <c r="A13191" s="15" t="s">
        <v>36958</v>
      </c>
      <c r="B13191" s="15" t="s">
        <v>24098</v>
      </c>
      <c r="C13191" s="15" t="s">
        <v>800</v>
      </c>
      <c r="D13191" s="15" t="s">
        <v>24099</v>
      </c>
      <c r="E13191" s="15">
        <v>10</v>
      </c>
      <c r="F13191" s="42">
        <v>44663</v>
      </c>
    </row>
    <row r="13192" spans="1:6" x14ac:dyDescent="0.3">
      <c r="A13192" s="15" t="s">
        <v>36957</v>
      </c>
      <c r="B13192" s="15" t="s">
        <v>24100</v>
      </c>
      <c r="C13192" s="15" t="s">
        <v>800</v>
      </c>
      <c r="D13192" s="15" t="s">
        <v>24101</v>
      </c>
      <c r="E13192" s="15">
        <v>10</v>
      </c>
      <c r="F13192" s="42">
        <v>44663</v>
      </c>
    </row>
    <row r="13193" spans="1:6" x14ac:dyDescent="0.3">
      <c r="A13193" s="15" t="s">
        <v>36956</v>
      </c>
      <c r="B13193" s="15" t="s">
        <v>24102</v>
      </c>
      <c r="C13193" s="15" t="s">
        <v>800</v>
      </c>
      <c r="D13193" s="15" t="s">
        <v>24103</v>
      </c>
      <c r="E13193" s="15">
        <v>12.747400000000001</v>
      </c>
      <c r="F13193" s="42">
        <v>44663</v>
      </c>
    </row>
    <row r="13194" spans="1:6" x14ac:dyDescent="0.3">
      <c r="A13194" s="15" t="s">
        <v>36955</v>
      </c>
      <c r="B13194" s="15" t="s">
        <v>24104</v>
      </c>
      <c r="C13194" s="15" t="s">
        <v>800</v>
      </c>
      <c r="D13194" s="15" t="s">
        <v>24105</v>
      </c>
      <c r="E13194" s="15">
        <v>12.842499999999999</v>
      </c>
      <c r="F13194" s="42">
        <v>44663</v>
      </c>
    </row>
    <row r="13195" spans="1:6" x14ac:dyDescent="0.3">
      <c r="A13195" s="15" t="s">
        <v>36954</v>
      </c>
      <c r="B13195" s="15" t="s">
        <v>24106</v>
      </c>
      <c r="C13195" s="15" t="s">
        <v>800</v>
      </c>
      <c r="D13195" s="15" t="s">
        <v>24107</v>
      </c>
      <c r="E13195" s="15">
        <v>10</v>
      </c>
      <c r="F13195" s="42">
        <v>44663</v>
      </c>
    </row>
    <row r="13196" spans="1:6" x14ac:dyDescent="0.3">
      <c r="A13196" s="15" t="s">
        <v>36953</v>
      </c>
      <c r="B13196" s="15" t="s">
        <v>24108</v>
      </c>
      <c r="C13196" s="15" t="s">
        <v>800</v>
      </c>
      <c r="D13196" s="15" t="s">
        <v>24109</v>
      </c>
      <c r="E13196" s="15">
        <v>10</v>
      </c>
      <c r="F13196" s="42">
        <v>44663</v>
      </c>
    </row>
    <row r="13197" spans="1:6" x14ac:dyDescent="0.3">
      <c r="A13197" s="15" t="s">
        <v>36952</v>
      </c>
      <c r="B13197" s="15" t="s">
        <v>24110</v>
      </c>
      <c r="C13197" s="15" t="s">
        <v>800</v>
      </c>
      <c r="D13197" s="15" t="s">
        <v>24111</v>
      </c>
      <c r="E13197" s="15">
        <v>10</v>
      </c>
      <c r="F13197" s="42">
        <v>44663</v>
      </c>
    </row>
    <row r="13198" spans="1:6" x14ac:dyDescent="0.3">
      <c r="A13198" s="15" t="s">
        <v>36951</v>
      </c>
      <c r="B13198" s="15" t="s">
        <v>24112</v>
      </c>
      <c r="C13198" s="15" t="s">
        <v>800</v>
      </c>
      <c r="D13198" s="15" t="s">
        <v>24113</v>
      </c>
      <c r="E13198" s="15">
        <v>12.7552</v>
      </c>
      <c r="F13198" s="42">
        <v>44663</v>
      </c>
    </row>
    <row r="13199" spans="1:6" x14ac:dyDescent="0.3">
      <c r="A13199" s="15" t="s">
        <v>36950</v>
      </c>
      <c r="B13199" s="15" t="s">
        <v>24114</v>
      </c>
      <c r="C13199" s="15" t="s">
        <v>800</v>
      </c>
      <c r="D13199" s="15" t="s">
        <v>24115</v>
      </c>
      <c r="E13199" s="15">
        <v>12.856999999999999</v>
      </c>
      <c r="F13199" s="42">
        <v>44663</v>
      </c>
    </row>
    <row r="13200" spans="1:6" x14ac:dyDescent="0.3">
      <c r="A13200" s="15" t="s">
        <v>36949</v>
      </c>
      <c r="B13200" s="15" t="s">
        <v>24116</v>
      </c>
      <c r="C13200" s="15" t="s">
        <v>800</v>
      </c>
      <c r="D13200" s="15" t="s">
        <v>24117</v>
      </c>
      <c r="E13200" s="15">
        <v>10</v>
      </c>
      <c r="F13200" s="42">
        <v>44663</v>
      </c>
    </row>
    <row r="13201" spans="1:6" x14ac:dyDescent="0.3">
      <c r="A13201" s="15" t="s">
        <v>36948</v>
      </c>
      <c r="B13201" s="15" t="s">
        <v>24118</v>
      </c>
      <c r="C13201" s="15" t="s">
        <v>800</v>
      </c>
      <c r="D13201" s="15" t="s">
        <v>24119</v>
      </c>
      <c r="E13201" s="15">
        <v>10</v>
      </c>
      <c r="F13201" s="42">
        <v>44663</v>
      </c>
    </row>
    <row r="13202" spans="1:6" x14ac:dyDescent="0.3">
      <c r="A13202" s="15" t="s">
        <v>36947</v>
      </c>
      <c r="B13202" s="15" t="s">
        <v>24120</v>
      </c>
      <c r="C13202" s="15" t="s">
        <v>800</v>
      </c>
      <c r="D13202" s="15" t="s">
        <v>24121</v>
      </c>
      <c r="E13202" s="15">
        <v>10</v>
      </c>
      <c r="F13202" s="42">
        <v>44663</v>
      </c>
    </row>
    <row r="13203" spans="1:6" x14ac:dyDescent="0.3">
      <c r="A13203" s="15" t="s">
        <v>36946</v>
      </c>
      <c r="B13203" s="15" t="s">
        <v>24122</v>
      </c>
      <c r="C13203" s="15" t="s">
        <v>800</v>
      </c>
      <c r="D13203" s="15" t="s">
        <v>24123</v>
      </c>
      <c r="E13203" s="15">
        <v>10</v>
      </c>
      <c r="F13203" s="42">
        <v>44663</v>
      </c>
    </row>
    <row r="13204" spans="1:6" x14ac:dyDescent="0.3">
      <c r="A13204" s="15" t="s">
        <v>36945</v>
      </c>
      <c r="B13204" s="15" t="s">
        <v>24124</v>
      </c>
      <c r="C13204" s="15" t="s">
        <v>800</v>
      </c>
      <c r="D13204" s="15" t="s">
        <v>24125</v>
      </c>
      <c r="E13204" s="15">
        <v>12.78</v>
      </c>
      <c r="F13204" s="42">
        <v>44663</v>
      </c>
    </row>
    <row r="13205" spans="1:6" x14ac:dyDescent="0.3">
      <c r="A13205" s="15" t="s">
        <v>36944</v>
      </c>
      <c r="B13205" s="15" t="s">
        <v>24126</v>
      </c>
      <c r="C13205" s="15" t="s">
        <v>800</v>
      </c>
      <c r="D13205" s="15" t="s">
        <v>24127</v>
      </c>
      <c r="E13205" s="15">
        <v>12.875500000000001</v>
      </c>
      <c r="F13205" s="42">
        <v>44663</v>
      </c>
    </row>
    <row r="13206" spans="1:6" x14ac:dyDescent="0.3">
      <c r="A13206" s="15" t="s">
        <v>36943</v>
      </c>
      <c r="B13206" s="15" t="s">
        <v>24128</v>
      </c>
      <c r="C13206" s="15" t="s">
        <v>800</v>
      </c>
      <c r="D13206" s="15" t="s">
        <v>24129</v>
      </c>
      <c r="E13206" s="15">
        <v>10</v>
      </c>
      <c r="F13206" s="42">
        <v>44663</v>
      </c>
    </row>
    <row r="13207" spans="1:6" x14ac:dyDescent="0.3">
      <c r="A13207" s="15" t="s">
        <v>36942</v>
      </c>
      <c r="B13207" s="15" t="s">
        <v>24130</v>
      </c>
      <c r="C13207" s="15" t="s">
        <v>800</v>
      </c>
      <c r="D13207" s="15" t="s">
        <v>24131</v>
      </c>
      <c r="E13207" s="15">
        <v>10</v>
      </c>
      <c r="F13207" s="42">
        <v>44663</v>
      </c>
    </row>
    <row r="13208" spans="1:6" x14ac:dyDescent="0.3">
      <c r="A13208" s="15" t="s">
        <v>36941</v>
      </c>
      <c r="B13208" s="15" t="s">
        <v>24132</v>
      </c>
      <c r="C13208" s="15" t="s">
        <v>800</v>
      </c>
      <c r="D13208" s="15" t="s">
        <v>24133</v>
      </c>
      <c r="E13208" s="15">
        <v>12.4354</v>
      </c>
      <c r="F13208" s="42">
        <v>46125</v>
      </c>
    </row>
    <row r="13209" spans="1:6" x14ac:dyDescent="0.3">
      <c r="A13209" s="15" t="s">
        <v>36940</v>
      </c>
      <c r="B13209" s="15" t="s">
        <v>24134</v>
      </c>
      <c r="C13209" s="15" t="s">
        <v>800</v>
      </c>
      <c r="D13209" s="15" t="s">
        <v>24135</v>
      </c>
      <c r="E13209" s="15">
        <v>12.537599999999999</v>
      </c>
      <c r="F13209" s="42">
        <v>46125</v>
      </c>
    </row>
    <row r="13210" spans="1:6" x14ac:dyDescent="0.3">
      <c r="A13210" s="15" t="s">
        <v>36939</v>
      </c>
      <c r="B13210" s="15" t="s">
        <v>24136</v>
      </c>
      <c r="C13210" s="15" t="s">
        <v>800</v>
      </c>
      <c r="D13210" s="15" t="s">
        <v>24137</v>
      </c>
      <c r="E13210" s="15">
        <v>10</v>
      </c>
      <c r="F13210" s="42">
        <v>46125</v>
      </c>
    </row>
    <row r="13211" spans="1:6" x14ac:dyDescent="0.3">
      <c r="A13211" s="15" t="s">
        <v>36938</v>
      </c>
      <c r="B13211" s="15" t="s">
        <v>24138</v>
      </c>
      <c r="C13211" s="15" t="s">
        <v>800</v>
      </c>
      <c r="D13211" s="15" t="s">
        <v>24139</v>
      </c>
      <c r="E13211" s="15">
        <v>10</v>
      </c>
      <c r="F13211" s="42">
        <v>46125</v>
      </c>
    </row>
    <row r="13212" spans="1:6" x14ac:dyDescent="0.3">
      <c r="A13212" s="15" t="s">
        <v>36937</v>
      </c>
      <c r="B13212" s="15" t="s">
        <v>24140</v>
      </c>
      <c r="C13212" s="15" t="s">
        <v>800</v>
      </c>
      <c r="D13212" s="15" t="s">
        <v>24141</v>
      </c>
      <c r="E13212" s="15">
        <v>10</v>
      </c>
      <c r="F13212" s="42">
        <v>46125</v>
      </c>
    </row>
    <row r="13213" spans="1:6" x14ac:dyDescent="0.3">
      <c r="A13213" s="15" t="s">
        <v>36936</v>
      </c>
      <c r="B13213" s="15" t="s">
        <v>24142</v>
      </c>
      <c r="C13213" s="15" t="s">
        <v>800</v>
      </c>
      <c r="D13213" s="15" t="s">
        <v>24143</v>
      </c>
      <c r="E13213" s="15">
        <v>10</v>
      </c>
      <c r="F13213" s="42">
        <v>46125</v>
      </c>
    </row>
    <row r="13214" spans="1:6" x14ac:dyDescent="0.3">
      <c r="A13214" s="15" t="s">
        <v>36935</v>
      </c>
      <c r="B13214" s="15" t="s">
        <v>24144</v>
      </c>
      <c r="C13214" s="15" t="s">
        <v>800</v>
      </c>
      <c r="D13214" s="15" t="s">
        <v>24145</v>
      </c>
      <c r="E13214" s="15">
        <v>12.7973</v>
      </c>
      <c r="F13214" s="42">
        <v>44663</v>
      </c>
    </row>
    <row r="13215" spans="1:6" x14ac:dyDescent="0.3">
      <c r="A13215" s="15" t="s">
        <v>36934</v>
      </c>
      <c r="B13215" s="15" t="s">
        <v>24146</v>
      </c>
      <c r="C13215" s="15" t="s">
        <v>800</v>
      </c>
      <c r="D13215" s="15" t="s">
        <v>24147</v>
      </c>
      <c r="E13215" s="15">
        <v>12.896699999999999</v>
      </c>
      <c r="F13215" s="42">
        <v>44663</v>
      </c>
    </row>
    <row r="13216" spans="1:6" x14ac:dyDescent="0.3">
      <c r="A13216" s="15" t="s">
        <v>36933</v>
      </c>
      <c r="B13216" s="15" t="s">
        <v>24148</v>
      </c>
      <c r="C13216" s="15" t="s">
        <v>800</v>
      </c>
      <c r="D13216" s="15" t="s">
        <v>24149</v>
      </c>
      <c r="E13216" s="15">
        <v>12.867599999999999</v>
      </c>
      <c r="F13216" s="42">
        <v>44663</v>
      </c>
    </row>
    <row r="13217" spans="1:6" x14ac:dyDescent="0.3">
      <c r="A13217" s="15" t="s">
        <v>36932</v>
      </c>
      <c r="B13217" s="15" t="s">
        <v>24150</v>
      </c>
      <c r="C13217" s="15" t="s">
        <v>800</v>
      </c>
      <c r="D13217" s="15" t="s">
        <v>24151</v>
      </c>
      <c r="E13217" s="15">
        <v>12.962899999999999</v>
      </c>
      <c r="F13217" s="42">
        <v>44663</v>
      </c>
    </row>
    <row r="13218" spans="1:6" x14ac:dyDescent="0.3">
      <c r="A13218" s="15" t="s">
        <v>36931</v>
      </c>
      <c r="B13218" s="15" t="s">
        <v>24152</v>
      </c>
      <c r="C13218" s="15" t="s">
        <v>800</v>
      </c>
      <c r="D13218" s="15" t="s">
        <v>24153</v>
      </c>
      <c r="E13218" s="15">
        <v>10</v>
      </c>
      <c r="F13218" s="42">
        <v>44663</v>
      </c>
    </row>
    <row r="13219" spans="1:6" x14ac:dyDescent="0.3">
      <c r="A13219" s="15" t="s">
        <v>36930</v>
      </c>
      <c r="B13219" s="15" t="s">
        <v>24154</v>
      </c>
      <c r="C13219" s="15" t="s">
        <v>800</v>
      </c>
      <c r="D13219" s="15" t="s">
        <v>24155</v>
      </c>
      <c r="E13219" s="15">
        <v>10</v>
      </c>
      <c r="F13219" s="42">
        <v>44663</v>
      </c>
    </row>
    <row r="13220" spans="1:6" x14ac:dyDescent="0.3">
      <c r="A13220" s="15" t="s">
        <v>36929</v>
      </c>
      <c r="B13220" s="15" t="s">
        <v>24156</v>
      </c>
      <c r="C13220" s="15" t="s">
        <v>800</v>
      </c>
      <c r="D13220" s="15" t="s">
        <v>24157</v>
      </c>
      <c r="E13220" s="15">
        <v>10</v>
      </c>
      <c r="F13220" s="42">
        <v>44663</v>
      </c>
    </row>
    <row r="13221" spans="1:6" x14ac:dyDescent="0.3">
      <c r="A13221" s="15" t="s">
        <v>36928</v>
      </c>
      <c r="B13221" s="15" t="s">
        <v>800</v>
      </c>
      <c r="C13221" s="15" t="s">
        <v>800</v>
      </c>
      <c r="D13221" s="15" t="s">
        <v>24158</v>
      </c>
      <c r="E13221" s="15">
        <v>10</v>
      </c>
      <c r="F13221" s="42">
        <v>43451</v>
      </c>
    </row>
    <row r="13222" spans="1:6" x14ac:dyDescent="0.3">
      <c r="A13222" s="15" t="s">
        <v>36927</v>
      </c>
      <c r="B13222" s="15" t="s">
        <v>24159</v>
      </c>
      <c r="C13222" s="15" t="s">
        <v>800</v>
      </c>
      <c r="D13222" s="15" t="s">
        <v>24160</v>
      </c>
      <c r="E13222" s="15">
        <v>12.8352</v>
      </c>
      <c r="F13222" s="42">
        <v>44663</v>
      </c>
    </row>
    <row r="13223" spans="1:6" x14ac:dyDescent="0.3">
      <c r="A13223" s="15" t="s">
        <v>36926</v>
      </c>
      <c r="B13223" s="15" t="s">
        <v>24161</v>
      </c>
      <c r="C13223" s="15" t="s">
        <v>800</v>
      </c>
      <c r="D13223" s="15" t="s">
        <v>24162</v>
      </c>
      <c r="E13223" s="15">
        <v>12.944800000000001</v>
      </c>
      <c r="F13223" s="42">
        <v>44663</v>
      </c>
    </row>
    <row r="13224" spans="1:6" x14ac:dyDescent="0.3">
      <c r="A13224" s="15" t="s">
        <v>36925</v>
      </c>
      <c r="B13224" s="15" t="s">
        <v>24163</v>
      </c>
      <c r="C13224" s="15" t="s">
        <v>800</v>
      </c>
      <c r="D13224" s="15" t="s">
        <v>24164</v>
      </c>
      <c r="E13224" s="15">
        <v>10</v>
      </c>
      <c r="F13224" s="42">
        <v>44663</v>
      </c>
    </row>
    <row r="13225" spans="1:6" x14ac:dyDescent="0.3">
      <c r="A13225" s="15" t="s">
        <v>36924</v>
      </c>
      <c r="B13225" s="15" t="s">
        <v>24165</v>
      </c>
      <c r="C13225" s="15" t="s">
        <v>800</v>
      </c>
      <c r="D13225" s="15" t="s">
        <v>24166</v>
      </c>
      <c r="E13225" s="15">
        <v>10</v>
      </c>
      <c r="F13225" s="42">
        <v>44663</v>
      </c>
    </row>
    <row r="13226" spans="1:6" x14ac:dyDescent="0.3">
      <c r="A13226" s="15" t="s">
        <v>36923</v>
      </c>
      <c r="B13226" s="15" t="s">
        <v>24167</v>
      </c>
      <c r="C13226" s="15" t="s">
        <v>800</v>
      </c>
      <c r="D13226" s="15" t="s">
        <v>24168</v>
      </c>
      <c r="E13226" s="15">
        <v>10</v>
      </c>
      <c r="F13226" s="42">
        <v>44663</v>
      </c>
    </row>
    <row r="13227" spans="1:6" x14ac:dyDescent="0.3">
      <c r="A13227" s="15" t="s">
        <v>36922</v>
      </c>
      <c r="B13227" s="15" t="s">
        <v>24169</v>
      </c>
      <c r="C13227" s="15" t="s">
        <v>800</v>
      </c>
      <c r="D13227" s="15" t="s">
        <v>24170</v>
      </c>
      <c r="E13227" s="15">
        <v>12.959899999999999</v>
      </c>
      <c r="F13227" s="42">
        <v>44663</v>
      </c>
    </row>
    <row r="13228" spans="1:6" x14ac:dyDescent="0.3">
      <c r="A13228" s="15" t="s">
        <v>36921</v>
      </c>
      <c r="B13228" s="15" t="s">
        <v>24171</v>
      </c>
      <c r="C13228" s="15" t="s">
        <v>800</v>
      </c>
      <c r="D13228" s="15" t="s">
        <v>24172</v>
      </c>
      <c r="E13228" s="15">
        <v>13.0571</v>
      </c>
      <c r="F13228" s="42">
        <v>44663</v>
      </c>
    </row>
    <row r="13229" spans="1:6" x14ac:dyDescent="0.3">
      <c r="A13229" s="15" t="s">
        <v>36920</v>
      </c>
      <c r="B13229" s="15" t="s">
        <v>24173</v>
      </c>
      <c r="C13229" s="15" t="s">
        <v>800</v>
      </c>
      <c r="D13229" s="15" t="s">
        <v>24174</v>
      </c>
      <c r="E13229" s="15">
        <v>10</v>
      </c>
      <c r="F13229" s="42">
        <v>44663</v>
      </c>
    </row>
    <row r="13230" spans="1:6" x14ac:dyDescent="0.3">
      <c r="A13230" s="15" t="s">
        <v>36919</v>
      </c>
      <c r="B13230" s="15" t="s">
        <v>24175</v>
      </c>
      <c r="C13230" s="15" t="s">
        <v>800</v>
      </c>
      <c r="D13230" s="15" t="s">
        <v>24176</v>
      </c>
      <c r="E13230" s="15">
        <v>10</v>
      </c>
      <c r="F13230" s="42">
        <v>44663</v>
      </c>
    </row>
    <row r="13231" spans="1:6" x14ac:dyDescent="0.3">
      <c r="A13231" s="15" t="s">
        <v>36918</v>
      </c>
      <c r="B13231" s="15" t="s">
        <v>24177</v>
      </c>
      <c r="C13231" s="15" t="s">
        <v>800</v>
      </c>
      <c r="D13231" s="15" t="s">
        <v>24178</v>
      </c>
      <c r="E13231" s="15">
        <v>12.994</v>
      </c>
      <c r="F13231" s="42">
        <v>44669</v>
      </c>
    </row>
    <row r="13232" spans="1:6" x14ac:dyDescent="0.3">
      <c r="A13232" s="15" t="s">
        <v>36917</v>
      </c>
      <c r="B13232" s="15" t="s">
        <v>24179</v>
      </c>
      <c r="C13232" s="15" t="s">
        <v>800</v>
      </c>
      <c r="D13232" s="15" t="s">
        <v>24180</v>
      </c>
      <c r="E13232" s="15">
        <v>13.091200000000001</v>
      </c>
      <c r="F13232" s="42">
        <v>44669</v>
      </c>
    </row>
    <row r="13233" spans="1:6" x14ac:dyDescent="0.3">
      <c r="A13233" s="15" t="s">
        <v>36916</v>
      </c>
      <c r="B13233" s="15" t="s">
        <v>24181</v>
      </c>
      <c r="C13233" s="15" t="s">
        <v>800</v>
      </c>
      <c r="D13233" s="15" t="s">
        <v>24182</v>
      </c>
      <c r="E13233" s="15">
        <v>10</v>
      </c>
      <c r="F13233" s="42">
        <v>44669</v>
      </c>
    </row>
    <row r="13234" spans="1:6" x14ac:dyDescent="0.3">
      <c r="A13234" s="15" t="s">
        <v>36915</v>
      </c>
      <c r="B13234" s="15" t="s">
        <v>24183</v>
      </c>
      <c r="C13234" s="15" t="s">
        <v>800</v>
      </c>
      <c r="D13234" s="15" t="s">
        <v>24184</v>
      </c>
      <c r="E13234" s="15">
        <v>10</v>
      </c>
      <c r="F13234" s="42">
        <v>44669</v>
      </c>
    </row>
    <row r="13235" spans="1:6" x14ac:dyDescent="0.3">
      <c r="A13235" s="15" t="s">
        <v>36914</v>
      </c>
      <c r="B13235" s="15" t="s">
        <v>24185</v>
      </c>
      <c r="C13235" s="15" t="s">
        <v>800</v>
      </c>
      <c r="D13235" s="15" t="s">
        <v>24186</v>
      </c>
      <c r="E13235" s="15">
        <v>10</v>
      </c>
      <c r="F13235" s="42">
        <v>44669</v>
      </c>
    </row>
    <row r="13236" spans="1:6" x14ac:dyDescent="0.3">
      <c r="A13236" s="15" t="s">
        <v>36913</v>
      </c>
      <c r="B13236" s="15" t="s">
        <v>24187</v>
      </c>
      <c r="C13236" s="15" t="s">
        <v>800</v>
      </c>
      <c r="D13236" s="15" t="s">
        <v>24188</v>
      </c>
      <c r="E13236" s="15">
        <v>10</v>
      </c>
      <c r="F13236" s="42">
        <v>44669</v>
      </c>
    </row>
    <row r="13237" spans="1:6" x14ac:dyDescent="0.3">
      <c r="A13237" s="15" t="s">
        <v>36912</v>
      </c>
      <c r="B13237" s="15" t="s">
        <v>24189</v>
      </c>
      <c r="C13237" s="15" t="s">
        <v>800</v>
      </c>
      <c r="D13237" s="15" t="s">
        <v>24190</v>
      </c>
      <c r="E13237" s="15">
        <v>13.058299999999999</v>
      </c>
      <c r="F13237" s="42">
        <v>44663</v>
      </c>
    </row>
    <row r="13238" spans="1:6" x14ac:dyDescent="0.3">
      <c r="A13238" s="15" t="s">
        <v>36911</v>
      </c>
      <c r="B13238" s="15" t="s">
        <v>24191</v>
      </c>
      <c r="C13238" s="15" t="s">
        <v>800</v>
      </c>
      <c r="D13238" s="15" t="s">
        <v>24192</v>
      </c>
      <c r="E13238" s="15">
        <v>13.1714</v>
      </c>
      <c r="F13238" s="42">
        <v>44663</v>
      </c>
    </row>
    <row r="13239" spans="1:6" x14ac:dyDescent="0.3">
      <c r="A13239" s="15" t="s">
        <v>36910</v>
      </c>
      <c r="B13239" s="15" t="s">
        <v>24193</v>
      </c>
      <c r="C13239" s="15" t="s">
        <v>800</v>
      </c>
      <c r="D13239" s="15" t="s">
        <v>24194</v>
      </c>
      <c r="E13239" s="15">
        <v>10</v>
      </c>
      <c r="F13239" s="42">
        <v>44663</v>
      </c>
    </row>
    <row r="13240" spans="1:6" x14ac:dyDescent="0.3">
      <c r="A13240" s="15" t="s">
        <v>36909</v>
      </c>
      <c r="B13240" s="15" t="s">
        <v>24195</v>
      </c>
      <c r="C13240" s="15" t="s">
        <v>800</v>
      </c>
      <c r="D13240" s="15" t="s">
        <v>24196</v>
      </c>
      <c r="E13240" s="15">
        <v>12.969099999999999</v>
      </c>
      <c r="F13240" s="42">
        <v>44658</v>
      </c>
    </row>
    <row r="13241" spans="1:6" x14ac:dyDescent="0.3">
      <c r="A13241" s="15" t="s">
        <v>36908</v>
      </c>
      <c r="B13241" s="15" t="s">
        <v>24197</v>
      </c>
      <c r="C13241" s="15" t="s">
        <v>800</v>
      </c>
      <c r="D13241" s="15" t="s">
        <v>24198</v>
      </c>
      <c r="E13241" s="15">
        <v>13.0815</v>
      </c>
      <c r="F13241" s="42">
        <v>44658</v>
      </c>
    </row>
    <row r="13242" spans="1:6" x14ac:dyDescent="0.3">
      <c r="A13242" s="15" t="s">
        <v>36907</v>
      </c>
      <c r="B13242" s="15" t="s">
        <v>24199</v>
      </c>
      <c r="C13242" s="15" t="s">
        <v>800</v>
      </c>
      <c r="D13242" s="15" t="s">
        <v>24200</v>
      </c>
      <c r="E13242" s="15">
        <v>10</v>
      </c>
      <c r="F13242" s="42">
        <v>44658</v>
      </c>
    </row>
    <row r="13243" spans="1:6" x14ac:dyDescent="0.3">
      <c r="A13243" s="15" t="s">
        <v>36906</v>
      </c>
      <c r="B13243" s="15" t="s">
        <v>24201</v>
      </c>
      <c r="C13243" s="15" t="s">
        <v>800</v>
      </c>
      <c r="D13243" s="15" t="s">
        <v>24202</v>
      </c>
      <c r="E13243" s="15">
        <v>10</v>
      </c>
      <c r="F13243" s="42">
        <v>44658</v>
      </c>
    </row>
    <row r="13244" spans="1:6" x14ac:dyDescent="0.3">
      <c r="A13244" s="15" t="s">
        <v>36905</v>
      </c>
      <c r="B13244" s="15" t="s">
        <v>24203</v>
      </c>
      <c r="C13244" s="15" t="s">
        <v>800</v>
      </c>
      <c r="D13244" s="15" t="s">
        <v>24204</v>
      </c>
      <c r="E13244" s="15">
        <v>13.0684</v>
      </c>
      <c r="F13244" s="42">
        <v>44669</v>
      </c>
    </row>
    <row r="13245" spans="1:6" x14ac:dyDescent="0.3">
      <c r="A13245" s="15" t="s">
        <v>36904</v>
      </c>
      <c r="B13245" s="15" t="s">
        <v>24205</v>
      </c>
      <c r="C13245" s="15" t="s">
        <v>800</v>
      </c>
      <c r="D13245" s="15" t="s">
        <v>24206</v>
      </c>
      <c r="E13245" s="15">
        <v>13.2028</v>
      </c>
      <c r="F13245" s="42">
        <v>44669</v>
      </c>
    </row>
    <row r="13246" spans="1:6" x14ac:dyDescent="0.3">
      <c r="A13246" s="15" t="s">
        <v>36903</v>
      </c>
      <c r="B13246" s="15" t="s">
        <v>24207</v>
      </c>
      <c r="C13246" s="15" t="s">
        <v>800</v>
      </c>
      <c r="D13246" s="15" t="s">
        <v>24208</v>
      </c>
      <c r="E13246" s="15">
        <v>10</v>
      </c>
      <c r="F13246" s="42">
        <v>44669</v>
      </c>
    </row>
    <row r="13247" spans="1:6" x14ac:dyDescent="0.3">
      <c r="A13247" s="15" t="s">
        <v>36902</v>
      </c>
      <c r="B13247" s="15" t="s">
        <v>24209</v>
      </c>
      <c r="C13247" s="15" t="s">
        <v>800</v>
      </c>
      <c r="D13247" s="15" t="s">
        <v>24210</v>
      </c>
      <c r="E13247" s="15">
        <v>10</v>
      </c>
      <c r="F13247" s="42">
        <v>44669</v>
      </c>
    </row>
    <row r="13248" spans="1:6" x14ac:dyDescent="0.3">
      <c r="A13248" s="15" t="s">
        <v>36901</v>
      </c>
      <c r="B13248" s="15" t="s">
        <v>24211</v>
      </c>
      <c r="C13248" s="15" t="s">
        <v>800</v>
      </c>
      <c r="D13248" s="15" t="s">
        <v>24212</v>
      </c>
      <c r="E13248" s="15">
        <v>10</v>
      </c>
      <c r="F13248" s="42">
        <v>44669</v>
      </c>
    </row>
    <row r="13249" spans="1:6" x14ac:dyDescent="0.3">
      <c r="A13249" s="15" t="s">
        <v>36900</v>
      </c>
      <c r="B13249" s="15" t="s">
        <v>24213</v>
      </c>
      <c r="C13249" s="15" t="s">
        <v>800</v>
      </c>
      <c r="D13249" s="15" t="s">
        <v>24214</v>
      </c>
      <c r="E13249" s="15">
        <v>10</v>
      </c>
      <c r="F13249" s="42">
        <v>44669</v>
      </c>
    </row>
    <row r="13250" spans="1:6" x14ac:dyDescent="0.3">
      <c r="A13250" s="15" t="s">
        <v>36899</v>
      </c>
      <c r="B13250" s="15" t="s">
        <v>800</v>
      </c>
      <c r="C13250" s="15" t="s">
        <v>800</v>
      </c>
      <c r="D13250" s="15" t="s">
        <v>24215</v>
      </c>
      <c r="E13250" s="15">
        <v>12.4648</v>
      </c>
      <c r="F13250" s="42">
        <v>46198</v>
      </c>
    </row>
    <row r="13251" spans="1:6" x14ac:dyDescent="0.3">
      <c r="A13251" s="15" t="s">
        <v>36898</v>
      </c>
      <c r="B13251" s="15" t="s">
        <v>800</v>
      </c>
      <c r="C13251" s="15" t="s">
        <v>800</v>
      </c>
      <c r="D13251" s="15" t="s">
        <v>24216</v>
      </c>
      <c r="E13251" s="15">
        <v>12.567399999999999</v>
      </c>
      <c r="F13251" s="42">
        <v>46198</v>
      </c>
    </row>
    <row r="13252" spans="1:6" x14ac:dyDescent="0.3">
      <c r="A13252" s="15" t="s">
        <v>36897</v>
      </c>
      <c r="B13252" s="15" t="s">
        <v>800</v>
      </c>
      <c r="C13252" s="15" t="s">
        <v>800</v>
      </c>
      <c r="D13252" s="15" t="s">
        <v>24217</v>
      </c>
      <c r="E13252" s="15">
        <v>12.4648</v>
      </c>
      <c r="F13252" s="42">
        <v>46198</v>
      </c>
    </row>
    <row r="13253" spans="1:6" x14ac:dyDescent="0.3">
      <c r="A13253" s="15" t="s">
        <v>36896</v>
      </c>
      <c r="B13253" s="15" t="s">
        <v>800</v>
      </c>
      <c r="C13253" s="15" t="s">
        <v>800</v>
      </c>
      <c r="D13253" s="15" t="s">
        <v>24218</v>
      </c>
      <c r="E13253" s="15">
        <v>12.567399999999999</v>
      </c>
      <c r="F13253" s="42">
        <v>46198</v>
      </c>
    </row>
    <row r="13254" spans="1:6" x14ac:dyDescent="0.3">
      <c r="A13254" s="15" t="s">
        <v>36895</v>
      </c>
      <c r="B13254" s="15" t="s">
        <v>800</v>
      </c>
      <c r="C13254" s="15" t="s">
        <v>800</v>
      </c>
      <c r="D13254" s="15" t="s">
        <v>24219</v>
      </c>
      <c r="E13254" s="15">
        <v>10.1785</v>
      </c>
      <c r="F13254" s="42">
        <v>46198</v>
      </c>
    </row>
    <row r="13255" spans="1:6" x14ac:dyDescent="0.3">
      <c r="A13255" s="15" t="s">
        <v>36894</v>
      </c>
      <c r="B13255" s="15" t="s">
        <v>800</v>
      </c>
      <c r="C13255" s="15" t="s">
        <v>800</v>
      </c>
      <c r="D13255" s="15" t="s">
        <v>24220</v>
      </c>
      <c r="E13255" s="15">
        <v>10.185700000000001</v>
      </c>
      <c r="F13255" s="42">
        <v>46198</v>
      </c>
    </row>
    <row r="13256" spans="1:6" x14ac:dyDescent="0.3">
      <c r="A13256" s="15" t="s">
        <v>36893</v>
      </c>
      <c r="B13256" s="15" t="s">
        <v>24221</v>
      </c>
      <c r="C13256" s="15" t="s">
        <v>800</v>
      </c>
      <c r="D13256" s="15" t="s">
        <v>24222</v>
      </c>
      <c r="E13256" s="15">
        <v>13.105</v>
      </c>
      <c r="F13256" s="42">
        <v>44663</v>
      </c>
    </row>
    <row r="13257" spans="1:6" x14ac:dyDescent="0.3">
      <c r="A13257" s="15" t="s">
        <v>36892</v>
      </c>
      <c r="B13257" s="15" t="s">
        <v>24223</v>
      </c>
      <c r="C13257" s="15" t="s">
        <v>800</v>
      </c>
      <c r="D13257" s="15" t="s">
        <v>24224</v>
      </c>
      <c r="E13257" s="15">
        <v>13.2233</v>
      </c>
      <c r="F13257" s="42">
        <v>44663</v>
      </c>
    </row>
    <row r="13258" spans="1:6" x14ac:dyDescent="0.3">
      <c r="A13258" s="15" t="s">
        <v>36891</v>
      </c>
      <c r="B13258" s="15" t="s">
        <v>24225</v>
      </c>
      <c r="C13258" s="15" t="s">
        <v>800</v>
      </c>
      <c r="D13258" s="15" t="s">
        <v>24226</v>
      </c>
      <c r="E13258" s="15">
        <v>10</v>
      </c>
      <c r="F13258" s="42">
        <v>44663</v>
      </c>
    </row>
    <row r="13259" spans="1:6" x14ac:dyDescent="0.3">
      <c r="A13259" s="15" t="s">
        <v>36890</v>
      </c>
      <c r="B13259" s="15" t="s">
        <v>24227</v>
      </c>
      <c r="C13259" s="15" t="s">
        <v>800</v>
      </c>
      <c r="D13259" s="15" t="s">
        <v>24228</v>
      </c>
      <c r="E13259" s="15">
        <v>10</v>
      </c>
      <c r="F13259" s="42">
        <v>44663</v>
      </c>
    </row>
    <row r="13260" spans="1:6" x14ac:dyDescent="0.3">
      <c r="A13260" s="15" t="s">
        <v>36889</v>
      </c>
      <c r="B13260" s="15" t="s">
        <v>24229</v>
      </c>
      <c r="C13260" s="15" t="s">
        <v>800</v>
      </c>
      <c r="D13260" s="15" t="s">
        <v>24230</v>
      </c>
      <c r="E13260" s="15">
        <v>10</v>
      </c>
      <c r="F13260" s="42">
        <v>44663</v>
      </c>
    </row>
    <row r="13261" spans="1:6" x14ac:dyDescent="0.3">
      <c r="A13261" s="15" t="s">
        <v>36888</v>
      </c>
      <c r="B13261" s="15" t="s">
        <v>24231</v>
      </c>
      <c r="C13261" s="15" t="s">
        <v>800</v>
      </c>
      <c r="D13261" s="15" t="s">
        <v>24232</v>
      </c>
      <c r="E13261" s="15">
        <v>10</v>
      </c>
      <c r="F13261" s="42">
        <v>44663</v>
      </c>
    </row>
    <row r="13262" spans="1:6" x14ac:dyDescent="0.3">
      <c r="A13262" s="15" t="s">
        <v>36887</v>
      </c>
      <c r="B13262" s="15" t="s">
        <v>24233</v>
      </c>
      <c r="C13262" s="15" t="s">
        <v>800</v>
      </c>
      <c r="D13262" s="15" t="s">
        <v>24234</v>
      </c>
      <c r="E13262" s="15">
        <v>13.129799999999999</v>
      </c>
      <c r="F13262" s="42">
        <v>44663</v>
      </c>
    </row>
    <row r="13263" spans="1:6" x14ac:dyDescent="0.3">
      <c r="A13263" s="15" t="s">
        <v>36886</v>
      </c>
      <c r="B13263" s="15" t="s">
        <v>24235</v>
      </c>
      <c r="C13263" s="15" t="s">
        <v>800</v>
      </c>
      <c r="D13263" s="15" t="s">
        <v>24236</v>
      </c>
      <c r="E13263" s="15">
        <v>13.254899999999999</v>
      </c>
      <c r="F13263" s="42">
        <v>44663</v>
      </c>
    </row>
    <row r="13264" spans="1:6" x14ac:dyDescent="0.3">
      <c r="A13264" s="15" t="s">
        <v>36885</v>
      </c>
      <c r="B13264" s="15" t="s">
        <v>24237</v>
      </c>
      <c r="C13264" s="15" t="s">
        <v>800</v>
      </c>
      <c r="D13264" s="15" t="s">
        <v>24238</v>
      </c>
      <c r="E13264" s="15">
        <v>10</v>
      </c>
      <c r="F13264" s="42">
        <v>44663</v>
      </c>
    </row>
    <row r="13265" spans="1:6" x14ac:dyDescent="0.3">
      <c r="A13265" s="15" t="s">
        <v>36884</v>
      </c>
      <c r="B13265" s="15" t="s">
        <v>24239</v>
      </c>
      <c r="C13265" s="15" t="s">
        <v>800</v>
      </c>
      <c r="D13265" s="15" t="s">
        <v>24240</v>
      </c>
      <c r="E13265" s="15">
        <v>13.3581</v>
      </c>
      <c r="F13265" s="42">
        <v>44740</v>
      </c>
    </row>
    <row r="13266" spans="1:6" x14ac:dyDescent="0.3">
      <c r="A13266" s="15" t="s">
        <v>36883</v>
      </c>
      <c r="B13266" s="15" t="s">
        <v>24241</v>
      </c>
      <c r="C13266" s="15" t="s">
        <v>800</v>
      </c>
      <c r="D13266" s="15" t="s">
        <v>24242</v>
      </c>
      <c r="E13266" s="15">
        <v>13.506399999999999</v>
      </c>
      <c r="F13266" s="42">
        <v>44740</v>
      </c>
    </row>
    <row r="13267" spans="1:6" x14ac:dyDescent="0.3">
      <c r="A13267" s="15" t="s">
        <v>36882</v>
      </c>
      <c r="B13267" s="15" t="s">
        <v>24243</v>
      </c>
      <c r="C13267" s="15" t="s">
        <v>800</v>
      </c>
      <c r="D13267" s="15" t="s">
        <v>24244</v>
      </c>
      <c r="E13267" s="15">
        <v>10</v>
      </c>
      <c r="F13267" s="42">
        <v>44740</v>
      </c>
    </row>
    <row r="13268" spans="1:6" x14ac:dyDescent="0.3">
      <c r="A13268" s="15" t="s">
        <v>36881</v>
      </c>
      <c r="B13268" s="15" t="s">
        <v>24245</v>
      </c>
      <c r="C13268" s="15" t="s">
        <v>800</v>
      </c>
      <c r="D13268" s="15" t="s">
        <v>24246</v>
      </c>
      <c r="E13268" s="15">
        <v>10</v>
      </c>
      <c r="F13268" s="42">
        <v>44740</v>
      </c>
    </row>
    <row r="13269" spans="1:6" x14ac:dyDescent="0.3">
      <c r="A13269" s="15" t="s">
        <v>36880</v>
      </c>
      <c r="B13269" s="15" t="s">
        <v>24247</v>
      </c>
      <c r="C13269" s="15" t="s">
        <v>800</v>
      </c>
      <c r="D13269" s="15" t="s">
        <v>24248</v>
      </c>
      <c r="E13269" s="15">
        <v>10</v>
      </c>
      <c r="F13269" s="42">
        <v>44740</v>
      </c>
    </row>
    <row r="13270" spans="1:6" x14ac:dyDescent="0.3">
      <c r="A13270" s="15" t="s">
        <v>36879</v>
      </c>
      <c r="B13270" s="15" t="s">
        <v>24249</v>
      </c>
      <c r="C13270" s="15" t="s">
        <v>800</v>
      </c>
      <c r="D13270" s="15" t="s">
        <v>24250</v>
      </c>
      <c r="E13270" s="15">
        <v>10</v>
      </c>
      <c r="F13270" s="42">
        <v>44740</v>
      </c>
    </row>
    <row r="13271" spans="1:6" x14ac:dyDescent="0.3">
      <c r="A13271" s="15" t="s">
        <v>36878</v>
      </c>
      <c r="B13271" s="15" t="s">
        <v>800</v>
      </c>
      <c r="C13271" s="15" t="s">
        <v>800</v>
      </c>
      <c r="D13271" s="15" t="s">
        <v>24251</v>
      </c>
      <c r="E13271" s="15">
        <v>12.8697</v>
      </c>
      <c r="F13271" s="42">
        <v>46198</v>
      </c>
    </row>
    <row r="13272" spans="1:6" x14ac:dyDescent="0.3">
      <c r="A13272" s="15" t="s">
        <v>36877</v>
      </c>
      <c r="B13272" s="15" t="s">
        <v>800</v>
      </c>
      <c r="C13272" s="15" t="s">
        <v>800</v>
      </c>
      <c r="D13272" s="15" t="s">
        <v>24252</v>
      </c>
      <c r="E13272" s="15">
        <v>12.988899999999999</v>
      </c>
      <c r="F13272" s="42">
        <v>46198</v>
      </c>
    </row>
    <row r="13273" spans="1:6" x14ac:dyDescent="0.3">
      <c r="A13273" s="15" t="s">
        <v>36876</v>
      </c>
      <c r="B13273" s="15" t="s">
        <v>800</v>
      </c>
      <c r="C13273" s="15" t="s">
        <v>800</v>
      </c>
      <c r="D13273" s="15" t="s">
        <v>24253</v>
      </c>
      <c r="E13273" s="15">
        <v>12.8697</v>
      </c>
      <c r="F13273" s="42">
        <v>46198</v>
      </c>
    </row>
    <row r="13274" spans="1:6" x14ac:dyDescent="0.3">
      <c r="A13274" s="15" t="s">
        <v>36875</v>
      </c>
      <c r="B13274" s="15" t="s">
        <v>800</v>
      </c>
      <c r="C13274" s="15" t="s">
        <v>800</v>
      </c>
      <c r="D13274" s="15" t="s">
        <v>24254</v>
      </c>
      <c r="E13274" s="15">
        <v>12.988899999999999</v>
      </c>
      <c r="F13274" s="42">
        <v>46198</v>
      </c>
    </row>
    <row r="13275" spans="1:6" x14ac:dyDescent="0.3">
      <c r="A13275" s="15" t="s">
        <v>36874</v>
      </c>
      <c r="B13275" s="15" t="s">
        <v>800</v>
      </c>
      <c r="C13275" s="15" t="s">
        <v>800</v>
      </c>
      <c r="D13275" s="15" t="s">
        <v>24255</v>
      </c>
      <c r="E13275" s="15">
        <v>10.141299999999999</v>
      </c>
      <c r="F13275" s="42">
        <v>46198</v>
      </c>
    </row>
    <row r="13276" spans="1:6" x14ac:dyDescent="0.3">
      <c r="A13276" s="15" t="s">
        <v>36873</v>
      </c>
      <c r="B13276" s="15" t="s">
        <v>800</v>
      </c>
      <c r="C13276" s="15" t="s">
        <v>800</v>
      </c>
      <c r="D13276" s="15" t="s">
        <v>24256</v>
      </c>
      <c r="E13276" s="15">
        <v>10.148</v>
      </c>
      <c r="F13276" s="42">
        <v>46198</v>
      </c>
    </row>
    <row r="13277" spans="1:6" x14ac:dyDescent="0.3">
      <c r="A13277" s="15" t="s">
        <v>36872</v>
      </c>
      <c r="B13277" s="15" t="s">
        <v>24257</v>
      </c>
      <c r="C13277" s="15" t="s">
        <v>800</v>
      </c>
      <c r="D13277" s="15" t="s">
        <v>24258</v>
      </c>
      <c r="E13277" s="15">
        <v>13.3497</v>
      </c>
      <c r="F13277" s="42">
        <v>44742</v>
      </c>
    </row>
    <row r="13278" spans="1:6" x14ac:dyDescent="0.3">
      <c r="A13278" s="15" t="s">
        <v>36871</v>
      </c>
      <c r="B13278" s="15" t="s">
        <v>24259</v>
      </c>
      <c r="C13278" s="15" t="s">
        <v>800</v>
      </c>
      <c r="D13278" s="15" t="s">
        <v>24260</v>
      </c>
      <c r="E13278" s="15">
        <v>13.4575</v>
      </c>
      <c r="F13278" s="42">
        <v>44742</v>
      </c>
    </row>
    <row r="13279" spans="1:6" x14ac:dyDescent="0.3">
      <c r="A13279" s="15" t="s">
        <v>36870</v>
      </c>
      <c r="B13279" s="15" t="s">
        <v>24261</v>
      </c>
      <c r="C13279" s="15" t="s">
        <v>800</v>
      </c>
      <c r="D13279" s="15" t="s">
        <v>24262</v>
      </c>
      <c r="E13279" s="15">
        <v>10</v>
      </c>
      <c r="F13279" s="42">
        <v>44742</v>
      </c>
    </row>
    <row r="13280" spans="1:6" x14ac:dyDescent="0.3">
      <c r="A13280" s="15" t="s">
        <v>36869</v>
      </c>
      <c r="B13280" s="15" t="s">
        <v>24263</v>
      </c>
      <c r="C13280" s="15" t="s">
        <v>800</v>
      </c>
      <c r="D13280" s="15" t="s">
        <v>24264</v>
      </c>
      <c r="E13280" s="15">
        <v>10</v>
      </c>
      <c r="F13280" s="42">
        <v>44742</v>
      </c>
    </row>
    <row r="13281" spans="1:6" x14ac:dyDescent="0.3">
      <c r="A13281" s="15" t="s">
        <v>36868</v>
      </c>
      <c r="B13281" s="15" t="s">
        <v>24265</v>
      </c>
      <c r="C13281" s="15" t="s">
        <v>800</v>
      </c>
      <c r="D13281" s="15" t="s">
        <v>24266</v>
      </c>
      <c r="E13281" s="15">
        <v>10</v>
      </c>
      <c r="F13281" s="42">
        <v>44742</v>
      </c>
    </row>
    <row r="13282" spans="1:6" x14ac:dyDescent="0.3">
      <c r="A13282" s="15" t="s">
        <v>36867</v>
      </c>
      <c r="B13282" s="15" t="s">
        <v>24267</v>
      </c>
      <c r="C13282" s="15" t="s">
        <v>800</v>
      </c>
      <c r="D13282" s="15" t="s">
        <v>24268</v>
      </c>
      <c r="E13282" s="15">
        <v>13.4359</v>
      </c>
      <c r="F13282" s="42">
        <v>44742</v>
      </c>
    </row>
    <row r="13283" spans="1:6" x14ac:dyDescent="0.3">
      <c r="A13283" s="15" t="s">
        <v>36866</v>
      </c>
      <c r="B13283" s="15" t="s">
        <v>24269</v>
      </c>
      <c r="C13283" s="15" t="s">
        <v>800</v>
      </c>
      <c r="D13283" s="15" t="s">
        <v>24270</v>
      </c>
      <c r="E13283" s="15">
        <v>13.5632</v>
      </c>
      <c r="F13283" s="42">
        <v>44742</v>
      </c>
    </row>
    <row r="13284" spans="1:6" x14ac:dyDescent="0.3">
      <c r="A13284" s="15" t="s">
        <v>36865</v>
      </c>
      <c r="B13284" s="15" t="s">
        <v>24271</v>
      </c>
      <c r="C13284" s="15" t="s">
        <v>800</v>
      </c>
      <c r="D13284" s="15" t="s">
        <v>24272</v>
      </c>
      <c r="E13284" s="15">
        <v>10</v>
      </c>
      <c r="F13284" s="42">
        <v>44742</v>
      </c>
    </row>
    <row r="13285" spans="1:6" x14ac:dyDescent="0.3">
      <c r="A13285" s="15" t="s">
        <v>36864</v>
      </c>
      <c r="B13285" s="15" t="s">
        <v>24273</v>
      </c>
      <c r="C13285" s="15" t="s">
        <v>800</v>
      </c>
      <c r="D13285" s="15" t="s">
        <v>24274</v>
      </c>
      <c r="E13285" s="15">
        <v>10</v>
      </c>
      <c r="F13285" s="42">
        <v>44742</v>
      </c>
    </row>
    <row r="13286" spans="1:6" x14ac:dyDescent="0.3">
      <c r="A13286" s="15" t="s">
        <v>36863</v>
      </c>
      <c r="B13286" s="15" t="s">
        <v>24275</v>
      </c>
      <c r="C13286" s="15" t="s">
        <v>800</v>
      </c>
      <c r="D13286" s="15" t="s">
        <v>24276</v>
      </c>
      <c r="E13286" s="15">
        <v>10</v>
      </c>
      <c r="F13286" s="42">
        <v>44742</v>
      </c>
    </row>
    <row r="13287" spans="1:6" x14ac:dyDescent="0.3">
      <c r="A13287" s="15" t="s">
        <v>36862</v>
      </c>
      <c r="B13287" s="15" t="s">
        <v>24277</v>
      </c>
      <c r="C13287" s="15" t="s">
        <v>800</v>
      </c>
      <c r="D13287" s="15" t="s">
        <v>24278</v>
      </c>
      <c r="E13287" s="15">
        <v>10</v>
      </c>
      <c r="F13287" s="42">
        <v>44742</v>
      </c>
    </row>
    <row r="13288" spans="1:6" x14ac:dyDescent="0.3">
      <c r="A13288" s="15" t="s">
        <v>36861</v>
      </c>
      <c r="B13288" s="15" t="s">
        <v>24279</v>
      </c>
      <c r="C13288" s="15" t="s">
        <v>800</v>
      </c>
      <c r="D13288" s="15" t="s">
        <v>24280</v>
      </c>
      <c r="E13288" s="15">
        <v>12.8515</v>
      </c>
      <c r="F13288" s="42">
        <v>46198</v>
      </c>
    </row>
    <row r="13289" spans="1:6" x14ac:dyDescent="0.3">
      <c r="A13289" s="15" t="s">
        <v>36860</v>
      </c>
      <c r="B13289" s="15" t="s">
        <v>24281</v>
      </c>
      <c r="C13289" s="15" t="s">
        <v>800</v>
      </c>
      <c r="D13289" s="15" t="s">
        <v>24282</v>
      </c>
      <c r="E13289" s="15">
        <v>12.9795</v>
      </c>
      <c r="F13289" s="42">
        <v>46198</v>
      </c>
    </row>
    <row r="13290" spans="1:6" x14ac:dyDescent="0.3">
      <c r="A13290" s="15" t="s">
        <v>36859</v>
      </c>
      <c r="B13290" s="15" t="s">
        <v>24283</v>
      </c>
      <c r="C13290" s="15" t="s">
        <v>800</v>
      </c>
      <c r="D13290" s="15" t="s">
        <v>24284</v>
      </c>
      <c r="E13290" s="15">
        <v>12.8515</v>
      </c>
      <c r="F13290" s="42">
        <v>46198</v>
      </c>
    </row>
    <row r="13291" spans="1:6" x14ac:dyDescent="0.3">
      <c r="A13291" s="15" t="s">
        <v>36858</v>
      </c>
      <c r="B13291" s="15" t="s">
        <v>24285</v>
      </c>
      <c r="C13291" s="15" t="s">
        <v>800</v>
      </c>
      <c r="D13291" s="15" t="s">
        <v>24286</v>
      </c>
      <c r="E13291" s="15">
        <v>12.9795</v>
      </c>
      <c r="F13291" s="42">
        <v>46198</v>
      </c>
    </row>
    <row r="13292" spans="1:6" x14ac:dyDescent="0.3">
      <c r="A13292" s="15" t="s">
        <v>36857</v>
      </c>
      <c r="B13292" s="15" t="s">
        <v>24287</v>
      </c>
      <c r="C13292" s="15" t="s">
        <v>800</v>
      </c>
      <c r="D13292" s="15" t="s">
        <v>24288</v>
      </c>
      <c r="E13292" s="15">
        <v>10.1363</v>
      </c>
      <c r="F13292" s="42">
        <v>46198</v>
      </c>
    </row>
    <row r="13293" spans="1:6" x14ac:dyDescent="0.3">
      <c r="A13293" s="15" t="s">
        <v>36856</v>
      </c>
      <c r="B13293" s="15" t="s">
        <v>24289</v>
      </c>
      <c r="C13293" s="15" t="s">
        <v>800</v>
      </c>
      <c r="D13293" s="15" t="s">
        <v>24290</v>
      </c>
      <c r="E13293" s="15">
        <v>10.143599999999999</v>
      </c>
      <c r="F13293" s="42">
        <v>46198</v>
      </c>
    </row>
    <row r="13294" spans="1:6" x14ac:dyDescent="0.3">
      <c r="A13294" s="15" t="s">
        <v>36855</v>
      </c>
      <c r="B13294" s="15" t="s">
        <v>24291</v>
      </c>
      <c r="C13294" s="15" t="s">
        <v>800</v>
      </c>
      <c r="D13294" s="15" t="s">
        <v>24292</v>
      </c>
      <c r="E13294" s="15">
        <v>13.385999999999999</v>
      </c>
      <c r="F13294" s="42">
        <v>44662</v>
      </c>
    </row>
    <row r="13295" spans="1:6" x14ac:dyDescent="0.3">
      <c r="A13295" s="15" t="s">
        <v>36854</v>
      </c>
      <c r="B13295" s="15" t="s">
        <v>24293</v>
      </c>
      <c r="C13295" s="15" t="s">
        <v>800</v>
      </c>
      <c r="D13295" s="15" t="s">
        <v>24294</v>
      </c>
      <c r="E13295" s="15">
        <v>13.5183</v>
      </c>
      <c r="F13295" s="42">
        <v>44662</v>
      </c>
    </row>
    <row r="13296" spans="1:6" x14ac:dyDescent="0.3">
      <c r="A13296" s="15" t="s">
        <v>36853</v>
      </c>
      <c r="B13296" s="15" t="s">
        <v>24295</v>
      </c>
      <c r="C13296" s="15" t="s">
        <v>800</v>
      </c>
      <c r="D13296" s="15" t="s">
        <v>24296</v>
      </c>
      <c r="E13296" s="15">
        <v>10</v>
      </c>
      <c r="F13296" s="42">
        <v>44662</v>
      </c>
    </row>
    <row r="13297" spans="1:6" x14ac:dyDescent="0.3">
      <c r="A13297" s="15" t="s">
        <v>36852</v>
      </c>
      <c r="B13297" s="15" t="s">
        <v>24297</v>
      </c>
      <c r="C13297" s="15" t="s">
        <v>800</v>
      </c>
      <c r="D13297" s="15" t="s">
        <v>24298</v>
      </c>
      <c r="E13297" s="15">
        <v>10</v>
      </c>
      <c r="F13297" s="42">
        <v>44662</v>
      </c>
    </row>
    <row r="13298" spans="1:6" x14ac:dyDescent="0.3">
      <c r="A13298" s="15" t="s">
        <v>36851</v>
      </c>
      <c r="B13298" s="15" t="s">
        <v>24299</v>
      </c>
      <c r="C13298" s="15" t="s">
        <v>800</v>
      </c>
      <c r="D13298" s="15" t="s">
        <v>24300</v>
      </c>
      <c r="E13298" s="15">
        <v>10</v>
      </c>
      <c r="F13298" s="42">
        <v>44662</v>
      </c>
    </row>
    <row r="13299" spans="1:6" x14ac:dyDescent="0.3">
      <c r="A13299" s="15" t="s">
        <v>36850</v>
      </c>
      <c r="B13299" s="15" t="s">
        <v>24301</v>
      </c>
      <c r="C13299" s="15" t="s">
        <v>800</v>
      </c>
      <c r="D13299" s="15" t="s">
        <v>24302</v>
      </c>
      <c r="E13299" s="15">
        <v>10</v>
      </c>
      <c r="F13299" s="42">
        <v>44662</v>
      </c>
    </row>
    <row r="13300" spans="1:6" x14ac:dyDescent="0.3">
      <c r="A13300" s="15" t="s">
        <v>36849</v>
      </c>
      <c r="B13300" s="15" t="s">
        <v>24303</v>
      </c>
      <c r="C13300" s="15" t="s">
        <v>800</v>
      </c>
      <c r="D13300" s="15" t="s">
        <v>24304</v>
      </c>
      <c r="E13300" s="15">
        <v>13.9793</v>
      </c>
      <c r="F13300" s="42">
        <v>44833</v>
      </c>
    </row>
    <row r="13301" spans="1:6" x14ac:dyDescent="0.3">
      <c r="A13301" s="15" t="s">
        <v>36848</v>
      </c>
      <c r="B13301" s="15" t="s">
        <v>24305</v>
      </c>
      <c r="C13301" s="15" t="s">
        <v>800</v>
      </c>
      <c r="D13301" s="15" t="s">
        <v>24306</v>
      </c>
      <c r="E13301" s="15">
        <v>14.1762</v>
      </c>
      <c r="F13301" s="42">
        <v>44833</v>
      </c>
    </row>
    <row r="13302" spans="1:6" x14ac:dyDescent="0.3">
      <c r="A13302" s="15" t="s">
        <v>36847</v>
      </c>
      <c r="B13302" s="15" t="s">
        <v>24307</v>
      </c>
      <c r="C13302" s="15" t="s">
        <v>800</v>
      </c>
      <c r="D13302" s="15" t="s">
        <v>24308</v>
      </c>
      <c r="E13302" s="15">
        <v>10</v>
      </c>
      <c r="F13302" s="42">
        <v>44833</v>
      </c>
    </row>
    <row r="13303" spans="1:6" x14ac:dyDescent="0.3">
      <c r="A13303" s="15" t="s">
        <v>36846</v>
      </c>
      <c r="B13303" s="15" t="s">
        <v>24309</v>
      </c>
      <c r="C13303" s="15" t="s">
        <v>800</v>
      </c>
      <c r="D13303" s="15" t="s">
        <v>24310</v>
      </c>
      <c r="E13303" s="15">
        <v>10</v>
      </c>
      <c r="F13303" s="42">
        <v>44833</v>
      </c>
    </row>
    <row r="13304" spans="1:6" x14ac:dyDescent="0.3">
      <c r="A13304" s="15" t="s">
        <v>36845</v>
      </c>
      <c r="B13304" s="15" t="s">
        <v>24311</v>
      </c>
      <c r="C13304" s="15" t="s">
        <v>800</v>
      </c>
      <c r="D13304" s="15" t="s">
        <v>24312</v>
      </c>
      <c r="E13304" s="15">
        <v>10</v>
      </c>
      <c r="F13304" s="42">
        <v>44833</v>
      </c>
    </row>
    <row r="13305" spans="1:6" x14ac:dyDescent="0.3">
      <c r="A13305" s="15" t="s">
        <v>36844</v>
      </c>
      <c r="B13305" s="15" t="s">
        <v>24313</v>
      </c>
      <c r="C13305" s="15" t="s">
        <v>800</v>
      </c>
      <c r="D13305" s="15" t="s">
        <v>24314</v>
      </c>
      <c r="E13305" s="15">
        <v>21.3673</v>
      </c>
      <c r="F13305" s="42">
        <v>44833</v>
      </c>
    </row>
    <row r="13306" spans="1:6" x14ac:dyDescent="0.3">
      <c r="A13306" s="15" t="s">
        <v>36843</v>
      </c>
      <c r="B13306" s="15" t="s">
        <v>24315</v>
      </c>
      <c r="C13306" s="15" t="s">
        <v>800</v>
      </c>
      <c r="D13306" s="15" t="s">
        <v>24316</v>
      </c>
      <c r="E13306" s="15">
        <v>21.9648</v>
      </c>
      <c r="F13306" s="42">
        <v>44833</v>
      </c>
    </row>
    <row r="13307" spans="1:6" x14ac:dyDescent="0.3">
      <c r="A13307" s="15" t="s">
        <v>36842</v>
      </c>
      <c r="B13307" s="15" t="s">
        <v>24317</v>
      </c>
      <c r="C13307" s="15" t="s">
        <v>800</v>
      </c>
      <c r="D13307" s="15" t="s">
        <v>24318</v>
      </c>
      <c r="E13307" s="15">
        <v>10</v>
      </c>
      <c r="F13307" s="42">
        <v>44833</v>
      </c>
    </row>
    <row r="13308" spans="1:6" x14ac:dyDescent="0.3">
      <c r="A13308" s="15" t="s">
        <v>36841</v>
      </c>
      <c r="B13308" s="15" t="s">
        <v>24319</v>
      </c>
      <c r="C13308" s="15" t="s">
        <v>800</v>
      </c>
      <c r="D13308" s="15" t="s">
        <v>24320</v>
      </c>
      <c r="E13308" s="15">
        <v>10</v>
      </c>
      <c r="F13308" s="42">
        <v>44833</v>
      </c>
    </row>
    <row r="13309" spans="1:6" x14ac:dyDescent="0.3">
      <c r="A13309" s="15" t="s">
        <v>36840</v>
      </c>
      <c r="B13309" s="15" t="s">
        <v>24321</v>
      </c>
      <c r="C13309" s="15" t="s">
        <v>800</v>
      </c>
      <c r="D13309" s="15" t="s">
        <v>24322</v>
      </c>
      <c r="E13309" s="15">
        <v>13.132300000000001</v>
      </c>
      <c r="F13309" s="42">
        <v>46198</v>
      </c>
    </row>
    <row r="13310" spans="1:6" x14ac:dyDescent="0.3">
      <c r="A13310" s="15" t="s">
        <v>36839</v>
      </c>
      <c r="B13310" s="15" t="s">
        <v>24323</v>
      </c>
      <c r="C13310" s="15" t="s">
        <v>800</v>
      </c>
      <c r="D13310" s="15" t="s">
        <v>24324</v>
      </c>
      <c r="E13310" s="15">
        <v>13.225199999999999</v>
      </c>
      <c r="F13310" s="42">
        <v>46198</v>
      </c>
    </row>
    <row r="13311" spans="1:6" x14ac:dyDescent="0.3">
      <c r="A13311" s="15" t="s">
        <v>36838</v>
      </c>
      <c r="B13311" s="15" t="s">
        <v>24325</v>
      </c>
      <c r="C13311" s="15" t="s">
        <v>800</v>
      </c>
      <c r="D13311" s="15" t="s">
        <v>24326</v>
      </c>
      <c r="E13311" s="15">
        <v>13.132300000000001</v>
      </c>
      <c r="F13311" s="42">
        <v>46198</v>
      </c>
    </row>
    <row r="13312" spans="1:6" x14ac:dyDescent="0.3">
      <c r="A13312" s="15" t="s">
        <v>36837</v>
      </c>
      <c r="B13312" s="15" t="s">
        <v>24327</v>
      </c>
      <c r="C13312" s="15" t="s">
        <v>800</v>
      </c>
      <c r="D13312" s="15" t="s">
        <v>24328</v>
      </c>
      <c r="E13312" s="15">
        <v>13.225199999999999</v>
      </c>
      <c r="F13312" s="42">
        <v>46198</v>
      </c>
    </row>
    <row r="13313" spans="1:6" x14ac:dyDescent="0.3">
      <c r="A13313" s="15" t="s">
        <v>36836</v>
      </c>
      <c r="B13313" s="15" t="s">
        <v>24329</v>
      </c>
      <c r="C13313" s="15" t="s">
        <v>800</v>
      </c>
      <c r="D13313" s="15" t="s">
        <v>24330</v>
      </c>
      <c r="E13313" s="15">
        <v>10.155099999999999</v>
      </c>
      <c r="F13313" s="42">
        <v>46198</v>
      </c>
    </row>
    <row r="13314" spans="1:6" x14ac:dyDescent="0.3">
      <c r="A13314" s="15" t="s">
        <v>36835</v>
      </c>
      <c r="B13314" s="15" t="s">
        <v>24331</v>
      </c>
      <c r="C13314" s="15" t="s">
        <v>800</v>
      </c>
      <c r="D13314" s="15" t="s">
        <v>24332</v>
      </c>
      <c r="E13314" s="15">
        <v>10.1595</v>
      </c>
      <c r="F13314" s="42">
        <v>46198</v>
      </c>
    </row>
    <row r="13315" spans="1:6" x14ac:dyDescent="0.3">
      <c r="A13315" s="15" t="s">
        <v>36834</v>
      </c>
      <c r="B13315" s="15" t="s">
        <v>24333</v>
      </c>
      <c r="C13315" s="15" t="s">
        <v>800</v>
      </c>
      <c r="D13315" s="15" t="s">
        <v>24334</v>
      </c>
      <c r="E13315" s="15">
        <v>13.0943</v>
      </c>
      <c r="F13315" s="42">
        <v>46198</v>
      </c>
    </row>
    <row r="13316" spans="1:6" x14ac:dyDescent="0.3">
      <c r="A13316" s="15" t="s">
        <v>36833</v>
      </c>
      <c r="B13316" s="15" t="s">
        <v>24335</v>
      </c>
      <c r="C13316" s="15" t="s">
        <v>800</v>
      </c>
      <c r="D13316" s="15" t="s">
        <v>24336</v>
      </c>
      <c r="E13316" s="15">
        <v>13.176600000000001</v>
      </c>
      <c r="F13316" s="42">
        <v>46198</v>
      </c>
    </row>
    <row r="13317" spans="1:6" x14ac:dyDescent="0.3">
      <c r="A13317" s="15" t="s">
        <v>36832</v>
      </c>
      <c r="B13317" s="15" t="s">
        <v>24337</v>
      </c>
      <c r="C13317" s="15" t="s">
        <v>800</v>
      </c>
      <c r="D13317" s="15" t="s">
        <v>24338</v>
      </c>
      <c r="E13317" s="15">
        <v>13.0943</v>
      </c>
      <c r="F13317" s="42">
        <v>46198</v>
      </c>
    </row>
    <row r="13318" spans="1:6" x14ac:dyDescent="0.3">
      <c r="A13318" s="15" t="s">
        <v>36831</v>
      </c>
      <c r="B13318" s="15" t="s">
        <v>24339</v>
      </c>
      <c r="C13318" s="15" t="s">
        <v>800</v>
      </c>
      <c r="D13318" s="15" t="s">
        <v>24340</v>
      </c>
      <c r="E13318" s="15">
        <v>13.176600000000001</v>
      </c>
      <c r="F13318" s="42">
        <v>46198</v>
      </c>
    </row>
    <row r="13319" spans="1:6" x14ac:dyDescent="0.3">
      <c r="A13319" s="15" t="s">
        <v>36830</v>
      </c>
      <c r="B13319" s="15" t="s">
        <v>24341</v>
      </c>
      <c r="C13319" s="15" t="s">
        <v>800</v>
      </c>
      <c r="D13319" s="15" t="s">
        <v>24342</v>
      </c>
      <c r="E13319" s="15">
        <v>10.1539</v>
      </c>
      <c r="F13319" s="42">
        <v>46198</v>
      </c>
    </row>
    <row r="13320" spans="1:6" x14ac:dyDescent="0.3">
      <c r="A13320" s="15" t="s">
        <v>36829</v>
      </c>
      <c r="B13320" s="15" t="s">
        <v>24343</v>
      </c>
      <c r="C13320" s="15" t="s">
        <v>800</v>
      </c>
      <c r="D13320" s="15" t="s">
        <v>24344</v>
      </c>
      <c r="E13320" s="15">
        <v>10.158899999999999</v>
      </c>
      <c r="F13320" s="42">
        <v>46198</v>
      </c>
    </row>
    <row r="13321" spans="1:6" x14ac:dyDescent="0.3">
      <c r="A13321" s="15" t="s">
        <v>36828</v>
      </c>
      <c r="B13321" s="15" t="s">
        <v>800</v>
      </c>
      <c r="C13321" s="15" t="s">
        <v>800</v>
      </c>
      <c r="D13321" s="15" t="s">
        <v>24345</v>
      </c>
      <c r="E13321" s="15">
        <v>13.050800000000001</v>
      </c>
      <c r="F13321" s="42">
        <v>46198</v>
      </c>
    </row>
    <row r="13322" spans="1:6" x14ac:dyDescent="0.3">
      <c r="A13322" s="15" t="s">
        <v>36827</v>
      </c>
      <c r="B13322" s="15" t="s">
        <v>800</v>
      </c>
      <c r="C13322" s="15" t="s">
        <v>800</v>
      </c>
      <c r="D13322" s="15" t="s">
        <v>24346</v>
      </c>
      <c r="E13322" s="15">
        <v>13.1615</v>
      </c>
      <c r="F13322" s="42">
        <v>46198</v>
      </c>
    </row>
    <row r="13323" spans="1:6" x14ac:dyDescent="0.3">
      <c r="A13323" s="15" t="s">
        <v>36826</v>
      </c>
      <c r="B13323" s="15" t="s">
        <v>800</v>
      </c>
      <c r="C13323" s="15" t="s">
        <v>800</v>
      </c>
      <c r="D13323" s="15" t="s">
        <v>24347</v>
      </c>
      <c r="E13323" s="15">
        <v>13.050800000000001</v>
      </c>
      <c r="F13323" s="42">
        <v>46198</v>
      </c>
    </row>
    <row r="13324" spans="1:6" x14ac:dyDescent="0.3">
      <c r="A13324" s="15" t="s">
        <v>36825</v>
      </c>
      <c r="B13324" s="15" t="s">
        <v>800</v>
      </c>
      <c r="C13324" s="15" t="s">
        <v>800</v>
      </c>
      <c r="D13324" s="15" t="s">
        <v>24348</v>
      </c>
      <c r="E13324" s="15">
        <v>10.2606</v>
      </c>
      <c r="F13324" s="42">
        <v>46198</v>
      </c>
    </row>
    <row r="13325" spans="1:6" x14ac:dyDescent="0.3">
      <c r="A13325" s="15" t="s">
        <v>36824</v>
      </c>
      <c r="B13325" s="15" t="s">
        <v>800</v>
      </c>
      <c r="C13325" s="15" t="s">
        <v>800</v>
      </c>
      <c r="D13325" s="15" t="s">
        <v>24349</v>
      </c>
      <c r="E13325" s="15">
        <v>10.267799999999999</v>
      </c>
      <c r="F13325" s="42">
        <v>46198</v>
      </c>
    </row>
    <row r="13326" spans="1:6" x14ac:dyDescent="0.3">
      <c r="A13326" s="15" t="s">
        <v>36823</v>
      </c>
      <c r="B13326" s="15" t="s">
        <v>24350</v>
      </c>
      <c r="C13326" s="15" t="s">
        <v>800</v>
      </c>
      <c r="D13326" s="15" t="s">
        <v>24351</v>
      </c>
      <c r="E13326" s="15">
        <v>18.4345</v>
      </c>
      <c r="F13326" s="42">
        <v>45083</v>
      </c>
    </row>
    <row r="13327" spans="1:6" x14ac:dyDescent="0.3">
      <c r="A13327" s="15" t="s">
        <v>36822</v>
      </c>
      <c r="B13327" s="15" t="s">
        <v>24352</v>
      </c>
      <c r="C13327" s="15" t="s">
        <v>800</v>
      </c>
      <c r="D13327" s="15" t="s">
        <v>24353</v>
      </c>
      <c r="E13327" s="15">
        <v>18.675000000000001</v>
      </c>
      <c r="F13327" s="42">
        <v>45083</v>
      </c>
    </row>
    <row r="13328" spans="1:6" x14ac:dyDescent="0.3">
      <c r="A13328" s="15" t="s">
        <v>36821</v>
      </c>
      <c r="B13328" s="15" t="s">
        <v>24354</v>
      </c>
      <c r="C13328" s="15" t="s">
        <v>800</v>
      </c>
      <c r="D13328" s="15" t="s">
        <v>24355</v>
      </c>
      <c r="E13328" s="15">
        <v>18.4345</v>
      </c>
      <c r="F13328" s="42">
        <v>45083</v>
      </c>
    </row>
    <row r="13329" spans="1:6" x14ac:dyDescent="0.3">
      <c r="A13329" s="15" t="s">
        <v>36820</v>
      </c>
      <c r="B13329" s="15" t="s">
        <v>24356</v>
      </c>
      <c r="C13329" s="15" t="s">
        <v>800</v>
      </c>
      <c r="D13329" s="15" t="s">
        <v>24357</v>
      </c>
      <c r="E13329" s="15">
        <v>18.675000000000001</v>
      </c>
      <c r="F13329" s="42">
        <v>45083</v>
      </c>
    </row>
    <row r="13330" spans="1:6" x14ac:dyDescent="0.3">
      <c r="A13330" s="15" t="s">
        <v>36819</v>
      </c>
      <c r="B13330" s="15" t="s">
        <v>24358</v>
      </c>
      <c r="C13330" s="15" t="s">
        <v>800</v>
      </c>
      <c r="D13330" s="15" t="s">
        <v>24359</v>
      </c>
      <c r="E13330" s="15">
        <v>10</v>
      </c>
      <c r="F13330" s="42">
        <v>45083</v>
      </c>
    </row>
    <row r="13331" spans="1:6" x14ac:dyDescent="0.3">
      <c r="A13331" s="15" t="s">
        <v>36818</v>
      </c>
      <c r="B13331" s="15" t="s">
        <v>24360</v>
      </c>
      <c r="C13331" s="15" t="s">
        <v>800</v>
      </c>
      <c r="D13331" s="15" t="s">
        <v>24361</v>
      </c>
      <c r="E13331" s="15">
        <v>10</v>
      </c>
      <c r="F13331" s="42">
        <v>45083</v>
      </c>
    </row>
    <row r="13332" spans="1:6" x14ac:dyDescent="0.3">
      <c r="A13332" s="15" t="s">
        <v>36817</v>
      </c>
      <c r="B13332" s="15" t="s">
        <v>24362</v>
      </c>
      <c r="C13332" s="15" t="s">
        <v>800</v>
      </c>
      <c r="D13332" s="15" t="s">
        <v>24363</v>
      </c>
      <c r="E13332" s="15">
        <v>10</v>
      </c>
      <c r="F13332" s="42">
        <v>45083</v>
      </c>
    </row>
    <row r="13333" spans="1:6" x14ac:dyDescent="0.3">
      <c r="A13333" s="15" t="s">
        <v>36816</v>
      </c>
      <c r="B13333" s="15" t="s">
        <v>24364</v>
      </c>
      <c r="C13333" s="15" t="s">
        <v>800</v>
      </c>
      <c r="D13333" s="15" t="s">
        <v>24365</v>
      </c>
      <c r="E13333" s="15">
        <v>10</v>
      </c>
      <c r="F13333" s="42">
        <v>45083</v>
      </c>
    </row>
    <row r="13334" spans="1:6" x14ac:dyDescent="0.3">
      <c r="A13334" s="15" t="s">
        <v>33499</v>
      </c>
      <c r="B13334" s="15" t="s">
        <v>795</v>
      </c>
      <c r="C13334" s="15" t="s">
        <v>795</v>
      </c>
      <c r="D13334" s="15" t="s">
        <v>795</v>
      </c>
      <c r="F13334" s="42"/>
    </row>
    <row r="13335" spans="1:6" x14ac:dyDescent="0.3">
      <c r="A13335" s="15" t="s">
        <v>36815</v>
      </c>
      <c r="B13335" s="15" t="s">
        <v>795</v>
      </c>
      <c r="C13335" s="15" t="s">
        <v>795</v>
      </c>
      <c r="D13335" s="15" t="s">
        <v>795</v>
      </c>
      <c r="F13335" s="42"/>
    </row>
    <row r="13336" spans="1:6" x14ac:dyDescent="0.3">
      <c r="A13336" s="15" t="s">
        <v>33499</v>
      </c>
      <c r="B13336" s="15" t="s">
        <v>795</v>
      </c>
      <c r="C13336" s="15" t="s">
        <v>795</v>
      </c>
      <c r="D13336" s="15" t="s">
        <v>795</v>
      </c>
      <c r="F13336" s="42"/>
    </row>
    <row r="13337" spans="1:6" x14ac:dyDescent="0.3">
      <c r="A13337" s="15" t="s">
        <v>36814</v>
      </c>
      <c r="B13337" s="15" t="s">
        <v>24366</v>
      </c>
      <c r="C13337" s="15" t="s">
        <v>800</v>
      </c>
      <c r="D13337" s="15" t="s">
        <v>24367</v>
      </c>
      <c r="E13337" s="15">
        <v>12.6358</v>
      </c>
      <c r="F13337" s="42">
        <v>43573</v>
      </c>
    </row>
    <row r="13338" spans="1:6" x14ac:dyDescent="0.3">
      <c r="A13338" s="15" t="s">
        <v>36813</v>
      </c>
      <c r="B13338" s="15" t="s">
        <v>24368</v>
      </c>
      <c r="C13338" s="15" t="s">
        <v>800</v>
      </c>
      <c r="D13338" s="15" t="s">
        <v>24369</v>
      </c>
      <c r="E13338" s="15">
        <v>10</v>
      </c>
      <c r="F13338" s="42">
        <v>43573</v>
      </c>
    </row>
    <row r="13339" spans="1:6" x14ac:dyDescent="0.3">
      <c r="A13339" s="15" t="s">
        <v>36812</v>
      </c>
      <c r="B13339" s="15" t="s">
        <v>24370</v>
      </c>
      <c r="C13339" s="15" t="s">
        <v>800</v>
      </c>
      <c r="D13339" s="15" t="s">
        <v>24371</v>
      </c>
      <c r="E13339" s="15">
        <v>12.5053</v>
      </c>
      <c r="F13339" s="42">
        <v>43573</v>
      </c>
    </row>
    <row r="13340" spans="1:6" x14ac:dyDescent="0.3">
      <c r="A13340" s="15" t="s">
        <v>36811</v>
      </c>
      <c r="B13340" s="15" t="s">
        <v>24372</v>
      </c>
      <c r="C13340" s="15" t="s">
        <v>800</v>
      </c>
      <c r="D13340" s="15" t="s">
        <v>24373</v>
      </c>
      <c r="E13340" s="15">
        <v>12.589600000000001</v>
      </c>
      <c r="F13340" s="42">
        <v>43647</v>
      </c>
    </row>
    <row r="13341" spans="1:6" x14ac:dyDescent="0.3">
      <c r="A13341" s="15" t="s">
        <v>36810</v>
      </c>
      <c r="B13341" s="15" t="s">
        <v>24374</v>
      </c>
      <c r="C13341" s="15" t="s">
        <v>800</v>
      </c>
      <c r="D13341" s="15" t="s">
        <v>24375</v>
      </c>
      <c r="E13341" s="15">
        <v>10</v>
      </c>
      <c r="F13341" s="42">
        <v>43647</v>
      </c>
    </row>
    <row r="13342" spans="1:6" x14ac:dyDescent="0.3">
      <c r="A13342" s="15" t="s">
        <v>36809</v>
      </c>
      <c r="B13342" s="15" t="s">
        <v>24376</v>
      </c>
      <c r="C13342" s="15" t="s">
        <v>800</v>
      </c>
      <c r="D13342" s="15" t="s">
        <v>24377</v>
      </c>
      <c r="E13342" s="15">
        <v>12.4567</v>
      </c>
      <c r="F13342" s="42">
        <v>43647</v>
      </c>
    </row>
    <row r="13343" spans="1:6" x14ac:dyDescent="0.3">
      <c r="A13343" s="15" t="s">
        <v>36808</v>
      </c>
      <c r="B13343" s="15" t="s">
        <v>24378</v>
      </c>
      <c r="C13343" s="15" t="s">
        <v>800</v>
      </c>
      <c r="D13343" s="15" t="s">
        <v>24379</v>
      </c>
      <c r="E13343" s="15">
        <v>12.326599999999999</v>
      </c>
      <c r="F13343" s="42">
        <v>43950</v>
      </c>
    </row>
    <row r="13344" spans="1:6" x14ac:dyDescent="0.3">
      <c r="A13344" s="15" t="s">
        <v>36807</v>
      </c>
      <c r="B13344" s="15" t="s">
        <v>24380</v>
      </c>
      <c r="C13344" s="15" t="s">
        <v>800</v>
      </c>
      <c r="D13344" s="15" t="s">
        <v>24381</v>
      </c>
      <c r="E13344" s="15">
        <v>12.197800000000001</v>
      </c>
      <c r="F13344" s="42">
        <v>43950</v>
      </c>
    </row>
    <row r="13345" spans="1:6" x14ac:dyDescent="0.3">
      <c r="A13345" s="15" t="s">
        <v>36806</v>
      </c>
      <c r="B13345" s="15" t="s">
        <v>24382</v>
      </c>
      <c r="C13345" s="15" t="s">
        <v>800</v>
      </c>
      <c r="D13345" s="15" t="s">
        <v>24383</v>
      </c>
      <c r="E13345" s="15">
        <v>10</v>
      </c>
      <c r="F13345" s="42">
        <v>43950</v>
      </c>
    </row>
    <row r="13346" spans="1:6" x14ac:dyDescent="0.3">
      <c r="A13346" s="15" t="s">
        <v>36805</v>
      </c>
      <c r="B13346" s="15" t="s">
        <v>24384</v>
      </c>
      <c r="C13346" s="15" t="s">
        <v>800</v>
      </c>
      <c r="D13346" s="15" t="s">
        <v>24385</v>
      </c>
      <c r="E13346" s="15">
        <v>12.3834</v>
      </c>
      <c r="F13346" s="42">
        <v>44012</v>
      </c>
    </row>
    <row r="13347" spans="1:6" x14ac:dyDescent="0.3">
      <c r="A13347" s="15" t="s">
        <v>36804</v>
      </c>
      <c r="B13347" s="15" t="s">
        <v>24386</v>
      </c>
      <c r="C13347" s="15" t="s">
        <v>800</v>
      </c>
      <c r="D13347" s="15" t="s">
        <v>24387</v>
      </c>
      <c r="E13347" s="15">
        <v>12.285299999999999</v>
      </c>
      <c r="F13347" s="42">
        <v>44012</v>
      </c>
    </row>
    <row r="13348" spans="1:6" x14ac:dyDescent="0.3">
      <c r="A13348" s="15" t="s">
        <v>36803</v>
      </c>
      <c r="B13348" s="15" t="s">
        <v>24388</v>
      </c>
      <c r="C13348" s="15" t="s">
        <v>800</v>
      </c>
      <c r="D13348" s="15" t="s">
        <v>24389</v>
      </c>
      <c r="E13348" s="15">
        <v>10</v>
      </c>
      <c r="F13348" s="42">
        <v>44012</v>
      </c>
    </row>
    <row r="13349" spans="1:6" x14ac:dyDescent="0.3">
      <c r="A13349" s="15" t="s">
        <v>36802</v>
      </c>
      <c r="B13349" s="15" t="s">
        <v>24390</v>
      </c>
      <c r="C13349" s="15" t="s">
        <v>800</v>
      </c>
      <c r="D13349" s="15" t="s">
        <v>24391</v>
      </c>
      <c r="E13349" s="15">
        <v>12.443300000000001</v>
      </c>
      <c r="F13349" s="42">
        <v>44294</v>
      </c>
    </row>
    <row r="13350" spans="1:6" x14ac:dyDescent="0.3">
      <c r="A13350" s="15" t="s">
        <v>36801</v>
      </c>
      <c r="B13350" s="15" t="s">
        <v>24392</v>
      </c>
      <c r="C13350" s="15" t="s">
        <v>800</v>
      </c>
      <c r="D13350" s="15" t="s">
        <v>24393</v>
      </c>
      <c r="E13350" s="15">
        <v>10</v>
      </c>
      <c r="F13350" s="42">
        <v>44294</v>
      </c>
    </row>
    <row r="13351" spans="1:6" x14ac:dyDescent="0.3">
      <c r="A13351" s="15" t="s">
        <v>36800</v>
      </c>
      <c r="B13351" s="15" t="s">
        <v>24394</v>
      </c>
      <c r="C13351" s="15" t="s">
        <v>800</v>
      </c>
      <c r="D13351" s="15" t="s">
        <v>24395</v>
      </c>
      <c r="E13351" s="15">
        <v>12.528700000000001</v>
      </c>
      <c r="F13351" s="42">
        <v>44294</v>
      </c>
    </row>
    <row r="13352" spans="1:6" x14ac:dyDescent="0.3">
      <c r="A13352" s="15" t="s">
        <v>36799</v>
      </c>
      <c r="B13352" s="15" t="s">
        <v>24396</v>
      </c>
      <c r="C13352" s="15" t="s">
        <v>800</v>
      </c>
      <c r="D13352" s="15" t="s">
        <v>24397</v>
      </c>
      <c r="E13352" s="15">
        <v>12.2882</v>
      </c>
      <c r="F13352" s="42">
        <v>44319</v>
      </c>
    </row>
    <row r="13353" spans="1:6" x14ac:dyDescent="0.3">
      <c r="A13353" s="15" t="s">
        <v>36798</v>
      </c>
      <c r="B13353" s="15" t="s">
        <v>24398</v>
      </c>
      <c r="C13353" s="15" t="s">
        <v>800</v>
      </c>
      <c r="D13353" s="15" t="s">
        <v>24399</v>
      </c>
      <c r="E13353" s="15">
        <v>12.1877</v>
      </c>
      <c r="F13353" s="42">
        <v>44319</v>
      </c>
    </row>
    <row r="13354" spans="1:6" x14ac:dyDescent="0.3">
      <c r="A13354" s="15" t="s">
        <v>36797</v>
      </c>
      <c r="B13354" s="15" t="s">
        <v>24400</v>
      </c>
      <c r="C13354" s="15" t="s">
        <v>800</v>
      </c>
      <c r="D13354" s="15" t="s">
        <v>24401</v>
      </c>
      <c r="E13354" s="15">
        <v>10</v>
      </c>
      <c r="F13354" s="42">
        <v>44319</v>
      </c>
    </row>
    <row r="13355" spans="1:6" x14ac:dyDescent="0.3">
      <c r="A13355" s="15" t="s">
        <v>36796</v>
      </c>
      <c r="B13355" s="15" t="s">
        <v>24402</v>
      </c>
      <c r="C13355" s="15" t="s">
        <v>800</v>
      </c>
      <c r="D13355" s="15" t="s">
        <v>24403</v>
      </c>
      <c r="E13355" s="15">
        <v>12.729100000000001</v>
      </c>
      <c r="F13355" s="42">
        <v>44319</v>
      </c>
    </row>
    <row r="13356" spans="1:6" x14ac:dyDescent="0.3">
      <c r="A13356" s="15" t="s">
        <v>36795</v>
      </c>
      <c r="B13356" s="15" t="s">
        <v>24404</v>
      </c>
      <c r="C13356" s="15" t="s">
        <v>800</v>
      </c>
      <c r="D13356" s="15" t="s">
        <v>24405</v>
      </c>
      <c r="E13356" s="15">
        <v>12.646000000000001</v>
      </c>
      <c r="F13356" s="42">
        <v>44319</v>
      </c>
    </row>
    <row r="13357" spans="1:6" x14ac:dyDescent="0.3">
      <c r="A13357" s="15" t="s">
        <v>36794</v>
      </c>
      <c r="B13357" s="15" t="s">
        <v>24406</v>
      </c>
      <c r="C13357" s="15" t="s">
        <v>800</v>
      </c>
      <c r="D13357" s="15" t="s">
        <v>24407</v>
      </c>
      <c r="E13357" s="15">
        <v>10</v>
      </c>
      <c r="F13357" s="42">
        <v>44319</v>
      </c>
    </row>
    <row r="13358" spans="1:6" x14ac:dyDescent="0.3">
      <c r="A13358" s="15" t="s">
        <v>36793</v>
      </c>
      <c r="B13358" s="15" t="s">
        <v>24408</v>
      </c>
      <c r="C13358" s="15" t="s">
        <v>800</v>
      </c>
      <c r="D13358" s="15" t="s">
        <v>24409</v>
      </c>
      <c r="E13358" s="15">
        <v>10</v>
      </c>
      <c r="F13358" s="42">
        <v>44319</v>
      </c>
    </row>
    <row r="13359" spans="1:6" x14ac:dyDescent="0.3">
      <c r="A13359" s="15" t="s">
        <v>36792</v>
      </c>
      <c r="B13359" s="15" t="s">
        <v>24410</v>
      </c>
      <c r="C13359" s="15" t="s">
        <v>800</v>
      </c>
      <c r="D13359" s="15" t="s">
        <v>24411</v>
      </c>
      <c r="E13359" s="15">
        <v>12.3742</v>
      </c>
      <c r="F13359" s="42">
        <v>44319</v>
      </c>
    </row>
    <row r="13360" spans="1:6" x14ac:dyDescent="0.3">
      <c r="A13360" s="15" t="s">
        <v>36791</v>
      </c>
      <c r="B13360" s="15" t="s">
        <v>24412</v>
      </c>
      <c r="C13360" s="15" t="s">
        <v>800</v>
      </c>
      <c r="D13360" s="15" t="s">
        <v>24413</v>
      </c>
      <c r="E13360" s="15">
        <v>12.2944</v>
      </c>
      <c r="F13360" s="42">
        <v>44319</v>
      </c>
    </row>
    <row r="13361" spans="1:6" x14ac:dyDescent="0.3">
      <c r="A13361" s="15" t="s">
        <v>36790</v>
      </c>
      <c r="B13361" s="15" t="s">
        <v>24414</v>
      </c>
      <c r="C13361" s="15" t="s">
        <v>800</v>
      </c>
      <c r="D13361" s="15" t="s">
        <v>24415</v>
      </c>
      <c r="E13361" s="15">
        <v>10</v>
      </c>
      <c r="F13361" s="42">
        <v>44319</v>
      </c>
    </row>
    <row r="13362" spans="1:6" x14ac:dyDescent="0.3">
      <c r="A13362" s="15" t="s">
        <v>36789</v>
      </c>
      <c r="B13362" s="15" t="s">
        <v>24416</v>
      </c>
      <c r="C13362" s="15" t="s">
        <v>800</v>
      </c>
      <c r="D13362" s="15" t="s">
        <v>24417</v>
      </c>
      <c r="E13362" s="15">
        <v>10</v>
      </c>
      <c r="F13362" s="42">
        <v>44319</v>
      </c>
    </row>
    <row r="13363" spans="1:6" x14ac:dyDescent="0.3">
      <c r="A13363" s="15" t="s">
        <v>36788</v>
      </c>
      <c r="B13363" s="15" t="s">
        <v>24418</v>
      </c>
      <c r="C13363" s="15" t="s">
        <v>800</v>
      </c>
      <c r="D13363" s="15" t="s">
        <v>24419</v>
      </c>
      <c r="E13363" s="15">
        <v>11.202</v>
      </c>
      <c r="F13363" s="42">
        <v>44376</v>
      </c>
    </row>
    <row r="13364" spans="1:6" x14ac:dyDescent="0.3">
      <c r="A13364" s="15" t="s">
        <v>36787</v>
      </c>
      <c r="B13364" s="15" t="s">
        <v>24420</v>
      </c>
      <c r="C13364" s="15" t="s">
        <v>800</v>
      </c>
      <c r="D13364" s="15" t="s">
        <v>24421</v>
      </c>
      <c r="E13364" s="15">
        <v>10</v>
      </c>
      <c r="F13364" s="42">
        <v>44376</v>
      </c>
    </row>
    <row r="13365" spans="1:6" x14ac:dyDescent="0.3">
      <c r="A13365" s="15" t="s">
        <v>36786</v>
      </c>
      <c r="B13365" s="15" t="s">
        <v>24422</v>
      </c>
      <c r="C13365" s="15" t="s">
        <v>800</v>
      </c>
      <c r="D13365" s="15" t="s">
        <v>24423</v>
      </c>
      <c r="E13365" s="15">
        <v>11.078200000000001</v>
      </c>
      <c r="F13365" s="42">
        <v>44376</v>
      </c>
    </row>
    <row r="13366" spans="1:6" x14ac:dyDescent="0.3">
      <c r="A13366" s="15" t="s">
        <v>36785</v>
      </c>
      <c r="B13366" s="15" t="s">
        <v>24424</v>
      </c>
      <c r="C13366" s="15" t="s">
        <v>800</v>
      </c>
      <c r="D13366" s="15" t="s">
        <v>24425</v>
      </c>
      <c r="E13366" s="15">
        <v>10</v>
      </c>
      <c r="F13366" s="42">
        <v>44376</v>
      </c>
    </row>
    <row r="13367" spans="1:6" x14ac:dyDescent="0.3">
      <c r="A13367" s="15" t="s">
        <v>36784</v>
      </c>
      <c r="B13367" s="15" t="s">
        <v>24426</v>
      </c>
      <c r="C13367" s="15" t="s">
        <v>800</v>
      </c>
      <c r="D13367" s="15" t="s">
        <v>24427</v>
      </c>
      <c r="E13367" s="15">
        <v>11.1898</v>
      </c>
      <c r="F13367" s="42">
        <v>44407</v>
      </c>
    </row>
    <row r="13368" spans="1:6" x14ac:dyDescent="0.3">
      <c r="A13368" s="15" t="s">
        <v>36783</v>
      </c>
      <c r="B13368" s="15" t="s">
        <v>24428</v>
      </c>
      <c r="C13368" s="15" t="s">
        <v>800</v>
      </c>
      <c r="D13368" s="15" t="s">
        <v>24429</v>
      </c>
      <c r="E13368" s="15">
        <v>11.081300000000001</v>
      </c>
      <c r="F13368" s="42">
        <v>44407</v>
      </c>
    </row>
    <row r="13369" spans="1:6" x14ac:dyDescent="0.3">
      <c r="A13369" s="15" t="s">
        <v>36782</v>
      </c>
      <c r="B13369" s="15" t="s">
        <v>24430</v>
      </c>
      <c r="C13369" s="15" t="s">
        <v>800</v>
      </c>
      <c r="D13369" s="15" t="s">
        <v>24431</v>
      </c>
      <c r="E13369" s="15">
        <v>10</v>
      </c>
      <c r="F13369" s="42">
        <v>44407</v>
      </c>
    </row>
    <row r="13370" spans="1:6" x14ac:dyDescent="0.3">
      <c r="A13370" s="15" t="s">
        <v>36781</v>
      </c>
      <c r="B13370" s="15" t="s">
        <v>24432</v>
      </c>
      <c r="C13370" s="15" t="s">
        <v>800</v>
      </c>
      <c r="D13370" s="15" t="s">
        <v>24433</v>
      </c>
      <c r="E13370" s="15">
        <v>10</v>
      </c>
      <c r="F13370" s="42">
        <v>44407</v>
      </c>
    </row>
    <row r="13371" spans="1:6" x14ac:dyDescent="0.3">
      <c r="A13371" s="15" t="s">
        <v>36780</v>
      </c>
      <c r="B13371" s="15" t="s">
        <v>24434</v>
      </c>
      <c r="C13371" s="15" t="s">
        <v>800</v>
      </c>
      <c r="D13371" s="15" t="s">
        <v>24435</v>
      </c>
      <c r="E13371" s="15">
        <v>11.349299999999999</v>
      </c>
      <c r="F13371" s="42">
        <v>44469</v>
      </c>
    </row>
    <row r="13372" spans="1:6" x14ac:dyDescent="0.3">
      <c r="A13372" s="15" t="s">
        <v>36779</v>
      </c>
      <c r="B13372" s="15" t="s">
        <v>24436</v>
      </c>
      <c r="C13372" s="15" t="s">
        <v>800</v>
      </c>
      <c r="D13372" s="15" t="s">
        <v>24437</v>
      </c>
      <c r="E13372" s="15">
        <v>11.236800000000001</v>
      </c>
      <c r="F13372" s="42">
        <v>44469</v>
      </c>
    </row>
    <row r="13373" spans="1:6" x14ac:dyDescent="0.3">
      <c r="A13373" s="15" t="s">
        <v>36778</v>
      </c>
      <c r="B13373" s="15" t="s">
        <v>24438</v>
      </c>
      <c r="C13373" s="15" t="s">
        <v>800</v>
      </c>
      <c r="D13373" s="15" t="s">
        <v>24439</v>
      </c>
      <c r="E13373" s="15">
        <v>10</v>
      </c>
      <c r="F13373" s="42">
        <v>44469</v>
      </c>
    </row>
    <row r="13374" spans="1:6" x14ac:dyDescent="0.3">
      <c r="A13374" s="15" t="s">
        <v>36777</v>
      </c>
      <c r="B13374" s="15" t="s">
        <v>24440</v>
      </c>
      <c r="C13374" s="15" t="s">
        <v>800</v>
      </c>
      <c r="D13374" s="15" t="s">
        <v>24441</v>
      </c>
      <c r="E13374" s="15">
        <v>10</v>
      </c>
      <c r="F13374" s="42">
        <v>44469</v>
      </c>
    </row>
    <row r="13375" spans="1:6" x14ac:dyDescent="0.3">
      <c r="A13375" s="15" t="s">
        <v>36776</v>
      </c>
      <c r="B13375" s="15" t="s">
        <v>24442</v>
      </c>
      <c r="C13375" s="15" t="s">
        <v>800</v>
      </c>
      <c r="D13375" s="15" t="s">
        <v>24443</v>
      </c>
      <c r="E13375" s="15">
        <v>12.706200000000001</v>
      </c>
      <c r="F13375" s="42">
        <v>44669</v>
      </c>
    </row>
    <row r="13376" spans="1:6" x14ac:dyDescent="0.3">
      <c r="A13376" s="15" t="s">
        <v>36775</v>
      </c>
      <c r="B13376" s="15" t="s">
        <v>24444</v>
      </c>
      <c r="C13376" s="15" t="s">
        <v>800</v>
      </c>
      <c r="D13376" s="15" t="s">
        <v>24445</v>
      </c>
      <c r="E13376" s="15">
        <v>12.816599999999999</v>
      </c>
      <c r="F13376" s="42">
        <v>44669</v>
      </c>
    </row>
    <row r="13377" spans="1:6" x14ac:dyDescent="0.3">
      <c r="A13377" s="15" t="s">
        <v>36774</v>
      </c>
      <c r="B13377" s="15" t="s">
        <v>24446</v>
      </c>
      <c r="C13377" s="15" t="s">
        <v>800</v>
      </c>
      <c r="D13377" s="15" t="s">
        <v>24447</v>
      </c>
      <c r="E13377" s="15">
        <v>10</v>
      </c>
      <c r="F13377" s="42">
        <v>44669</v>
      </c>
    </row>
    <row r="13378" spans="1:6" x14ac:dyDescent="0.3">
      <c r="A13378" s="15" t="s">
        <v>36773</v>
      </c>
      <c r="B13378" s="15" t="s">
        <v>24448</v>
      </c>
      <c r="C13378" s="15" t="s">
        <v>800</v>
      </c>
      <c r="D13378" s="15" t="s">
        <v>24449</v>
      </c>
      <c r="E13378" s="15">
        <v>10</v>
      </c>
      <c r="F13378" s="42">
        <v>44669</v>
      </c>
    </row>
    <row r="13379" spans="1:6" x14ac:dyDescent="0.3">
      <c r="A13379" s="15" t="s">
        <v>36772</v>
      </c>
      <c r="B13379" s="15" t="s">
        <v>24450</v>
      </c>
      <c r="C13379" s="15" t="s">
        <v>800</v>
      </c>
      <c r="D13379" s="15" t="s">
        <v>24451</v>
      </c>
      <c r="E13379" s="15">
        <v>12.712999999999999</v>
      </c>
      <c r="F13379" s="42">
        <v>44685</v>
      </c>
    </row>
    <row r="13380" spans="1:6" x14ac:dyDescent="0.3">
      <c r="A13380" s="15" t="s">
        <v>36771</v>
      </c>
      <c r="B13380" s="15" t="s">
        <v>24452</v>
      </c>
      <c r="C13380" s="15" t="s">
        <v>800</v>
      </c>
      <c r="D13380" s="15" t="s">
        <v>24453</v>
      </c>
      <c r="E13380" s="15">
        <v>12.605399999999999</v>
      </c>
      <c r="F13380" s="42">
        <v>44685</v>
      </c>
    </row>
    <row r="13381" spans="1:6" x14ac:dyDescent="0.3">
      <c r="A13381" s="15" t="s">
        <v>36770</v>
      </c>
      <c r="B13381" s="15" t="s">
        <v>24454</v>
      </c>
      <c r="C13381" s="15" t="s">
        <v>800</v>
      </c>
      <c r="D13381" s="15" t="s">
        <v>24455</v>
      </c>
      <c r="E13381" s="15">
        <v>10</v>
      </c>
      <c r="F13381" s="42">
        <v>44685</v>
      </c>
    </row>
    <row r="13382" spans="1:6" x14ac:dyDescent="0.3">
      <c r="A13382" s="15" t="s">
        <v>36769</v>
      </c>
      <c r="B13382" s="15" t="s">
        <v>24456</v>
      </c>
      <c r="C13382" s="15" t="s">
        <v>800</v>
      </c>
      <c r="D13382" s="15" t="s">
        <v>24457</v>
      </c>
      <c r="E13382" s="15">
        <v>10</v>
      </c>
      <c r="F13382" s="42">
        <v>44685</v>
      </c>
    </row>
    <row r="13383" spans="1:6" x14ac:dyDescent="0.3">
      <c r="A13383" s="15" t="s">
        <v>36768</v>
      </c>
      <c r="B13383" s="15" t="s">
        <v>24458</v>
      </c>
      <c r="C13383" s="15" t="s">
        <v>800</v>
      </c>
      <c r="D13383" s="15" t="s">
        <v>24459</v>
      </c>
      <c r="E13383" s="15">
        <v>12.513199999999999</v>
      </c>
      <c r="F13383" s="42">
        <v>44727</v>
      </c>
    </row>
    <row r="13384" spans="1:6" x14ac:dyDescent="0.3">
      <c r="A13384" s="15" t="s">
        <v>36767</v>
      </c>
      <c r="B13384" s="15" t="s">
        <v>24460</v>
      </c>
      <c r="C13384" s="15" t="s">
        <v>800</v>
      </c>
      <c r="D13384" s="15" t="s">
        <v>24461</v>
      </c>
      <c r="E13384" s="15">
        <v>12.618499999999999</v>
      </c>
      <c r="F13384" s="42">
        <v>44727</v>
      </c>
    </row>
    <row r="13385" spans="1:6" x14ac:dyDescent="0.3">
      <c r="A13385" s="15" t="s">
        <v>36766</v>
      </c>
      <c r="B13385" s="15" t="s">
        <v>24462</v>
      </c>
      <c r="C13385" s="15" t="s">
        <v>800</v>
      </c>
      <c r="D13385" s="15" t="s">
        <v>24463</v>
      </c>
      <c r="E13385" s="15">
        <v>10</v>
      </c>
      <c r="F13385" s="42">
        <v>44727</v>
      </c>
    </row>
    <row r="13386" spans="1:6" x14ac:dyDescent="0.3">
      <c r="A13386" s="15" t="s">
        <v>36765</v>
      </c>
      <c r="B13386" s="15" t="s">
        <v>24464</v>
      </c>
      <c r="C13386" s="15" t="s">
        <v>800</v>
      </c>
      <c r="D13386" s="15" t="s">
        <v>24465</v>
      </c>
      <c r="E13386" s="15">
        <v>10</v>
      </c>
      <c r="F13386" s="42">
        <v>44727</v>
      </c>
    </row>
    <row r="13387" spans="1:6" x14ac:dyDescent="0.3">
      <c r="A13387" s="15" t="s">
        <v>33499</v>
      </c>
      <c r="B13387" s="15" t="s">
        <v>795</v>
      </c>
      <c r="C13387" s="15" t="s">
        <v>795</v>
      </c>
      <c r="D13387" s="15" t="s">
        <v>795</v>
      </c>
      <c r="F13387" s="42"/>
    </row>
    <row r="13388" spans="1:6" x14ac:dyDescent="0.3">
      <c r="A13388" s="15" t="s">
        <v>36764</v>
      </c>
      <c r="B13388" s="15" t="s">
        <v>795</v>
      </c>
      <c r="C13388" s="15" t="s">
        <v>795</v>
      </c>
      <c r="D13388" s="15" t="s">
        <v>795</v>
      </c>
      <c r="F13388" s="42"/>
    </row>
    <row r="13389" spans="1:6" x14ac:dyDescent="0.3">
      <c r="A13389" s="15" t="s">
        <v>33499</v>
      </c>
      <c r="B13389" s="15" t="s">
        <v>795</v>
      </c>
      <c r="C13389" s="15" t="s">
        <v>795</v>
      </c>
      <c r="D13389" s="15" t="s">
        <v>795</v>
      </c>
      <c r="F13389" s="42"/>
    </row>
    <row r="13390" spans="1:6" x14ac:dyDescent="0.3">
      <c r="A13390" s="15" t="s">
        <v>36763</v>
      </c>
      <c r="B13390" s="15" t="s">
        <v>24466</v>
      </c>
      <c r="C13390" s="15" t="s">
        <v>800</v>
      </c>
      <c r="D13390" s="15" t="s">
        <v>24467</v>
      </c>
      <c r="E13390" s="15">
        <v>17.6463</v>
      </c>
      <c r="F13390" s="42">
        <v>42657</v>
      </c>
    </row>
    <row r="13391" spans="1:6" x14ac:dyDescent="0.3">
      <c r="A13391" s="15" t="s">
        <v>36762</v>
      </c>
      <c r="B13391" s="15" t="s">
        <v>24468</v>
      </c>
      <c r="C13391" s="15" t="s">
        <v>800</v>
      </c>
      <c r="D13391" s="15" t="s">
        <v>24469</v>
      </c>
      <c r="E13391" s="15">
        <v>17.6463</v>
      </c>
      <c r="F13391" s="42">
        <v>42657</v>
      </c>
    </row>
    <row r="13392" spans="1:6" x14ac:dyDescent="0.3">
      <c r="A13392" s="15" t="s">
        <v>36761</v>
      </c>
      <c r="B13392" s="15" t="s">
        <v>24470</v>
      </c>
      <c r="C13392" s="15" t="s">
        <v>800</v>
      </c>
      <c r="D13392" s="15" t="s">
        <v>24471</v>
      </c>
      <c r="E13392" s="15">
        <v>12.5091</v>
      </c>
      <c r="F13392" s="42">
        <v>42921</v>
      </c>
    </row>
    <row r="13393" spans="1:6" x14ac:dyDescent="0.3">
      <c r="A13393" s="15" t="s">
        <v>36760</v>
      </c>
      <c r="B13393" s="15" t="s">
        <v>24472</v>
      </c>
      <c r="C13393" s="15" t="s">
        <v>800</v>
      </c>
      <c r="D13393" s="15" t="s">
        <v>24473</v>
      </c>
      <c r="E13393" s="15">
        <v>13.0276</v>
      </c>
      <c r="F13393" s="42">
        <v>42921</v>
      </c>
    </row>
    <row r="13394" spans="1:6" x14ac:dyDescent="0.3">
      <c r="A13394" s="15" t="s">
        <v>36759</v>
      </c>
      <c r="B13394" s="15" t="s">
        <v>24474</v>
      </c>
      <c r="C13394" s="15" t="s">
        <v>800</v>
      </c>
      <c r="D13394" s="15" t="s">
        <v>24475</v>
      </c>
      <c r="E13394" s="15">
        <v>13.0275</v>
      </c>
      <c r="F13394" s="42">
        <v>42921</v>
      </c>
    </row>
    <row r="13395" spans="1:6" x14ac:dyDescent="0.3">
      <c r="A13395" s="15" t="s">
        <v>36758</v>
      </c>
      <c r="B13395" s="15" t="s">
        <v>24476</v>
      </c>
      <c r="C13395" s="15" t="s">
        <v>800</v>
      </c>
      <c r="D13395" s="15" t="s">
        <v>24477</v>
      </c>
      <c r="E13395" s="15">
        <v>12.5091</v>
      </c>
      <c r="F13395" s="42">
        <v>42921</v>
      </c>
    </row>
    <row r="13396" spans="1:6" x14ac:dyDescent="0.3">
      <c r="A13396" s="15" t="s">
        <v>36757</v>
      </c>
      <c r="B13396" s="15" t="s">
        <v>24478</v>
      </c>
      <c r="C13396" s="15" t="s">
        <v>800</v>
      </c>
      <c r="D13396" s="15" t="s">
        <v>24479</v>
      </c>
      <c r="E13396" s="15">
        <v>13.0413</v>
      </c>
      <c r="F13396" s="42">
        <v>42934</v>
      </c>
    </row>
    <row r="13397" spans="1:6" x14ac:dyDescent="0.3">
      <c r="A13397" s="15" t="s">
        <v>36756</v>
      </c>
      <c r="B13397" s="15" t="s">
        <v>24480</v>
      </c>
      <c r="C13397" s="15" t="s">
        <v>800</v>
      </c>
      <c r="D13397" s="15" t="s">
        <v>24481</v>
      </c>
      <c r="E13397" s="15">
        <v>13.0413</v>
      </c>
      <c r="F13397" s="42">
        <v>42934</v>
      </c>
    </row>
    <row r="13398" spans="1:6" x14ac:dyDescent="0.3">
      <c r="A13398" s="15" t="s">
        <v>36755</v>
      </c>
      <c r="B13398" s="15" t="s">
        <v>24482</v>
      </c>
      <c r="C13398" s="15" t="s">
        <v>800</v>
      </c>
      <c r="D13398" s="15" t="s">
        <v>24483</v>
      </c>
      <c r="E13398" s="15">
        <v>12.526300000000001</v>
      </c>
      <c r="F13398" s="42">
        <v>42934</v>
      </c>
    </row>
    <row r="13399" spans="1:6" x14ac:dyDescent="0.3">
      <c r="A13399" s="15" t="s">
        <v>36754</v>
      </c>
      <c r="B13399" s="15" t="s">
        <v>24484</v>
      </c>
      <c r="C13399" s="15" t="s">
        <v>800</v>
      </c>
      <c r="D13399" s="15" t="s">
        <v>24485</v>
      </c>
      <c r="E13399" s="15">
        <v>12.526300000000001</v>
      </c>
      <c r="F13399" s="42">
        <v>42934</v>
      </c>
    </row>
    <row r="13400" spans="1:6" x14ac:dyDescent="0.3">
      <c r="A13400" s="15" t="s">
        <v>36753</v>
      </c>
      <c r="B13400" s="15" t="s">
        <v>24486</v>
      </c>
      <c r="C13400" s="15" t="s">
        <v>800</v>
      </c>
      <c r="D13400" s="15" t="s">
        <v>24487</v>
      </c>
      <c r="E13400" s="15">
        <v>12.520200000000001</v>
      </c>
      <c r="F13400" s="42">
        <v>42954</v>
      </c>
    </row>
    <row r="13401" spans="1:6" x14ac:dyDescent="0.3">
      <c r="A13401" s="15" t="s">
        <v>36752</v>
      </c>
      <c r="B13401" s="15" t="s">
        <v>24488</v>
      </c>
      <c r="C13401" s="15" t="s">
        <v>800</v>
      </c>
      <c r="D13401" s="15" t="s">
        <v>24489</v>
      </c>
      <c r="E13401" s="15">
        <v>13.0428</v>
      </c>
      <c r="F13401" s="42">
        <v>42954</v>
      </c>
    </row>
    <row r="13402" spans="1:6" x14ac:dyDescent="0.3">
      <c r="A13402" s="15" t="s">
        <v>36751</v>
      </c>
      <c r="B13402" s="15" t="s">
        <v>24490</v>
      </c>
      <c r="C13402" s="15" t="s">
        <v>800</v>
      </c>
      <c r="D13402" s="15" t="s">
        <v>24491</v>
      </c>
      <c r="E13402" s="15">
        <v>12.520200000000001</v>
      </c>
      <c r="F13402" s="42">
        <v>42954</v>
      </c>
    </row>
    <row r="13403" spans="1:6" x14ac:dyDescent="0.3">
      <c r="A13403" s="15" t="s">
        <v>36750</v>
      </c>
      <c r="B13403" s="15" t="s">
        <v>24492</v>
      </c>
      <c r="C13403" s="15" t="s">
        <v>800</v>
      </c>
      <c r="D13403" s="15" t="s">
        <v>24493</v>
      </c>
      <c r="E13403" s="15">
        <v>12.4678</v>
      </c>
      <c r="F13403" s="42">
        <v>42975</v>
      </c>
    </row>
    <row r="13404" spans="1:6" x14ac:dyDescent="0.3">
      <c r="A13404" s="15" t="s">
        <v>36749</v>
      </c>
      <c r="B13404" s="15" t="s">
        <v>24494</v>
      </c>
      <c r="C13404" s="15" t="s">
        <v>800</v>
      </c>
      <c r="D13404" s="15" t="s">
        <v>24495</v>
      </c>
      <c r="E13404" s="15">
        <v>12.9984</v>
      </c>
      <c r="F13404" s="42">
        <v>42975</v>
      </c>
    </row>
    <row r="13405" spans="1:6" x14ac:dyDescent="0.3">
      <c r="A13405" s="15" t="s">
        <v>36748</v>
      </c>
      <c r="B13405" s="15" t="s">
        <v>24496</v>
      </c>
      <c r="C13405" s="15" t="s">
        <v>800</v>
      </c>
      <c r="D13405" s="15" t="s">
        <v>24497</v>
      </c>
      <c r="E13405" s="15">
        <v>12.9984</v>
      </c>
      <c r="F13405" s="42">
        <v>42975</v>
      </c>
    </row>
    <row r="13406" spans="1:6" x14ac:dyDescent="0.3">
      <c r="A13406" s="15" t="s">
        <v>36747</v>
      </c>
      <c r="B13406" s="15" t="s">
        <v>24498</v>
      </c>
      <c r="C13406" s="15" t="s">
        <v>800</v>
      </c>
      <c r="D13406" s="15" t="s">
        <v>24499</v>
      </c>
      <c r="E13406" s="15">
        <v>12.4678</v>
      </c>
      <c r="F13406" s="42">
        <v>42975</v>
      </c>
    </row>
    <row r="13407" spans="1:6" x14ac:dyDescent="0.3">
      <c r="A13407" s="15" t="s">
        <v>36746</v>
      </c>
      <c r="B13407" s="15" t="s">
        <v>24500</v>
      </c>
      <c r="C13407" s="15" t="s">
        <v>800</v>
      </c>
      <c r="D13407" s="15" t="s">
        <v>24501</v>
      </c>
      <c r="E13407" s="15">
        <v>12.3047</v>
      </c>
      <c r="F13407" s="42">
        <v>42982</v>
      </c>
    </row>
    <row r="13408" spans="1:6" x14ac:dyDescent="0.3">
      <c r="A13408" s="15" t="s">
        <v>36745</v>
      </c>
      <c r="B13408" s="15" t="s">
        <v>24502</v>
      </c>
      <c r="C13408" s="15" t="s">
        <v>800</v>
      </c>
      <c r="D13408" s="15" t="s">
        <v>24503</v>
      </c>
      <c r="E13408" s="15">
        <v>12.823</v>
      </c>
      <c r="F13408" s="42">
        <v>42982</v>
      </c>
    </row>
    <row r="13409" spans="1:6" x14ac:dyDescent="0.3">
      <c r="A13409" s="15" t="s">
        <v>36744</v>
      </c>
      <c r="B13409" s="15" t="s">
        <v>24504</v>
      </c>
      <c r="C13409" s="15" t="s">
        <v>800</v>
      </c>
      <c r="D13409" s="15" t="s">
        <v>24505</v>
      </c>
      <c r="E13409" s="15">
        <v>12.823</v>
      </c>
      <c r="F13409" s="42">
        <v>42982</v>
      </c>
    </row>
    <row r="13410" spans="1:6" x14ac:dyDescent="0.3">
      <c r="A13410" s="15" t="s">
        <v>36743</v>
      </c>
      <c r="B13410" s="15" t="s">
        <v>24506</v>
      </c>
      <c r="C13410" s="15" t="s">
        <v>800</v>
      </c>
      <c r="D13410" s="15" t="s">
        <v>24507</v>
      </c>
      <c r="E13410" s="15">
        <v>12.3047</v>
      </c>
      <c r="F13410" s="42">
        <v>42982</v>
      </c>
    </row>
    <row r="13411" spans="1:6" x14ac:dyDescent="0.3">
      <c r="A13411" s="15" t="s">
        <v>36742</v>
      </c>
      <c r="B13411" s="15" t="s">
        <v>24508</v>
      </c>
      <c r="C13411" s="15" t="s">
        <v>800</v>
      </c>
      <c r="D13411" s="15" t="s">
        <v>24509</v>
      </c>
      <c r="E13411" s="15">
        <v>12.371499999999999</v>
      </c>
      <c r="F13411" s="42">
        <v>42999</v>
      </c>
    </row>
    <row r="13412" spans="1:6" x14ac:dyDescent="0.3">
      <c r="A13412" s="15" t="s">
        <v>36741</v>
      </c>
      <c r="B13412" s="15" t="s">
        <v>24510</v>
      </c>
      <c r="C13412" s="15" t="s">
        <v>800</v>
      </c>
      <c r="D13412" s="15" t="s">
        <v>24511</v>
      </c>
      <c r="E13412" s="15">
        <v>12.883699999999999</v>
      </c>
      <c r="F13412" s="42">
        <v>42999</v>
      </c>
    </row>
    <row r="13413" spans="1:6" x14ac:dyDescent="0.3">
      <c r="A13413" s="15" t="s">
        <v>36740</v>
      </c>
      <c r="B13413" s="15" t="s">
        <v>24512</v>
      </c>
      <c r="C13413" s="15" t="s">
        <v>800</v>
      </c>
      <c r="D13413" s="15" t="s">
        <v>24513</v>
      </c>
      <c r="E13413" s="15">
        <v>12.883699999999999</v>
      </c>
      <c r="F13413" s="42">
        <v>42999</v>
      </c>
    </row>
    <row r="13414" spans="1:6" x14ac:dyDescent="0.3">
      <c r="A13414" s="15" t="s">
        <v>36739</v>
      </c>
      <c r="B13414" s="15" t="s">
        <v>24514</v>
      </c>
      <c r="C13414" s="15" t="s">
        <v>800</v>
      </c>
      <c r="D13414" s="15" t="s">
        <v>24515</v>
      </c>
      <c r="E13414" s="15">
        <v>12.371499999999999</v>
      </c>
      <c r="F13414" s="42">
        <v>42999</v>
      </c>
    </row>
    <row r="13415" spans="1:6" x14ac:dyDescent="0.3">
      <c r="A13415" s="15" t="s">
        <v>36738</v>
      </c>
      <c r="B13415" s="15" t="s">
        <v>24516</v>
      </c>
      <c r="C13415" s="15" t="s">
        <v>800</v>
      </c>
      <c r="D13415" s="15" t="s">
        <v>24517</v>
      </c>
      <c r="E13415" s="15">
        <v>12.372999999999999</v>
      </c>
      <c r="F13415" s="42">
        <v>43286</v>
      </c>
    </row>
    <row r="13416" spans="1:6" x14ac:dyDescent="0.3">
      <c r="A13416" s="15" t="s">
        <v>36737</v>
      </c>
      <c r="B13416" s="15" t="s">
        <v>24518</v>
      </c>
      <c r="C13416" s="15" t="s">
        <v>800</v>
      </c>
      <c r="D13416" s="15" t="s">
        <v>24519</v>
      </c>
      <c r="E13416" s="15">
        <v>12.9201</v>
      </c>
      <c r="F13416" s="42">
        <v>43286</v>
      </c>
    </row>
    <row r="13417" spans="1:6" x14ac:dyDescent="0.3">
      <c r="A13417" s="15" t="s">
        <v>36736</v>
      </c>
      <c r="B13417" s="15" t="s">
        <v>24520</v>
      </c>
      <c r="C13417" s="15" t="s">
        <v>800</v>
      </c>
      <c r="D13417" s="15" t="s">
        <v>24521</v>
      </c>
      <c r="E13417" s="15">
        <v>12.9201</v>
      </c>
      <c r="F13417" s="42">
        <v>43286</v>
      </c>
    </row>
    <row r="13418" spans="1:6" x14ac:dyDescent="0.3">
      <c r="A13418" s="15" t="s">
        <v>36735</v>
      </c>
      <c r="B13418" s="15" t="s">
        <v>24522</v>
      </c>
      <c r="C13418" s="15" t="s">
        <v>800</v>
      </c>
      <c r="D13418" s="15" t="s">
        <v>24523</v>
      </c>
      <c r="E13418" s="15">
        <v>12.372999999999999</v>
      </c>
      <c r="F13418" s="42">
        <v>43286</v>
      </c>
    </row>
    <row r="13419" spans="1:6" x14ac:dyDescent="0.3">
      <c r="A13419" s="15" t="s">
        <v>36734</v>
      </c>
      <c r="B13419" s="15" t="s">
        <v>24524</v>
      </c>
      <c r="C13419" s="15" t="s">
        <v>800</v>
      </c>
      <c r="D13419" s="15" t="s">
        <v>24525</v>
      </c>
      <c r="E13419" s="15">
        <v>12.0871</v>
      </c>
      <c r="F13419" s="42">
        <v>43307</v>
      </c>
    </row>
    <row r="13420" spans="1:6" x14ac:dyDescent="0.3">
      <c r="A13420" s="15" t="s">
        <v>36733</v>
      </c>
      <c r="B13420" s="15" t="s">
        <v>24526</v>
      </c>
      <c r="C13420" s="15" t="s">
        <v>800</v>
      </c>
      <c r="D13420" s="15" t="s">
        <v>24527</v>
      </c>
      <c r="E13420" s="15">
        <v>12.540900000000001</v>
      </c>
      <c r="F13420" s="42">
        <v>43307</v>
      </c>
    </row>
    <row r="13421" spans="1:6" x14ac:dyDescent="0.3">
      <c r="A13421" s="15" t="s">
        <v>36732</v>
      </c>
      <c r="B13421" s="15" t="s">
        <v>24528</v>
      </c>
      <c r="C13421" s="15" t="s">
        <v>800</v>
      </c>
      <c r="D13421" s="15" t="s">
        <v>24529</v>
      </c>
      <c r="E13421" s="15">
        <v>12.540900000000001</v>
      </c>
      <c r="F13421" s="42">
        <v>43307</v>
      </c>
    </row>
    <row r="13422" spans="1:6" x14ac:dyDescent="0.3">
      <c r="A13422" s="15" t="s">
        <v>36731</v>
      </c>
      <c r="B13422" s="15" t="s">
        <v>24530</v>
      </c>
      <c r="C13422" s="15" t="s">
        <v>800</v>
      </c>
      <c r="D13422" s="15" t="s">
        <v>24531</v>
      </c>
      <c r="E13422" s="15">
        <v>12.0871</v>
      </c>
      <c r="F13422" s="42">
        <v>43307</v>
      </c>
    </row>
    <row r="13423" spans="1:6" x14ac:dyDescent="0.3">
      <c r="A13423" s="15" t="s">
        <v>36730</v>
      </c>
      <c r="B13423" s="15" t="s">
        <v>24532</v>
      </c>
      <c r="C13423" s="15" t="s">
        <v>800</v>
      </c>
      <c r="D13423" s="15" t="s">
        <v>24533</v>
      </c>
      <c r="E13423" s="15">
        <v>12.973699999999999</v>
      </c>
      <c r="F13423" s="42">
        <v>43223</v>
      </c>
    </row>
    <row r="13424" spans="1:6" x14ac:dyDescent="0.3">
      <c r="A13424" s="15" t="s">
        <v>36729</v>
      </c>
      <c r="B13424" s="15" t="s">
        <v>24534</v>
      </c>
      <c r="C13424" s="15" t="s">
        <v>800</v>
      </c>
      <c r="D13424" s="15" t="s">
        <v>24535</v>
      </c>
      <c r="E13424" s="15">
        <v>13.504799999999999</v>
      </c>
      <c r="F13424" s="42">
        <v>43223</v>
      </c>
    </row>
    <row r="13425" spans="1:6" x14ac:dyDescent="0.3">
      <c r="A13425" s="15" t="s">
        <v>36728</v>
      </c>
      <c r="B13425" s="15" t="s">
        <v>24536</v>
      </c>
      <c r="C13425" s="15" t="s">
        <v>800</v>
      </c>
      <c r="D13425" s="15" t="s">
        <v>24537</v>
      </c>
      <c r="E13425" s="15">
        <v>13.504799999999999</v>
      </c>
      <c r="F13425" s="42">
        <v>43223</v>
      </c>
    </row>
    <row r="13426" spans="1:6" x14ac:dyDescent="0.3">
      <c r="A13426" s="15" t="s">
        <v>36727</v>
      </c>
      <c r="B13426" s="15" t="s">
        <v>24538</v>
      </c>
      <c r="C13426" s="15" t="s">
        <v>800</v>
      </c>
      <c r="D13426" s="15" t="s">
        <v>24539</v>
      </c>
      <c r="E13426" s="15">
        <v>12.973699999999999</v>
      </c>
      <c r="F13426" s="42">
        <v>43223</v>
      </c>
    </row>
    <row r="13427" spans="1:6" x14ac:dyDescent="0.3">
      <c r="A13427" s="15" t="s">
        <v>36726</v>
      </c>
      <c r="B13427" s="15" t="s">
        <v>24540</v>
      </c>
      <c r="C13427" s="15" t="s">
        <v>800</v>
      </c>
      <c r="D13427" s="15" t="s">
        <v>24541</v>
      </c>
      <c r="E13427" s="15">
        <v>12.8347</v>
      </c>
      <c r="F13427" s="42">
        <v>43251</v>
      </c>
    </row>
    <row r="13428" spans="1:6" x14ac:dyDescent="0.3">
      <c r="A13428" s="15" t="s">
        <v>36725</v>
      </c>
      <c r="B13428" s="15" t="s">
        <v>24542</v>
      </c>
      <c r="C13428" s="15" t="s">
        <v>800</v>
      </c>
      <c r="D13428" s="15" t="s">
        <v>24543</v>
      </c>
      <c r="E13428" s="15">
        <v>13.3986</v>
      </c>
      <c r="F13428" s="42">
        <v>43251</v>
      </c>
    </row>
    <row r="13429" spans="1:6" x14ac:dyDescent="0.3">
      <c r="A13429" s="15" t="s">
        <v>36724</v>
      </c>
      <c r="B13429" s="15" t="s">
        <v>24544</v>
      </c>
      <c r="C13429" s="15" t="s">
        <v>800</v>
      </c>
      <c r="D13429" s="15" t="s">
        <v>24545</v>
      </c>
      <c r="E13429" s="15">
        <v>13.3986</v>
      </c>
      <c r="F13429" s="42">
        <v>43251</v>
      </c>
    </row>
    <row r="13430" spans="1:6" x14ac:dyDescent="0.3">
      <c r="A13430" s="15" t="s">
        <v>36723</v>
      </c>
      <c r="B13430" s="15" t="s">
        <v>24546</v>
      </c>
      <c r="C13430" s="15" t="s">
        <v>800</v>
      </c>
      <c r="D13430" s="15" t="s">
        <v>24547</v>
      </c>
      <c r="E13430" s="15">
        <v>12.8347</v>
      </c>
      <c r="F13430" s="42">
        <v>43251</v>
      </c>
    </row>
    <row r="13431" spans="1:6" x14ac:dyDescent="0.3">
      <c r="A13431" s="15" t="s">
        <v>36722</v>
      </c>
      <c r="B13431" s="15" t="s">
        <v>24548</v>
      </c>
      <c r="C13431" s="15" t="s">
        <v>800</v>
      </c>
      <c r="D13431" s="15" t="s">
        <v>24549</v>
      </c>
      <c r="E13431" s="15">
        <v>11.8819</v>
      </c>
      <c r="F13431" s="42">
        <v>43276</v>
      </c>
    </row>
    <row r="13432" spans="1:6" x14ac:dyDescent="0.3">
      <c r="A13432" s="15" t="s">
        <v>36721</v>
      </c>
      <c r="B13432" s="15" t="s">
        <v>24550</v>
      </c>
      <c r="C13432" s="15" t="s">
        <v>800</v>
      </c>
      <c r="D13432" s="15" t="s">
        <v>24551</v>
      </c>
      <c r="E13432" s="15">
        <v>12.3263</v>
      </c>
      <c r="F13432" s="42">
        <v>43276</v>
      </c>
    </row>
    <row r="13433" spans="1:6" x14ac:dyDescent="0.3">
      <c r="A13433" s="15" t="s">
        <v>36720</v>
      </c>
      <c r="B13433" s="15" t="s">
        <v>24552</v>
      </c>
      <c r="C13433" s="15" t="s">
        <v>800</v>
      </c>
      <c r="D13433" s="15" t="s">
        <v>24553</v>
      </c>
      <c r="E13433" s="15">
        <v>12.3263</v>
      </c>
      <c r="F13433" s="42">
        <v>43276</v>
      </c>
    </row>
    <row r="13434" spans="1:6" x14ac:dyDescent="0.3">
      <c r="A13434" s="15" t="s">
        <v>36719</v>
      </c>
      <c r="B13434" s="15" t="s">
        <v>24554</v>
      </c>
      <c r="C13434" s="15" t="s">
        <v>800</v>
      </c>
      <c r="D13434" s="15" t="s">
        <v>24555</v>
      </c>
      <c r="E13434" s="15">
        <v>11.8819</v>
      </c>
      <c r="F13434" s="42">
        <v>43276</v>
      </c>
    </row>
    <row r="13435" spans="1:6" x14ac:dyDescent="0.3">
      <c r="A13435" s="15" t="s">
        <v>36718</v>
      </c>
      <c r="B13435" s="15" t="s">
        <v>24556</v>
      </c>
      <c r="C13435" s="15" t="s">
        <v>800</v>
      </c>
      <c r="D13435" s="15" t="s">
        <v>24557</v>
      </c>
      <c r="E13435" s="15">
        <v>11.8187</v>
      </c>
      <c r="F13435" s="42">
        <v>43328</v>
      </c>
    </row>
    <row r="13436" spans="1:6" x14ac:dyDescent="0.3">
      <c r="A13436" s="15" t="s">
        <v>36717</v>
      </c>
      <c r="B13436" s="15" t="s">
        <v>24558</v>
      </c>
      <c r="C13436" s="15" t="s">
        <v>800</v>
      </c>
      <c r="D13436" s="15" t="s">
        <v>24559</v>
      </c>
      <c r="E13436" s="15">
        <v>12.397500000000001</v>
      </c>
      <c r="F13436" s="42">
        <v>43328</v>
      </c>
    </row>
    <row r="13437" spans="1:6" x14ac:dyDescent="0.3">
      <c r="A13437" s="15" t="s">
        <v>36716</v>
      </c>
      <c r="B13437" s="15" t="s">
        <v>24560</v>
      </c>
      <c r="C13437" s="15" t="s">
        <v>800</v>
      </c>
      <c r="D13437" s="15" t="s">
        <v>24561</v>
      </c>
      <c r="E13437" s="15">
        <v>11.8187</v>
      </c>
      <c r="F13437" s="42">
        <v>43328</v>
      </c>
    </row>
    <row r="13438" spans="1:6" x14ac:dyDescent="0.3">
      <c r="A13438" s="15" t="s">
        <v>36715</v>
      </c>
      <c r="B13438" s="15" t="s">
        <v>24562</v>
      </c>
      <c r="C13438" s="15" t="s">
        <v>800</v>
      </c>
      <c r="D13438" s="15" t="s">
        <v>24563</v>
      </c>
      <c r="E13438" s="15">
        <v>11.98</v>
      </c>
      <c r="F13438" s="42">
        <v>43222</v>
      </c>
    </row>
    <row r="13439" spans="1:6" x14ac:dyDescent="0.3">
      <c r="A13439" s="15" t="s">
        <v>36714</v>
      </c>
      <c r="B13439" s="15" t="s">
        <v>24564</v>
      </c>
      <c r="C13439" s="15" t="s">
        <v>800</v>
      </c>
      <c r="D13439" s="15" t="s">
        <v>24565</v>
      </c>
      <c r="E13439" s="15">
        <v>12.487399999999999</v>
      </c>
      <c r="F13439" s="42">
        <v>43222</v>
      </c>
    </row>
    <row r="13440" spans="1:6" x14ac:dyDescent="0.3">
      <c r="A13440" s="15" t="s">
        <v>36713</v>
      </c>
      <c r="B13440" s="15" t="s">
        <v>24566</v>
      </c>
      <c r="C13440" s="15" t="s">
        <v>800</v>
      </c>
      <c r="D13440" s="15" t="s">
        <v>24567</v>
      </c>
      <c r="E13440" s="15">
        <v>12.487399999999999</v>
      </c>
      <c r="F13440" s="42">
        <v>43222</v>
      </c>
    </row>
    <row r="13441" spans="1:6" x14ac:dyDescent="0.3">
      <c r="A13441" s="15" t="s">
        <v>36712</v>
      </c>
      <c r="B13441" s="15" t="s">
        <v>24568</v>
      </c>
      <c r="C13441" s="15" t="s">
        <v>800</v>
      </c>
      <c r="D13441" s="15" t="s">
        <v>24569</v>
      </c>
      <c r="E13441" s="15">
        <v>11.98</v>
      </c>
      <c r="F13441" s="42">
        <v>43222</v>
      </c>
    </row>
    <row r="13442" spans="1:6" x14ac:dyDescent="0.3">
      <c r="A13442" s="15" t="s">
        <v>36711</v>
      </c>
      <c r="B13442" s="15" t="s">
        <v>24570</v>
      </c>
      <c r="C13442" s="15" t="s">
        <v>800</v>
      </c>
      <c r="D13442" s="15" t="s">
        <v>24571</v>
      </c>
      <c r="E13442" s="15">
        <v>11.9788</v>
      </c>
      <c r="F13442" s="42">
        <v>43241</v>
      </c>
    </row>
    <row r="13443" spans="1:6" x14ac:dyDescent="0.3">
      <c r="A13443" s="15" t="s">
        <v>36710</v>
      </c>
      <c r="B13443" s="15" t="s">
        <v>24572</v>
      </c>
      <c r="C13443" s="15" t="s">
        <v>800</v>
      </c>
      <c r="D13443" s="15" t="s">
        <v>24573</v>
      </c>
      <c r="E13443" s="15">
        <v>12.4991</v>
      </c>
      <c r="F13443" s="42">
        <v>43241</v>
      </c>
    </row>
    <row r="13444" spans="1:6" x14ac:dyDescent="0.3">
      <c r="A13444" s="15" t="s">
        <v>36709</v>
      </c>
      <c r="B13444" s="15" t="s">
        <v>24574</v>
      </c>
      <c r="C13444" s="15" t="s">
        <v>800</v>
      </c>
      <c r="D13444" s="15" t="s">
        <v>24575</v>
      </c>
      <c r="E13444" s="15">
        <v>12.4991</v>
      </c>
      <c r="F13444" s="42">
        <v>43241</v>
      </c>
    </row>
    <row r="13445" spans="1:6" x14ac:dyDescent="0.3">
      <c r="A13445" s="15" t="s">
        <v>36708</v>
      </c>
      <c r="B13445" s="15" t="s">
        <v>24576</v>
      </c>
      <c r="C13445" s="15" t="s">
        <v>800</v>
      </c>
      <c r="D13445" s="15" t="s">
        <v>24577</v>
      </c>
      <c r="E13445" s="15">
        <v>11.9788</v>
      </c>
      <c r="F13445" s="42">
        <v>43241</v>
      </c>
    </row>
    <row r="13446" spans="1:6" x14ac:dyDescent="0.3">
      <c r="A13446" s="15" t="s">
        <v>36707</v>
      </c>
      <c r="B13446" s="15" t="s">
        <v>24578</v>
      </c>
      <c r="C13446" s="15" t="s">
        <v>800</v>
      </c>
      <c r="D13446" s="15" t="s">
        <v>24579</v>
      </c>
      <c r="E13446" s="15">
        <v>12.0358</v>
      </c>
      <c r="F13446" s="42">
        <v>43301</v>
      </c>
    </row>
    <row r="13447" spans="1:6" x14ac:dyDescent="0.3">
      <c r="A13447" s="15" t="s">
        <v>36706</v>
      </c>
      <c r="B13447" s="15" t="s">
        <v>24580</v>
      </c>
      <c r="C13447" s="15" t="s">
        <v>800</v>
      </c>
      <c r="D13447" s="15" t="s">
        <v>24581</v>
      </c>
      <c r="E13447" s="15">
        <v>12.639099999999999</v>
      </c>
      <c r="F13447" s="42">
        <v>43301</v>
      </c>
    </row>
    <row r="13448" spans="1:6" x14ac:dyDescent="0.3">
      <c r="A13448" s="15" t="s">
        <v>36705</v>
      </c>
      <c r="B13448" s="15" t="s">
        <v>24582</v>
      </c>
      <c r="C13448" s="15" t="s">
        <v>800</v>
      </c>
      <c r="D13448" s="15" t="s">
        <v>24583</v>
      </c>
      <c r="E13448" s="15">
        <v>12.639099999999999</v>
      </c>
      <c r="F13448" s="42">
        <v>43301</v>
      </c>
    </row>
    <row r="13449" spans="1:6" x14ac:dyDescent="0.3">
      <c r="A13449" s="15" t="s">
        <v>36704</v>
      </c>
      <c r="B13449" s="15" t="s">
        <v>24584</v>
      </c>
      <c r="C13449" s="15" t="s">
        <v>800</v>
      </c>
      <c r="D13449" s="15" t="s">
        <v>24585</v>
      </c>
      <c r="E13449" s="15">
        <v>12.0358</v>
      </c>
      <c r="F13449" s="42">
        <v>43301</v>
      </c>
    </row>
    <row r="13450" spans="1:6" x14ac:dyDescent="0.3">
      <c r="A13450" s="15" t="s">
        <v>36703</v>
      </c>
      <c r="B13450" s="15" t="s">
        <v>24586</v>
      </c>
      <c r="C13450" s="15" t="s">
        <v>800</v>
      </c>
      <c r="D13450" s="15" t="s">
        <v>24587</v>
      </c>
      <c r="E13450" s="15">
        <v>12.0153</v>
      </c>
      <c r="F13450" s="42">
        <v>43328</v>
      </c>
    </row>
    <row r="13451" spans="1:6" x14ac:dyDescent="0.3">
      <c r="A13451" s="15" t="s">
        <v>36702</v>
      </c>
      <c r="B13451" s="15" t="s">
        <v>24588</v>
      </c>
      <c r="C13451" s="15" t="s">
        <v>800</v>
      </c>
      <c r="D13451" s="15" t="s">
        <v>24589</v>
      </c>
      <c r="E13451" s="15">
        <v>12.4129</v>
      </c>
      <c r="F13451" s="42">
        <v>43328</v>
      </c>
    </row>
    <row r="13452" spans="1:6" x14ac:dyDescent="0.3">
      <c r="A13452" s="15" t="s">
        <v>36701</v>
      </c>
      <c r="B13452" s="15" t="s">
        <v>24590</v>
      </c>
      <c r="C13452" s="15" t="s">
        <v>800</v>
      </c>
      <c r="D13452" s="15" t="s">
        <v>24591</v>
      </c>
      <c r="E13452" s="15">
        <v>12.4129</v>
      </c>
      <c r="F13452" s="42">
        <v>43328</v>
      </c>
    </row>
    <row r="13453" spans="1:6" x14ac:dyDescent="0.3">
      <c r="A13453" s="15" t="s">
        <v>36700</v>
      </c>
      <c r="B13453" s="15" t="s">
        <v>24592</v>
      </c>
      <c r="C13453" s="15" t="s">
        <v>800</v>
      </c>
      <c r="D13453" s="15" t="s">
        <v>24593</v>
      </c>
      <c r="E13453" s="15">
        <v>12.0153</v>
      </c>
      <c r="F13453" s="42">
        <v>43328</v>
      </c>
    </row>
    <row r="13454" spans="1:6" x14ac:dyDescent="0.3">
      <c r="A13454" s="15" t="s">
        <v>36699</v>
      </c>
      <c r="B13454" s="15" t="s">
        <v>24594</v>
      </c>
      <c r="C13454" s="15" t="s">
        <v>800</v>
      </c>
      <c r="D13454" s="15" t="s">
        <v>24595</v>
      </c>
      <c r="E13454" s="15">
        <v>12.395</v>
      </c>
      <c r="F13454" s="42">
        <v>43763</v>
      </c>
    </row>
    <row r="13455" spans="1:6" x14ac:dyDescent="0.3">
      <c r="A13455" s="15" t="s">
        <v>36698</v>
      </c>
      <c r="B13455" s="15" t="s">
        <v>24596</v>
      </c>
      <c r="C13455" s="15" t="s">
        <v>800</v>
      </c>
      <c r="D13455" s="15" t="s">
        <v>24597</v>
      </c>
      <c r="E13455" s="15">
        <v>12.9146</v>
      </c>
      <c r="F13455" s="42">
        <v>43763</v>
      </c>
    </row>
    <row r="13456" spans="1:6" x14ac:dyDescent="0.3">
      <c r="A13456" s="15" t="s">
        <v>36697</v>
      </c>
      <c r="B13456" s="15" t="s">
        <v>24598</v>
      </c>
      <c r="C13456" s="15" t="s">
        <v>800</v>
      </c>
      <c r="D13456" s="15" t="s">
        <v>24599</v>
      </c>
      <c r="E13456" s="15">
        <v>12.9146</v>
      </c>
      <c r="F13456" s="42">
        <v>43763</v>
      </c>
    </row>
    <row r="13457" spans="1:6" x14ac:dyDescent="0.3">
      <c r="A13457" s="15" t="s">
        <v>36696</v>
      </c>
      <c r="B13457" s="15" t="s">
        <v>24600</v>
      </c>
      <c r="C13457" s="15" t="s">
        <v>800</v>
      </c>
      <c r="D13457" s="15" t="s">
        <v>24601</v>
      </c>
      <c r="E13457" s="15">
        <v>12.395</v>
      </c>
      <c r="F13457" s="42">
        <v>43763</v>
      </c>
    </row>
    <row r="13458" spans="1:6" x14ac:dyDescent="0.3">
      <c r="A13458" s="15" t="s">
        <v>36695</v>
      </c>
      <c r="B13458" s="15" t="s">
        <v>24602</v>
      </c>
      <c r="C13458" s="15" t="s">
        <v>800</v>
      </c>
      <c r="D13458" s="15" t="s">
        <v>24603</v>
      </c>
      <c r="E13458" s="15">
        <v>12.011200000000001</v>
      </c>
      <c r="F13458" s="42">
        <v>43936</v>
      </c>
    </row>
    <row r="13459" spans="1:6" x14ac:dyDescent="0.3">
      <c r="A13459" s="15" t="s">
        <v>36694</v>
      </c>
      <c r="B13459" s="15" t="s">
        <v>24604</v>
      </c>
      <c r="C13459" s="15" t="s">
        <v>800</v>
      </c>
      <c r="D13459" s="15" t="s">
        <v>24605</v>
      </c>
      <c r="E13459" s="15">
        <v>12.5474</v>
      </c>
      <c r="F13459" s="42">
        <v>43936</v>
      </c>
    </row>
    <row r="13460" spans="1:6" x14ac:dyDescent="0.3">
      <c r="A13460" s="15" t="s">
        <v>36693</v>
      </c>
      <c r="B13460" s="15" t="s">
        <v>24606</v>
      </c>
      <c r="C13460" s="15" t="s">
        <v>800</v>
      </c>
      <c r="D13460" s="15" t="s">
        <v>24607</v>
      </c>
      <c r="E13460" s="15">
        <v>12.4908</v>
      </c>
      <c r="F13460" s="42">
        <v>43936</v>
      </c>
    </row>
    <row r="13461" spans="1:6" x14ac:dyDescent="0.3">
      <c r="A13461" s="15" t="s">
        <v>36692</v>
      </c>
      <c r="B13461" s="15" t="s">
        <v>24608</v>
      </c>
      <c r="C13461" s="15" t="s">
        <v>800</v>
      </c>
      <c r="D13461" s="15" t="s">
        <v>24609</v>
      </c>
      <c r="E13461" s="15">
        <v>11.956099999999999</v>
      </c>
      <c r="F13461" s="42">
        <v>43936</v>
      </c>
    </row>
    <row r="13462" spans="1:6" x14ac:dyDescent="0.3">
      <c r="A13462" s="15" t="s">
        <v>36691</v>
      </c>
      <c r="B13462" s="15" t="s">
        <v>24610</v>
      </c>
      <c r="C13462" s="15" t="s">
        <v>800</v>
      </c>
      <c r="D13462" s="15" t="s">
        <v>24611</v>
      </c>
      <c r="E13462" s="15">
        <v>15.0207</v>
      </c>
      <c r="F13462" s="42">
        <v>44774</v>
      </c>
    </row>
    <row r="13463" spans="1:6" x14ac:dyDescent="0.3">
      <c r="A13463" s="15" t="s">
        <v>36690</v>
      </c>
      <c r="B13463" s="15" t="s">
        <v>24612</v>
      </c>
      <c r="C13463" s="15" t="s">
        <v>800</v>
      </c>
      <c r="D13463" s="15" t="s">
        <v>24613</v>
      </c>
      <c r="E13463" s="15">
        <v>15.770300000000001</v>
      </c>
      <c r="F13463" s="42">
        <v>44774</v>
      </c>
    </row>
    <row r="13464" spans="1:6" x14ac:dyDescent="0.3">
      <c r="A13464" s="15" t="s">
        <v>36689</v>
      </c>
      <c r="B13464" s="15" t="s">
        <v>24614</v>
      </c>
      <c r="C13464" s="15" t="s">
        <v>800</v>
      </c>
      <c r="D13464" s="15" t="s">
        <v>24615</v>
      </c>
      <c r="E13464" s="15">
        <v>15.770300000000001</v>
      </c>
      <c r="F13464" s="42">
        <v>44774</v>
      </c>
    </row>
    <row r="13465" spans="1:6" x14ac:dyDescent="0.3">
      <c r="A13465" s="15" t="s">
        <v>36688</v>
      </c>
      <c r="B13465" s="15" t="s">
        <v>24616</v>
      </c>
      <c r="C13465" s="15" t="s">
        <v>800</v>
      </c>
      <c r="D13465" s="15" t="s">
        <v>24617</v>
      </c>
      <c r="E13465" s="15">
        <v>15.0207</v>
      </c>
      <c r="F13465" s="42">
        <v>44774</v>
      </c>
    </row>
    <row r="13466" spans="1:6" x14ac:dyDescent="0.3">
      <c r="A13466" s="15" t="s">
        <v>36687</v>
      </c>
      <c r="B13466" s="15" t="s">
        <v>24618</v>
      </c>
      <c r="C13466" s="15" t="s">
        <v>800</v>
      </c>
      <c r="D13466" s="15" t="s">
        <v>24619</v>
      </c>
      <c r="E13466" s="15">
        <v>11.8841</v>
      </c>
      <c r="F13466" s="42">
        <v>43948</v>
      </c>
    </row>
    <row r="13467" spans="1:6" x14ac:dyDescent="0.3">
      <c r="A13467" s="15" t="s">
        <v>36686</v>
      </c>
      <c r="B13467" s="15" t="s">
        <v>24620</v>
      </c>
      <c r="C13467" s="15" t="s">
        <v>800</v>
      </c>
      <c r="D13467" s="15" t="s">
        <v>24621</v>
      </c>
      <c r="E13467" s="15">
        <v>12.292299999999999</v>
      </c>
      <c r="F13467" s="42">
        <v>43948</v>
      </c>
    </row>
    <row r="13468" spans="1:6" x14ac:dyDescent="0.3">
      <c r="A13468" s="15" t="s">
        <v>36685</v>
      </c>
      <c r="B13468" s="15" t="s">
        <v>24622</v>
      </c>
      <c r="C13468" s="15" t="s">
        <v>800</v>
      </c>
      <c r="D13468" s="15" t="s">
        <v>24623</v>
      </c>
      <c r="E13468" s="15">
        <v>12.292299999999999</v>
      </c>
      <c r="F13468" s="42">
        <v>43948</v>
      </c>
    </row>
    <row r="13469" spans="1:6" x14ac:dyDescent="0.3">
      <c r="A13469" s="15" t="s">
        <v>36684</v>
      </c>
      <c r="B13469" s="15" t="s">
        <v>24624</v>
      </c>
      <c r="C13469" s="15" t="s">
        <v>800</v>
      </c>
      <c r="D13469" s="15" t="s">
        <v>24625</v>
      </c>
      <c r="E13469" s="15">
        <v>11.8841</v>
      </c>
      <c r="F13469" s="42">
        <v>43948</v>
      </c>
    </row>
    <row r="13470" spans="1:6" x14ac:dyDescent="0.3">
      <c r="A13470" s="15" t="s">
        <v>36683</v>
      </c>
      <c r="B13470" s="15" t="s">
        <v>24626</v>
      </c>
      <c r="C13470" s="15" t="s">
        <v>800</v>
      </c>
      <c r="D13470" s="15" t="s">
        <v>24627</v>
      </c>
      <c r="E13470" s="15">
        <v>11.8087</v>
      </c>
      <c r="F13470" s="42">
        <v>44049</v>
      </c>
    </row>
    <row r="13471" spans="1:6" x14ac:dyDescent="0.3">
      <c r="A13471" s="15" t="s">
        <v>36682</v>
      </c>
      <c r="B13471" s="15" t="s">
        <v>24628</v>
      </c>
      <c r="C13471" s="15" t="s">
        <v>800</v>
      </c>
      <c r="D13471" s="15" t="s">
        <v>24629</v>
      </c>
      <c r="E13471" s="15">
        <v>12.1929</v>
      </c>
      <c r="F13471" s="42">
        <v>44049</v>
      </c>
    </row>
    <row r="13472" spans="1:6" x14ac:dyDescent="0.3">
      <c r="A13472" s="15" t="s">
        <v>36681</v>
      </c>
      <c r="B13472" s="15" t="s">
        <v>24630</v>
      </c>
      <c r="C13472" s="15" t="s">
        <v>800</v>
      </c>
      <c r="D13472" s="15" t="s">
        <v>24631</v>
      </c>
      <c r="E13472" s="15">
        <v>12.1929</v>
      </c>
      <c r="F13472" s="42">
        <v>44049</v>
      </c>
    </row>
    <row r="13473" spans="1:6" x14ac:dyDescent="0.3">
      <c r="A13473" s="15" t="s">
        <v>36680</v>
      </c>
      <c r="B13473" s="15" t="s">
        <v>24632</v>
      </c>
      <c r="C13473" s="15" t="s">
        <v>800</v>
      </c>
      <c r="D13473" s="15" t="s">
        <v>24633</v>
      </c>
      <c r="E13473" s="15">
        <v>11.8087</v>
      </c>
      <c r="F13473" s="42">
        <v>44049</v>
      </c>
    </row>
    <row r="13474" spans="1:6" x14ac:dyDescent="0.3">
      <c r="A13474" s="15" t="s">
        <v>36679</v>
      </c>
      <c r="B13474" s="15" t="s">
        <v>24634</v>
      </c>
      <c r="C13474" s="15" t="s">
        <v>800</v>
      </c>
      <c r="D13474" s="15" t="s">
        <v>24635</v>
      </c>
      <c r="E13474" s="15">
        <v>11.702199999999999</v>
      </c>
      <c r="F13474" s="42">
        <v>44048</v>
      </c>
    </row>
    <row r="13475" spans="1:6" x14ac:dyDescent="0.3">
      <c r="A13475" s="15" t="s">
        <v>36678</v>
      </c>
      <c r="B13475" s="15" t="s">
        <v>24636</v>
      </c>
      <c r="C13475" s="15" t="s">
        <v>800</v>
      </c>
      <c r="D13475" s="15" t="s">
        <v>24637</v>
      </c>
      <c r="E13475" s="15">
        <v>12.054500000000001</v>
      </c>
      <c r="F13475" s="42">
        <v>44048</v>
      </c>
    </row>
    <row r="13476" spans="1:6" x14ac:dyDescent="0.3">
      <c r="A13476" s="15" t="s">
        <v>36677</v>
      </c>
      <c r="B13476" s="15" t="s">
        <v>24638</v>
      </c>
      <c r="C13476" s="15" t="s">
        <v>800</v>
      </c>
      <c r="D13476" s="15" t="s">
        <v>24639</v>
      </c>
      <c r="E13476" s="15">
        <v>12.054500000000001</v>
      </c>
      <c r="F13476" s="42">
        <v>44048</v>
      </c>
    </row>
    <row r="13477" spans="1:6" x14ac:dyDescent="0.3">
      <c r="A13477" s="15" t="s">
        <v>36676</v>
      </c>
      <c r="B13477" s="15" t="s">
        <v>24640</v>
      </c>
      <c r="C13477" s="15" t="s">
        <v>800</v>
      </c>
      <c r="D13477" s="15" t="s">
        <v>24641</v>
      </c>
      <c r="E13477" s="15">
        <v>11.702199999999999</v>
      </c>
      <c r="F13477" s="42">
        <v>44048</v>
      </c>
    </row>
    <row r="13478" spans="1:6" x14ac:dyDescent="0.3">
      <c r="A13478" s="15" t="s">
        <v>36675</v>
      </c>
      <c r="B13478" s="15" t="s">
        <v>24642</v>
      </c>
      <c r="C13478" s="15" t="s">
        <v>800</v>
      </c>
      <c r="D13478" s="15" t="s">
        <v>24643</v>
      </c>
      <c r="E13478" s="15">
        <v>11.741300000000001</v>
      </c>
      <c r="F13478" s="42">
        <v>44046</v>
      </c>
    </row>
    <row r="13479" spans="1:6" x14ac:dyDescent="0.3">
      <c r="A13479" s="15" t="s">
        <v>36674</v>
      </c>
      <c r="B13479" s="15" t="s">
        <v>24644</v>
      </c>
      <c r="C13479" s="15" t="s">
        <v>800</v>
      </c>
      <c r="D13479" s="15" t="s">
        <v>24645</v>
      </c>
      <c r="E13479" s="15">
        <v>12.1225</v>
      </c>
      <c r="F13479" s="42">
        <v>44046</v>
      </c>
    </row>
    <row r="13480" spans="1:6" x14ac:dyDescent="0.3">
      <c r="A13480" s="15" t="s">
        <v>36673</v>
      </c>
      <c r="B13480" s="15" t="s">
        <v>24646</v>
      </c>
      <c r="C13480" s="15" t="s">
        <v>800</v>
      </c>
      <c r="D13480" s="15" t="s">
        <v>24647</v>
      </c>
      <c r="E13480" s="15">
        <v>12.1225</v>
      </c>
      <c r="F13480" s="42">
        <v>44046</v>
      </c>
    </row>
    <row r="13481" spans="1:6" x14ac:dyDescent="0.3">
      <c r="A13481" s="15" t="s">
        <v>36672</v>
      </c>
      <c r="B13481" s="15" t="s">
        <v>24648</v>
      </c>
      <c r="C13481" s="15" t="s">
        <v>800</v>
      </c>
      <c r="D13481" s="15" t="s">
        <v>24649</v>
      </c>
      <c r="E13481" s="15">
        <v>11.741300000000001</v>
      </c>
      <c r="F13481" s="42">
        <v>44046</v>
      </c>
    </row>
    <row r="13482" spans="1:6" x14ac:dyDescent="0.3">
      <c r="A13482" s="15" t="s">
        <v>36671</v>
      </c>
      <c r="B13482" s="15" t="s">
        <v>24650</v>
      </c>
      <c r="C13482" s="15" t="s">
        <v>800</v>
      </c>
      <c r="D13482" s="15" t="s">
        <v>24651</v>
      </c>
      <c r="E13482" s="15">
        <v>11.8606</v>
      </c>
      <c r="F13482" s="42">
        <v>44048</v>
      </c>
    </row>
    <row r="13483" spans="1:6" x14ac:dyDescent="0.3">
      <c r="A13483" s="15" t="s">
        <v>36670</v>
      </c>
      <c r="B13483" s="15" t="s">
        <v>24652</v>
      </c>
      <c r="C13483" s="15" t="s">
        <v>800</v>
      </c>
      <c r="D13483" s="15" t="s">
        <v>24653</v>
      </c>
      <c r="E13483" s="15">
        <v>12.239599999999999</v>
      </c>
      <c r="F13483" s="42">
        <v>44048</v>
      </c>
    </row>
    <row r="13484" spans="1:6" x14ac:dyDescent="0.3">
      <c r="A13484" s="15" t="s">
        <v>36669</v>
      </c>
      <c r="B13484" s="15" t="s">
        <v>24654</v>
      </c>
      <c r="C13484" s="15" t="s">
        <v>800</v>
      </c>
      <c r="D13484" s="15" t="s">
        <v>24655</v>
      </c>
      <c r="E13484" s="15">
        <v>12.239599999999999</v>
      </c>
      <c r="F13484" s="42">
        <v>44048</v>
      </c>
    </row>
    <row r="13485" spans="1:6" x14ac:dyDescent="0.3">
      <c r="A13485" s="15" t="s">
        <v>36668</v>
      </c>
      <c r="B13485" s="15" t="s">
        <v>24656</v>
      </c>
      <c r="C13485" s="15" t="s">
        <v>800</v>
      </c>
      <c r="D13485" s="15" t="s">
        <v>24657</v>
      </c>
      <c r="E13485" s="15">
        <v>11.8606</v>
      </c>
      <c r="F13485" s="42">
        <v>44048</v>
      </c>
    </row>
    <row r="13486" spans="1:6" x14ac:dyDescent="0.3">
      <c r="A13486" s="15" t="s">
        <v>36667</v>
      </c>
      <c r="B13486" s="15" t="s">
        <v>24658</v>
      </c>
      <c r="C13486" s="15" t="s">
        <v>800</v>
      </c>
      <c r="D13486" s="15" t="s">
        <v>24659</v>
      </c>
      <c r="E13486" s="15">
        <v>12.2951</v>
      </c>
      <c r="F13486" s="42">
        <v>44291</v>
      </c>
    </row>
    <row r="13487" spans="1:6" x14ac:dyDescent="0.3">
      <c r="A13487" s="15" t="s">
        <v>36666</v>
      </c>
      <c r="B13487" s="15" t="s">
        <v>24660</v>
      </c>
      <c r="C13487" s="15" t="s">
        <v>800</v>
      </c>
      <c r="D13487" s="15" t="s">
        <v>24661</v>
      </c>
      <c r="E13487" s="15">
        <v>12.6364</v>
      </c>
      <c r="F13487" s="42">
        <v>44291</v>
      </c>
    </row>
    <row r="13488" spans="1:6" x14ac:dyDescent="0.3">
      <c r="A13488" s="15" t="s">
        <v>36665</v>
      </c>
      <c r="B13488" s="15" t="s">
        <v>24662</v>
      </c>
      <c r="C13488" s="15" t="s">
        <v>800</v>
      </c>
      <c r="D13488" s="15" t="s">
        <v>24663</v>
      </c>
      <c r="E13488" s="15">
        <v>12.6364</v>
      </c>
      <c r="F13488" s="42">
        <v>44291</v>
      </c>
    </row>
    <row r="13489" spans="1:6" x14ac:dyDescent="0.3">
      <c r="A13489" s="15" t="s">
        <v>36664</v>
      </c>
      <c r="B13489" s="15" t="s">
        <v>24664</v>
      </c>
      <c r="C13489" s="15" t="s">
        <v>800</v>
      </c>
      <c r="D13489" s="15" t="s">
        <v>24665</v>
      </c>
      <c r="E13489" s="15">
        <v>12.2951</v>
      </c>
      <c r="F13489" s="42">
        <v>44291</v>
      </c>
    </row>
    <row r="13490" spans="1:6" x14ac:dyDescent="0.3">
      <c r="A13490" s="15" t="s">
        <v>36663</v>
      </c>
      <c r="B13490" s="15" t="s">
        <v>24666</v>
      </c>
      <c r="C13490" s="15" t="s">
        <v>800</v>
      </c>
      <c r="D13490" s="15" t="s">
        <v>24667</v>
      </c>
      <c r="E13490" s="15">
        <v>13.4277</v>
      </c>
      <c r="F13490" s="42">
        <v>44712</v>
      </c>
    </row>
    <row r="13491" spans="1:6" x14ac:dyDescent="0.3">
      <c r="A13491" s="15" t="s">
        <v>36662</v>
      </c>
      <c r="B13491" s="15" t="s">
        <v>24668</v>
      </c>
      <c r="C13491" s="15" t="s">
        <v>800</v>
      </c>
      <c r="D13491" s="15" t="s">
        <v>24669</v>
      </c>
      <c r="E13491" s="15">
        <v>13.595599999999999</v>
      </c>
      <c r="F13491" s="42">
        <v>44712</v>
      </c>
    </row>
    <row r="13492" spans="1:6" x14ac:dyDescent="0.3">
      <c r="A13492" s="15" t="s">
        <v>36661</v>
      </c>
      <c r="B13492" s="15" t="s">
        <v>24670</v>
      </c>
      <c r="C13492" s="15" t="s">
        <v>800</v>
      </c>
      <c r="D13492" s="15" t="s">
        <v>24671</v>
      </c>
      <c r="E13492" s="15">
        <v>13.595599999999999</v>
      </c>
      <c r="F13492" s="42">
        <v>44712</v>
      </c>
    </row>
    <row r="13493" spans="1:6" x14ac:dyDescent="0.3">
      <c r="A13493" s="15" t="s">
        <v>36660</v>
      </c>
      <c r="B13493" s="15" t="s">
        <v>24672</v>
      </c>
      <c r="C13493" s="15" t="s">
        <v>800</v>
      </c>
      <c r="D13493" s="15" t="s">
        <v>24673</v>
      </c>
      <c r="E13493" s="15">
        <v>13.4277</v>
      </c>
      <c r="F13493" s="42">
        <v>44712</v>
      </c>
    </row>
    <row r="13494" spans="1:6" x14ac:dyDescent="0.3">
      <c r="A13494" s="15" t="s">
        <v>36659</v>
      </c>
      <c r="B13494" s="15" t="s">
        <v>24674</v>
      </c>
      <c r="C13494" s="15" t="s">
        <v>800</v>
      </c>
      <c r="D13494" s="15" t="s">
        <v>24675</v>
      </c>
      <c r="E13494" s="15">
        <v>14.472099999999999</v>
      </c>
      <c r="F13494" s="42">
        <v>42157</v>
      </c>
    </row>
    <row r="13495" spans="1:6" x14ac:dyDescent="0.3">
      <c r="A13495" s="15" t="s">
        <v>36658</v>
      </c>
      <c r="B13495" s="15" t="s">
        <v>24676</v>
      </c>
      <c r="C13495" s="15" t="s">
        <v>800</v>
      </c>
      <c r="D13495" s="15" t="s">
        <v>24677</v>
      </c>
      <c r="E13495" s="15">
        <v>14.472099999999999</v>
      </c>
      <c r="F13495" s="42">
        <v>42157</v>
      </c>
    </row>
    <row r="13496" spans="1:6" x14ac:dyDescent="0.3">
      <c r="A13496" s="15" t="s">
        <v>36657</v>
      </c>
      <c r="B13496" s="15" t="s">
        <v>24678</v>
      </c>
      <c r="C13496" s="15" t="s">
        <v>800</v>
      </c>
      <c r="D13496" s="15" t="s">
        <v>24679</v>
      </c>
      <c r="E13496" s="15">
        <v>13.8439</v>
      </c>
      <c r="F13496" s="42">
        <v>42185</v>
      </c>
    </row>
    <row r="13497" spans="1:6" x14ac:dyDescent="0.3">
      <c r="A13497" s="15" t="s">
        <v>36656</v>
      </c>
      <c r="B13497" s="15" t="s">
        <v>24680</v>
      </c>
      <c r="C13497" s="15" t="s">
        <v>800</v>
      </c>
      <c r="D13497" s="15" t="s">
        <v>24681</v>
      </c>
      <c r="E13497" s="15">
        <v>13.8439</v>
      </c>
      <c r="F13497" s="42">
        <v>42185</v>
      </c>
    </row>
    <row r="13498" spans="1:6" x14ac:dyDescent="0.3">
      <c r="A13498" s="15" t="s">
        <v>36655</v>
      </c>
      <c r="B13498" s="15" t="s">
        <v>24682</v>
      </c>
      <c r="C13498" s="15" t="s">
        <v>800</v>
      </c>
      <c r="D13498" s="15" t="s">
        <v>24683</v>
      </c>
      <c r="E13498" s="15">
        <v>13.279</v>
      </c>
      <c r="F13498" s="42">
        <v>42349</v>
      </c>
    </row>
    <row r="13499" spans="1:6" x14ac:dyDescent="0.3">
      <c r="A13499" s="15" t="s">
        <v>36654</v>
      </c>
      <c r="B13499" s="15" t="s">
        <v>24684</v>
      </c>
      <c r="C13499" s="15" t="s">
        <v>800</v>
      </c>
      <c r="D13499" s="15" t="s">
        <v>24685</v>
      </c>
      <c r="E13499" s="15">
        <v>13.279</v>
      </c>
      <c r="F13499" s="42">
        <v>42349</v>
      </c>
    </row>
    <row r="13500" spans="1:6" x14ac:dyDescent="0.3">
      <c r="A13500" s="15" t="s">
        <v>36653</v>
      </c>
      <c r="B13500" s="15" t="s">
        <v>24686</v>
      </c>
      <c r="C13500" s="15" t="s">
        <v>800</v>
      </c>
      <c r="D13500" s="15" t="s">
        <v>24687</v>
      </c>
      <c r="E13500" s="15">
        <v>16.568000000000001</v>
      </c>
      <c r="F13500" s="42">
        <v>43080</v>
      </c>
    </row>
    <row r="13501" spans="1:6" x14ac:dyDescent="0.3">
      <c r="A13501" s="15" t="s">
        <v>36652</v>
      </c>
      <c r="B13501" s="15" t="s">
        <v>24688</v>
      </c>
      <c r="C13501" s="15" t="s">
        <v>800</v>
      </c>
      <c r="D13501" s="15" t="s">
        <v>24689</v>
      </c>
      <c r="E13501" s="15">
        <v>16.568000000000001</v>
      </c>
      <c r="F13501" s="42">
        <v>43080</v>
      </c>
    </row>
    <row r="13502" spans="1:6" x14ac:dyDescent="0.3">
      <c r="A13502" s="15" t="s">
        <v>36651</v>
      </c>
      <c r="B13502" s="15" t="s">
        <v>24690</v>
      </c>
      <c r="C13502" s="15" t="s">
        <v>800</v>
      </c>
      <c r="D13502" s="15" t="s">
        <v>24691</v>
      </c>
      <c r="E13502" s="15">
        <v>13.0113</v>
      </c>
      <c r="F13502" s="42">
        <v>42373</v>
      </c>
    </row>
    <row r="13503" spans="1:6" x14ac:dyDescent="0.3">
      <c r="A13503" s="15" t="s">
        <v>36650</v>
      </c>
      <c r="B13503" s="15" t="s">
        <v>24692</v>
      </c>
      <c r="C13503" s="15" t="s">
        <v>800</v>
      </c>
      <c r="D13503" s="15" t="s">
        <v>24693</v>
      </c>
      <c r="E13503" s="15">
        <v>13.0113</v>
      </c>
      <c r="F13503" s="42">
        <v>42373</v>
      </c>
    </row>
    <row r="13504" spans="1:6" x14ac:dyDescent="0.3">
      <c r="A13504" s="15" t="s">
        <v>36649</v>
      </c>
      <c r="B13504" s="15" t="s">
        <v>24694</v>
      </c>
      <c r="C13504" s="15" t="s">
        <v>800</v>
      </c>
      <c r="D13504" s="15" t="s">
        <v>24695</v>
      </c>
      <c r="E13504" s="15">
        <v>12.911099999999999</v>
      </c>
      <c r="F13504" s="42">
        <v>42401</v>
      </c>
    </row>
    <row r="13505" spans="1:6" x14ac:dyDescent="0.3">
      <c r="A13505" s="15" t="s">
        <v>36648</v>
      </c>
      <c r="B13505" s="15" t="s">
        <v>24696</v>
      </c>
      <c r="C13505" s="15" t="s">
        <v>800</v>
      </c>
      <c r="D13505" s="15" t="s">
        <v>24697</v>
      </c>
      <c r="E13505" s="15">
        <v>13.393800000000001</v>
      </c>
      <c r="F13505" s="42">
        <v>42401</v>
      </c>
    </row>
    <row r="13506" spans="1:6" x14ac:dyDescent="0.3">
      <c r="A13506" s="15" t="s">
        <v>36647</v>
      </c>
      <c r="B13506" s="15" t="s">
        <v>24698</v>
      </c>
      <c r="C13506" s="15" t="s">
        <v>800</v>
      </c>
      <c r="D13506" s="15" t="s">
        <v>24699</v>
      </c>
      <c r="E13506" s="15">
        <v>13.393800000000001</v>
      </c>
      <c r="F13506" s="42">
        <v>42401</v>
      </c>
    </row>
    <row r="13507" spans="1:6" x14ac:dyDescent="0.3">
      <c r="A13507" s="15" t="s">
        <v>36646</v>
      </c>
      <c r="B13507" s="15" t="s">
        <v>24700</v>
      </c>
      <c r="C13507" s="15" t="s">
        <v>800</v>
      </c>
      <c r="D13507" s="15" t="s">
        <v>24701</v>
      </c>
      <c r="E13507" s="15">
        <v>12.911099999999999</v>
      </c>
      <c r="F13507" s="42">
        <v>42401</v>
      </c>
    </row>
    <row r="13508" spans="1:6" x14ac:dyDescent="0.3">
      <c r="A13508" s="15" t="s">
        <v>36645</v>
      </c>
      <c r="B13508" s="15" t="s">
        <v>24702</v>
      </c>
      <c r="C13508" s="15" t="s">
        <v>800</v>
      </c>
      <c r="D13508" s="15" t="s">
        <v>24703</v>
      </c>
      <c r="E13508" s="15">
        <v>16.661799999999999</v>
      </c>
      <c r="F13508" s="42">
        <v>43136</v>
      </c>
    </row>
    <row r="13509" spans="1:6" x14ac:dyDescent="0.3">
      <c r="A13509" s="15" t="s">
        <v>36644</v>
      </c>
      <c r="B13509" s="15" t="s">
        <v>24704</v>
      </c>
      <c r="C13509" s="15" t="s">
        <v>800</v>
      </c>
      <c r="D13509" s="15" t="s">
        <v>24705</v>
      </c>
      <c r="E13509" s="15">
        <v>17.6037</v>
      </c>
      <c r="F13509" s="42">
        <v>43136</v>
      </c>
    </row>
    <row r="13510" spans="1:6" x14ac:dyDescent="0.3">
      <c r="A13510" s="15" t="s">
        <v>36643</v>
      </c>
      <c r="B13510" s="15" t="s">
        <v>24706</v>
      </c>
      <c r="C13510" s="15" t="s">
        <v>800</v>
      </c>
      <c r="D13510" s="15" t="s">
        <v>24707</v>
      </c>
      <c r="E13510" s="15">
        <v>17.6037</v>
      </c>
      <c r="F13510" s="42">
        <v>43136</v>
      </c>
    </row>
    <row r="13511" spans="1:6" x14ac:dyDescent="0.3">
      <c r="A13511" s="15" t="s">
        <v>36642</v>
      </c>
      <c r="B13511" s="15" t="s">
        <v>24708</v>
      </c>
      <c r="C13511" s="15" t="s">
        <v>800</v>
      </c>
      <c r="D13511" s="15" t="s">
        <v>24709</v>
      </c>
      <c r="E13511" s="15">
        <v>16.661799999999999</v>
      </c>
      <c r="F13511" s="42">
        <v>43136</v>
      </c>
    </row>
    <row r="13512" spans="1:6" x14ac:dyDescent="0.3">
      <c r="A13512" s="15" t="s">
        <v>36641</v>
      </c>
      <c r="B13512" s="15" t="s">
        <v>24710</v>
      </c>
      <c r="C13512" s="15" t="s">
        <v>800</v>
      </c>
      <c r="D13512" s="15" t="s">
        <v>24711</v>
      </c>
      <c r="E13512" s="15">
        <v>12.971399999999999</v>
      </c>
      <c r="F13512" s="42">
        <v>42432</v>
      </c>
    </row>
    <row r="13513" spans="1:6" x14ac:dyDescent="0.3">
      <c r="A13513" s="15" t="s">
        <v>36640</v>
      </c>
      <c r="B13513" s="15" t="s">
        <v>24712</v>
      </c>
      <c r="C13513" s="15" t="s">
        <v>800</v>
      </c>
      <c r="D13513" s="15" t="s">
        <v>24713</v>
      </c>
      <c r="E13513" s="15">
        <v>13.454700000000001</v>
      </c>
      <c r="F13513" s="42">
        <v>42432</v>
      </c>
    </row>
    <row r="13514" spans="1:6" x14ac:dyDescent="0.3">
      <c r="A13514" s="15" t="s">
        <v>36639</v>
      </c>
      <c r="B13514" s="15" t="s">
        <v>24714</v>
      </c>
      <c r="C13514" s="15" t="s">
        <v>800</v>
      </c>
      <c r="D13514" s="15" t="s">
        <v>24715</v>
      </c>
      <c r="E13514" s="15">
        <v>13.454700000000001</v>
      </c>
      <c r="F13514" s="42">
        <v>42432</v>
      </c>
    </row>
    <row r="13515" spans="1:6" x14ac:dyDescent="0.3">
      <c r="A13515" s="15" t="s">
        <v>36638</v>
      </c>
      <c r="B13515" s="15" t="s">
        <v>24716</v>
      </c>
      <c r="C13515" s="15" t="s">
        <v>800</v>
      </c>
      <c r="D13515" s="15" t="s">
        <v>24717</v>
      </c>
      <c r="E13515" s="15">
        <v>12.971399999999999</v>
      </c>
      <c r="F13515" s="42">
        <v>42432</v>
      </c>
    </row>
    <row r="13516" spans="1:6" x14ac:dyDescent="0.3">
      <c r="A13516" s="15" t="s">
        <v>36637</v>
      </c>
      <c r="B13516" s="15" t="s">
        <v>24718</v>
      </c>
      <c r="C13516" s="15" t="s">
        <v>800</v>
      </c>
      <c r="D13516" s="15" t="s">
        <v>24719</v>
      </c>
      <c r="E13516" s="15">
        <v>16.230699999999999</v>
      </c>
      <c r="F13516" s="42">
        <v>43164</v>
      </c>
    </row>
    <row r="13517" spans="1:6" x14ac:dyDescent="0.3">
      <c r="A13517" s="15" t="s">
        <v>36636</v>
      </c>
      <c r="B13517" s="15" t="s">
        <v>24720</v>
      </c>
      <c r="C13517" s="15" t="s">
        <v>800</v>
      </c>
      <c r="D13517" s="15" t="s">
        <v>24721</v>
      </c>
      <c r="E13517" s="15">
        <v>17.075700000000001</v>
      </c>
      <c r="F13517" s="42">
        <v>43164</v>
      </c>
    </row>
    <row r="13518" spans="1:6" x14ac:dyDescent="0.3">
      <c r="A13518" s="15" t="s">
        <v>36635</v>
      </c>
      <c r="B13518" s="15" t="s">
        <v>24722</v>
      </c>
      <c r="C13518" s="15" t="s">
        <v>800</v>
      </c>
      <c r="D13518" s="15" t="s">
        <v>24723</v>
      </c>
      <c r="E13518" s="15">
        <v>16.230699999999999</v>
      </c>
      <c r="F13518" s="42">
        <v>43164</v>
      </c>
    </row>
    <row r="13519" spans="1:6" x14ac:dyDescent="0.3">
      <c r="A13519" s="15" t="s">
        <v>36634</v>
      </c>
      <c r="B13519" s="15" t="s">
        <v>24724</v>
      </c>
      <c r="C13519" s="15" t="s">
        <v>800</v>
      </c>
      <c r="D13519" s="15" t="s">
        <v>24725</v>
      </c>
      <c r="E13519" s="15">
        <v>16.154599999999999</v>
      </c>
      <c r="F13519" s="42">
        <v>43199</v>
      </c>
    </row>
    <row r="13520" spans="1:6" x14ac:dyDescent="0.3">
      <c r="A13520" s="15" t="s">
        <v>36633</v>
      </c>
      <c r="B13520" s="15" t="s">
        <v>24726</v>
      </c>
      <c r="C13520" s="15" t="s">
        <v>800</v>
      </c>
      <c r="D13520" s="15" t="s">
        <v>24727</v>
      </c>
      <c r="E13520" s="15">
        <v>16.964400000000001</v>
      </c>
      <c r="F13520" s="42">
        <v>43199</v>
      </c>
    </row>
    <row r="13521" spans="1:6" x14ac:dyDescent="0.3">
      <c r="A13521" s="15" t="s">
        <v>36632</v>
      </c>
      <c r="B13521" s="15" t="s">
        <v>24728</v>
      </c>
      <c r="C13521" s="15" t="s">
        <v>800</v>
      </c>
      <c r="D13521" s="15" t="s">
        <v>24729</v>
      </c>
      <c r="E13521" s="15">
        <v>16.964400000000001</v>
      </c>
      <c r="F13521" s="42">
        <v>43199</v>
      </c>
    </row>
    <row r="13522" spans="1:6" x14ac:dyDescent="0.3">
      <c r="A13522" s="15" t="s">
        <v>36631</v>
      </c>
      <c r="B13522" s="15" t="s">
        <v>24730</v>
      </c>
      <c r="C13522" s="15" t="s">
        <v>800</v>
      </c>
      <c r="D13522" s="15" t="s">
        <v>24731</v>
      </c>
      <c r="E13522" s="15">
        <v>16.154599999999999</v>
      </c>
      <c r="F13522" s="42">
        <v>43199</v>
      </c>
    </row>
    <row r="13523" spans="1:6" x14ac:dyDescent="0.3">
      <c r="A13523" s="15" t="s">
        <v>36630</v>
      </c>
      <c r="B13523" s="15" t="s">
        <v>24732</v>
      </c>
      <c r="C13523" s="15" t="s">
        <v>800</v>
      </c>
      <c r="D13523" s="15" t="s">
        <v>24733</v>
      </c>
      <c r="E13523" s="15">
        <v>16.7957</v>
      </c>
      <c r="F13523" s="42">
        <v>43318</v>
      </c>
    </row>
    <row r="13524" spans="1:6" x14ac:dyDescent="0.3">
      <c r="A13524" s="15" t="s">
        <v>36629</v>
      </c>
      <c r="B13524" s="15" t="s">
        <v>24734</v>
      </c>
      <c r="C13524" s="15" t="s">
        <v>800</v>
      </c>
      <c r="D13524" s="15" t="s">
        <v>24735</v>
      </c>
      <c r="E13524" s="15">
        <v>17.631499999999999</v>
      </c>
      <c r="F13524" s="42">
        <v>43318</v>
      </c>
    </row>
    <row r="13525" spans="1:6" x14ac:dyDescent="0.3">
      <c r="A13525" s="15" t="s">
        <v>36628</v>
      </c>
      <c r="B13525" s="15" t="s">
        <v>24736</v>
      </c>
      <c r="C13525" s="15" t="s">
        <v>800</v>
      </c>
      <c r="D13525" s="15" t="s">
        <v>24737</v>
      </c>
      <c r="E13525" s="15">
        <v>16.7957</v>
      </c>
      <c r="F13525" s="42">
        <v>43318</v>
      </c>
    </row>
    <row r="13526" spans="1:6" x14ac:dyDescent="0.3">
      <c r="A13526" s="15" t="s">
        <v>36627</v>
      </c>
      <c r="B13526" s="15" t="s">
        <v>24738</v>
      </c>
      <c r="C13526" s="15" t="s">
        <v>800</v>
      </c>
      <c r="D13526" s="15" t="s">
        <v>24739</v>
      </c>
      <c r="E13526" s="15">
        <v>16.7255</v>
      </c>
      <c r="F13526" s="42">
        <v>43347</v>
      </c>
    </row>
    <row r="13527" spans="1:6" x14ac:dyDescent="0.3">
      <c r="A13527" s="15" t="s">
        <v>36626</v>
      </c>
      <c r="B13527" s="15" t="s">
        <v>24740</v>
      </c>
      <c r="C13527" s="15" t="s">
        <v>800</v>
      </c>
      <c r="D13527" s="15" t="s">
        <v>24741</v>
      </c>
      <c r="E13527" s="15">
        <v>17.586200000000002</v>
      </c>
      <c r="F13527" s="42">
        <v>43347</v>
      </c>
    </row>
    <row r="13528" spans="1:6" x14ac:dyDescent="0.3">
      <c r="A13528" s="15" t="s">
        <v>36625</v>
      </c>
      <c r="B13528" s="15" t="s">
        <v>24742</v>
      </c>
      <c r="C13528" s="15" t="s">
        <v>800</v>
      </c>
      <c r="D13528" s="15" t="s">
        <v>24743</v>
      </c>
      <c r="E13528" s="15">
        <v>17.586200000000002</v>
      </c>
      <c r="F13528" s="42">
        <v>43347</v>
      </c>
    </row>
    <row r="13529" spans="1:6" x14ac:dyDescent="0.3">
      <c r="A13529" s="15" t="s">
        <v>36624</v>
      </c>
      <c r="B13529" s="15" t="s">
        <v>24744</v>
      </c>
      <c r="C13529" s="15" t="s">
        <v>800</v>
      </c>
      <c r="D13529" s="15" t="s">
        <v>24745</v>
      </c>
      <c r="E13529" s="15">
        <v>16.7255</v>
      </c>
      <c r="F13529" s="42">
        <v>43347</v>
      </c>
    </row>
    <row r="13530" spans="1:6" x14ac:dyDescent="0.3">
      <c r="A13530" s="15" t="s">
        <v>36623</v>
      </c>
      <c r="B13530" s="15" t="s">
        <v>24746</v>
      </c>
      <c r="C13530" s="15" t="s">
        <v>800</v>
      </c>
      <c r="D13530" s="15" t="s">
        <v>24747</v>
      </c>
      <c r="E13530" s="15">
        <v>15.983499999999999</v>
      </c>
      <c r="F13530" s="42">
        <v>43378</v>
      </c>
    </row>
    <row r="13531" spans="1:6" x14ac:dyDescent="0.3">
      <c r="A13531" s="15" t="s">
        <v>36622</v>
      </c>
      <c r="B13531" s="15" t="s">
        <v>24748</v>
      </c>
      <c r="C13531" s="15" t="s">
        <v>800</v>
      </c>
      <c r="D13531" s="15" t="s">
        <v>24749</v>
      </c>
      <c r="E13531" s="15">
        <v>17.0016</v>
      </c>
      <c r="F13531" s="42">
        <v>43378</v>
      </c>
    </row>
    <row r="13532" spans="1:6" x14ac:dyDescent="0.3">
      <c r="A13532" s="15" t="s">
        <v>36621</v>
      </c>
      <c r="B13532" s="15" t="s">
        <v>24750</v>
      </c>
      <c r="C13532" s="15" t="s">
        <v>800</v>
      </c>
      <c r="D13532" s="15" t="s">
        <v>24751</v>
      </c>
      <c r="E13532" s="15">
        <v>17.0016</v>
      </c>
      <c r="F13532" s="42">
        <v>43378</v>
      </c>
    </row>
    <row r="13533" spans="1:6" x14ac:dyDescent="0.3">
      <c r="A13533" s="15" t="s">
        <v>36620</v>
      </c>
      <c r="B13533" s="15" t="s">
        <v>24752</v>
      </c>
      <c r="C13533" s="15" t="s">
        <v>800</v>
      </c>
      <c r="D13533" s="15" t="s">
        <v>24753</v>
      </c>
      <c r="E13533" s="15">
        <v>15.983499999999999</v>
      </c>
      <c r="F13533" s="42">
        <v>43378</v>
      </c>
    </row>
    <row r="13534" spans="1:6" x14ac:dyDescent="0.3">
      <c r="A13534" s="15" t="s">
        <v>36619</v>
      </c>
      <c r="B13534" s="15" t="s">
        <v>24754</v>
      </c>
      <c r="C13534" s="15" t="s">
        <v>800</v>
      </c>
      <c r="D13534" s="15" t="s">
        <v>24755</v>
      </c>
      <c r="E13534" s="15">
        <v>13.5222</v>
      </c>
      <c r="F13534" s="42">
        <v>42671</v>
      </c>
    </row>
    <row r="13535" spans="1:6" x14ac:dyDescent="0.3">
      <c r="A13535" s="15" t="s">
        <v>36618</v>
      </c>
      <c r="B13535" s="15" t="s">
        <v>24756</v>
      </c>
      <c r="C13535" s="15" t="s">
        <v>800</v>
      </c>
      <c r="D13535" s="15" t="s">
        <v>24757</v>
      </c>
      <c r="E13535" s="15">
        <v>14.029299999999999</v>
      </c>
      <c r="F13535" s="42">
        <v>42671</v>
      </c>
    </row>
    <row r="13536" spans="1:6" x14ac:dyDescent="0.3">
      <c r="A13536" s="15" t="s">
        <v>36617</v>
      </c>
      <c r="B13536" s="15" t="s">
        <v>24758</v>
      </c>
      <c r="C13536" s="15" t="s">
        <v>800</v>
      </c>
      <c r="D13536" s="15" t="s">
        <v>24759</v>
      </c>
      <c r="E13536" s="15">
        <v>14.029299999999999</v>
      </c>
      <c r="F13536" s="42">
        <v>42671</v>
      </c>
    </row>
    <row r="13537" spans="1:6" x14ac:dyDescent="0.3">
      <c r="A13537" s="15" t="s">
        <v>36616</v>
      </c>
      <c r="B13537" s="15" t="s">
        <v>24760</v>
      </c>
      <c r="C13537" s="15" t="s">
        <v>800</v>
      </c>
      <c r="D13537" s="15" t="s">
        <v>24761</v>
      </c>
      <c r="E13537" s="15">
        <v>13.5222</v>
      </c>
      <c r="F13537" s="42">
        <v>42671</v>
      </c>
    </row>
    <row r="13538" spans="1:6" x14ac:dyDescent="0.3">
      <c r="A13538" s="15" t="s">
        <v>36615</v>
      </c>
      <c r="B13538" s="15" t="s">
        <v>24762</v>
      </c>
      <c r="C13538" s="15" t="s">
        <v>800</v>
      </c>
      <c r="D13538" s="15" t="s">
        <v>24763</v>
      </c>
      <c r="E13538" s="15">
        <v>16.07</v>
      </c>
      <c r="F13538" s="42">
        <v>43430</v>
      </c>
    </row>
    <row r="13539" spans="1:6" x14ac:dyDescent="0.3">
      <c r="A13539" s="15" t="s">
        <v>36614</v>
      </c>
      <c r="B13539" s="15" t="s">
        <v>24764</v>
      </c>
      <c r="C13539" s="15" t="s">
        <v>800</v>
      </c>
      <c r="D13539" s="15" t="s">
        <v>24765</v>
      </c>
      <c r="E13539" s="15">
        <v>16.9694</v>
      </c>
      <c r="F13539" s="42">
        <v>43430</v>
      </c>
    </row>
    <row r="13540" spans="1:6" x14ac:dyDescent="0.3">
      <c r="A13540" s="15" t="s">
        <v>36613</v>
      </c>
      <c r="B13540" s="15" t="s">
        <v>24766</v>
      </c>
      <c r="C13540" s="15" t="s">
        <v>800</v>
      </c>
      <c r="D13540" s="15" t="s">
        <v>24767</v>
      </c>
      <c r="E13540" s="15">
        <v>16.9694</v>
      </c>
      <c r="F13540" s="42">
        <v>43430</v>
      </c>
    </row>
    <row r="13541" spans="1:6" x14ac:dyDescent="0.3">
      <c r="A13541" s="15" t="s">
        <v>36612</v>
      </c>
      <c r="B13541" s="15" t="s">
        <v>24768</v>
      </c>
      <c r="C13541" s="15" t="s">
        <v>800</v>
      </c>
      <c r="D13541" s="15" t="s">
        <v>24769</v>
      </c>
      <c r="E13541" s="15">
        <v>16.07</v>
      </c>
      <c r="F13541" s="42">
        <v>43430</v>
      </c>
    </row>
    <row r="13542" spans="1:6" x14ac:dyDescent="0.3">
      <c r="A13542" s="15" t="s">
        <v>36611</v>
      </c>
      <c r="B13542" s="15" t="s">
        <v>24770</v>
      </c>
      <c r="C13542" s="15" t="s">
        <v>800</v>
      </c>
      <c r="D13542" s="15" t="s">
        <v>24771</v>
      </c>
      <c r="E13542" s="15">
        <v>15.9428</v>
      </c>
      <c r="F13542" s="42">
        <v>43452</v>
      </c>
    </row>
    <row r="13543" spans="1:6" x14ac:dyDescent="0.3">
      <c r="A13543" s="15" t="s">
        <v>36610</v>
      </c>
      <c r="B13543" s="15" t="s">
        <v>24772</v>
      </c>
      <c r="C13543" s="15" t="s">
        <v>800</v>
      </c>
      <c r="D13543" s="15" t="s">
        <v>24773</v>
      </c>
      <c r="E13543" s="15">
        <v>16.802700000000002</v>
      </c>
      <c r="F13543" s="42">
        <v>43452</v>
      </c>
    </row>
    <row r="13544" spans="1:6" x14ac:dyDescent="0.3">
      <c r="A13544" s="15" t="s">
        <v>36609</v>
      </c>
      <c r="B13544" s="15" t="s">
        <v>24774</v>
      </c>
      <c r="C13544" s="15" t="s">
        <v>800</v>
      </c>
      <c r="D13544" s="15" t="s">
        <v>24775</v>
      </c>
      <c r="E13544" s="15">
        <v>16.802700000000002</v>
      </c>
      <c r="F13544" s="42">
        <v>43452</v>
      </c>
    </row>
    <row r="13545" spans="1:6" x14ac:dyDescent="0.3">
      <c r="A13545" s="15" t="s">
        <v>36608</v>
      </c>
      <c r="B13545" s="15" t="s">
        <v>24776</v>
      </c>
      <c r="C13545" s="15" t="s">
        <v>800</v>
      </c>
      <c r="D13545" s="15" t="s">
        <v>24777</v>
      </c>
      <c r="E13545" s="15">
        <v>15.9428</v>
      </c>
      <c r="F13545" s="42">
        <v>43452</v>
      </c>
    </row>
    <row r="13546" spans="1:6" x14ac:dyDescent="0.3">
      <c r="A13546" s="15" t="s">
        <v>36607</v>
      </c>
      <c r="B13546" s="15" t="s">
        <v>24778</v>
      </c>
      <c r="C13546" s="15" t="s">
        <v>800</v>
      </c>
      <c r="D13546" s="15" t="s">
        <v>24779</v>
      </c>
      <c r="E13546" s="15">
        <v>13.339700000000001</v>
      </c>
      <c r="F13546" s="42">
        <v>42737</v>
      </c>
    </row>
    <row r="13547" spans="1:6" x14ac:dyDescent="0.3">
      <c r="A13547" s="15" t="s">
        <v>36606</v>
      </c>
      <c r="B13547" s="15" t="s">
        <v>24780</v>
      </c>
      <c r="C13547" s="15" t="s">
        <v>800</v>
      </c>
      <c r="D13547" s="15" t="s">
        <v>24781</v>
      </c>
      <c r="E13547" s="15">
        <v>13.8101</v>
      </c>
      <c r="F13547" s="42">
        <v>42737</v>
      </c>
    </row>
    <row r="13548" spans="1:6" x14ac:dyDescent="0.3">
      <c r="A13548" s="15" t="s">
        <v>36605</v>
      </c>
      <c r="B13548" s="15" t="s">
        <v>24782</v>
      </c>
      <c r="C13548" s="15" t="s">
        <v>800</v>
      </c>
      <c r="D13548" s="15" t="s">
        <v>24783</v>
      </c>
      <c r="E13548" s="15">
        <v>13.8101</v>
      </c>
      <c r="F13548" s="42">
        <v>42737</v>
      </c>
    </row>
    <row r="13549" spans="1:6" x14ac:dyDescent="0.3">
      <c r="A13549" s="15" t="s">
        <v>36604</v>
      </c>
      <c r="B13549" s="15" t="s">
        <v>24784</v>
      </c>
      <c r="C13549" s="15" t="s">
        <v>800</v>
      </c>
      <c r="D13549" s="15" t="s">
        <v>24785</v>
      </c>
      <c r="E13549" s="15">
        <v>13.339700000000001</v>
      </c>
      <c r="F13549" s="42">
        <v>42737</v>
      </c>
    </row>
    <row r="13550" spans="1:6" x14ac:dyDescent="0.3">
      <c r="A13550" s="15" t="s">
        <v>36603</v>
      </c>
      <c r="B13550" s="15" t="s">
        <v>24786</v>
      </c>
      <c r="C13550" s="15" t="s">
        <v>800</v>
      </c>
      <c r="D13550" s="15" t="s">
        <v>24787</v>
      </c>
      <c r="E13550" s="15">
        <v>12.018599999999999</v>
      </c>
      <c r="F13550" s="42">
        <v>43405</v>
      </c>
    </row>
    <row r="13551" spans="1:6" x14ac:dyDescent="0.3">
      <c r="A13551" s="15" t="s">
        <v>36602</v>
      </c>
      <c r="B13551" s="15" t="s">
        <v>24788</v>
      </c>
      <c r="C13551" s="15" t="s">
        <v>800</v>
      </c>
      <c r="D13551" s="15" t="s">
        <v>24789</v>
      </c>
      <c r="E13551" s="15">
        <v>12.406499999999999</v>
      </c>
      <c r="F13551" s="42">
        <v>43405</v>
      </c>
    </row>
    <row r="13552" spans="1:6" x14ac:dyDescent="0.3">
      <c r="A13552" s="15" t="s">
        <v>36601</v>
      </c>
      <c r="B13552" s="15" t="s">
        <v>24790</v>
      </c>
      <c r="C13552" s="15" t="s">
        <v>800</v>
      </c>
      <c r="D13552" s="15" t="s">
        <v>24791</v>
      </c>
      <c r="E13552" s="15">
        <v>12.406499999999999</v>
      </c>
      <c r="F13552" s="42">
        <v>43405</v>
      </c>
    </row>
    <row r="13553" spans="1:6" x14ac:dyDescent="0.3">
      <c r="A13553" s="15" t="s">
        <v>36600</v>
      </c>
      <c r="B13553" s="15" t="s">
        <v>24792</v>
      </c>
      <c r="C13553" s="15" t="s">
        <v>800</v>
      </c>
      <c r="D13553" s="15" t="s">
        <v>24793</v>
      </c>
      <c r="E13553" s="15">
        <v>12.018599999999999</v>
      </c>
      <c r="F13553" s="42">
        <v>43405</v>
      </c>
    </row>
    <row r="13554" spans="1:6" x14ac:dyDescent="0.3">
      <c r="A13554" s="15" t="s">
        <v>36599</v>
      </c>
      <c r="B13554" s="15" t="s">
        <v>24794</v>
      </c>
      <c r="C13554" s="15" t="s">
        <v>800</v>
      </c>
      <c r="D13554" s="15" t="s">
        <v>24795</v>
      </c>
      <c r="E13554" s="15">
        <v>11.9389</v>
      </c>
      <c r="F13554" s="42">
        <v>43416</v>
      </c>
    </row>
    <row r="13555" spans="1:6" x14ac:dyDescent="0.3">
      <c r="A13555" s="15" t="s">
        <v>36598</v>
      </c>
      <c r="B13555" s="15" t="s">
        <v>24796</v>
      </c>
      <c r="C13555" s="15" t="s">
        <v>800</v>
      </c>
      <c r="D13555" s="15" t="s">
        <v>24797</v>
      </c>
      <c r="E13555" s="15">
        <v>12.3086</v>
      </c>
      <c r="F13555" s="42">
        <v>43416</v>
      </c>
    </row>
    <row r="13556" spans="1:6" x14ac:dyDescent="0.3">
      <c r="A13556" s="15" t="s">
        <v>36597</v>
      </c>
      <c r="B13556" s="15" t="s">
        <v>24798</v>
      </c>
      <c r="C13556" s="15" t="s">
        <v>800</v>
      </c>
      <c r="D13556" s="15" t="s">
        <v>24799</v>
      </c>
      <c r="E13556" s="15">
        <v>12.3085</v>
      </c>
      <c r="F13556" s="42">
        <v>43416</v>
      </c>
    </row>
    <row r="13557" spans="1:6" x14ac:dyDescent="0.3">
      <c r="A13557" s="15" t="s">
        <v>36596</v>
      </c>
      <c r="B13557" s="15" t="s">
        <v>24800</v>
      </c>
      <c r="C13557" s="15" t="s">
        <v>800</v>
      </c>
      <c r="D13557" s="15" t="s">
        <v>24801</v>
      </c>
      <c r="E13557" s="15">
        <v>11.9389</v>
      </c>
      <c r="F13557" s="42">
        <v>43416</v>
      </c>
    </row>
    <row r="13558" spans="1:6" x14ac:dyDescent="0.3">
      <c r="A13558" s="15" t="s">
        <v>36595</v>
      </c>
      <c r="B13558" s="15" t="s">
        <v>24802</v>
      </c>
      <c r="C13558" s="15" t="s">
        <v>800</v>
      </c>
      <c r="D13558" s="15" t="s">
        <v>24803</v>
      </c>
      <c r="E13558" s="15">
        <v>12.4619</v>
      </c>
      <c r="F13558" s="42">
        <v>43563</v>
      </c>
    </row>
    <row r="13559" spans="1:6" x14ac:dyDescent="0.3">
      <c r="A13559" s="15" t="s">
        <v>36594</v>
      </c>
      <c r="B13559" s="15" t="s">
        <v>24804</v>
      </c>
      <c r="C13559" s="15" t="s">
        <v>800</v>
      </c>
      <c r="D13559" s="15" t="s">
        <v>24805</v>
      </c>
      <c r="E13559" s="15">
        <v>12.828799999999999</v>
      </c>
      <c r="F13559" s="42">
        <v>43563</v>
      </c>
    </row>
    <row r="13560" spans="1:6" x14ac:dyDescent="0.3">
      <c r="A13560" s="15" t="s">
        <v>36593</v>
      </c>
      <c r="B13560" s="15" t="s">
        <v>24806</v>
      </c>
      <c r="C13560" s="15" t="s">
        <v>800</v>
      </c>
      <c r="D13560" s="15" t="s">
        <v>24807</v>
      </c>
      <c r="E13560" s="15">
        <v>12.828799999999999</v>
      </c>
      <c r="F13560" s="42">
        <v>43563</v>
      </c>
    </row>
    <row r="13561" spans="1:6" x14ac:dyDescent="0.3">
      <c r="A13561" s="15" t="s">
        <v>36592</v>
      </c>
      <c r="B13561" s="15" t="s">
        <v>24808</v>
      </c>
      <c r="C13561" s="15" t="s">
        <v>800</v>
      </c>
      <c r="D13561" s="15" t="s">
        <v>24809</v>
      </c>
      <c r="E13561" s="15">
        <v>12.4619</v>
      </c>
      <c r="F13561" s="42">
        <v>43563</v>
      </c>
    </row>
    <row r="13562" spans="1:6" x14ac:dyDescent="0.3">
      <c r="A13562" s="15" t="s">
        <v>36591</v>
      </c>
      <c r="B13562" s="15" t="s">
        <v>24810</v>
      </c>
      <c r="C13562" s="15" t="s">
        <v>800</v>
      </c>
      <c r="D13562" s="15" t="s">
        <v>24811</v>
      </c>
      <c r="E13562" s="15">
        <v>12.7669</v>
      </c>
      <c r="F13562" s="42">
        <v>43767</v>
      </c>
    </row>
    <row r="13563" spans="1:6" x14ac:dyDescent="0.3">
      <c r="A13563" s="15" t="s">
        <v>36590</v>
      </c>
      <c r="B13563" s="15" t="s">
        <v>24812</v>
      </c>
      <c r="C13563" s="15" t="s">
        <v>800</v>
      </c>
      <c r="D13563" s="15" t="s">
        <v>24813</v>
      </c>
      <c r="E13563" s="15">
        <v>13.3904</v>
      </c>
      <c r="F13563" s="42">
        <v>43767</v>
      </c>
    </row>
    <row r="13564" spans="1:6" x14ac:dyDescent="0.3">
      <c r="A13564" s="15" t="s">
        <v>36589</v>
      </c>
      <c r="B13564" s="15" t="s">
        <v>24814</v>
      </c>
      <c r="C13564" s="15" t="s">
        <v>800</v>
      </c>
      <c r="D13564" s="15" t="s">
        <v>24815</v>
      </c>
      <c r="E13564" s="15">
        <v>13.331200000000001</v>
      </c>
      <c r="F13564" s="42">
        <v>43767</v>
      </c>
    </row>
    <row r="13565" spans="1:6" x14ac:dyDescent="0.3">
      <c r="A13565" s="15" t="s">
        <v>36588</v>
      </c>
      <c r="B13565" s="15" t="s">
        <v>24816</v>
      </c>
      <c r="C13565" s="15" t="s">
        <v>800</v>
      </c>
      <c r="D13565" s="15" t="s">
        <v>24817</v>
      </c>
      <c r="E13565" s="15">
        <v>12.7103</v>
      </c>
      <c r="F13565" s="42">
        <v>43767</v>
      </c>
    </row>
    <row r="13566" spans="1:6" x14ac:dyDescent="0.3">
      <c r="A13566" s="15" t="s">
        <v>36587</v>
      </c>
      <c r="B13566" s="15" t="s">
        <v>24818</v>
      </c>
      <c r="C13566" s="15" t="s">
        <v>800</v>
      </c>
      <c r="D13566" s="15" t="s">
        <v>24819</v>
      </c>
      <c r="E13566" s="15">
        <v>12.9587</v>
      </c>
      <c r="F13566" s="42">
        <v>43768</v>
      </c>
    </row>
    <row r="13567" spans="1:6" x14ac:dyDescent="0.3">
      <c r="A13567" s="15" t="s">
        <v>36586</v>
      </c>
      <c r="B13567" s="15" t="s">
        <v>24820</v>
      </c>
      <c r="C13567" s="15" t="s">
        <v>800</v>
      </c>
      <c r="D13567" s="15" t="s">
        <v>24821</v>
      </c>
      <c r="E13567" s="15">
        <v>13.5549</v>
      </c>
      <c r="F13567" s="42">
        <v>43768</v>
      </c>
    </row>
    <row r="13568" spans="1:6" x14ac:dyDescent="0.3">
      <c r="A13568" s="15" t="s">
        <v>36585</v>
      </c>
      <c r="B13568" s="15" t="s">
        <v>24822</v>
      </c>
      <c r="C13568" s="15" t="s">
        <v>800</v>
      </c>
      <c r="D13568" s="15" t="s">
        <v>24823</v>
      </c>
      <c r="E13568" s="15">
        <v>13.5549</v>
      </c>
      <c r="F13568" s="42">
        <v>43768</v>
      </c>
    </row>
    <row r="13569" spans="1:6" x14ac:dyDescent="0.3">
      <c r="A13569" s="15" t="s">
        <v>36584</v>
      </c>
      <c r="B13569" s="15" t="s">
        <v>24824</v>
      </c>
      <c r="C13569" s="15" t="s">
        <v>800</v>
      </c>
      <c r="D13569" s="15" t="s">
        <v>24825</v>
      </c>
      <c r="E13569" s="15">
        <v>12.9587</v>
      </c>
      <c r="F13569" s="42">
        <v>43768</v>
      </c>
    </row>
    <row r="13570" spans="1:6" x14ac:dyDescent="0.3">
      <c r="A13570" s="15" t="s">
        <v>36583</v>
      </c>
      <c r="B13570" s="15" t="s">
        <v>24826</v>
      </c>
      <c r="C13570" s="15" t="s">
        <v>800</v>
      </c>
      <c r="D13570" s="15" t="s">
        <v>24827</v>
      </c>
      <c r="E13570" s="15">
        <v>12.5122</v>
      </c>
      <c r="F13570" s="42">
        <v>43579</v>
      </c>
    </row>
    <row r="13571" spans="1:6" x14ac:dyDescent="0.3">
      <c r="A13571" s="15" t="s">
        <v>36582</v>
      </c>
      <c r="B13571" s="15" t="s">
        <v>24828</v>
      </c>
      <c r="C13571" s="15" t="s">
        <v>800</v>
      </c>
      <c r="D13571" s="15" t="s">
        <v>24829</v>
      </c>
      <c r="E13571" s="15">
        <v>13.0611</v>
      </c>
      <c r="F13571" s="42">
        <v>43579</v>
      </c>
    </row>
    <row r="13572" spans="1:6" x14ac:dyDescent="0.3">
      <c r="A13572" s="15" t="s">
        <v>36581</v>
      </c>
      <c r="B13572" s="15" t="s">
        <v>24830</v>
      </c>
      <c r="C13572" s="15" t="s">
        <v>800</v>
      </c>
      <c r="D13572" s="15" t="s">
        <v>24831</v>
      </c>
      <c r="E13572" s="15">
        <v>12.5122</v>
      </c>
      <c r="F13572" s="42">
        <v>43579</v>
      </c>
    </row>
    <row r="13573" spans="1:6" x14ac:dyDescent="0.3">
      <c r="A13573" s="15" t="s">
        <v>36580</v>
      </c>
      <c r="B13573" s="15" t="s">
        <v>24832</v>
      </c>
      <c r="C13573" s="15" t="s">
        <v>800</v>
      </c>
      <c r="D13573" s="15" t="s">
        <v>24833</v>
      </c>
      <c r="E13573" s="15">
        <v>15.5892</v>
      </c>
      <c r="F13573" s="42">
        <v>43486</v>
      </c>
    </row>
    <row r="13574" spans="1:6" x14ac:dyDescent="0.3">
      <c r="A13574" s="15" t="s">
        <v>36579</v>
      </c>
      <c r="B13574" s="15" t="s">
        <v>24834</v>
      </c>
      <c r="C13574" s="15" t="s">
        <v>800</v>
      </c>
      <c r="D13574" s="15" t="s">
        <v>24835</v>
      </c>
      <c r="E13574" s="15">
        <v>16.454999999999998</v>
      </c>
      <c r="F13574" s="42">
        <v>43486</v>
      </c>
    </row>
    <row r="13575" spans="1:6" x14ac:dyDescent="0.3">
      <c r="A13575" s="15" t="s">
        <v>36578</v>
      </c>
      <c r="B13575" s="15" t="s">
        <v>24836</v>
      </c>
      <c r="C13575" s="15" t="s">
        <v>800</v>
      </c>
      <c r="D13575" s="15" t="s">
        <v>24837</v>
      </c>
      <c r="E13575" s="15">
        <v>16.454999999999998</v>
      </c>
      <c r="F13575" s="42">
        <v>43486</v>
      </c>
    </row>
    <row r="13576" spans="1:6" x14ac:dyDescent="0.3">
      <c r="A13576" s="15" t="s">
        <v>36577</v>
      </c>
      <c r="B13576" s="15" t="s">
        <v>24838</v>
      </c>
      <c r="C13576" s="15" t="s">
        <v>800</v>
      </c>
      <c r="D13576" s="15" t="s">
        <v>24839</v>
      </c>
      <c r="E13576" s="15">
        <v>15.5892</v>
      </c>
      <c r="F13576" s="42">
        <v>43486</v>
      </c>
    </row>
    <row r="13577" spans="1:6" x14ac:dyDescent="0.3">
      <c r="A13577" s="15" t="s">
        <v>36576</v>
      </c>
      <c r="B13577" s="15" t="s">
        <v>24840</v>
      </c>
      <c r="C13577" s="15" t="s">
        <v>800</v>
      </c>
      <c r="D13577" s="15" t="s">
        <v>24841</v>
      </c>
      <c r="E13577" s="15">
        <v>13.340400000000001</v>
      </c>
      <c r="F13577" s="42">
        <v>42774</v>
      </c>
    </row>
    <row r="13578" spans="1:6" x14ac:dyDescent="0.3">
      <c r="A13578" s="15" t="s">
        <v>36575</v>
      </c>
      <c r="B13578" s="15" t="s">
        <v>24842</v>
      </c>
      <c r="C13578" s="15" t="s">
        <v>800</v>
      </c>
      <c r="D13578" s="15" t="s">
        <v>24843</v>
      </c>
      <c r="E13578" s="15">
        <v>13.831200000000001</v>
      </c>
      <c r="F13578" s="42">
        <v>42774</v>
      </c>
    </row>
    <row r="13579" spans="1:6" x14ac:dyDescent="0.3">
      <c r="A13579" s="15" t="s">
        <v>36574</v>
      </c>
      <c r="B13579" s="15" t="s">
        <v>24844</v>
      </c>
      <c r="C13579" s="15" t="s">
        <v>800</v>
      </c>
      <c r="D13579" s="15" t="s">
        <v>24845</v>
      </c>
      <c r="E13579" s="15">
        <v>13.831200000000001</v>
      </c>
      <c r="F13579" s="42">
        <v>42774</v>
      </c>
    </row>
    <row r="13580" spans="1:6" x14ac:dyDescent="0.3">
      <c r="A13580" s="15" t="s">
        <v>36573</v>
      </c>
      <c r="B13580" s="15" t="s">
        <v>24846</v>
      </c>
      <c r="C13580" s="15" t="s">
        <v>800</v>
      </c>
      <c r="D13580" s="15" t="s">
        <v>24847</v>
      </c>
      <c r="E13580" s="15">
        <v>13.340400000000001</v>
      </c>
      <c r="F13580" s="42">
        <v>42774</v>
      </c>
    </row>
    <row r="13581" spans="1:6" x14ac:dyDescent="0.3">
      <c r="A13581" s="15" t="s">
        <v>36572</v>
      </c>
      <c r="B13581" s="15" t="s">
        <v>24848</v>
      </c>
      <c r="C13581" s="15" t="s">
        <v>800</v>
      </c>
      <c r="D13581" s="15" t="s">
        <v>24849</v>
      </c>
      <c r="E13581" s="15">
        <v>15.426</v>
      </c>
      <c r="F13581" s="42">
        <v>43516</v>
      </c>
    </row>
    <row r="13582" spans="1:6" x14ac:dyDescent="0.3">
      <c r="A13582" s="15" t="s">
        <v>36571</v>
      </c>
      <c r="B13582" s="15" t="s">
        <v>24850</v>
      </c>
      <c r="C13582" s="15" t="s">
        <v>800</v>
      </c>
      <c r="D13582" s="15" t="s">
        <v>24851</v>
      </c>
      <c r="E13582" s="15">
        <v>16.335100000000001</v>
      </c>
      <c r="F13582" s="42">
        <v>43516</v>
      </c>
    </row>
    <row r="13583" spans="1:6" x14ac:dyDescent="0.3">
      <c r="A13583" s="15" t="s">
        <v>36570</v>
      </c>
      <c r="B13583" s="15" t="s">
        <v>24852</v>
      </c>
      <c r="C13583" s="15" t="s">
        <v>800</v>
      </c>
      <c r="D13583" s="15" t="s">
        <v>24853</v>
      </c>
      <c r="E13583" s="15">
        <v>16.335100000000001</v>
      </c>
      <c r="F13583" s="42">
        <v>43516</v>
      </c>
    </row>
    <row r="13584" spans="1:6" x14ac:dyDescent="0.3">
      <c r="A13584" s="15" t="s">
        <v>36569</v>
      </c>
      <c r="B13584" s="15" t="s">
        <v>24854</v>
      </c>
      <c r="C13584" s="15" t="s">
        <v>800</v>
      </c>
      <c r="D13584" s="15" t="s">
        <v>24855</v>
      </c>
      <c r="E13584" s="15">
        <v>15.426</v>
      </c>
      <c r="F13584" s="42">
        <v>43516</v>
      </c>
    </row>
    <row r="13585" spans="1:6" x14ac:dyDescent="0.3">
      <c r="A13585" s="15" t="s">
        <v>36568</v>
      </c>
      <c r="B13585" s="15" t="s">
        <v>24856</v>
      </c>
      <c r="C13585" s="15" t="s">
        <v>800</v>
      </c>
      <c r="D13585" s="15" t="s">
        <v>24857</v>
      </c>
      <c r="E13585" s="15">
        <v>13.1477</v>
      </c>
      <c r="F13585" s="42">
        <v>42828</v>
      </c>
    </row>
    <row r="13586" spans="1:6" x14ac:dyDescent="0.3">
      <c r="A13586" s="15" t="s">
        <v>36567</v>
      </c>
      <c r="B13586" s="15" t="s">
        <v>24858</v>
      </c>
      <c r="C13586" s="15" t="s">
        <v>800</v>
      </c>
      <c r="D13586" s="15" t="s">
        <v>24859</v>
      </c>
      <c r="E13586" s="15">
        <v>13.6485</v>
      </c>
      <c r="F13586" s="42">
        <v>42828</v>
      </c>
    </row>
    <row r="13587" spans="1:6" x14ac:dyDescent="0.3">
      <c r="A13587" s="15" t="s">
        <v>36566</v>
      </c>
      <c r="B13587" s="15" t="s">
        <v>24860</v>
      </c>
      <c r="C13587" s="15" t="s">
        <v>800</v>
      </c>
      <c r="D13587" s="15" t="s">
        <v>24861</v>
      </c>
      <c r="E13587" s="15">
        <v>13.6485</v>
      </c>
      <c r="F13587" s="42">
        <v>42828</v>
      </c>
    </row>
    <row r="13588" spans="1:6" x14ac:dyDescent="0.3">
      <c r="A13588" s="15" t="s">
        <v>36565</v>
      </c>
      <c r="B13588" s="15" t="s">
        <v>24862</v>
      </c>
      <c r="C13588" s="15" t="s">
        <v>800</v>
      </c>
      <c r="D13588" s="15" t="s">
        <v>24863</v>
      </c>
      <c r="E13588" s="15">
        <v>13.1477</v>
      </c>
      <c r="F13588" s="42">
        <v>42828</v>
      </c>
    </row>
    <row r="13589" spans="1:6" x14ac:dyDescent="0.3">
      <c r="A13589" s="15" t="s">
        <v>36564</v>
      </c>
      <c r="B13589" s="15" t="s">
        <v>24864</v>
      </c>
      <c r="C13589" s="15" t="s">
        <v>800</v>
      </c>
      <c r="D13589" s="15" t="s">
        <v>24865</v>
      </c>
      <c r="E13589" s="15">
        <v>13.144600000000001</v>
      </c>
      <c r="F13589" s="42">
        <v>42863</v>
      </c>
    </row>
    <row r="13590" spans="1:6" x14ac:dyDescent="0.3">
      <c r="A13590" s="15" t="s">
        <v>36563</v>
      </c>
      <c r="B13590" s="15" t="s">
        <v>24866</v>
      </c>
      <c r="C13590" s="15" t="s">
        <v>800</v>
      </c>
      <c r="D13590" s="15" t="s">
        <v>24867</v>
      </c>
      <c r="E13590" s="15">
        <v>13.714600000000001</v>
      </c>
      <c r="F13590" s="42">
        <v>42863</v>
      </c>
    </row>
    <row r="13591" spans="1:6" x14ac:dyDescent="0.3">
      <c r="A13591" s="15" t="s">
        <v>36562</v>
      </c>
      <c r="B13591" s="15" t="s">
        <v>24868</v>
      </c>
      <c r="C13591" s="15" t="s">
        <v>800</v>
      </c>
      <c r="D13591" s="15" t="s">
        <v>24869</v>
      </c>
      <c r="E13591" s="15">
        <v>13.144600000000001</v>
      </c>
      <c r="F13591" s="42">
        <v>42863</v>
      </c>
    </row>
    <row r="13592" spans="1:6" x14ac:dyDescent="0.3">
      <c r="A13592" s="15" t="s">
        <v>36561</v>
      </c>
      <c r="B13592" s="15" t="s">
        <v>24870</v>
      </c>
      <c r="C13592" s="15" t="s">
        <v>800</v>
      </c>
      <c r="D13592" s="15" t="s">
        <v>24871</v>
      </c>
      <c r="E13592" s="15">
        <v>13.281700000000001</v>
      </c>
      <c r="F13592" s="42">
        <v>42893</v>
      </c>
    </row>
    <row r="13593" spans="1:6" x14ac:dyDescent="0.3">
      <c r="A13593" s="15" t="s">
        <v>36560</v>
      </c>
      <c r="B13593" s="15" t="s">
        <v>24872</v>
      </c>
      <c r="C13593" s="15" t="s">
        <v>800</v>
      </c>
      <c r="D13593" s="15" t="s">
        <v>24873</v>
      </c>
      <c r="E13593" s="15">
        <v>12.7422</v>
      </c>
      <c r="F13593" s="42">
        <v>42893</v>
      </c>
    </row>
    <row r="13594" spans="1:6" x14ac:dyDescent="0.3">
      <c r="A13594" s="15" t="s">
        <v>36559</v>
      </c>
      <c r="B13594" s="15" t="s">
        <v>24874</v>
      </c>
      <c r="C13594" s="15" t="s">
        <v>800</v>
      </c>
      <c r="D13594" s="15" t="s">
        <v>24875</v>
      </c>
      <c r="E13594" s="15">
        <v>13.281700000000001</v>
      </c>
      <c r="F13594" s="42">
        <v>42893</v>
      </c>
    </row>
    <row r="13595" spans="1:6" x14ac:dyDescent="0.3">
      <c r="A13595" s="15" t="s">
        <v>36558</v>
      </c>
      <c r="B13595" s="15" t="s">
        <v>24876</v>
      </c>
      <c r="C13595" s="15" t="s">
        <v>800</v>
      </c>
      <c r="D13595" s="15" t="s">
        <v>24877</v>
      </c>
      <c r="E13595" s="15">
        <v>12.7422</v>
      </c>
      <c r="F13595" s="42">
        <v>42893</v>
      </c>
    </row>
    <row r="13596" spans="1:6" x14ac:dyDescent="0.3">
      <c r="A13596" s="15" t="s">
        <v>36557</v>
      </c>
      <c r="B13596" s="15" t="s">
        <v>24878</v>
      </c>
      <c r="C13596" s="15" t="s">
        <v>800</v>
      </c>
      <c r="D13596" s="15" t="s">
        <v>24879</v>
      </c>
      <c r="E13596" s="15">
        <v>14.967499999999999</v>
      </c>
      <c r="F13596" s="42">
        <v>43620</v>
      </c>
    </row>
    <row r="13597" spans="1:6" x14ac:dyDescent="0.3">
      <c r="A13597" s="15" t="s">
        <v>36556</v>
      </c>
      <c r="B13597" s="15" t="s">
        <v>24880</v>
      </c>
      <c r="C13597" s="15" t="s">
        <v>800</v>
      </c>
      <c r="D13597" s="15" t="s">
        <v>24881</v>
      </c>
      <c r="E13597" s="15">
        <v>15.9313</v>
      </c>
      <c r="F13597" s="42">
        <v>43620</v>
      </c>
    </row>
    <row r="13598" spans="1:6" x14ac:dyDescent="0.3">
      <c r="A13598" s="15" t="s">
        <v>36555</v>
      </c>
      <c r="B13598" s="15" t="s">
        <v>24882</v>
      </c>
      <c r="C13598" s="15" t="s">
        <v>800</v>
      </c>
      <c r="D13598" s="15" t="s">
        <v>24883</v>
      </c>
      <c r="E13598" s="15">
        <v>15.9313</v>
      </c>
      <c r="F13598" s="42">
        <v>43620</v>
      </c>
    </row>
    <row r="13599" spans="1:6" x14ac:dyDescent="0.3">
      <c r="A13599" s="15" t="s">
        <v>36554</v>
      </c>
      <c r="B13599" s="15" t="s">
        <v>24884</v>
      </c>
      <c r="C13599" s="15" t="s">
        <v>800</v>
      </c>
      <c r="D13599" s="15" t="s">
        <v>24885</v>
      </c>
      <c r="E13599" s="15">
        <v>14.967499999999999</v>
      </c>
      <c r="F13599" s="42">
        <v>43620</v>
      </c>
    </row>
    <row r="13600" spans="1:6" x14ac:dyDescent="0.3">
      <c r="A13600" s="15" t="s">
        <v>36553</v>
      </c>
      <c r="B13600" s="15" t="s">
        <v>24886</v>
      </c>
      <c r="C13600" s="15" t="s">
        <v>800</v>
      </c>
      <c r="D13600" s="15" t="s">
        <v>24887</v>
      </c>
      <c r="E13600" s="15">
        <v>15.3491</v>
      </c>
      <c r="F13600" s="42">
        <v>43648</v>
      </c>
    </row>
    <row r="13601" spans="1:6" x14ac:dyDescent="0.3">
      <c r="A13601" s="15" t="s">
        <v>36552</v>
      </c>
      <c r="B13601" s="15" t="s">
        <v>24888</v>
      </c>
      <c r="C13601" s="15" t="s">
        <v>800</v>
      </c>
      <c r="D13601" s="15" t="s">
        <v>24889</v>
      </c>
      <c r="E13601" s="15">
        <v>14.5695</v>
      </c>
      <c r="F13601" s="42">
        <v>43648</v>
      </c>
    </row>
    <row r="13602" spans="1:6" x14ac:dyDescent="0.3">
      <c r="A13602" s="15" t="s">
        <v>36551</v>
      </c>
      <c r="B13602" s="15" t="s">
        <v>24890</v>
      </c>
      <c r="C13602" s="15" t="s">
        <v>800</v>
      </c>
      <c r="D13602" s="15" t="s">
        <v>24891</v>
      </c>
      <c r="E13602" s="15">
        <v>15.3491</v>
      </c>
      <c r="F13602" s="42">
        <v>43648</v>
      </c>
    </row>
    <row r="13603" spans="1:6" x14ac:dyDescent="0.3">
      <c r="A13603" s="15" t="s">
        <v>36550</v>
      </c>
      <c r="B13603" s="15" t="s">
        <v>24892</v>
      </c>
      <c r="C13603" s="15" t="s">
        <v>800</v>
      </c>
      <c r="D13603" s="15" t="s">
        <v>24893</v>
      </c>
      <c r="E13603" s="15">
        <v>14.5695</v>
      </c>
      <c r="F13603" s="42">
        <v>43648</v>
      </c>
    </row>
    <row r="13604" spans="1:6" x14ac:dyDescent="0.3">
      <c r="A13604" s="15" t="s">
        <v>36549</v>
      </c>
      <c r="B13604" s="15" t="s">
        <v>24894</v>
      </c>
      <c r="C13604" s="15" t="s">
        <v>800</v>
      </c>
      <c r="D13604" s="15" t="s">
        <v>24895</v>
      </c>
      <c r="E13604" s="15">
        <v>13.6861</v>
      </c>
      <c r="F13604" s="42">
        <v>43832</v>
      </c>
    </row>
    <row r="13605" spans="1:6" x14ac:dyDescent="0.3">
      <c r="A13605" s="15" t="s">
        <v>36548</v>
      </c>
      <c r="B13605" s="15" t="s">
        <v>24896</v>
      </c>
      <c r="C13605" s="15" t="s">
        <v>800</v>
      </c>
      <c r="D13605" s="15" t="s">
        <v>24897</v>
      </c>
      <c r="E13605" s="15">
        <v>14.5015</v>
      </c>
      <c r="F13605" s="42">
        <v>43832</v>
      </c>
    </row>
    <row r="13606" spans="1:6" x14ac:dyDescent="0.3">
      <c r="A13606" s="15" t="s">
        <v>36547</v>
      </c>
      <c r="B13606" s="15" t="s">
        <v>24898</v>
      </c>
      <c r="C13606" s="15" t="s">
        <v>800</v>
      </c>
      <c r="D13606" s="15" t="s">
        <v>24899</v>
      </c>
      <c r="E13606" s="15">
        <v>14.5015</v>
      </c>
      <c r="F13606" s="42">
        <v>43832</v>
      </c>
    </row>
    <row r="13607" spans="1:6" x14ac:dyDescent="0.3">
      <c r="A13607" s="15" t="s">
        <v>36546</v>
      </c>
      <c r="B13607" s="15" t="s">
        <v>24900</v>
      </c>
      <c r="C13607" s="15" t="s">
        <v>800</v>
      </c>
      <c r="D13607" s="15" t="s">
        <v>24901</v>
      </c>
      <c r="E13607" s="15">
        <v>13.6861</v>
      </c>
      <c r="F13607" s="42">
        <v>43832</v>
      </c>
    </row>
    <row r="13608" spans="1:6" x14ac:dyDescent="0.3">
      <c r="A13608" s="15" t="s">
        <v>36545</v>
      </c>
      <c r="B13608" s="15" t="s">
        <v>24902</v>
      </c>
      <c r="C13608" s="15" t="s">
        <v>800</v>
      </c>
      <c r="D13608" s="15" t="s">
        <v>24903</v>
      </c>
      <c r="E13608" s="15">
        <v>12.1729</v>
      </c>
      <c r="F13608" s="42">
        <v>43342</v>
      </c>
    </row>
    <row r="13609" spans="1:6" x14ac:dyDescent="0.3">
      <c r="A13609" s="15" t="s">
        <v>36544</v>
      </c>
      <c r="B13609" s="15" t="s">
        <v>24904</v>
      </c>
      <c r="C13609" s="15" t="s">
        <v>800</v>
      </c>
      <c r="D13609" s="15" t="s">
        <v>24905</v>
      </c>
      <c r="E13609" s="15">
        <v>12.726100000000001</v>
      </c>
      <c r="F13609" s="42">
        <v>43342</v>
      </c>
    </row>
    <row r="13610" spans="1:6" x14ac:dyDescent="0.3">
      <c r="A13610" s="15" t="s">
        <v>36543</v>
      </c>
      <c r="B13610" s="15" t="s">
        <v>24906</v>
      </c>
      <c r="C13610" s="15" t="s">
        <v>800</v>
      </c>
      <c r="D13610" s="15" t="s">
        <v>24907</v>
      </c>
      <c r="E13610" s="15">
        <v>12.1729</v>
      </c>
      <c r="F13610" s="42">
        <v>43342</v>
      </c>
    </row>
    <row r="13611" spans="1:6" x14ac:dyDescent="0.3">
      <c r="A13611" s="15" t="s">
        <v>36542</v>
      </c>
      <c r="B13611" s="15" t="s">
        <v>24908</v>
      </c>
      <c r="C13611" s="15" t="s">
        <v>800</v>
      </c>
      <c r="D13611" s="15" t="s">
        <v>24909</v>
      </c>
      <c r="E13611" s="15">
        <v>12.5336</v>
      </c>
      <c r="F13611" s="42">
        <v>43357</v>
      </c>
    </row>
    <row r="13612" spans="1:6" x14ac:dyDescent="0.3">
      <c r="A13612" s="15" t="s">
        <v>36541</v>
      </c>
      <c r="B13612" s="15" t="s">
        <v>24910</v>
      </c>
      <c r="C13612" s="15" t="s">
        <v>800</v>
      </c>
      <c r="D13612" s="15" t="s">
        <v>24911</v>
      </c>
      <c r="E13612" s="15">
        <v>13.0869</v>
      </c>
      <c r="F13612" s="42">
        <v>43357</v>
      </c>
    </row>
    <row r="13613" spans="1:6" x14ac:dyDescent="0.3">
      <c r="A13613" s="15" t="s">
        <v>36540</v>
      </c>
      <c r="B13613" s="15" t="s">
        <v>24912</v>
      </c>
      <c r="C13613" s="15" t="s">
        <v>800</v>
      </c>
      <c r="D13613" s="15" t="s">
        <v>24913</v>
      </c>
      <c r="E13613" s="15">
        <v>13.0869</v>
      </c>
      <c r="F13613" s="42">
        <v>43357</v>
      </c>
    </row>
    <row r="13614" spans="1:6" x14ac:dyDescent="0.3">
      <c r="A13614" s="15" t="s">
        <v>36539</v>
      </c>
      <c r="B13614" s="15" t="s">
        <v>24914</v>
      </c>
      <c r="C13614" s="15" t="s">
        <v>800</v>
      </c>
      <c r="D13614" s="15" t="s">
        <v>24915</v>
      </c>
      <c r="E13614" s="15">
        <v>12.5336</v>
      </c>
      <c r="F13614" s="42">
        <v>43357</v>
      </c>
    </row>
    <row r="13615" spans="1:6" x14ac:dyDescent="0.3">
      <c r="A13615" s="15" t="s">
        <v>36538</v>
      </c>
      <c r="B13615" s="15" t="s">
        <v>24916</v>
      </c>
      <c r="C13615" s="15" t="s">
        <v>800</v>
      </c>
      <c r="D13615" s="15" t="s">
        <v>24917</v>
      </c>
      <c r="E13615" s="15">
        <v>12.3401</v>
      </c>
      <c r="F13615" s="42">
        <v>43389</v>
      </c>
    </row>
    <row r="13616" spans="1:6" x14ac:dyDescent="0.3">
      <c r="A13616" s="15" t="s">
        <v>36537</v>
      </c>
      <c r="B13616" s="15" t="s">
        <v>24918</v>
      </c>
      <c r="C13616" s="15" t="s">
        <v>800</v>
      </c>
      <c r="D13616" s="15" t="s">
        <v>24919</v>
      </c>
      <c r="E13616" s="15">
        <v>12.888400000000001</v>
      </c>
      <c r="F13616" s="42">
        <v>43389</v>
      </c>
    </row>
    <row r="13617" spans="1:6" x14ac:dyDescent="0.3">
      <c r="A13617" s="15" t="s">
        <v>36536</v>
      </c>
      <c r="B13617" s="15" t="s">
        <v>24920</v>
      </c>
      <c r="C13617" s="15" t="s">
        <v>800</v>
      </c>
      <c r="D13617" s="15" t="s">
        <v>24921</v>
      </c>
      <c r="E13617" s="15">
        <v>12.3401</v>
      </c>
      <c r="F13617" s="42">
        <v>43389</v>
      </c>
    </row>
    <row r="13618" spans="1:6" x14ac:dyDescent="0.3">
      <c r="A13618" s="15" t="s">
        <v>36535</v>
      </c>
      <c r="B13618" s="15" t="s">
        <v>24922</v>
      </c>
      <c r="C13618" s="15" t="s">
        <v>800</v>
      </c>
      <c r="D13618" s="15" t="s">
        <v>24923</v>
      </c>
      <c r="E13618" s="15">
        <v>12.018800000000001</v>
      </c>
      <c r="F13618" s="42">
        <v>43341</v>
      </c>
    </row>
    <row r="13619" spans="1:6" x14ac:dyDescent="0.3">
      <c r="A13619" s="15" t="s">
        <v>36534</v>
      </c>
      <c r="B13619" s="15" t="s">
        <v>24924</v>
      </c>
      <c r="C13619" s="15" t="s">
        <v>800</v>
      </c>
      <c r="D13619" s="15" t="s">
        <v>24925</v>
      </c>
      <c r="E13619" s="15">
        <v>12.495799999999999</v>
      </c>
      <c r="F13619" s="42">
        <v>43341</v>
      </c>
    </row>
    <row r="13620" spans="1:6" x14ac:dyDescent="0.3">
      <c r="A13620" s="15" t="s">
        <v>36533</v>
      </c>
      <c r="B13620" s="15" t="s">
        <v>24926</v>
      </c>
      <c r="C13620" s="15" t="s">
        <v>800</v>
      </c>
      <c r="D13620" s="15" t="s">
        <v>24927</v>
      </c>
      <c r="E13620" s="15">
        <v>12.495799999999999</v>
      </c>
      <c r="F13620" s="42">
        <v>43341</v>
      </c>
    </row>
    <row r="13621" spans="1:6" x14ac:dyDescent="0.3">
      <c r="A13621" s="15" t="s">
        <v>36532</v>
      </c>
      <c r="B13621" s="15" t="s">
        <v>24928</v>
      </c>
      <c r="C13621" s="15" t="s">
        <v>800</v>
      </c>
      <c r="D13621" s="15" t="s">
        <v>24929</v>
      </c>
      <c r="E13621" s="15">
        <v>12.018800000000001</v>
      </c>
      <c r="F13621" s="42">
        <v>43341</v>
      </c>
    </row>
    <row r="13622" spans="1:6" x14ac:dyDescent="0.3">
      <c r="A13622" s="15" t="s">
        <v>36531</v>
      </c>
      <c r="B13622" s="15" t="s">
        <v>24930</v>
      </c>
      <c r="C13622" s="15" t="s">
        <v>800</v>
      </c>
      <c r="D13622" s="15" t="s">
        <v>24931</v>
      </c>
      <c r="E13622" s="15">
        <v>12.2126</v>
      </c>
      <c r="F13622" s="42">
        <v>43531</v>
      </c>
    </row>
    <row r="13623" spans="1:6" x14ac:dyDescent="0.3">
      <c r="A13623" s="15" t="s">
        <v>36530</v>
      </c>
      <c r="B13623" s="15" t="s">
        <v>24932</v>
      </c>
      <c r="C13623" s="15" t="s">
        <v>800</v>
      </c>
      <c r="D13623" s="15" t="s">
        <v>24933</v>
      </c>
      <c r="E13623" s="15">
        <v>12.9001</v>
      </c>
      <c r="F13623" s="42">
        <v>43531</v>
      </c>
    </row>
    <row r="13624" spans="1:6" x14ac:dyDescent="0.3">
      <c r="A13624" s="15" t="s">
        <v>36529</v>
      </c>
      <c r="B13624" s="15" t="s">
        <v>24934</v>
      </c>
      <c r="C13624" s="15" t="s">
        <v>800</v>
      </c>
      <c r="D13624" s="15" t="s">
        <v>24935</v>
      </c>
      <c r="E13624" s="15">
        <v>12.9001</v>
      </c>
      <c r="F13624" s="42">
        <v>43531</v>
      </c>
    </row>
    <row r="13625" spans="1:6" x14ac:dyDescent="0.3">
      <c r="A13625" s="15" t="s">
        <v>36528</v>
      </c>
      <c r="B13625" s="15" t="s">
        <v>24936</v>
      </c>
      <c r="C13625" s="15" t="s">
        <v>800</v>
      </c>
      <c r="D13625" s="15" t="s">
        <v>24937</v>
      </c>
      <c r="E13625" s="15">
        <v>12.2126</v>
      </c>
      <c r="F13625" s="42">
        <v>43531</v>
      </c>
    </row>
    <row r="13626" spans="1:6" x14ac:dyDescent="0.3">
      <c r="A13626" s="15" t="s">
        <v>36527</v>
      </c>
      <c r="B13626" s="15" t="s">
        <v>24938</v>
      </c>
      <c r="C13626" s="15" t="s">
        <v>800</v>
      </c>
      <c r="D13626" s="15" t="s">
        <v>24939</v>
      </c>
      <c r="E13626" s="15">
        <v>12.3742</v>
      </c>
      <c r="F13626" s="42">
        <v>43531</v>
      </c>
    </row>
    <row r="13627" spans="1:6" x14ac:dyDescent="0.3">
      <c r="A13627" s="15" t="s">
        <v>36526</v>
      </c>
      <c r="B13627" s="15" t="s">
        <v>24940</v>
      </c>
      <c r="C13627" s="15" t="s">
        <v>800</v>
      </c>
      <c r="D13627" s="15" t="s">
        <v>24941</v>
      </c>
      <c r="E13627" s="15">
        <v>12.9428</v>
      </c>
      <c r="F13627" s="42">
        <v>43531</v>
      </c>
    </row>
    <row r="13628" spans="1:6" x14ac:dyDescent="0.3">
      <c r="A13628" s="15" t="s">
        <v>36525</v>
      </c>
      <c r="B13628" s="15" t="s">
        <v>24942</v>
      </c>
      <c r="C13628" s="15" t="s">
        <v>800</v>
      </c>
      <c r="D13628" s="15" t="s">
        <v>24943</v>
      </c>
      <c r="E13628" s="15">
        <v>12.9428</v>
      </c>
      <c r="F13628" s="42">
        <v>43531</v>
      </c>
    </row>
    <row r="13629" spans="1:6" x14ac:dyDescent="0.3">
      <c r="A13629" s="15" t="s">
        <v>36524</v>
      </c>
      <c r="B13629" s="15" t="s">
        <v>24944</v>
      </c>
      <c r="C13629" s="15" t="s">
        <v>800</v>
      </c>
      <c r="D13629" s="15" t="s">
        <v>24945</v>
      </c>
      <c r="E13629" s="15">
        <v>12.3742</v>
      </c>
      <c r="F13629" s="42">
        <v>43531</v>
      </c>
    </row>
    <row r="13630" spans="1:6" x14ac:dyDescent="0.3">
      <c r="A13630" s="15" t="s">
        <v>36523</v>
      </c>
      <c r="B13630" s="15" t="s">
        <v>24946</v>
      </c>
      <c r="C13630" s="15" t="s">
        <v>800</v>
      </c>
      <c r="D13630" s="15" t="s">
        <v>24947</v>
      </c>
      <c r="E13630" s="15">
        <v>12.908300000000001</v>
      </c>
      <c r="F13630" s="42">
        <v>42885</v>
      </c>
    </row>
    <row r="13631" spans="1:6" x14ac:dyDescent="0.3">
      <c r="A13631" s="15" t="s">
        <v>36522</v>
      </c>
      <c r="B13631" s="15" t="s">
        <v>24948</v>
      </c>
      <c r="C13631" s="15" t="s">
        <v>800</v>
      </c>
      <c r="D13631" s="15" t="s">
        <v>24949</v>
      </c>
      <c r="E13631" s="15">
        <v>13.053900000000001</v>
      </c>
      <c r="F13631" s="42">
        <v>42885</v>
      </c>
    </row>
    <row r="13632" spans="1:6" x14ac:dyDescent="0.3">
      <c r="A13632" s="15" t="s">
        <v>36521</v>
      </c>
      <c r="B13632" s="15" t="s">
        <v>24950</v>
      </c>
      <c r="C13632" s="15" t="s">
        <v>800</v>
      </c>
      <c r="D13632" s="15" t="s">
        <v>24951</v>
      </c>
      <c r="E13632" s="15">
        <v>13.1792</v>
      </c>
      <c r="F13632" s="42">
        <v>42963</v>
      </c>
    </row>
    <row r="13633" spans="1:6" x14ac:dyDescent="0.3">
      <c r="A13633" s="15" t="s">
        <v>36520</v>
      </c>
      <c r="B13633" s="15" t="s">
        <v>24952</v>
      </c>
      <c r="C13633" s="15" t="s">
        <v>800</v>
      </c>
      <c r="D13633" s="15" t="s">
        <v>24953</v>
      </c>
      <c r="E13633" s="15">
        <v>13.319100000000001</v>
      </c>
      <c r="F13633" s="42">
        <v>42963</v>
      </c>
    </row>
    <row r="13634" spans="1:6" x14ac:dyDescent="0.3">
      <c r="A13634" s="15" t="s">
        <v>36519</v>
      </c>
      <c r="B13634" s="15" t="s">
        <v>24954</v>
      </c>
      <c r="C13634" s="15" t="s">
        <v>800</v>
      </c>
      <c r="D13634" s="15" t="s">
        <v>24955</v>
      </c>
      <c r="E13634" s="15">
        <v>13.319100000000001</v>
      </c>
      <c r="F13634" s="42">
        <v>42963</v>
      </c>
    </row>
    <row r="13635" spans="1:6" x14ac:dyDescent="0.3">
      <c r="A13635" s="15" t="s">
        <v>36518</v>
      </c>
      <c r="B13635" s="15" t="s">
        <v>24956</v>
      </c>
      <c r="C13635" s="15" t="s">
        <v>800</v>
      </c>
      <c r="D13635" s="15" t="s">
        <v>24957</v>
      </c>
      <c r="E13635" s="15">
        <v>13.1792</v>
      </c>
      <c r="F13635" s="42">
        <v>42963</v>
      </c>
    </row>
    <row r="13636" spans="1:6" x14ac:dyDescent="0.3">
      <c r="A13636" s="15" t="s">
        <v>36517</v>
      </c>
      <c r="B13636" s="15" t="s">
        <v>24958</v>
      </c>
      <c r="C13636" s="15" t="s">
        <v>800</v>
      </c>
      <c r="D13636" s="15" t="s">
        <v>24959</v>
      </c>
      <c r="E13636" s="15">
        <v>12.801399999999999</v>
      </c>
      <c r="F13636" s="42">
        <v>42975</v>
      </c>
    </row>
    <row r="13637" spans="1:6" x14ac:dyDescent="0.3">
      <c r="A13637" s="15" t="s">
        <v>36516</v>
      </c>
      <c r="B13637" s="15" t="s">
        <v>24960</v>
      </c>
      <c r="C13637" s="15" t="s">
        <v>800</v>
      </c>
      <c r="D13637" s="15" t="s">
        <v>24961</v>
      </c>
      <c r="E13637" s="15">
        <v>12.7623</v>
      </c>
      <c r="F13637" s="42">
        <v>42975</v>
      </c>
    </row>
    <row r="13638" spans="1:6" x14ac:dyDescent="0.3">
      <c r="A13638" s="15" t="s">
        <v>36515</v>
      </c>
      <c r="B13638" s="15" t="s">
        <v>24962</v>
      </c>
      <c r="C13638" s="15" t="s">
        <v>800</v>
      </c>
      <c r="D13638" s="15" t="s">
        <v>24963</v>
      </c>
      <c r="E13638" s="15">
        <v>12.742599999999999</v>
      </c>
      <c r="F13638" s="42">
        <v>42975</v>
      </c>
    </row>
    <row r="13639" spans="1:6" x14ac:dyDescent="0.3">
      <c r="A13639" s="15" t="s">
        <v>36514</v>
      </c>
      <c r="B13639" s="15" t="s">
        <v>24964</v>
      </c>
      <c r="C13639" s="15" t="s">
        <v>800</v>
      </c>
      <c r="D13639" s="15" t="s">
        <v>24965</v>
      </c>
      <c r="E13639" s="15">
        <v>12.821300000000001</v>
      </c>
      <c r="F13639" s="42">
        <v>42975</v>
      </c>
    </row>
    <row r="13640" spans="1:6" x14ac:dyDescent="0.3">
      <c r="A13640" s="15" t="s">
        <v>36513</v>
      </c>
      <c r="B13640" s="15" t="s">
        <v>24966</v>
      </c>
      <c r="C13640" s="15" t="s">
        <v>800</v>
      </c>
      <c r="D13640" s="15" t="s">
        <v>24967</v>
      </c>
      <c r="E13640" s="15">
        <v>15.155900000000001</v>
      </c>
      <c r="F13640" s="42">
        <v>43342</v>
      </c>
    </row>
    <row r="13641" spans="1:6" x14ac:dyDescent="0.3">
      <c r="A13641" s="15" t="s">
        <v>36512</v>
      </c>
      <c r="B13641" s="15" t="s">
        <v>24968</v>
      </c>
      <c r="C13641" s="15" t="s">
        <v>800</v>
      </c>
      <c r="D13641" s="15" t="s">
        <v>24969</v>
      </c>
      <c r="E13641" s="15">
        <v>15.3683</v>
      </c>
      <c r="F13641" s="42">
        <v>43342</v>
      </c>
    </row>
    <row r="13642" spans="1:6" x14ac:dyDescent="0.3">
      <c r="A13642" s="15" t="s">
        <v>36511</v>
      </c>
      <c r="B13642" s="15" t="s">
        <v>24970</v>
      </c>
      <c r="C13642" s="15" t="s">
        <v>800</v>
      </c>
      <c r="D13642" s="15" t="s">
        <v>24971</v>
      </c>
      <c r="E13642" s="15">
        <v>13.7239</v>
      </c>
      <c r="F13642" s="42">
        <v>43342</v>
      </c>
    </row>
    <row r="13643" spans="1:6" x14ac:dyDescent="0.3">
      <c r="A13643" s="15" t="s">
        <v>36510</v>
      </c>
      <c r="B13643" s="15" t="s">
        <v>24972</v>
      </c>
      <c r="C13643" s="15" t="s">
        <v>800</v>
      </c>
      <c r="D13643" s="15" t="s">
        <v>24973</v>
      </c>
      <c r="E13643" s="15">
        <v>13.6111</v>
      </c>
      <c r="F13643" s="42">
        <v>43342</v>
      </c>
    </row>
    <row r="13644" spans="1:6" x14ac:dyDescent="0.3">
      <c r="A13644" s="15" t="s">
        <v>36509</v>
      </c>
      <c r="B13644" s="15" t="s">
        <v>24974</v>
      </c>
      <c r="C13644" s="15" t="s">
        <v>800</v>
      </c>
      <c r="D13644" s="15" t="s">
        <v>24975</v>
      </c>
      <c r="E13644" s="15">
        <v>12.8508</v>
      </c>
      <c r="F13644" s="42">
        <v>42703</v>
      </c>
    </row>
    <row r="13645" spans="1:6" x14ac:dyDescent="0.3">
      <c r="A13645" s="15" t="s">
        <v>36508</v>
      </c>
      <c r="B13645" s="15" t="s">
        <v>24976</v>
      </c>
      <c r="C13645" s="15" t="s">
        <v>800</v>
      </c>
      <c r="D13645" s="15" t="s">
        <v>24977</v>
      </c>
      <c r="E13645" s="15">
        <v>12.8817</v>
      </c>
      <c r="F13645" s="42">
        <v>42703</v>
      </c>
    </row>
    <row r="13646" spans="1:6" x14ac:dyDescent="0.3">
      <c r="A13646" s="15" t="s">
        <v>36507</v>
      </c>
      <c r="B13646" s="15" t="s">
        <v>24978</v>
      </c>
      <c r="C13646" s="15" t="s">
        <v>800</v>
      </c>
      <c r="D13646" s="15" t="s">
        <v>24979</v>
      </c>
      <c r="E13646" s="15">
        <v>11.876200000000001</v>
      </c>
      <c r="F13646" s="42">
        <v>42703</v>
      </c>
    </row>
    <row r="13647" spans="1:6" x14ac:dyDescent="0.3">
      <c r="A13647" s="15" t="s">
        <v>36506</v>
      </c>
      <c r="B13647" s="15" t="s">
        <v>24980</v>
      </c>
      <c r="C13647" s="15" t="s">
        <v>800</v>
      </c>
      <c r="D13647" s="15" t="s">
        <v>24981</v>
      </c>
      <c r="E13647" s="15">
        <v>13.5397</v>
      </c>
      <c r="F13647" s="42">
        <v>42940</v>
      </c>
    </row>
    <row r="13648" spans="1:6" x14ac:dyDescent="0.3">
      <c r="A13648" s="15" t="s">
        <v>36505</v>
      </c>
      <c r="B13648" s="15" t="s">
        <v>24982</v>
      </c>
      <c r="C13648" s="15" t="s">
        <v>800</v>
      </c>
      <c r="D13648" s="15" t="s">
        <v>24983</v>
      </c>
      <c r="E13648" s="15">
        <v>13.6004</v>
      </c>
      <c r="F13648" s="42">
        <v>42940</v>
      </c>
    </row>
    <row r="13649" spans="1:6" x14ac:dyDescent="0.3">
      <c r="A13649" s="15" t="s">
        <v>36504</v>
      </c>
      <c r="B13649" s="15" t="s">
        <v>24984</v>
      </c>
      <c r="C13649" s="15" t="s">
        <v>800</v>
      </c>
      <c r="D13649" s="15" t="s">
        <v>24985</v>
      </c>
      <c r="E13649" s="15">
        <v>13.540800000000001</v>
      </c>
      <c r="F13649" s="42">
        <v>42940</v>
      </c>
    </row>
    <row r="13650" spans="1:6" x14ac:dyDescent="0.3">
      <c r="A13650" s="15" t="s">
        <v>36503</v>
      </c>
      <c r="B13650" s="15" t="s">
        <v>24986</v>
      </c>
      <c r="C13650" s="15" t="s">
        <v>800</v>
      </c>
      <c r="D13650" s="15" t="s">
        <v>24987</v>
      </c>
      <c r="E13650" s="15">
        <v>11.401899999999999</v>
      </c>
      <c r="F13650" s="42">
        <v>42137</v>
      </c>
    </row>
    <row r="13651" spans="1:6" x14ac:dyDescent="0.3">
      <c r="A13651" s="15" t="s">
        <v>36502</v>
      </c>
      <c r="B13651" s="15" t="s">
        <v>24988</v>
      </c>
      <c r="C13651" s="15" t="s">
        <v>800</v>
      </c>
      <c r="D13651" s="15" t="s">
        <v>24989</v>
      </c>
      <c r="E13651" s="15">
        <v>14.1348</v>
      </c>
      <c r="F13651" s="42">
        <v>43368</v>
      </c>
    </row>
    <row r="13652" spans="1:6" x14ac:dyDescent="0.3">
      <c r="A13652" s="15" t="s">
        <v>36501</v>
      </c>
      <c r="B13652" s="15" t="s">
        <v>24990</v>
      </c>
      <c r="C13652" s="15" t="s">
        <v>800</v>
      </c>
      <c r="D13652" s="15" t="s">
        <v>24991</v>
      </c>
      <c r="E13652" s="15">
        <v>13.1563</v>
      </c>
      <c r="F13652" s="42">
        <v>42901</v>
      </c>
    </row>
    <row r="13653" spans="1:6" x14ac:dyDescent="0.3">
      <c r="A13653" s="15" t="s">
        <v>36500</v>
      </c>
      <c r="B13653" s="15" t="s">
        <v>24992</v>
      </c>
      <c r="C13653" s="15" t="s">
        <v>800</v>
      </c>
      <c r="D13653" s="15" t="s">
        <v>24993</v>
      </c>
      <c r="E13653" s="15">
        <v>12.8406</v>
      </c>
      <c r="F13653" s="42">
        <v>42788</v>
      </c>
    </row>
    <row r="13654" spans="1:6" x14ac:dyDescent="0.3">
      <c r="A13654" s="15" t="s">
        <v>36499</v>
      </c>
      <c r="B13654" s="15" t="s">
        <v>24994</v>
      </c>
      <c r="C13654" s="15" t="s">
        <v>800</v>
      </c>
      <c r="D13654" s="15" t="s">
        <v>24995</v>
      </c>
      <c r="E13654" s="15">
        <v>16.6082</v>
      </c>
      <c r="F13654" s="42">
        <v>43965</v>
      </c>
    </row>
    <row r="13655" spans="1:6" x14ac:dyDescent="0.3">
      <c r="A13655" s="15" t="s">
        <v>36498</v>
      </c>
      <c r="B13655" s="15" t="s">
        <v>24996</v>
      </c>
      <c r="C13655" s="15" t="s">
        <v>800</v>
      </c>
      <c r="D13655" s="15" t="s">
        <v>24997</v>
      </c>
      <c r="E13655" s="15">
        <v>16.836600000000001</v>
      </c>
      <c r="F13655" s="42">
        <v>43965</v>
      </c>
    </row>
    <row r="13656" spans="1:6" x14ac:dyDescent="0.3">
      <c r="A13656" s="15" t="s">
        <v>36497</v>
      </c>
      <c r="B13656" s="15" t="s">
        <v>24998</v>
      </c>
      <c r="C13656" s="15" t="s">
        <v>800</v>
      </c>
      <c r="D13656" s="15" t="s">
        <v>24999</v>
      </c>
      <c r="E13656" s="15">
        <v>12.5318</v>
      </c>
      <c r="F13656" s="42">
        <v>42857</v>
      </c>
    </row>
    <row r="13657" spans="1:6" x14ac:dyDescent="0.3">
      <c r="A13657" s="15" t="s">
        <v>36496</v>
      </c>
      <c r="B13657" s="15" t="s">
        <v>25000</v>
      </c>
      <c r="C13657" s="15" t="s">
        <v>800</v>
      </c>
      <c r="D13657" s="15" t="s">
        <v>25001</v>
      </c>
      <c r="E13657" s="15">
        <v>15.176600000000001</v>
      </c>
      <c r="F13657" s="42">
        <v>43965</v>
      </c>
    </row>
    <row r="13658" spans="1:6" x14ac:dyDescent="0.3">
      <c r="A13658" s="15" t="s">
        <v>36495</v>
      </c>
      <c r="B13658" s="15" t="s">
        <v>25002</v>
      </c>
      <c r="C13658" s="15" t="s">
        <v>800</v>
      </c>
      <c r="D13658" s="15" t="s">
        <v>25003</v>
      </c>
      <c r="E13658" s="15">
        <v>12.8363</v>
      </c>
      <c r="F13658" s="42">
        <v>42975</v>
      </c>
    </row>
    <row r="13659" spans="1:6" x14ac:dyDescent="0.3">
      <c r="A13659" s="15" t="s">
        <v>36494</v>
      </c>
      <c r="B13659" s="15" t="s">
        <v>25004</v>
      </c>
      <c r="C13659" s="15" t="s">
        <v>800</v>
      </c>
      <c r="D13659" s="15" t="s">
        <v>25005</v>
      </c>
      <c r="E13659" s="15">
        <v>12.8576</v>
      </c>
      <c r="F13659" s="42">
        <v>42975</v>
      </c>
    </row>
    <row r="13660" spans="1:6" x14ac:dyDescent="0.3">
      <c r="A13660" s="15" t="s">
        <v>36493</v>
      </c>
      <c r="B13660" s="15" t="s">
        <v>25006</v>
      </c>
      <c r="C13660" s="15" t="s">
        <v>800</v>
      </c>
      <c r="D13660" s="15" t="s">
        <v>25007</v>
      </c>
      <c r="E13660" s="15">
        <v>12.5419</v>
      </c>
      <c r="F13660" s="42">
        <v>42975</v>
      </c>
    </row>
    <row r="13661" spans="1:6" x14ac:dyDescent="0.3">
      <c r="A13661" s="15" t="s">
        <v>36492</v>
      </c>
      <c r="B13661" s="15" t="s">
        <v>25008</v>
      </c>
      <c r="C13661" s="15" t="s">
        <v>800</v>
      </c>
      <c r="D13661" s="15" t="s">
        <v>25009</v>
      </c>
      <c r="E13661" s="15">
        <v>12.8787</v>
      </c>
      <c r="F13661" s="42">
        <v>42975</v>
      </c>
    </row>
    <row r="13662" spans="1:6" x14ac:dyDescent="0.3">
      <c r="A13662" s="15" t="s">
        <v>36491</v>
      </c>
      <c r="B13662" s="15" t="s">
        <v>25010</v>
      </c>
      <c r="C13662" s="15" t="s">
        <v>800</v>
      </c>
      <c r="D13662" s="15" t="s">
        <v>25011</v>
      </c>
      <c r="E13662" s="15">
        <v>12.8994</v>
      </c>
      <c r="F13662" s="42">
        <v>42975</v>
      </c>
    </row>
    <row r="13663" spans="1:6" x14ac:dyDescent="0.3">
      <c r="A13663" s="15" t="s">
        <v>36490</v>
      </c>
      <c r="B13663" s="15" t="s">
        <v>25012</v>
      </c>
      <c r="C13663" s="15" t="s">
        <v>800</v>
      </c>
      <c r="D13663" s="15" t="s">
        <v>25013</v>
      </c>
      <c r="E13663" s="15">
        <v>10.6944</v>
      </c>
      <c r="F13663" s="42">
        <v>42191</v>
      </c>
    </row>
    <row r="13664" spans="1:6" x14ac:dyDescent="0.3">
      <c r="A13664" s="15" t="s">
        <v>36489</v>
      </c>
      <c r="B13664" s="15" t="s">
        <v>25014</v>
      </c>
      <c r="C13664" s="15" t="s">
        <v>800</v>
      </c>
      <c r="D13664" s="15" t="s">
        <v>25015</v>
      </c>
      <c r="E13664" s="15">
        <v>12.5777</v>
      </c>
      <c r="F13664" s="42">
        <v>42975</v>
      </c>
    </row>
    <row r="13665" spans="1:6" x14ac:dyDescent="0.3">
      <c r="A13665" s="15" t="s">
        <v>36488</v>
      </c>
      <c r="B13665" s="15" t="s">
        <v>25016</v>
      </c>
      <c r="C13665" s="15" t="s">
        <v>800</v>
      </c>
      <c r="D13665" s="15" t="s">
        <v>25017</v>
      </c>
      <c r="E13665" s="15">
        <v>19.251799999999999</v>
      </c>
      <c r="F13665" s="42">
        <v>45091</v>
      </c>
    </row>
    <row r="13666" spans="1:6" x14ac:dyDescent="0.3">
      <c r="A13666" s="15" t="s">
        <v>36487</v>
      </c>
      <c r="B13666" s="15" t="s">
        <v>25018</v>
      </c>
      <c r="C13666" s="15" t="s">
        <v>800</v>
      </c>
      <c r="D13666" s="15" t="s">
        <v>25019</v>
      </c>
      <c r="E13666" s="15">
        <v>19.3019</v>
      </c>
      <c r="F13666" s="42">
        <v>45091</v>
      </c>
    </row>
    <row r="13667" spans="1:6" x14ac:dyDescent="0.3">
      <c r="A13667" s="15" t="s">
        <v>36486</v>
      </c>
      <c r="B13667" s="15" t="s">
        <v>25020</v>
      </c>
      <c r="C13667" s="15" t="s">
        <v>800</v>
      </c>
      <c r="D13667" s="15" t="s">
        <v>25021</v>
      </c>
      <c r="E13667" s="15">
        <v>18.871200000000002</v>
      </c>
      <c r="F13667" s="42">
        <v>45091</v>
      </c>
    </row>
    <row r="13668" spans="1:6" x14ac:dyDescent="0.3">
      <c r="A13668" s="15" t="s">
        <v>36485</v>
      </c>
      <c r="B13668" s="15" t="s">
        <v>25022</v>
      </c>
      <c r="C13668" s="15" t="s">
        <v>800</v>
      </c>
      <c r="D13668" s="15" t="s">
        <v>25023</v>
      </c>
      <c r="E13668" s="15">
        <v>18.821100000000001</v>
      </c>
      <c r="F13668" s="42">
        <v>45091</v>
      </c>
    </row>
    <row r="13669" spans="1:6" x14ac:dyDescent="0.3">
      <c r="A13669" s="15" t="s">
        <v>36484</v>
      </c>
      <c r="B13669" s="15" t="s">
        <v>25024</v>
      </c>
      <c r="C13669" s="15" t="s">
        <v>800</v>
      </c>
      <c r="D13669" s="15" t="s">
        <v>25025</v>
      </c>
      <c r="E13669" s="15">
        <v>12.795400000000001</v>
      </c>
      <c r="F13669" s="42">
        <v>42977</v>
      </c>
    </row>
    <row r="13670" spans="1:6" x14ac:dyDescent="0.3">
      <c r="A13670" s="15" t="s">
        <v>36483</v>
      </c>
      <c r="B13670" s="15" t="s">
        <v>25026</v>
      </c>
      <c r="C13670" s="15" t="s">
        <v>800</v>
      </c>
      <c r="D13670" s="15" t="s">
        <v>25027</v>
      </c>
      <c r="E13670" s="15">
        <v>12.9473</v>
      </c>
      <c r="F13670" s="42">
        <v>42977</v>
      </c>
    </row>
    <row r="13671" spans="1:6" x14ac:dyDescent="0.3">
      <c r="A13671" s="15" t="s">
        <v>36482</v>
      </c>
      <c r="B13671" s="15" t="s">
        <v>25028</v>
      </c>
      <c r="C13671" s="15" t="s">
        <v>800</v>
      </c>
      <c r="D13671" s="15" t="s">
        <v>25029</v>
      </c>
      <c r="E13671" s="15">
        <v>12.795400000000001</v>
      </c>
      <c r="F13671" s="42">
        <v>42977</v>
      </c>
    </row>
    <row r="13672" spans="1:6" x14ac:dyDescent="0.3">
      <c r="A13672" s="15" t="s">
        <v>36481</v>
      </c>
      <c r="B13672" s="15" t="s">
        <v>25030</v>
      </c>
      <c r="C13672" s="15" t="s">
        <v>800</v>
      </c>
      <c r="D13672" s="15" t="s">
        <v>25031</v>
      </c>
      <c r="E13672" s="15">
        <v>13.19</v>
      </c>
      <c r="F13672" s="42">
        <v>42991</v>
      </c>
    </row>
    <row r="13673" spans="1:6" x14ac:dyDescent="0.3">
      <c r="A13673" s="15" t="s">
        <v>36480</v>
      </c>
      <c r="B13673" s="15" t="s">
        <v>25032</v>
      </c>
      <c r="C13673" s="15" t="s">
        <v>800</v>
      </c>
      <c r="D13673" s="15" t="s">
        <v>25033</v>
      </c>
      <c r="E13673" s="15">
        <v>13.343500000000001</v>
      </c>
      <c r="F13673" s="42">
        <v>42991</v>
      </c>
    </row>
    <row r="13674" spans="1:6" x14ac:dyDescent="0.3">
      <c r="A13674" s="15" t="s">
        <v>36479</v>
      </c>
      <c r="B13674" s="15" t="s">
        <v>25034</v>
      </c>
      <c r="C13674" s="15" t="s">
        <v>800</v>
      </c>
      <c r="D13674" s="15" t="s">
        <v>25035</v>
      </c>
      <c r="E13674" s="15">
        <v>13.343500000000001</v>
      </c>
      <c r="F13674" s="42">
        <v>42991</v>
      </c>
    </row>
    <row r="13675" spans="1:6" x14ac:dyDescent="0.3">
      <c r="A13675" s="15" t="s">
        <v>36478</v>
      </c>
      <c r="B13675" s="15" t="s">
        <v>25036</v>
      </c>
      <c r="C13675" s="15" t="s">
        <v>800</v>
      </c>
      <c r="D13675" s="15" t="s">
        <v>25037</v>
      </c>
      <c r="E13675" s="15">
        <v>13.19</v>
      </c>
      <c r="F13675" s="42">
        <v>42991</v>
      </c>
    </row>
    <row r="13676" spans="1:6" x14ac:dyDescent="0.3">
      <c r="A13676" s="15" t="s">
        <v>36477</v>
      </c>
      <c r="B13676" s="15" t="s">
        <v>25038</v>
      </c>
      <c r="C13676" s="15" t="s">
        <v>800</v>
      </c>
      <c r="D13676" s="15" t="s">
        <v>25039</v>
      </c>
      <c r="E13676" s="15">
        <v>12.791</v>
      </c>
      <c r="F13676" s="42">
        <v>42991</v>
      </c>
    </row>
    <row r="13677" spans="1:6" x14ac:dyDescent="0.3">
      <c r="A13677" s="15" t="s">
        <v>36476</v>
      </c>
      <c r="B13677" s="15" t="s">
        <v>25040</v>
      </c>
      <c r="C13677" s="15" t="s">
        <v>800</v>
      </c>
      <c r="D13677" s="15" t="s">
        <v>25041</v>
      </c>
      <c r="E13677" s="15">
        <v>12.934799999999999</v>
      </c>
      <c r="F13677" s="42">
        <v>42991</v>
      </c>
    </row>
    <row r="13678" spans="1:6" x14ac:dyDescent="0.3">
      <c r="A13678" s="15" t="s">
        <v>36475</v>
      </c>
      <c r="B13678" s="15" t="s">
        <v>25042</v>
      </c>
      <c r="C13678" s="15" t="s">
        <v>800</v>
      </c>
      <c r="D13678" s="15" t="s">
        <v>25043</v>
      </c>
      <c r="E13678" s="15">
        <v>12.934799999999999</v>
      </c>
      <c r="F13678" s="42">
        <v>42991</v>
      </c>
    </row>
    <row r="13679" spans="1:6" x14ac:dyDescent="0.3">
      <c r="A13679" s="15" t="s">
        <v>36474</v>
      </c>
      <c r="B13679" s="15" t="s">
        <v>25044</v>
      </c>
      <c r="C13679" s="15" t="s">
        <v>800</v>
      </c>
      <c r="D13679" s="15" t="s">
        <v>25045</v>
      </c>
      <c r="E13679" s="15">
        <v>12.791</v>
      </c>
      <c r="F13679" s="42">
        <v>42991</v>
      </c>
    </row>
    <row r="13680" spans="1:6" x14ac:dyDescent="0.3">
      <c r="A13680" s="15" t="s">
        <v>36473</v>
      </c>
      <c r="B13680" s="15" t="s">
        <v>25046</v>
      </c>
      <c r="C13680" s="15" t="s">
        <v>800</v>
      </c>
      <c r="D13680" s="15" t="s">
        <v>25047</v>
      </c>
      <c r="E13680" s="15">
        <v>13.179500000000001</v>
      </c>
      <c r="F13680" s="42">
        <v>43004</v>
      </c>
    </row>
    <row r="13681" spans="1:6" x14ac:dyDescent="0.3">
      <c r="A13681" s="15" t="s">
        <v>36472</v>
      </c>
      <c r="B13681" s="15" t="s">
        <v>25048</v>
      </c>
      <c r="C13681" s="15" t="s">
        <v>800</v>
      </c>
      <c r="D13681" s="15" t="s">
        <v>25049</v>
      </c>
      <c r="E13681" s="15">
        <v>13.3409</v>
      </c>
      <c r="F13681" s="42">
        <v>43004</v>
      </c>
    </row>
    <row r="13682" spans="1:6" x14ac:dyDescent="0.3">
      <c r="A13682" s="15" t="s">
        <v>36471</v>
      </c>
      <c r="B13682" s="15" t="s">
        <v>25050</v>
      </c>
      <c r="C13682" s="15" t="s">
        <v>800</v>
      </c>
      <c r="D13682" s="15" t="s">
        <v>25051</v>
      </c>
      <c r="E13682" s="15">
        <v>13.3409</v>
      </c>
      <c r="F13682" s="42">
        <v>43004</v>
      </c>
    </row>
    <row r="13683" spans="1:6" x14ac:dyDescent="0.3">
      <c r="A13683" s="15" t="s">
        <v>36470</v>
      </c>
      <c r="B13683" s="15" t="s">
        <v>25052</v>
      </c>
      <c r="C13683" s="15" t="s">
        <v>800</v>
      </c>
      <c r="D13683" s="15" t="s">
        <v>25053</v>
      </c>
      <c r="E13683" s="15">
        <v>13.179500000000001</v>
      </c>
      <c r="F13683" s="42">
        <v>43004</v>
      </c>
    </row>
    <row r="13684" spans="1:6" x14ac:dyDescent="0.3">
      <c r="A13684" s="15" t="s">
        <v>36469</v>
      </c>
      <c r="B13684" s="15" t="s">
        <v>25054</v>
      </c>
      <c r="C13684" s="15" t="s">
        <v>800</v>
      </c>
      <c r="D13684" s="15" t="s">
        <v>25055</v>
      </c>
      <c r="E13684" s="15">
        <v>12.7677</v>
      </c>
      <c r="F13684" s="42">
        <v>43006</v>
      </c>
    </row>
    <row r="13685" spans="1:6" x14ac:dyDescent="0.3">
      <c r="A13685" s="15" t="s">
        <v>36468</v>
      </c>
      <c r="B13685" s="15" t="s">
        <v>25056</v>
      </c>
      <c r="C13685" s="15" t="s">
        <v>800</v>
      </c>
      <c r="D13685" s="15" t="s">
        <v>25057</v>
      </c>
      <c r="E13685" s="15">
        <v>12.897399999999999</v>
      </c>
      <c r="F13685" s="42">
        <v>43006</v>
      </c>
    </row>
    <row r="13686" spans="1:6" x14ac:dyDescent="0.3">
      <c r="A13686" s="15" t="s">
        <v>36467</v>
      </c>
      <c r="B13686" s="15" t="s">
        <v>25058</v>
      </c>
      <c r="C13686" s="15" t="s">
        <v>800</v>
      </c>
      <c r="D13686" s="15" t="s">
        <v>25059</v>
      </c>
      <c r="E13686" s="15">
        <v>12.897399999999999</v>
      </c>
      <c r="F13686" s="42">
        <v>43006</v>
      </c>
    </row>
    <row r="13687" spans="1:6" x14ac:dyDescent="0.3">
      <c r="A13687" s="15" t="s">
        <v>36466</v>
      </c>
      <c r="B13687" s="15" t="s">
        <v>25060</v>
      </c>
      <c r="C13687" s="15" t="s">
        <v>800</v>
      </c>
      <c r="D13687" s="15" t="s">
        <v>25061</v>
      </c>
      <c r="E13687" s="15">
        <v>12.7677</v>
      </c>
      <c r="F13687" s="42">
        <v>43006</v>
      </c>
    </row>
    <row r="13688" spans="1:6" x14ac:dyDescent="0.3">
      <c r="A13688" s="15" t="s">
        <v>36465</v>
      </c>
      <c r="B13688" s="15" t="s">
        <v>25062</v>
      </c>
      <c r="C13688" s="15" t="s">
        <v>800</v>
      </c>
      <c r="D13688" s="15" t="s">
        <v>25063</v>
      </c>
      <c r="E13688" s="15">
        <v>12.8283</v>
      </c>
      <c r="F13688" s="42">
        <v>43041</v>
      </c>
    </row>
    <row r="13689" spans="1:6" x14ac:dyDescent="0.3">
      <c r="A13689" s="15" t="s">
        <v>36464</v>
      </c>
      <c r="B13689" s="15" t="s">
        <v>25064</v>
      </c>
      <c r="C13689" s="15" t="s">
        <v>800</v>
      </c>
      <c r="D13689" s="15" t="s">
        <v>25065</v>
      </c>
      <c r="E13689" s="15">
        <v>12.849</v>
      </c>
      <c r="F13689" s="42">
        <v>43041</v>
      </c>
    </row>
    <row r="13690" spans="1:6" x14ac:dyDescent="0.3">
      <c r="A13690" s="15" t="s">
        <v>36463</v>
      </c>
      <c r="B13690" s="15" t="s">
        <v>25066</v>
      </c>
      <c r="C13690" s="15" t="s">
        <v>800</v>
      </c>
      <c r="D13690" s="15" t="s">
        <v>25067</v>
      </c>
      <c r="E13690" s="15">
        <v>12.8283</v>
      </c>
      <c r="F13690" s="42">
        <v>43041</v>
      </c>
    </row>
    <row r="13691" spans="1:6" x14ac:dyDescent="0.3">
      <c r="A13691" s="15" t="s">
        <v>36462</v>
      </c>
      <c r="B13691" s="15" t="s">
        <v>25068</v>
      </c>
      <c r="C13691" s="15" t="s">
        <v>800</v>
      </c>
      <c r="D13691" s="15" t="s">
        <v>25069</v>
      </c>
      <c r="E13691" s="15">
        <v>12.8438</v>
      </c>
      <c r="F13691" s="42">
        <v>43033</v>
      </c>
    </row>
    <row r="13692" spans="1:6" x14ac:dyDescent="0.3">
      <c r="A13692" s="15" t="s">
        <v>36461</v>
      </c>
      <c r="B13692" s="15" t="s">
        <v>25070</v>
      </c>
      <c r="C13692" s="15" t="s">
        <v>800</v>
      </c>
      <c r="D13692" s="15" t="s">
        <v>25071</v>
      </c>
      <c r="E13692" s="15">
        <v>12.867599999999999</v>
      </c>
      <c r="F13692" s="42">
        <v>43033</v>
      </c>
    </row>
    <row r="13693" spans="1:6" x14ac:dyDescent="0.3">
      <c r="A13693" s="15" t="s">
        <v>36460</v>
      </c>
      <c r="B13693" s="15" t="s">
        <v>25072</v>
      </c>
      <c r="C13693" s="15" t="s">
        <v>800</v>
      </c>
      <c r="D13693" s="15" t="s">
        <v>25073</v>
      </c>
      <c r="E13693" s="15">
        <v>12.8438</v>
      </c>
      <c r="F13693" s="42">
        <v>43033</v>
      </c>
    </row>
    <row r="13694" spans="1:6" x14ac:dyDescent="0.3">
      <c r="A13694" s="15" t="s">
        <v>36459</v>
      </c>
      <c r="B13694" s="15" t="s">
        <v>25074</v>
      </c>
      <c r="C13694" s="15" t="s">
        <v>800</v>
      </c>
      <c r="D13694" s="15" t="s">
        <v>25075</v>
      </c>
      <c r="E13694" s="15">
        <v>13.001200000000001</v>
      </c>
      <c r="F13694" s="42">
        <v>43055</v>
      </c>
    </row>
    <row r="13695" spans="1:6" x14ac:dyDescent="0.3">
      <c r="A13695" s="15" t="s">
        <v>36458</v>
      </c>
      <c r="B13695" s="15" t="s">
        <v>25076</v>
      </c>
      <c r="C13695" s="15" t="s">
        <v>800</v>
      </c>
      <c r="D13695" s="15" t="s">
        <v>25077</v>
      </c>
      <c r="E13695" s="15">
        <v>13.151300000000001</v>
      </c>
      <c r="F13695" s="42">
        <v>43055</v>
      </c>
    </row>
    <row r="13696" spans="1:6" x14ac:dyDescent="0.3">
      <c r="A13696" s="15" t="s">
        <v>36457</v>
      </c>
      <c r="B13696" s="15" t="s">
        <v>25078</v>
      </c>
      <c r="C13696" s="15" t="s">
        <v>800</v>
      </c>
      <c r="D13696" s="15" t="s">
        <v>25079</v>
      </c>
      <c r="E13696" s="15">
        <v>13.151300000000001</v>
      </c>
      <c r="F13696" s="42">
        <v>43055</v>
      </c>
    </row>
    <row r="13697" spans="1:6" x14ac:dyDescent="0.3">
      <c r="A13697" s="15" t="s">
        <v>36456</v>
      </c>
      <c r="B13697" s="15" t="s">
        <v>25080</v>
      </c>
      <c r="C13697" s="15" t="s">
        <v>800</v>
      </c>
      <c r="D13697" s="15" t="s">
        <v>25081</v>
      </c>
      <c r="E13697" s="15">
        <v>13.001200000000001</v>
      </c>
      <c r="F13697" s="42">
        <v>43055</v>
      </c>
    </row>
    <row r="13698" spans="1:6" x14ac:dyDescent="0.3">
      <c r="A13698" s="15" t="s">
        <v>36455</v>
      </c>
      <c r="B13698" s="15" t="s">
        <v>25082</v>
      </c>
      <c r="C13698" s="15" t="s">
        <v>800</v>
      </c>
      <c r="D13698" s="15" t="s">
        <v>25083</v>
      </c>
      <c r="E13698" s="15">
        <v>12.7936</v>
      </c>
      <c r="F13698" s="42">
        <v>43055</v>
      </c>
    </row>
    <row r="13699" spans="1:6" x14ac:dyDescent="0.3">
      <c r="A13699" s="15" t="s">
        <v>36454</v>
      </c>
      <c r="B13699" s="15" t="s">
        <v>25084</v>
      </c>
      <c r="C13699" s="15" t="s">
        <v>800</v>
      </c>
      <c r="D13699" s="15" t="s">
        <v>25085</v>
      </c>
      <c r="E13699" s="15">
        <v>12.8085</v>
      </c>
      <c r="F13699" s="42">
        <v>43055</v>
      </c>
    </row>
    <row r="13700" spans="1:6" x14ac:dyDescent="0.3">
      <c r="A13700" s="15" t="s">
        <v>36453</v>
      </c>
      <c r="B13700" s="15" t="s">
        <v>25086</v>
      </c>
      <c r="C13700" s="15" t="s">
        <v>800</v>
      </c>
      <c r="D13700" s="15" t="s">
        <v>25087</v>
      </c>
      <c r="E13700" s="15">
        <v>12.7936</v>
      </c>
      <c r="F13700" s="42">
        <v>43055</v>
      </c>
    </row>
    <row r="13701" spans="1:6" x14ac:dyDescent="0.3">
      <c r="A13701" s="15" t="s">
        <v>36452</v>
      </c>
      <c r="B13701" s="15" t="s">
        <v>25088</v>
      </c>
      <c r="C13701" s="15" t="s">
        <v>800</v>
      </c>
      <c r="D13701" s="15" t="s">
        <v>25089</v>
      </c>
      <c r="E13701" s="15">
        <v>12.744</v>
      </c>
      <c r="F13701" s="42">
        <v>43062</v>
      </c>
    </row>
    <row r="13702" spans="1:6" x14ac:dyDescent="0.3">
      <c r="A13702" s="15" t="s">
        <v>36451</v>
      </c>
      <c r="B13702" s="15" t="s">
        <v>25090</v>
      </c>
      <c r="C13702" s="15" t="s">
        <v>800</v>
      </c>
      <c r="D13702" s="15" t="s">
        <v>25091</v>
      </c>
      <c r="E13702" s="15">
        <v>12.7614</v>
      </c>
      <c r="F13702" s="42">
        <v>43062</v>
      </c>
    </row>
    <row r="13703" spans="1:6" x14ac:dyDescent="0.3">
      <c r="A13703" s="15" t="s">
        <v>36450</v>
      </c>
      <c r="B13703" s="15" t="s">
        <v>25092</v>
      </c>
      <c r="C13703" s="15" t="s">
        <v>800</v>
      </c>
      <c r="D13703" s="15" t="s">
        <v>25093</v>
      </c>
      <c r="E13703" s="15">
        <v>12.744</v>
      </c>
      <c r="F13703" s="42">
        <v>43062</v>
      </c>
    </row>
    <row r="13704" spans="1:6" x14ac:dyDescent="0.3">
      <c r="A13704" s="15" t="s">
        <v>36449</v>
      </c>
      <c r="B13704" s="15" t="s">
        <v>25094</v>
      </c>
      <c r="C13704" s="15" t="s">
        <v>800</v>
      </c>
      <c r="D13704" s="15" t="s">
        <v>25095</v>
      </c>
      <c r="E13704" s="15">
        <v>13.077</v>
      </c>
      <c r="F13704" s="42">
        <v>43031</v>
      </c>
    </row>
    <row r="13705" spans="1:6" x14ac:dyDescent="0.3">
      <c r="A13705" s="15" t="s">
        <v>36448</v>
      </c>
      <c r="B13705" s="15" t="s">
        <v>25096</v>
      </c>
      <c r="C13705" s="15" t="s">
        <v>800</v>
      </c>
      <c r="D13705" s="15" t="s">
        <v>25097</v>
      </c>
      <c r="E13705" s="15">
        <v>13.210599999999999</v>
      </c>
      <c r="F13705" s="42">
        <v>43031</v>
      </c>
    </row>
    <row r="13706" spans="1:6" x14ac:dyDescent="0.3">
      <c r="A13706" s="15" t="s">
        <v>36447</v>
      </c>
      <c r="B13706" s="15" t="s">
        <v>25098</v>
      </c>
      <c r="C13706" s="15" t="s">
        <v>800</v>
      </c>
      <c r="D13706" s="15" t="s">
        <v>25099</v>
      </c>
      <c r="E13706" s="15">
        <v>13.210599999999999</v>
      </c>
      <c r="F13706" s="42">
        <v>43031</v>
      </c>
    </row>
    <row r="13707" spans="1:6" x14ac:dyDescent="0.3">
      <c r="A13707" s="15" t="s">
        <v>36446</v>
      </c>
      <c r="B13707" s="15" t="s">
        <v>25100</v>
      </c>
      <c r="C13707" s="15" t="s">
        <v>800</v>
      </c>
      <c r="D13707" s="15" t="s">
        <v>25101</v>
      </c>
      <c r="E13707" s="15">
        <v>13.077</v>
      </c>
      <c r="F13707" s="42">
        <v>43031</v>
      </c>
    </row>
    <row r="13708" spans="1:6" x14ac:dyDescent="0.3">
      <c r="A13708" s="15" t="s">
        <v>36445</v>
      </c>
      <c r="B13708" s="15" t="s">
        <v>25102</v>
      </c>
      <c r="C13708" s="15" t="s">
        <v>800</v>
      </c>
      <c r="D13708" s="15" t="s">
        <v>25103</v>
      </c>
      <c r="E13708" s="15">
        <v>12.7197</v>
      </c>
      <c r="F13708" s="42">
        <v>43059</v>
      </c>
    </row>
    <row r="13709" spans="1:6" x14ac:dyDescent="0.3">
      <c r="A13709" s="15" t="s">
        <v>36444</v>
      </c>
      <c r="B13709" s="15" t="s">
        <v>25104</v>
      </c>
      <c r="C13709" s="15" t="s">
        <v>800</v>
      </c>
      <c r="D13709" s="15" t="s">
        <v>25105</v>
      </c>
      <c r="E13709" s="15">
        <v>12.7837</v>
      </c>
      <c r="F13709" s="42">
        <v>43059</v>
      </c>
    </row>
    <row r="13710" spans="1:6" x14ac:dyDescent="0.3">
      <c r="A13710" s="15" t="s">
        <v>36443</v>
      </c>
      <c r="B13710" s="15" t="s">
        <v>25106</v>
      </c>
      <c r="C13710" s="15" t="s">
        <v>800</v>
      </c>
      <c r="D13710" s="15" t="s">
        <v>25107</v>
      </c>
      <c r="E13710" s="15">
        <v>12.7837</v>
      </c>
      <c r="F13710" s="42">
        <v>43059</v>
      </c>
    </row>
    <row r="13711" spans="1:6" x14ac:dyDescent="0.3">
      <c r="A13711" s="15" t="s">
        <v>36442</v>
      </c>
      <c r="B13711" s="15" t="s">
        <v>25108</v>
      </c>
      <c r="C13711" s="15" t="s">
        <v>800</v>
      </c>
      <c r="D13711" s="15" t="s">
        <v>25109</v>
      </c>
      <c r="E13711" s="15">
        <v>12.7197</v>
      </c>
      <c r="F13711" s="42">
        <v>43059</v>
      </c>
    </row>
    <row r="13712" spans="1:6" x14ac:dyDescent="0.3">
      <c r="A13712" s="15" t="s">
        <v>36441</v>
      </c>
      <c r="B13712" s="15" t="s">
        <v>25110</v>
      </c>
      <c r="C13712" s="15" t="s">
        <v>800</v>
      </c>
      <c r="D13712" s="15" t="s">
        <v>25111</v>
      </c>
      <c r="E13712" s="15">
        <v>13.721399999999999</v>
      </c>
      <c r="F13712" s="42">
        <v>43216</v>
      </c>
    </row>
    <row r="13713" spans="1:6" x14ac:dyDescent="0.3">
      <c r="A13713" s="15" t="s">
        <v>36440</v>
      </c>
      <c r="B13713" s="15" t="s">
        <v>25112</v>
      </c>
      <c r="C13713" s="15" t="s">
        <v>800</v>
      </c>
      <c r="D13713" s="15" t="s">
        <v>25113</v>
      </c>
      <c r="E13713" s="15">
        <v>13.9445</v>
      </c>
      <c r="F13713" s="42">
        <v>43216</v>
      </c>
    </row>
    <row r="13714" spans="1:6" x14ac:dyDescent="0.3">
      <c r="A13714" s="15" t="s">
        <v>36439</v>
      </c>
      <c r="B13714" s="15" t="s">
        <v>25114</v>
      </c>
      <c r="C13714" s="15" t="s">
        <v>800</v>
      </c>
      <c r="D13714" s="15" t="s">
        <v>25115</v>
      </c>
      <c r="E13714" s="15">
        <v>13.9445</v>
      </c>
      <c r="F13714" s="42">
        <v>43216</v>
      </c>
    </row>
    <row r="13715" spans="1:6" x14ac:dyDescent="0.3">
      <c r="A13715" s="15" t="s">
        <v>36438</v>
      </c>
      <c r="B13715" s="15" t="s">
        <v>25116</v>
      </c>
      <c r="C13715" s="15" t="s">
        <v>800</v>
      </c>
      <c r="D13715" s="15" t="s">
        <v>25117</v>
      </c>
      <c r="E13715" s="15">
        <v>13.721399999999999</v>
      </c>
      <c r="F13715" s="42">
        <v>43216</v>
      </c>
    </row>
    <row r="13716" spans="1:6" x14ac:dyDescent="0.3">
      <c r="A13716" s="15" t="s">
        <v>36437</v>
      </c>
      <c r="B13716" s="15" t="s">
        <v>25118</v>
      </c>
      <c r="C13716" s="15" t="s">
        <v>800</v>
      </c>
      <c r="D13716" s="15" t="s">
        <v>25119</v>
      </c>
      <c r="E13716" s="15">
        <v>13.6731</v>
      </c>
      <c r="F13716" s="42">
        <v>43213</v>
      </c>
    </row>
    <row r="13717" spans="1:6" x14ac:dyDescent="0.3">
      <c r="A13717" s="15" t="s">
        <v>36436</v>
      </c>
      <c r="B13717" s="15" t="s">
        <v>25120</v>
      </c>
      <c r="C13717" s="15" t="s">
        <v>800</v>
      </c>
      <c r="D13717" s="15" t="s">
        <v>25121</v>
      </c>
      <c r="E13717" s="15">
        <v>13.7597</v>
      </c>
      <c r="F13717" s="42">
        <v>43213</v>
      </c>
    </row>
    <row r="13718" spans="1:6" x14ac:dyDescent="0.3">
      <c r="A13718" s="15" t="s">
        <v>36435</v>
      </c>
      <c r="B13718" s="15" t="s">
        <v>25122</v>
      </c>
      <c r="C13718" s="15" t="s">
        <v>800</v>
      </c>
      <c r="D13718" s="15" t="s">
        <v>25123</v>
      </c>
      <c r="E13718" s="15">
        <v>13.7597</v>
      </c>
      <c r="F13718" s="42">
        <v>43213</v>
      </c>
    </row>
    <row r="13719" spans="1:6" x14ac:dyDescent="0.3">
      <c r="A13719" s="15" t="s">
        <v>36434</v>
      </c>
      <c r="B13719" s="15" t="s">
        <v>25124</v>
      </c>
      <c r="C13719" s="15" t="s">
        <v>800</v>
      </c>
      <c r="D13719" s="15" t="s">
        <v>25125</v>
      </c>
      <c r="E13719" s="15">
        <v>13.6731</v>
      </c>
      <c r="F13719" s="42">
        <v>43213</v>
      </c>
    </row>
    <row r="13720" spans="1:6" x14ac:dyDescent="0.3">
      <c r="A13720" s="15" t="s">
        <v>36433</v>
      </c>
      <c r="B13720" s="15" t="s">
        <v>25126</v>
      </c>
      <c r="C13720" s="15" t="s">
        <v>800</v>
      </c>
      <c r="D13720" s="15" t="s">
        <v>25127</v>
      </c>
      <c r="E13720" s="15">
        <v>12.662100000000001</v>
      </c>
      <c r="F13720" s="42">
        <v>43095</v>
      </c>
    </row>
    <row r="13721" spans="1:6" x14ac:dyDescent="0.3">
      <c r="A13721" s="15" t="s">
        <v>36432</v>
      </c>
      <c r="B13721" s="15" t="s">
        <v>25128</v>
      </c>
      <c r="C13721" s="15" t="s">
        <v>800</v>
      </c>
      <c r="D13721" s="15" t="s">
        <v>25129</v>
      </c>
      <c r="E13721" s="15">
        <v>12.7577</v>
      </c>
      <c r="F13721" s="42">
        <v>43095</v>
      </c>
    </row>
    <row r="13722" spans="1:6" x14ac:dyDescent="0.3">
      <c r="A13722" s="15" t="s">
        <v>36431</v>
      </c>
      <c r="B13722" s="15" t="s">
        <v>25130</v>
      </c>
      <c r="C13722" s="15" t="s">
        <v>800</v>
      </c>
      <c r="D13722" s="15" t="s">
        <v>25131</v>
      </c>
      <c r="E13722" s="15">
        <v>12.7577</v>
      </c>
      <c r="F13722" s="42">
        <v>43095</v>
      </c>
    </row>
    <row r="13723" spans="1:6" x14ac:dyDescent="0.3">
      <c r="A13723" s="15" t="s">
        <v>36430</v>
      </c>
      <c r="B13723" s="15" t="s">
        <v>25132</v>
      </c>
      <c r="C13723" s="15" t="s">
        <v>800</v>
      </c>
      <c r="D13723" s="15" t="s">
        <v>25133</v>
      </c>
      <c r="E13723" s="15">
        <v>12.662100000000001</v>
      </c>
      <c r="F13723" s="42">
        <v>43095</v>
      </c>
    </row>
    <row r="13724" spans="1:6" x14ac:dyDescent="0.3">
      <c r="A13724" s="15" t="s">
        <v>36429</v>
      </c>
      <c r="B13724" s="15" t="s">
        <v>25134</v>
      </c>
      <c r="C13724" s="15" t="s">
        <v>800</v>
      </c>
      <c r="D13724" s="15" t="s">
        <v>25135</v>
      </c>
      <c r="E13724" s="15">
        <v>12.613099999999999</v>
      </c>
      <c r="F13724" s="42">
        <v>43131</v>
      </c>
    </row>
    <row r="13725" spans="1:6" x14ac:dyDescent="0.3">
      <c r="A13725" s="15" t="s">
        <v>36428</v>
      </c>
      <c r="B13725" s="15" t="s">
        <v>25136</v>
      </c>
      <c r="C13725" s="15" t="s">
        <v>800</v>
      </c>
      <c r="D13725" s="15" t="s">
        <v>25137</v>
      </c>
      <c r="E13725" s="15">
        <v>12.6807</v>
      </c>
      <c r="F13725" s="42">
        <v>43131</v>
      </c>
    </row>
    <row r="13726" spans="1:6" x14ac:dyDescent="0.3">
      <c r="A13726" s="15" t="s">
        <v>36427</v>
      </c>
      <c r="B13726" s="15" t="s">
        <v>25138</v>
      </c>
      <c r="C13726" s="15" t="s">
        <v>800</v>
      </c>
      <c r="D13726" s="15" t="s">
        <v>25139</v>
      </c>
      <c r="E13726" s="15">
        <v>12.613099999999999</v>
      </c>
      <c r="F13726" s="42">
        <v>43131</v>
      </c>
    </row>
    <row r="13727" spans="1:6" x14ac:dyDescent="0.3">
      <c r="A13727" s="15" t="s">
        <v>36426</v>
      </c>
      <c r="B13727" s="15" t="s">
        <v>25140</v>
      </c>
      <c r="C13727" s="15" t="s">
        <v>800</v>
      </c>
      <c r="D13727" s="15" t="s">
        <v>25141</v>
      </c>
      <c r="E13727" s="15">
        <v>12.6608</v>
      </c>
      <c r="F13727" s="42">
        <v>43186</v>
      </c>
    </row>
    <row r="13728" spans="1:6" x14ac:dyDescent="0.3">
      <c r="A13728" s="15" t="s">
        <v>36425</v>
      </c>
      <c r="B13728" s="15" t="s">
        <v>25142</v>
      </c>
      <c r="C13728" s="15" t="s">
        <v>800</v>
      </c>
      <c r="D13728" s="15" t="s">
        <v>25143</v>
      </c>
      <c r="E13728" s="15">
        <v>12.744999999999999</v>
      </c>
      <c r="F13728" s="42">
        <v>43186</v>
      </c>
    </row>
    <row r="13729" spans="1:6" x14ac:dyDescent="0.3">
      <c r="A13729" s="15" t="s">
        <v>36424</v>
      </c>
      <c r="B13729" s="15" t="s">
        <v>25144</v>
      </c>
      <c r="C13729" s="15" t="s">
        <v>800</v>
      </c>
      <c r="D13729" s="15" t="s">
        <v>25145</v>
      </c>
      <c r="E13729" s="15">
        <v>12.6608</v>
      </c>
      <c r="F13729" s="42">
        <v>43186</v>
      </c>
    </row>
    <row r="13730" spans="1:6" x14ac:dyDescent="0.3">
      <c r="A13730" s="15" t="s">
        <v>36423</v>
      </c>
      <c r="B13730" s="15" t="s">
        <v>25146</v>
      </c>
      <c r="C13730" s="15" t="s">
        <v>800</v>
      </c>
      <c r="D13730" s="15" t="s">
        <v>25147</v>
      </c>
      <c r="E13730" s="15">
        <v>12.6341</v>
      </c>
      <c r="F13730" s="42">
        <v>43129</v>
      </c>
    </row>
    <row r="13731" spans="1:6" x14ac:dyDescent="0.3">
      <c r="A13731" s="15" t="s">
        <v>36422</v>
      </c>
      <c r="B13731" s="15" t="s">
        <v>25148</v>
      </c>
      <c r="C13731" s="15" t="s">
        <v>800</v>
      </c>
      <c r="D13731" s="15" t="s">
        <v>25149</v>
      </c>
      <c r="E13731" s="15">
        <v>12.7026</v>
      </c>
      <c r="F13731" s="42">
        <v>43129</v>
      </c>
    </row>
    <row r="13732" spans="1:6" x14ac:dyDescent="0.3">
      <c r="A13732" s="15" t="s">
        <v>36421</v>
      </c>
      <c r="B13732" s="15" t="s">
        <v>25150</v>
      </c>
      <c r="C13732" s="15" t="s">
        <v>800</v>
      </c>
      <c r="D13732" s="15" t="s">
        <v>25151</v>
      </c>
      <c r="E13732" s="15">
        <v>12.7026</v>
      </c>
      <c r="F13732" s="42">
        <v>43129</v>
      </c>
    </row>
    <row r="13733" spans="1:6" x14ac:dyDescent="0.3">
      <c r="A13733" s="15" t="s">
        <v>36420</v>
      </c>
      <c r="B13733" s="15" t="s">
        <v>25152</v>
      </c>
      <c r="C13733" s="15" t="s">
        <v>800</v>
      </c>
      <c r="D13733" s="15" t="s">
        <v>25153</v>
      </c>
      <c r="E13733" s="15">
        <v>12.6341</v>
      </c>
      <c r="F13733" s="42">
        <v>43129</v>
      </c>
    </row>
    <row r="13734" spans="1:6" x14ac:dyDescent="0.3">
      <c r="A13734" s="15" t="s">
        <v>36419</v>
      </c>
      <c r="B13734" s="15" t="s">
        <v>25154</v>
      </c>
      <c r="C13734" s="15" t="s">
        <v>800</v>
      </c>
      <c r="D13734" s="15" t="s">
        <v>25155</v>
      </c>
      <c r="E13734" s="15">
        <v>12.5768</v>
      </c>
      <c r="F13734" s="42">
        <v>43200</v>
      </c>
    </row>
    <row r="13735" spans="1:6" x14ac:dyDescent="0.3">
      <c r="A13735" s="15" t="s">
        <v>36418</v>
      </c>
      <c r="B13735" s="15" t="s">
        <v>25156</v>
      </c>
      <c r="C13735" s="15" t="s">
        <v>800</v>
      </c>
      <c r="D13735" s="15" t="s">
        <v>25157</v>
      </c>
      <c r="E13735" s="15">
        <v>12.712899999999999</v>
      </c>
      <c r="F13735" s="42">
        <v>43200</v>
      </c>
    </row>
    <row r="13736" spans="1:6" x14ac:dyDescent="0.3">
      <c r="A13736" s="15" t="s">
        <v>36417</v>
      </c>
      <c r="B13736" s="15" t="s">
        <v>25158</v>
      </c>
      <c r="C13736" s="15" t="s">
        <v>800</v>
      </c>
      <c r="D13736" s="15" t="s">
        <v>25159</v>
      </c>
      <c r="E13736" s="15">
        <v>12.5768</v>
      </c>
      <c r="F13736" s="42">
        <v>43200</v>
      </c>
    </row>
    <row r="13737" spans="1:6" x14ac:dyDescent="0.3">
      <c r="A13737" s="15" t="s">
        <v>36416</v>
      </c>
      <c r="B13737" s="15" t="s">
        <v>25160</v>
      </c>
      <c r="C13737" s="15" t="s">
        <v>800</v>
      </c>
      <c r="D13737" s="15" t="s">
        <v>25161</v>
      </c>
      <c r="E13737" s="15">
        <v>12.674200000000001</v>
      </c>
      <c r="F13737" s="42">
        <v>43208</v>
      </c>
    </row>
    <row r="13738" spans="1:6" x14ac:dyDescent="0.3">
      <c r="A13738" s="15" t="s">
        <v>36415</v>
      </c>
      <c r="B13738" s="15" t="s">
        <v>25162</v>
      </c>
      <c r="C13738" s="15" t="s">
        <v>800</v>
      </c>
      <c r="D13738" s="15" t="s">
        <v>25163</v>
      </c>
      <c r="E13738" s="15">
        <v>12.7593</v>
      </c>
      <c r="F13738" s="42">
        <v>43208</v>
      </c>
    </row>
    <row r="13739" spans="1:6" x14ac:dyDescent="0.3">
      <c r="A13739" s="15" t="s">
        <v>36414</v>
      </c>
      <c r="B13739" s="15" t="s">
        <v>25164</v>
      </c>
      <c r="C13739" s="15" t="s">
        <v>800</v>
      </c>
      <c r="D13739" s="15" t="s">
        <v>25165</v>
      </c>
      <c r="E13739" s="15">
        <v>12.674200000000001</v>
      </c>
      <c r="F13739" s="42">
        <v>43208</v>
      </c>
    </row>
    <row r="13740" spans="1:6" x14ac:dyDescent="0.3">
      <c r="A13740" s="15" t="s">
        <v>36413</v>
      </c>
      <c r="B13740" s="15" t="s">
        <v>25166</v>
      </c>
      <c r="C13740" s="15" t="s">
        <v>800</v>
      </c>
      <c r="D13740" s="15" t="s">
        <v>25167</v>
      </c>
      <c r="E13740" s="15">
        <v>12.7136</v>
      </c>
      <c r="F13740" s="42">
        <v>43227</v>
      </c>
    </row>
    <row r="13741" spans="1:6" x14ac:dyDescent="0.3">
      <c r="A13741" s="15" t="s">
        <v>36412</v>
      </c>
      <c r="B13741" s="15" t="s">
        <v>25168</v>
      </c>
      <c r="C13741" s="15" t="s">
        <v>800</v>
      </c>
      <c r="D13741" s="15" t="s">
        <v>25169</v>
      </c>
      <c r="E13741" s="15">
        <v>12.747299999999999</v>
      </c>
      <c r="F13741" s="42">
        <v>43227</v>
      </c>
    </row>
    <row r="13742" spans="1:6" x14ac:dyDescent="0.3">
      <c r="A13742" s="15" t="s">
        <v>36411</v>
      </c>
      <c r="B13742" s="15" t="s">
        <v>25170</v>
      </c>
      <c r="C13742" s="15" t="s">
        <v>800</v>
      </c>
      <c r="D13742" s="15" t="s">
        <v>25171</v>
      </c>
      <c r="E13742" s="15">
        <v>12.747299999999999</v>
      </c>
      <c r="F13742" s="42">
        <v>43227</v>
      </c>
    </row>
    <row r="13743" spans="1:6" x14ac:dyDescent="0.3">
      <c r="A13743" s="15" t="s">
        <v>36410</v>
      </c>
      <c r="B13743" s="15" t="s">
        <v>25172</v>
      </c>
      <c r="C13743" s="15" t="s">
        <v>800</v>
      </c>
      <c r="D13743" s="15" t="s">
        <v>25173</v>
      </c>
      <c r="E13743" s="15">
        <v>12.7136</v>
      </c>
      <c r="F13743" s="42">
        <v>43227</v>
      </c>
    </row>
    <row r="13744" spans="1:6" x14ac:dyDescent="0.3">
      <c r="A13744" s="15" t="s">
        <v>36409</v>
      </c>
      <c r="B13744" s="15" t="s">
        <v>25174</v>
      </c>
      <c r="C13744" s="15" t="s">
        <v>800</v>
      </c>
      <c r="D13744" s="15" t="s">
        <v>25175</v>
      </c>
      <c r="E13744" s="15">
        <v>12.7278</v>
      </c>
      <c r="F13744" s="42">
        <v>43206</v>
      </c>
    </row>
    <row r="13745" spans="1:6" x14ac:dyDescent="0.3">
      <c r="A13745" s="15" t="s">
        <v>36408</v>
      </c>
      <c r="B13745" s="15" t="s">
        <v>25176</v>
      </c>
      <c r="C13745" s="15" t="s">
        <v>800</v>
      </c>
      <c r="D13745" s="15" t="s">
        <v>25177</v>
      </c>
      <c r="E13745" s="15">
        <v>12.8146</v>
      </c>
      <c r="F13745" s="42">
        <v>43206</v>
      </c>
    </row>
    <row r="13746" spans="1:6" x14ac:dyDescent="0.3">
      <c r="A13746" s="15" t="s">
        <v>36407</v>
      </c>
      <c r="B13746" s="15" t="s">
        <v>25178</v>
      </c>
      <c r="C13746" s="15" t="s">
        <v>800</v>
      </c>
      <c r="D13746" s="15" t="s">
        <v>25179</v>
      </c>
      <c r="E13746" s="15">
        <v>12.699</v>
      </c>
      <c r="F13746" s="42">
        <v>43244</v>
      </c>
    </row>
    <row r="13747" spans="1:6" x14ac:dyDescent="0.3">
      <c r="A13747" s="15" t="s">
        <v>36406</v>
      </c>
      <c r="B13747" s="15" t="s">
        <v>25180</v>
      </c>
      <c r="C13747" s="15" t="s">
        <v>800</v>
      </c>
      <c r="D13747" s="15" t="s">
        <v>25181</v>
      </c>
      <c r="E13747" s="15">
        <v>12.7384</v>
      </c>
      <c r="F13747" s="42">
        <v>43244</v>
      </c>
    </row>
    <row r="13748" spans="1:6" x14ac:dyDescent="0.3">
      <c r="A13748" s="15" t="s">
        <v>36405</v>
      </c>
      <c r="B13748" s="15" t="s">
        <v>25182</v>
      </c>
      <c r="C13748" s="15" t="s">
        <v>800</v>
      </c>
      <c r="D13748" s="15" t="s">
        <v>25183</v>
      </c>
      <c r="E13748" s="15">
        <v>12.699</v>
      </c>
      <c r="F13748" s="42">
        <v>43244</v>
      </c>
    </row>
    <row r="13749" spans="1:6" x14ac:dyDescent="0.3">
      <c r="A13749" s="15" t="s">
        <v>36404</v>
      </c>
      <c r="B13749" s="15" t="s">
        <v>25184</v>
      </c>
      <c r="C13749" s="15" t="s">
        <v>800</v>
      </c>
      <c r="D13749" s="15" t="s">
        <v>25185</v>
      </c>
      <c r="E13749" s="15">
        <v>12.669</v>
      </c>
      <c r="F13749" s="42">
        <v>43250</v>
      </c>
    </row>
    <row r="13750" spans="1:6" x14ac:dyDescent="0.3">
      <c r="A13750" s="15" t="s">
        <v>36403</v>
      </c>
      <c r="B13750" s="15" t="s">
        <v>25186</v>
      </c>
      <c r="C13750" s="15" t="s">
        <v>800</v>
      </c>
      <c r="D13750" s="15" t="s">
        <v>25187</v>
      </c>
      <c r="E13750" s="15">
        <v>12.7067</v>
      </c>
      <c r="F13750" s="42">
        <v>43250</v>
      </c>
    </row>
    <row r="13751" spans="1:6" x14ac:dyDescent="0.3">
      <c r="A13751" s="15" t="s">
        <v>36402</v>
      </c>
      <c r="B13751" s="15" t="s">
        <v>25188</v>
      </c>
      <c r="C13751" s="15" t="s">
        <v>800</v>
      </c>
      <c r="D13751" s="15" t="s">
        <v>25189</v>
      </c>
      <c r="E13751" s="15">
        <v>12.7067</v>
      </c>
      <c r="F13751" s="42">
        <v>43250</v>
      </c>
    </row>
    <row r="13752" spans="1:6" x14ac:dyDescent="0.3">
      <c r="A13752" s="15" t="s">
        <v>36401</v>
      </c>
      <c r="B13752" s="15" t="s">
        <v>25190</v>
      </c>
      <c r="C13752" s="15" t="s">
        <v>800</v>
      </c>
      <c r="D13752" s="15" t="s">
        <v>25191</v>
      </c>
      <c r="E13752" s="15">
        <v>12.669</v>
      </c>
      <c r="F13752" s="42">
        <v>43250</v>
      </c>
    </row>
    <row r="13753" spans="1:6" x14ac:dyDescent="0.3">
      <c r="A13753" s="15" t="s">
        <v>36400</v>
      </c>
      <c r="B13753" s="15" t="s">
        <v>25192</v>
      </c>
      <c r="C13753" s="15" t="s">
        <v>800</v>
      </c>
      <c r="D13753" s="15" t="s">
        <v>25193</v>
      </c>
      <c r="E13753" s="15">
        <v>12.7896</v>
      </c>
      <c r="F13753" s="42">
        <v>43202</v>
      </c>
    </row>
    <row r="13754" spans="1:6" x14ac:dyDescent="0.3">
      <c r="A13754" s="15" t="s">
        <v>36399</v>
      </c>
      <c r="B13754" s="15" t="s">
        <v>25194</v>
      </c>
      <c r="C13754" s="15" t="s">
        <v>800</v>
      </c>
      <c r="D13754" s="15" t="s">
        <v>25195</v>
      </c>
      <c r="E13754" s="15">
        <v>12.8606</v>
      </c>
      <c r="F13754" s="42">
        <v>43202</v>
      </c>
    </row>
    <row r="13755" spans="1:6" x14ac:dyDescent="0.3">
      <c r="A13755" s="15" t="s">
        <v>36398</v>
      </c>
      <c r="B13755" s="15" t="s">
        <v>25196</v>
      </c>
      <c r="C13755" s="15" t="s">
        <v>800</v>
      </c>
      <c r="D13755" s="15" t="s">
        <v>25197</v>
      </c>
      <c r="E13755" s="15">
        <v>12.8606</v>
      </c>
      <c r="F13755" s="42">
        <v>43202</v>
      </c>
    </row>
    <row r="13756" spans="1:6" x14ac:dyDescent="0.3">
      <c r="A13756" s="15" t="s">
        <v>36397</v>
      </c>
      <c r="B13756" s="15" t="s">
        <v>25198</v>
      </c>
      <c r="C13756" s="15" t="s">
        <v>800</v>
      </c>
      <c r="D13756" s="15" t="s">
        <v>25199</v>
      </c>
      <c r="E13756" s="15">
        <v>12.7896</v>
      </c>
      <c r="F13756" s="42">
        <v>43202</v>
      </c>
    </row>
    <row r="13757" spans="1:6" x14ac:dyDescent="0.3">
      <c r="A13757" s="15" t="s">
        <v>36396</v>
      </c>
      <c r="B13757" s="15" t="s">
        <v>25200</v>
      </c>
      <c r="C13757" s="15" t="s">
        <v>800</v>
      </c>
      <c r="D13757" s="15" t="s">
        <v>25201</v>
      </c>
      <c r="E13757" s="15">
        <v>12.8302</v>
      </c>
      <c r="F13757" s="42">
        <v>43202</v>
      </c>
    </row>
    <row r="13758" spans="1:6" x14ac:dyDescent="0.3">
      <c r="A13758" s="15" t="s">
        <v>36395</v>
      </c>
      <c r="B13758" s="15" t="s">
        <v>25202</v>
      </c>
      <c r="C13758" s="15" t="s">
        <v>800</v>
      </c>
      <c r="D13758" s="15" t="s">
        <v>25203</v>
      </c>
      <c r="E13758" s="15">
        <v>12.902699999999999</v>
      </c>
      <c r="F13758" s="42">
        <v>43202</v>
      </c>
    </row>
    <row r="13759" spans="1:6" x14ac:dyDescent="0.3">
      <c r="A13759" s="15" t="s">
        <v>36394</v>
      </c>
      <c r="B13759" s="15" t="s">
        <v>25204</v>
      </c>
      <c r="C13759" s="15" t="s">
        <v>800</v>
      </c>
      <c r="D13759" s="15" t="s">
        <v>25205</v>
      </c>
      <c r="E13759" s="15">
        <v>12.8302</v>
      </c>
      <c r="F13759" s="42">
        <v>43202</v>
      </c>
    </row>
    <row r="13760" spans="1:6" x14ac:dyDescent="0.3">
      <c r="A13760" s="15" t="s">
        <v>36393</v>
      </c>
      <c r="B13760" s="15" t="s">
        <v>25206</v>
      </c>
      <c r="C13760" s="15" t="s">
        <v>800</v>
      </c>
      <c r="D13760" s="15" t="s">
        <v>25207</v>
      </c>
      <c r="E13760" s="15">
        <v>12.4381</v>
      </c>
      <c r="F13760" s="42">
        <v>43298</v>
      </c>
    </row>
    <row r="13761" spans="1:6" x14ac:dyDescent="0.3">
      <c r="A13761" s="15" t="s">
        <v>36392</v>
      </c>
      <c r="B13761" s="15" t="s">
        <v>25208</v>
      </c>
      <c r="C13761" s="15" t="s">
        <v>800</v>
      </c>
      <c r="D13761" s="15" t="s">
        <v>25209</v>
      </c>
      <c r="E13761" s="15">
        <v>12.5471</v>
      </c>
      <c r="F13761" s="42">
        <v>43298</v>
      </c>
    </row>
    <row r="13762" spans="1:6" x14ac:dyDescent="0.3">
      <c r="A13762" s="15" t="s">
        <v>36391</v>
      </c>
      <c r="B13762" s="15" t="s">
        <v>25210</v>
      </c>
      <c r="C13762" s="15" t="s">
        <v>800</v>
      </c>
      <c r="D13762" s="15" t="s">
        <v>25211</v>
      </c>
      <c r="E13762" s="15">
        <v>12.5471</v>
      </c>
      <c r="F13762" s="42">
        <v>43298</v>
      </c>
    </row>
    <row r="13763" spans="1:6" x14ac:dyDescent="0.3">
      <c r="A13763" s="15" t="s">
        <v>36390</v>
      </c>
      <c r="B13763" s="15" t="s">
        <v>25212</v>
      </c>
      <c r="C13763" s="15" t="s">
        <v>800</v>
      </c>
      <c r="D13763" s="15" t="s">
        <v>25213</v>
      </c>
      <c r="E13763" s="15">
        <v>12.4381</v>
      </c>
      <c r="F13763" s="42">
        <v>43298</v>
      </c>
    </row>
    <row r="13764" spans="1:6" x14ac:dyDescent="0.3">
      <c r="A13764" s="15" t="s">
        <v>36389</v>
      </c>
      <c r="B13764" s="15" t="s">
        <v>25214</v>
      </c>
      <c r="C13764" s="15" t="s">
        <v>800</v>
      </c>
      <c r="D13764" s="15" t="s">
        <v>25215</v>
      </c>
      <c r="E13764" s="15">
        <v>12.973000000000001</v>
      </c>
      <c r="F13764" s="42">
        <v>43305</v>
      </c>
    </row>
    <row r="13765" spans="1:6" x14ac:dyDescent="0.3">
      <c r="A13765" s="15" t="s">
        <v>36388</v>
      </c>
      <c r="B13765" s="15" t="s">
        <v>25216</v>
      </c>
      <c r="C13765" s="15" t="s">
        <v>800</v>
      </c>
      <c r="D13765" s="15" t="s">
        <v>25217</v>
      </c>
      <c r="E13765" s="15">
        <v>13.1844</v>
      </c>
      <c r="F13765" s="42">
        <v>43305</v>
      </c>
    </row>
    <row r="13766" spans="1:6" x14ac:dyDescent="0.3">
      <c r="A13766" s="15" t="s">
        <v>36387</v>
      </c>
      <c r="B13766" s="15" t="s">
        <v>25218</v>
      </c>
      <c r="C13766" s="15" t="s">
        <v>800</v>
      </c>
      <c r="D13766" s="15" t="s">
        <v>25219</v>
      </c>
      <c r="E13766" s="15">
        <v>13.1844</v>
      </c>
      <c r="F13766" s="42">
        <v>43305</v>
      </c>
    </row>
    <row r="13767" spans="1:6" x14ac:dyDescent="0.3">
      <c r="A13767" s="15" t="s">
        <v>36386</v>
      </c>
      <c r="B13767" s="15" t="s">
        <v>25220</v>
      </c>
      <c r="C13767" s="15" t="s">
        <v>800</v>
      </c>
      <c r="D13767" s="15" t="s">
        <v>25221</v>
      </c>
      <c r="E13767" s="15">
        <v>12.973000000000001</v>
      </c>
      <c r="F13767" s="42">
        <v>43305</v>
      </c>
    </row>
    <row r="13768" spans="1:6" x14ac:dyDescent="0.3">
      <c r="A13768" s="15" t="s">
        <v>36385</v>
      </c>
      <c r="B13768" s="15" t="s">
        <v>25222</v>
      </c>
      <c r="C13768" s="15" t="s">
        <v>800</v>
      </c>
      <c r="D13768" s="15" t="s">
        <v>25223</v>
      </c>
      <c r="E13768" s="15">
        <v>12.6374</v>
      </c>
      <c r="F13768" s="42">
        <v>43399</v>
      </c>
    </row>
    <row r="13769" spans="1:6" x14ac:dyDescent="0.3">
      <c r="A13769" s="15" t="s">
        <v>36384</v>
      </c>
      <c r="B13769" s="15" t="s">
        <v>25224</v>
      </c>
      <c r="C13769" s="15" t="s">
        <v>800</v>
      </c>
      <c r="D13769" s="15" t="s">
        <v>25225</v>
      </c>
      <c r="E13769" s="15">
        <v>12.714399999999999</v>
      </c>
      <c r="F13769" s="42">
        <v>43399</v>
      </c>
    </row>
    <row r="13770" spans="1:6" x14ac:dyDescent="0.3">
      <c r="A13770" s="15" t="s">
        <v>36383</v>
      </c>
      <c r="B13770" s="15" t="s">
        <v>25226</v>
      </c>
      <c r="C13770" s="15" t="s">
        <v>800</v>
      </c>
      <c r="D13770" s="15" t="s">
        <v>25227</v>
      </c>
      <c r="E13770" s="15">
        <v>12.6374</v>
      </c>
      <c r="F13770" s="42">
        <v>43399</v>
      </c>
    </row>
    <row r="13771" spans="1:6" x14ac:dyDescent="0.3">
      <c r="A13771" s="15" t="s">
        <v>36382</v>
      </c>
      <c r="B13771" s="15" t="s">
        <v>25228</v>
      </c>
      <c r="C13771" s="15" t="s">
        <v>800</v>
      </c>
      <c r="D13771" s="15" t="s">
        <v>25229</v>
      </c>
      <c r="E13771" s="15">
        <v>12.761900000000001</v>
      </c>
      <c r="F13771" s="42">
        <v>43272</v>
      </c>
    </row>
    <row r="13772" spans="1:6" x14ac:dyDescent="0.3">
      <c r="A13772" s="15" t="s">
        <v>36381</v>
      </c>
      <c r="B13772" s="15" t="s">
        <v>25230</v>
      </c>
      <c r="C13772" s="15" t="s">
        <v>800</v>
      </c>
      <c r="D13772" s="15" t="s">
        <v>25231</v>
      </c>
      <c r="E13772" s="15">
        <v>12.793699999999999</v>
      </c>
      <c r="F13772" s="42">
        <v>43272</v>
      </c>
    </row>
    <row r="13773" spans="1:6" x14ac:dyDescent="0.3">
      <c r="A13773" s="15" t="s">
        <v>36380</v>
      </c>
      <c r="B13773" s="15" t="s">
        <v>25232</v>
      </c>
      <c r="C13773" s="15" t="s">
        <v>800</v>
      </c>
      <c r="D13773" s="15" t="s">
        <v>25233</v>
      </c>
      <c r="E13773" s="15">
        <v>12.761900000000001</v>
      </c>
      <c r="F13773" s="42">
        <v>43272</v>
      </c>
    </row>
    <row r="13774" spans="1:6" x14ac:dyDescent="0.3">
      <c r="A13774" s="15" t="s">
        <v>36379</v>
      </c>
      <c r="B13774" s="15" t="s">
        <v>25234</v>
      </c>
      <c r="C13774" s="15" t="s">
        <v>800</v>
      </c>
      <c r="D13774" s="15" t="s">
        <v>25235</v>
      </c>
      <c r="E13774" s="15">
        <v>12.57</v>
      </c>
      <c r="F13774" s="42">
        <v>43262</v>
      </c>
    </row>
    <row r="13775" spans="1:6" x14ac:dyDescent="0.3">
      <c r="A13775" s="15" t="s">
        <v>36378</v>
      </c>
      <c r="B13775" s="15" t="s">
        <v>25236</v>
      </c>
      <c r="C13775" s="15" t="s">
        <v>800</v>
      </c>
      <c r="D13775" s="15" t="s">
        <v>25237</v>
      </c>
      <c r="E13775" s="15">
        <v>12.6197</v>
      </c>
      <c r="F13775" s="42">
        <v>43262</v>
      </c>
    </row>
    <row r="13776" spans="1:6" x14ac:dyDescent="0.3">
      <c r="A13776" s="15" t="s">
        <v>36377</v>
      </c>
      <c r="B13776" s="15" t="s">
        <v>25238</v>
      </c>
      <c r="C13776" s="15" t="s">
        <v>800</v>
      </c>
      <c r="D13776" s="15" t="s">
        <v>25239</v>
      </c>
      <c r="E13776" s="15">
        <v>12.6197</v>
      </c>
      <c r="F13776" s="42">
        <v>43262</v>
      </c>
    </row>
    <row r="13777" spans="1:6" x14ac:dyDescent="0.3">
      <c r="A13777" s="15" t="s">
        <v>36376</v>
      </c>
      <c r="B13777" s="15" t="s">
        <v>25240</v>
      </c>
      <c r="C13777" s="15" t="s">
        <v>800</v>
      </c>
      <c r="D13777" s="15" t="s">
        <v>25241</v>
      </c>
      <c r="E13777" s="15">
        <v>12.57</v>
      </c>
      <c r="F13777" s="42">
        <v>43262</v>
      </c>
    </row>
    <row r="13778" spans="1:6" x14ac:dyDescent="0.3">
      <c r="A13778" s="15" t="s">
        <v>36375</v>
      </c>
      <c r="B13778" s="15" t="s">
        <v>25242</v>
      </c>
      <c r="C13778" s="15" t="s">
        <v>800</v>
      </c>
      <c r="D13778" s="15" t="s">
        <v>25243</v>
      </c>
      <c r="E13778" s="15">
        <v>12.668699999999999</v>
      </c>
      <c r="F13778" s="42">
        <v>43297</v>
      </c>
    </row>
    <row r="13779" spans="1:6" x14ac:dyDescent="0.3">
      <c r="A13779" s="15" t="s">
        <v>36374</v>
      </c>
      <c r="B13779" s="15" t="s">
        <v>25244</v>
      </c>
      <c r="C13779" s="15" t="s">
        <v>800</v>
      </c>
      <c r="D13779" s="15" t="s">
        <v>25245</v>
      </c>
      <c r="E13779" s="15">
        <v>12.7461</v>
      </c>
      <c r="F13779" s="42">
        <v>43297</v>
      </c>
    </row>
    <row r="13780" spans="1:6" x14ac:dyDescent="0.3">
      <c r="A13780" s="15" t="s">
        <v>36373</v>
      </c>
      <c r="B13780" s="15" t="s">
        <v>25246</v>
      </c>
      <c r="C13780" s="15" t="s">
        <v>800</v>
      </c>
      <c r="D13780" s="15" t="s">
        <v>25247</v>
      </c>
      <c r="E13780" s="15">
        <v>12.7461</v>
      </c>
      <c r="F13780" s="42">
        <v>43297</v>
      </c>
    </row>
    <row r="13781" spans="1:6" x14ac:dyDescent="0.3">
      <c r="A13781" s="15" t="s">
        <v>36372</v>
      </c>
      <c r="B13781" s="15" t="s">
        <v>25248</v>
      </c>
      <c r="C13781" s="15" t="s">
        <v>800</v>
      </c>
      <c r="D13781" s="15" t="s">
        <v>25249</v>
      </c>
      <c r="E13781" s="15">
        <v>12.646599999999999</v>
      </c>
      <c r="F13781" s="42">
        <v>43398</v>
      </c>
    </row>
    <row r="13782" spans="1:6" x14ac:dyDescent="0.3">
      <c r="A13782" s="15" t="s">
        <v>36371</v>
      </c>
      <c r="B13782" s="15" t="s">
        <v>25250</v>
      </c>
      <c r="C13782" s="15" t="s">
        <v>800</v>
      </c>
      <c r="D13782" s="15" t="s">
        <v>25251</v>
      </c>
      <c r="E13782" s="15">
        <v>12.7281</v>
      </c>
      <c r="F13782" s="42">
        <v>43398</v>
      </c>
    </row>
    <row r="13783" spans="1:6" x14ac:dyDescent="0.3">
      <c r="A13783" s="15" t="s">
        <v>36370</v>
      </c>
      <c r="B13783" s="15" t="s">
        <v>25252</v>
      </c>
      <c r="C13783" s="15" t="s">
        <v>800</v>
      </c>
      <c r="D13783" s="15" t="s">
        <v>25253</v>
      </c>
      <c r="E13783" s="15">
        <v>12.646599999999999</v>
      </c>
      <c r="F13783" s="42">
        <v>43398</v>
      </c>
    </row>
    <row r="13784" spans="1:6" x14ac:dyDescent="0.3">
      <c r="A13784" s="15" t="s">
        <v>36369</v>
      </c>
      <c r="B13784" s="15" t="s">
        <v>25254</v>
      </c>
      <c r="C13784" s="15" t="s">
        <v>800</v>
      </c>
      <c r="D13784" s="15" t="s">
        <v>25255</v>
      </c>
      <c r="E13784" s="15">
        <v>12.6404</v>
      </c>
      <c r="F13784" s="42">
        <v>43398</v>
      </c>
    </row>
    <row r="13785" spans="1:6" x14ac:dyDescent="0.3">
      <c r="A13785" s="15" t="s">
        <v>36368</v>
      </c>
      <c r="B13785" s="15" t="s">
        <v>25256</v>
      </c>
      <c r="C13785" s="15" t="s">
        <v>800</v>
      </c>
      <c r="D13785" s="15" t="s">
        <v>25257</v>
      </c>
      <c r="E13785" s="15">
        <v>12.7249</v>
      </c>
      <c r="F13785" s="42">
        <v>43398</v>
      </c>
    </row>
    <row r="13786" spans="1:6" x14ac:dyDescent="0.3">
      <c r="A13786" s="15" t="s">
        <v>36367</v>
      </c>
      <c r="B13786" s="15" t="s">
        <v>25258</v>
      </c>
      <c r="C13786" s="15" t="s">
        <v>800</v>
      </c>
      <c r="D13786" s="15" t="s">
        <v>25259</v>
      </c>
      <c r="E13786" s="15">
        <v>12.7249</v>
      </c>
      <c r="F13786" s="42">
        <v>43398</v>
      </c>
    </row>
    <row r="13787" spans="1:6" x14ac:dyDescent="0.3">
      <c r="A13787" s="15" t="s">
        <v>36366</v>
      </c>
      <c r="B13787" s="15" t="s">
        <v>25260</v>
      </c>
      <c r="C13787" s="15" t="s">
        <v>800</v>
      </c>
      <c r="D13787" s="15" t="s">
        <v>25261</v>
      </c>
      <c r="E13787" s="15">
        <v>12.6404</v>
      </c>
      <c r="F13787" s="42">
        <v>43398</v>
      </c>
    </row>
    <row r="13788" spans="1:6" x14ac:dyDescent="0.3">
      <c r="A13788" s="15" t="s">
        <v>36365</v>
      </c>
      <c r="B13788" s="15" t="s">
        <v>25262</v>
      </c>
      <c r="C13788" s="15" t="s">
        <v>800</v>
      </c>
      <c r="D13788" s="15" t="s">
        <v>25263</v>
      </c>
      <c r="E13788" s="15">
        <v>13.717599999999999</v>
      </c>
      <c r="F13788" s="42">
        <v>43612</v>
      </c>
    </row>
    <row r="13789" spans="1:6" x14ac:dyDescent="0.3">
      <c r="A13789" s="15" t="s">
        <v>36364</v>
      </c>
      <c r="B13789" s="15" t="s">
        <v>25264</v>
      </c>
      <c r="C13789" s="15" t="s">
        <v>800</v>
      </c>
      <c r="D13789" s="15" t="s">
        <v>25265</v>
      </c>
      <c r="E13789" s="15">
        <v>13.888199999999999</v>
      </c>
      <c r="F13789" s="42">
        <v>43612</v>
      </c>
    </row>
    <row r="13790" spans="1:6" x14ac:dyDescent="0.3">
      <c r="A13790" s="15" t="s">
        <v>36363</v>
      </c>
      <c r="B13790" s="15" t="s">
        <v>25266</v>
      </c>
      <c r="C13790" s="15" t="s">
        <v>800</v>
      </c>
      <c r="D13790" s="15" t="s">
        <v>25267</v>
      </c>
      <c r="E13790" s="15">
        <v>13.888199999999999</v>
      </c>
      <c r="F13790" s="42">
        <v>43612</v>
      </c>
    </row>
    <row r="13791" spans="1:6" x14ac:dyDescent="0.3">
      <c r="A13791" s="15" t="s">
        <v>36362</v>
      </c>
      <c r="B13791" s="15" t="s">
        <v>25268</v>
      </c>
      <c r="C13791" s="15" t="s">
        <v>800</v>
      </c>
      <c r="D13791" s="15" t="s">
        <v>25269</v>
      </c>
      <c r="E13791" s="15">
        <v>13.717599999999999</v>
      </c>
      <c r="F13791" s="42">
        <v>43612</v>
      </c>
    </row>
    <row r="13792" spans="1:6" x14ac:dyDescent="0.3">
      <c r="A13792" s="15" t="s">
        <v>36361</v>
      </c>
      <c r="B13792" s="15" t="s">
        <v>25270</v>
      </c>
      <c r="C13792" s="15" t="s">
        <v>800</v>
      </c>
      <c r="D13792" s="15" t="s">
        <v>25271</v>
      </c>
      <c r="E13792" s="15">
        <v>12.441800000000001</v>
      </c>
      <c r="F13792" s="42">
        <v>43588</v>
      </c>
    </row>
    <row r="13793" spans="1:6" x14ac:dyDescent="0.3">
      <c r="A13793" s="15" t="s">
        <v>36360</v>
      </c>
      <c r="B13793" s="15" t="s">
        <v>25272</v>
      </c>
      <c r="C13793" s="15" t="s">
        <v>800</v>
      </c>
      <c r="D13793" s="15" t="s">
        <v>25273</v>
      </c>
      <c r="E13793" s="15">
        <v>12.5487</v>
      </c>
      <c r="F13793" s="42">
        <v>43588</v>
      </c>
    </row>
    <row r="13794" spans="1:6" x14ac:dyDescent="0.3">
      <c r="A13794" s="15" t="s">
        <v>36359</v>
      </c>
      <c r="B13794" s="15" t="s">
        <v>25274</v>
      </c>
      <c r="C13794" s="15" t="s">
        <v>800</v>
      </c>
      <c r="D13794" s="15" t="s">
        <v>25275</v>
      </c>
      <c r="E13794" s="15">
        <v>12.5487</v>
      </c>
      <c r="F13794" s="42">
        <v>43588</v>
      </c>
    </row>
    <row r="13795" spans="1:6" x14ac:dyDescent="0.3">
      <c r="A13795" s="15" t="s">
        <v>36358</v>
      </c>
      <c r="B13795" s="15" t="s">
        <v>25276</v>
      </c>
      <c r="C13795" s="15" t="s">
        <v>800</v>
      </c>
      <c r="D13795" s="15" t="s">
        <v>25277</v>
      </c>
      <c r="E13795" s="15">
        <v>12.441800000000001</v>
      </c>
      <c r="F13795" s="42">
        <v>43588</v>
      </c>
    </row>
    <row r="13796" spans="1:6" x14ac:dyDescent="0.3">
      <c r="A13796" s="15" t="s">
        <v>36357</v>
      </c>
      <c r="B13796" s="15" t="s">
        <v>25278</v>
      </c>
      <c r="C13796" s="15" t="s">
        <v>800</v>
      </c>
      <c r="D13796" s="15" t="s">
        <v>25279</v>
      </c>
      <c r="E13796" s="15">
        <v>12.6569</v>
      </c>
      <c r="F13796" s="42">
        <v>43573</v>
      </c>
    </row>
    <row r="13797" spans="1:6" x14ac:dyDescent="0.3">
      <c r="A13797" s="15" t="s">
        <v>36356</v>
      </c>
      <c r="B13797" s="15" t="s">
        <v>25280</v>
      </c>
      <c r="C13797" s="15" t="s">
        <v>800</v>
      </c>
      <c r="D13797" s="15" t="s">
        <v>25281</v>
      </c>
      <c r="E13797" s="15">
        <v>12.682600000000001</v>
      </c>
      <c r="F13797" s="42">
        <v>43573</v>
      </c>
    </row>
    <row r="13798" spans="1:6" x14ac:dyDescent="0.3">
      <c r="A13798" s="15" t="s">
        <v>36355</v>
      </c>
      <c r="B13798" s="15" t="s">
        <v>25282</v>
      </c>
      <c r="C13798" s="15" t="s">
        <v>800</v>
      </c>
      <c r="D13798" s="15" t="s">
        <v>25283</v>
      </c>
      <c r="E13798" s="15">
        <v>12.682600000000001</v>
      </c>
      <c r="F13798" s="42">
        <v>43573</v>
      </c>
    </row>
    <row r="13799" spans="1:6" x14ac:dyDescent="0.3">
      <c r="A13799" s="15" t="s">
        <v>36354</v>
      </c>
      <c r="B13799" s="15" t="s">
        <v>25284</v>
      </c>
      <c r="C13799" s="15" t="s">
        <v>800</v>
      </c>
      <c r="D13799" s="15" t="s">
        <v>25285</v>
      </c>
      <c r="E13799" s="15">
        <v>12.9428</v>
      </c>
      <c r="F13799" s="42">
        <v>43573</v>
      </c>
    </row>
    <row r="13800" spans="1:6" x14ac:dyDescent="0.3">
      <c r="A13800" s="15" t="s">
        <v>36353</v>
      </c>
      <c r="B13800" s="15" t="s">
        <v>25286</v>
      </c>
      <c r="C13800" s="15" t="s">
        <v>800</v>
      </c>
      <c r="D13800" s="15" t="s">
        <v>25287</v>
      </c>
      <c r="E13800" s="15">
        <v>13.0244</v>
      </c>
      <c r="F13800" s="42">
        <v>43573</v>
      </c>
    </row>
    <row r="13801" spans="1:6" x14ac:dyDescent="0.3">
      <c r="A13801" s="15" t="s">
        <v>36352</v>
      </c>
      <c r="B13801" s="15" t="s">
        <v>25288</v>
      </c>
      <c r="C13801" s="15" t="s">
        <v>800</v>
      </c>
      <c r="D13801" s="15" t="s">
        <v>25289</v>
      </c>
      <c r="E13801" s="15">
        <v>13.0244</v>
      </c>
      <c r="F13801" s="42">
        <v>43573</v>
      </c>
    </row>
    <row r="13802" spans="1:6" x14ac:dyDescent="0.3">
      <c r="A13802" s="15" t="s">
        <v>36351</v>
      </c>
      <c r="B13802" s="15" t="s">
        <v>25290</v>
      </c>
      <c r="C13802" s="15" t="s">
        <v>800</v>
      </c>
      <c r="D13802" s="15" t="s">
        <v>25291</v>
      </c>
      <c r="E13802" s="15">
        <v>12.9428</v>
      </c>
      <c r="F13802" s="42">
        <v>43573</v>
      </c>
    </row>
    <row r="13803" spans="1:6" x14ac:dyDescent="0.3">
      <c r="A13803" s="15" t="s">
        <v>36350</v>
      </c>
      <c r="B13803" s="15" t="s">
        <v>25292</v>
      </c>
      <c r="C13803" s="15" t="s">
        <v>800</v>
      </c>
      <c r="D13803" s="15" t="s">
        <v>25293</v>
      </c>
      <c r="E13803" s="15">
        <v>12.6746</v>
      </c>
      <c r="F13803" s="42">
        <v>43580</v>
      </c>
    </row>
    <row r="13804" spans="1:6" x14ac:dyDescent="0.3">
      <c r="A13804" s="15" t="s">
        <v>36349</v>
      </c>
      <c r="B13804" s="15" t="s">
        <v>25294</v>
      </c>
      <c r="C13804" s="15" t="s">
        <v>800</v>
      </c>
      <c r="D13804" s="15" t="s">
        <v>25295</v>
      </c>
      <c r="E13804" s="15">
        <v>12.702299999999999</v>
      </c>
      <c r="F13804" s="42">
        <v>43580</v>
      </c>
    </row>
    <row r="13805" spans="1:6" x14ac:dyDescent="0.3">
      <c r="A13805" s="15" t="s">
        <v>36348</v>
      </c>
      <c r="B13805" s="15" t="s">
        <v>25296</v>
      </c>
      <c r="C13805" s="15" t="s">
        <v>800</v>
      </c>
      <c r="D13805" s="15" t="s">
        <v>25297</v>
      </c>
      <c r="E13805" s="15">
        <v>12.702299999999999</v>
      </c>
      <c r="F13805" s="42">
        <v>43580</v>
      </c>
    </row>
    <row r="13806" spans="1:6" x14ac:dyDescent="0.3">
      <c r="A13806" s="15" t="s">
        <v>36347</v>
      </c>
      <c r="B13806" s="15" t="s">
        <v>25298</v>
      </c>
      <c r="C13806" s="15" t="s">
        <v>800</v>
      </c>
      <c r="D13806" s="15" t="s">
        <v>25299</v>
      </c>
      <c r="E13806" s="15">
        <v>12.6175</v>
      </c>
      <c r="F13806" s="42">
        <v>43580</v>
      </c>
    </row>
    <row r="13807" spans="1:6" x14ac:dyDescent="0.3">
      <c r="A13807" s="15" t="s">
        <v>36346</v>
      </c>
      <c r="B13807" s="15" t="s">
        <v>25300</v>
      </c>
      <c r="C13807" s="15" t="s">
        <v>800</v>
      </c>
      <c r="D13807" s="15" t="s">
        <v>25301</v>
      </c>
      <c r="E13807" s="15">
        <v>12.686400000000001</v>
      </c>
      <c r="F13807" s="42">
        <v>43580</v>
      </c>
    </row>
    <row r="13808" spans="1:6" x14ac:dyDescent="0.3">
      <c r="A13808" s="15" t="s">
        <v>36345</v>
      </c>
      <c r="B13808" s="15" t="s">
        <v>25302</v>
      </c>
      <c r="C13808" s="15" t="s">
        <v>800</v>
      </c>
      <c r="D13808" s="15" t="s">
        <v>25303</v>
      </c>
      <c r="E13808" s="15">
        <v>12.7979</v>
      </c>
      <c r="F13808" s="42">
        <v>43580</v>
      </c>
    </row>
    <row r="13809" spans="1:6" x14ac:dyDescent="0.3">
      <c r="A13809" s="15" t="s">
        <v>36344</v>
      </c>
      <c r="B13809" s="15" t="s">
        <v>25304</v>
      </c>
      <c r="C13809" s="15" t="s">
        <v>800</v>
      </c>
      <c r="D13809" s="15" t="s">
        <v>25305</v>
      </c>
      <c r="E13809" s="15">
        <v>12.8232</v>
      </c>
      <c r="F13809" s="42">
        <v>43580</v>
      </c>
    </row>
    <row r="13810" spans="1:6" x14ac:dyDescent="0.3">
      <c r="A13810" s="15" t="s">
        <v>36343</v>
      </c>
      <c r="B13810" s="15" t="s">
        <v>25306</v>
      </c>
      <c r="C13810" s="15" t="s">
        <v>800</v>
      </c>
      <c r="D13810" s="15" t="s">
        <v>25307</v>
      </c>
      <c r="E13810" s="15">
        <v>12.7806</v>
      </c>
      <c r="F13810" s="42">
        <v>43580</v>
      </c>
    </row>
    <row r="13811" spans="1:6" x14ac:dyDescent="0.3">
      <c r="A13811" s="15" t="s">
        <v>36342</v>
      </c>
      <c r="B13811" s="15" t="s">
        <v>25308</v>
      </c>
      <c r="C13811" s="15" t="s">
        <v>800</v>
      </c>
      <c r="D13811" s="15" t="s">
        <v>25309</v>
      </c>
      <c r="E13811" s="15">
        <v>12.7559</v>
      </c>
      <c r="F13811" s="42">
        <v>43580</v>
      </c>
    </row>
    <row r="13812" spans="1:6" x14ac:dyDescent="0.3">
      <c r="A13812" s="15" t="s">
        <v>36341</v>
      </c>
      <c r="B13812" s="15" t="s">
        <v>25310</v>
      </c>
      <c r="C13812" s="15" t="s">
        <v>800</v>
      </c>
      <c r="D13812" s="15" t="s">
        <v>25311</v>
      </c>
      <c r="E13812" s="15">
        <v>12.629899999999999</v>
      </c>
      <c r="F13812" s="42">
        <v>43614</v>
      </c>
    </row>
    <row r="13813" spans="1:6" x14ac:dyDescent="0.3">
      <c r="A13813" s="15" t="s">
        <v>36340</v>
      </c>
      <c r="B13813" s="15" t="s">
        <v>25312</v>
      </c>
      <c r="C13813" s="15" t="s">
        <v>800</v>
      </c>
      <c r="D13813" s="15" t="s">
        <v>25313</v>
      </c>
      <c r="E13813" s="15">
        <v>12.707000000000001</v>
      </c>
      <c r="F13813" s="42">
        <v>43614</v>
      </c>
    </row>
    <row r="13814" spans="1:6" x14ac:dyDescent="0.3">
      <c r="A13814" s="15" t="s">
        <v>36339</v>
      </c>
      <c r="B13814" s="15" t="s">
        <v>25314</v>
      </c>
      <c r="C13814" s="15" t="s">
        <v>800</v>
      </c>
      <c r="D13814" s="15" t="s">
        <v>25315</v>
      </c>
      <c r="E13814" s="15">
        <v>12.629899999999999</v>
      </c>
      <c r="F13814" s="42">
        <v>43614</v>
      </c>
    </row>
    <row r="13815" spans="1:6" x14ac:dyDescent="0.3">
      <c r="A13815" s="15" t="s">
        <v>36338</v>
      </c>
      <c r="B13815" s="15" t="s">
        <v>25316</v>
      </c>
      <c r="C13815" s="15" t="s">
        <v>800</v>
      </c>
      <c r="D13815" s="15" t="s">
        <v>25317</v>
      </c>
      <c r="E13815" s="15">
        <v>12.8758</v>
      </c>
      <c r="F13815" s="42">
        <v>43593</v>
      </c>
    </row>
    <row r="13816" spans="1:6" x14ac:dyDescent="0.3">
      <c r="A13816" s="15" t="s">
        <v>36337</v>
      </c>
      <c r="B13816" s="15" t="s">
        <v>25318</v>
      </c>
      <c r="C13816" s="15" t="s">
        <v>800</v>
      </c>
      <c r="D13816" s="15" t="s">
        <v>25319</v>
      </c>
      <c r="E13816" s="15">
        <v>12.9032</v>
      </c>
      <c r="F13816" s="42">
        <v>43593</v>
      </c>
    </row>
    <row r="13817" spans="1:6" x14ac:dyDescent="0.3">
      <c r="A13817" s="15" t="s">
        <v>36336</v>
      </c>
      <c r="B13817" s="15" t="s">
        <v>25320</v>
      </c>
      <c r="C13817" s="15" t="s">
        <v>800</v>
      </c>
      <c r="D13817" s="15" t="s">
        <v>25321</v>
      </c>
      <c r="E13817" s="15">
        <v>12.8507</v>
      </c>
      <c r="F13817" s="42">
        <v>43593</v>
      </c>
    </row>
    <row r="13818" spans="1:6" x14ac:dyDescent="0.3">
      <c r="A13818" s="15" t="s">
        <v>36335</v>
      </c>
      <c r="B13818" s="15" t="s">
        <v>25322</v>
      </c>
      <c r="C13818" s="15" t="s">
        <v>800</v>
      </c>
      <c r="D13818" s="15" t="s">
        <v>25323</v>
      </c>
      <c r="E13818" s="15">
        <v>12.824</v>
      </c>
      <c r="F13818" s="42">
        <v>43593</v>
      </c>
    </row>
    <row r="13819" spans="1:6" x14ac:dyDescent="0.3">
      <c r="A13819" s="15" t="s">
        <v>36334</v>
      </c>
      <c r="B13819" s="15" t="s">
        <v>25324</v>
      </c>
      <c r="C13819" s="15" t="s">
        <v>800</v>
      </c>
      <c r="D13819" s="15" t="s">
        <v>25325</v>
      </c>
      <c r="E13819" s="15">
        <v>12.922800000000001</v>
      </c>
      <c r="F13819" s="42">
        <v>43594</v>
      </c>
    </row>
    <row r="13820" spans="1:6" x14ac:dyDescent="0.3">
      <c r="A13820" s="15" t="s">
        <v>36333</v>
      </c>
      <c r="B13820" s="15" t="s">
        <v>25326</v>
      </c>
      <c r="C13820" s="15" t="s">
        <v>800</v>
      </c>
      <c r="D13820" s="15" t="s">
        <v>25327</v>
      </c>
      <c r="E13820" s="15">
        <v>12.9504</v>
      </c>
      <c r="F13820" s="42">
        <v>43594</v>
      </c>
    </row>
    <row r="13821" spans="1:6" x14ac:dyDescent="0.3">
      <c r="A13821" s="15" t="s">
        <v>36332</v>
      </c>
      <c r="B13821" s="15" t="s">
        <v>25328</v>
      </c>
      <c r="C13821" s="15" t="s">
        <v>800</v>
      </c>
      <c r="D13821" s="15" t="s">
        <v>25329</v>
      </c>
      <c r="E13821" s="15">
        <v>12.889699999999999</v>
      </c>
      <c r="F13821" s="42">
        <v>43594</v>
      </c>
    </row>
    <row r="13822" spans="1:6" x14ac:dyDescent="0.3">
      <c r="A13822" s="15" t="s">
        <v>36331</v>
      </c>
      <c r="B13822" s="15" t="s">
        <v>25330</v>
      </c>
      <c r="C13822" s="15" t="s">
        <v>800</v>
      </c>
      <c r="D13822" s="15" t="s">
        <v>25331</v>
      </c>
      <c r="E13822" s="15">
        <v>12.8628</v>
      </c>
      <c r="F13822" s="42">
        <v>43594</v>
      </c>
    </row>
    <row r="13823" spans="1:6" x14ac:dyDescent="0.3">
      <c r="A13823" s="15" t="s">
        <v>36330</v>
      </c>
      <c r="B13823" s="15" t="s">
        <v>25332</v>
      </c>
      <c r="C13823" s="15" t="s">
        <v>800</v>
      </c>
      <c r="D13823" s="15" t="s">
        <v>25333</v>
      </c>
      <c r="E13823" s="15">
        <v>12.8514</v>
      </c>
      <c r="F13823" s="42">
        <v>43577</v>
      </c>
    </row>
    <row r="13824" spans="1:6" x14ac:dyDescent="0.3">
      <c r="A13824" s="15" t="s">
        <v>36329</v>
      </c>
      <c r="B13824" s="15" t="s">
        <v>25334</v>
      </c>
      <c r="C13824" s="15" t="s">
        <v>800</v>
      </c>
      <c r="D13824" s="15" t="s">
        <v>25335</v>
      </c>
      <c r="E13824" s="15">
        <v>12.8818</v>
      </c>
      <c r="F13824" s="42">
        <v>43577</v>
      </c>
    </row>
    <row r="13825" spans="1:6" x14ac:dyDescent="0.3">
      <c r="A13825" s="15" t="s">
        <v>36328</v>
      </c>
      <c r="B13825" s="15" t="s">
        <v>25336</v>
      </c>
      <c r="C13825" s="15" t="s">
        <v>800</v>
      </c>
      <c r="D13825" s="15" t="s">
        <v>25337</v>
      </c>
      <c r="E13825" s="15">
        <v>12.8818</v>
      </c>
      <c r="F13825" s="42">
        <v>43577</v>
      </c>
    </row>
    <row r="13826" spans="1:6" x14ac:dyDescent="0.3">
      <c r="A13826" s="15" t="s">
        <v>36327</v>
      </c>
      <c r="B13826" s="15" t="s">
        <v>25338</v>
      </c>
      <c r="C13826" s="15" t="s">
        <v>800</v>
      </c>
      <c r="D13826" s="15" t="s">
        <v>25339</v>
      </c>
      <c r="E13826" s="15">
        <v>12.8514</v>
      </c>
      <c r="F13826" s="42">
        <v>43577</v>
      </c>
    </row>
    <row r="13827" spans="1:6" x14ac:dyDescent="0.3">
      <c r="A13827" s="15" t="s">
        <v>36326</v>
      </c>
      <c r="B13827" s="15" t="s">
        <v>25340</v>
      </c>
      <c r="C13827" s="15" t="s">
        <v>800</v>
      </c>
      <c r="D13827" s="15" t="s">
        <v>25341</v>
      </c>
      <c r="E13827" s="15">
        <v>12.7637</v>
      </c>
      <c r="F13827" s="42">
        <v>43557</v>
      </c>
    </row>
    <row r="13828" spans="1:6" x14ac:dyDescent="0.3">
      <c r="A13828" s="15" t="s">
        <v>36325</v>
      </c>
      <c r="B13828" s="15" t="s">
        <v>25342</v>
      </c>
      <c r="C13828" s="15" t="s">
        <v>800</v>
      </c>
      <c r="D13828" s="15" t="s">
        <v>25343</v>
      </c>
      <c r="E13828" s="15">
        <v>12.835900000000001</v>
      </c>
      <c r="F13828" s="42">
        <v>43557</v>
      </c>
    </row>
    <row r="13829" spans="1:6" x14ac:dyDescent="0.3">
      <c r="A13829" s="15" t="s">
        <v>36324</v>
      </c>
      <c r="B13829" s="15" t="s">
        <v>25344</v>
      </c>
      <c r="C13829" s="15" t="s">
        <v>800</v>
      </c>
      <c r="D13829" s="15" t="s">
        <v>25345</v>
      </c>
      <c r="E13829" s="15">
        <v>12.835900000000001</v>
      </c>
      <c r="F13829" s="42">
        <v>43557</v>
      </c>
    </row>
    <row r="13830" spans="1:6" x14ac:dyDescent="0.3">
      <c r="A13830" s="15" t="s">
        <v>36323</v>
      </c>
      <c r="B13830" s="15" t="s">
        <v>25346</v>
      </c>
      <c r="C13830" s="15" t="s">
        <v>800</v>
      </c>
      <c r="D13830" s="15" t="s">
        <v>25347</v>
      </c>
      <c r="E13830" s="15">
        <v>12.7637</v>
      </c>
      <c r="F13830" s="42">
        <v>43557</v>
      </c>
    </row>
    <row r="13831" spans="1:6" x14ac:dyDescent="0.3">
      <c r="A13831" s="15" t="s">
        <v>36322</v>
      </c>
      <c r="B13831" s="15" t="s">
        <v>25348</v>
      </c>
      <c r="C13831" s="15" t="s">
        <v>800</v>
      </c>
      <c r="D13831" s="15" t="s">
        <v>25349</v>
      </c>
      <c r="E13831" s="15">
        <v>12.873900000000001</v>
      </c>
      <c r="F13831" s="42">
        <v>43578</v>
      </c>
    </row>
    <row r="13832" spans="1:6" x14ac:dyDescent="0.3">
      <c r="A13832" s="15" t="s">
        <v>36321</v>
      </c>
      <c r="B13832" s="15" t="s">
        <v>25350</v>
      </c>
      <c r="C13832" s="15" t="s">
        <v>800</v>
      </c>
      <c r="D13832" s="15" t="s">
        <v>25351</v>
      </c>
      <c r="E13832" s="15">
        <v>12.9064</v>
      </c>
      <c r="F13832" s="42">
        <v>43578</v>
      </c>
    </row>
    <row r="13833" spans="1:6" x14ac:dyDescent="0.3">
      <c r="A13833" s="15" t="s">
        <v>36320</v>
      </c>
      <c r="B13833" s="15" t="s">
        <v>25352</v>
      </c>
      <c r="C13833" s="15" t="s">
        <v>800</v>
      </c>
      <c r="D13833" s="15" t="s">
        <v>25353</v>
      </c>
      <c r="E13833" s="15">
        <v>12.9064</v>
      </c>
      <c r="F13833" s="42">
        <v>43578</v>
      </c>
    </row>
    <row r="13834" spans="1:6" x14ac:dyDescent="0.3">
      <c r="A13834" s="15" t="s">
        <v>36319</v>
      </c>
      <c r="B13834" s="15" t="s">
        <v>25354</v>
      </c>
      <c r="C13834" s="15" t="s">
        <v>800</v>
      </c>
      <c r="D13834" s="15" t="s">
        <v>25355</v>
      </c>
      <c r="E13834" s="15">
        <v>12.873900000000001</v>
      </c>
      <c r="F13834" s="42">
        <v>43578</v>
      </c>
    </row>
    <row r="13835" spans="1:6" x14ac:dyDescent="0.3">
      <c r="A13835" s="15" t="s">
        <v>36318</v>
      </c>
      <c r="B13835" s="15" t="s">
        <v>25356</v>
      </c>
      <c r="C13835" s="15" t="s">
        <v>800</v>
      </c>
      <c r="D13835" s="15" t="s">
        <v>25357</v>
      </c>
      <c r="E13835" s="15">
        <v>12.8028</v>
      </c>
      <c r="F13835" s="42">
        <v>43558</v>
      </c>
    </row>
    <row r="13836" spans="1:6" x14ac:dyDescent="0.3">
      <c r="A13836" s="15" t="s">
        <v>36317</v>
      </c>
      <c r="B13836" s="15" t="s">
        <v>25358</v>
      </c>
      <c r="C13836" s="15" t="s">
        <v>800</v>
      </c>
      <c r="D13836" s="15" t="s">
        <v>25359</v>
      </c>
      <c r="E13836" s="15">
        <v>12.891299999999999</v>
      </c>
      <c r="F13836" s="42">
        <v>43558</v>
      </c>
    </row>
    <row r="13837" spans="1:6" x14ac:dyDescent="0.3">
      <c r="A13837" s="15" t="s">
        <v>36316</v>
      </c>
      <c r="B13837" s="15" t="s">
        <v>25360</v>
      </c>
      <c r="C13837" s="15" t="s">
        <v>800</v>
      </c>
      <c r="D13837" s="15" t="s">
        <v>25361</v>
      </c>
      <c r="E13837" s="15">
        <v>12.8912</v>
      </c>
      <c r="F13837" s="42">
        <v>43558</v>
      </c>
    </row>
    <row r="13838" spans="1:6" x14ac:dyDescent="0.3">
      <c r="A13838" s="15" t="s">
        <v>36315</v>
      </c>
      <c r="B13838" s="15" t="s">
        <v>25362</v>
      </c>
      <c r="C13838" s="15" t="s">
        <v>800</v>
      </c>
      <c r="D13838" s="15" t="s">
        <v>25363</v>
      </c>
      <c r="E13838" s="15">
        <v>12.8028</v>
      </c>
      <c r="F13838" s="42">
        <v>43558</v>
      </c>
    </row>
    <row r="13839" spans="1:6" x14ac:dyDescent="0.3">
      <c r="A13839" s="15" t="s">
        <v>36314</v>
      </c>
      <c r="B13839" s="15" t="s">
        <v>25364</v>
      </c>
      <c r="C13839" s="15" t="s">
        <v>800</v>
      </c>
      <c r="D13839" s="15" t="s">
        <v>25365</v>
      </c>
      <c r="E13839" s="15">
        <v>13.4251</v>
      </c>
      <c r="F13839" s="42">
        <v>43739</v>
      </c>
    </row>
    <row r="13840" spans="1:6" x14ac:dyDescent="0.3">
      <c r="A13840" s="15" t="s">
        <v>36313</v>
      </c>
      <c r="B13840" s="15" t="s">
        <v>25366</v>
      </c>
      <c r="C13840" s="15" t="s">
        <v>800</v>
      </c>
      <c r="D13840" s="15" t="s">
        <v>25367</v>
      </c>
      <c r="E13840" s="15">
        <v>13.5167</v>
      </c>
      <c r="F13840" s="42">
        <v>43739</v>
      </c>
    </row>
    <row r="13841" spans="1:6" x14ac:dyDescent="0.3">
      <c r="A13841" s="15" t="s">
        <v>36312</v>
      </c>
      <c r="B13841" s="15" t="s">
        <v>25368</v>
      </c>
      <c r="C13841" s="15" t="s">
        <v>800</v>
      </c>
      <c r="D13841" s="15" t="s">
        <v>25369</v>
      </c>
      <c r="E13841" s="15">
        <v>13.5167</v>
      </c>
      <c r="F13841" s="42">
        <v>43739</v>
      </c>
    </row>
    <row r="13842" spans="1:6" x14ac:dyDescent="0.3">
      <c r="A13842" s="15" t="s">
        <v>36311</v>
      </c>
      <c r="B13842" s="15" t="s">
        <v>25370</v>
      </c>
      <c r="C13842" s="15" t="s">
        <v>800</v>
      </c>
      <c r="D13842" s="15" t="s">
        <v>25371</v>
      </c>
      <c r="E13842" s="15">
        <v>13.4251</v>
      </c>
      <c r="F13842" s="42">
        <v>43739</v>
      </c>
    </row>
    <row r="13843" spans="1:6" x14ac:dyDescent="0.3">
      <c r="A13843" s="15" t="s">
        <v>36310</v>
      </c>
      <c r="B13843" s="15" t="s">
        <v>25372</v>
      </c>
      <c r="C13843" s="15" t="s">
        <v>800</v>
      </c>
      <c r="D13843" s="15" t="s">
        <v>25373</v>
      </c>
      <c r="E13843" s="15">
        <v>10.416</v>
      </c>
      <c r="F13843" s="42">
        <v>42611</v>
      </c>
    </row>
    <row r="13844" spans="1:6" x14ac:dyDescent="0.3">
      <c r="A13844" s="15" t="s">
        <v>36309</v>
      </c>
      <c r="B13844" s="15" t="s">
        <v>25374</v>
      </c>
      <c r="C13844" s="15" t="s">
        <v>800</v>
      </c>
      <c r="D13844" s="15" t="s">
        <v>25375</v>
      </c>
      <c r="E13844" s="15">
        <v>10.4214</v>
      </c>
      <c r="F13844" s="42">
        <v>42611</v>
      </c>
    </row>
    <row r="13845" spans="1:6" x14ac:dyDescent="0.3">
      <c r="A13845" s="15" t="s">
        <v>36308</v>
      </c>
      <c r="B13845" s="15" t="s">
        <v>25376</v>
      </c>
      <c r="C13845" s="15" t="s">
        <v>800</v>
      </c>
      <c r="D13845" s="15" t="s">
        <v>25377</v>
      </c>
      <c r="E13845" s="15">
        <v>10.4214</v>
      </c>
      <c r="F13845" s="42">
        <v>42611</v>
      </c>
    </row>
    <row r="13846" spans="1:6" x14ac:dyDescent="0.3">
      <c r="A13846" s="15" t="s">
        <v>36307</v>
      </c>
      <c r="B13846" s="15" t="s">
        <v>25378</v>
      </c>
      <c r="C13846" s="15" t="s">
        <v>800</v>
      </c>
      <c r="D13846" s="15" t="s">
        <v>25379</v>
      </c>
      <c r="E13846" s="15">
        <v>10.416</v>
      </c>
      <c r="F13846" s="42">
        <v>42611</v>
      </c>
    </row>
    <row r="13847" spans="1:6" x14ac:dyDescent="0.3">
      <c r="A13847" s="15" t="s">
        <v>36306</v>
      </c>
      <c r="B13847" s="15" t="s">
        <v>25380</v>
      </c>
      <c r="C13847" s="15" t="s">
        <v>800</v>
      </c>
      <c r="D13847" s="15" t="s">
        <v>25381</v>
      </c>
      <c r="E13847" s="15">
        <v>10.4114</v>
      </c>
      <c r="F13847" s="42">
        <v>42600</v>
      </c>
    </row>
    <row r="13848" spans="1:6" x14ac:dyDescent="0.3">
      <c r="A13848" s="15" t="s">
        <v>36305</v>
      </c>
      <c r="B13848" s="15" t="s">
        <v>25382</v>
      </c>
      <c r="C13848" s="15" t="s">
        <v>800</v>
      </c>
      <c r="D13848" s="15" t="s">
        <v>25383</v>
      </c>
      <c r="E13848" s="15">
        <v>10.418100000000001</v>
      </c>
      <c r="F13848" s="42">
        <v>42600</v>
      </c>
    </row>
    <row r="13849" spans="1:6" x14ac:dyDescent="0.3">
      <c r="A13849" s="15" t="s">
        <v>36304</v>
      </c>
      <c r="B13849" s="15" t="s">
        <v>25384</v>
      </c>
      <c r="C13849" s="15" t="s">
        <v>800</v>
      </c>
      <c r="D13849" s="15" t="s">
        <v>25385</v>
      </c>
      <c r="E13849" s="15">
        <v>10.221299999999999</v>
      </c>
      <c r="F13849" s="42">
        <v>42506</v>
      </c>
    </row>
    <row r="13850" spans="1:6" x14ac:dyDescent="0.3">
      <c r="A13850" s="15" t="s">
        <v>36303</v>
      </c>
      <c r="B13850" s="15" t="s">
        <v>25386</v>
      </c>
      <c r="C13850" s="15" t="s">
        <v>800</v>
      </c>
      <c r="D13850" s="15" t="s">
        <v>25387</v>
      </c>
      <c r="E13850" s="15">
        <v>10.215999999999999</v>
      </c>
      <c r="F13850" s="42">
        <v>42506</v>
      </c>
    </row>
    <row r="13851" spans="1:6" x14ac:dyDescent="0.3">
      <c r="A13851" s="15" t="s">
        <v>36302</v>
      </c>
      <c r="B13851" s="15" t="s">
        <v>25388</v>
      </c>
      <c r="C13851" s="15" t="s">
        <v>800</v>
      </c>
      <c r="D13851" s="15" t="s">
        <v>25389</v>
      </c>
      <c r="E13851" s="15">
        <v>10.225300000000001</v>
      </c>
      <c r="F13851" s="42">
        <v>42520</v>
      </c>
    </row>
    <row r="13852" spans="1:6" x14ac:dyDescent="0.3">
      <c r="A13852" s="15" t="s">
        <v>36301</v>
      </c>
      <c r="B13852" s="15" t="s">
        <v>25390</v>
      </c>
      <c r="C13852" s="15" t="s">
        <v>800</v>
      </c>
      <c r="D13852" s="15" t="s">
        <v>25391</v>
      </c>
      <c r="E13852" s="15">
        <v>10.2239</v>
      </c>
      <c r="F13852" s="42">
        <v>42520</v>
      </c>
    </row>
    <row r="13853" spans="1:6" x14ac:dyDescent="0.3">
      <c r="A13853" s="15" t="s">
        <v>36300</v>
      </c>
      <c r="B13853" s="15" t="s">
        <v>25392</v>
      </c>
      <c r="C13853" s="15" t="s">
        <v>800</v>
      </c>
      <c r="D13853" s="15" t="s">
        <v>25393</v>
      </c>
      <c r="E13853" s="15">
        <v>10.224</v>
      </c>
      <c r="F13853" s="42">
        <v>42520</v>
      </c>
    </row>
    <row r="13854" spans="1:6" x14ac:dyDescent="0.3">
      <c r="A13854" s="15" t="s">
        <v>36299</v>
      </c>
      <c r="B13854" s="15" t="s">
        <v>25394</v>
      </c>
      <c r="C13854" s="15" t="s">
        <v>800</v>
      </c>
      <c r="D13854" s="15" t="s">
        <v>25395</v>
      </c>
      <c r="E13854" s="15">
        <v>10.225300000000001</v>
      </c>
      <c r="F13854" s="42">
        <v>42520</v>
      </c>
    </row>
    <row r="13855" spans="1:6" x14ac:dyDescent="0.3">
      <c r="A13855" s="15" t="s">
        <v>36298</v>
      </c>
      <c r="B13855" s="15" t="s">
        <v>25396</v>
      </c>
      <c r="C13855" s="15" t="s">
        <v>800</v>
      </c>
      <c r="D13855" s="15" t="s">
        <v>25397</v>
      </c>
      <c r="E13855" s="15">
        <v>12.7387</v>
      </c>
      <c r="F13855" s="42">
        <v>43724</v>
      </c>
    </row>
    <row r="13856" spans="1:6" x14ac:dyDescent="0.3">
      <c r="A13856" s="15" t="s">
        <v>36297</v>
      </c>
      <c r="B13856" s="15" t="s">
        <v>25398</v>
      </c>
      <c r="C13856" s="15" t="s">
        <v>800</v>
      </c>
      <c r="D13856" s="15" t="s">
        <v>25399</v>
      </c>
      <c r="E13856" s="15">
        <v>12.8474</v>
      </c>
      <c r="F13856" s="42">
        <v>43724</v>
      </c>
    </row>
    <row r="13857" spans="1:6" x14ac:dyDescent="0.3">
      <c r="A13857" s="15" t="s">
        <v>36296</v>
      </c>
      <c r="B13857" s="15" t="s">
        <v>25400</v>
      </c>
      <c r="C13857" s="15" t="s">
        <v>800</v>
      </c>
      <c r="D13857" s="15" t="s">
        <v>25401</v>
      </c>
      <c r="E13857" s="15">
        <v>12.8474</v>
      </c>
      <c r="F13857" s="42">
        <v>43724</v>
      </c>
    </row>
    <row r="13858" spans="1:6" x14ac:dyDescent="0.3">
      <c r="A13858" s="15" t="s">
        <v>36295</v>
      </c>
      <c r="B13858" s="15" t="s">
        <v>25402</v>
      </c>
      <c r="C13858" s="15" t="s">
        <v>800</v>
      </c>
      <c r="D13858" s="15" t="s">
        <v>25403</v>
      </c>
      <c r="E13858" s="15">
        <v>12.7387</v>
      </c>
      <c r="F13858" s="42">
        <v>43724</v>
      </c>
    </row>
    <row r="13859" spans="1:6" x14ac:dyDescent="0.3">
      <c r="A13859" s="15" t="s">
        <v>36294</v>
      </c>
      <c r="B13859" s="15" t="s">
        <v>25404</v>
      </c>
      <c r="C13859" s="15" t="s">
        <v>800</v>
      </c>
      <c r="D13859" s="15" t="s">
        <v>25405</v>
      </c>
      <c r="E13859" s="15">
        <v>12.3018</v>
      </c>
      <c r="F13859" s="42">
        <v>43724</v>
      </c>
    </row>
    <row r="13860" spans="1:6" x14ac:dyDescent="0.3">
      <c r="A13860" s="15" t="s">
        <v>36293</v>
      </c>
      <c r="B13860" s="15" t="s">
        <v>25406</v>
      </c>
      <c r="C13860" s="15" t="s">
        <v>800</v>
      </c>
      <c r="D13860" s="15" t="s">
        <v>25407</v>
      </c>
      <c r="E13860" s="15">
        <v>12.370699999999999</v>
      </c>
      <c r="F13860" s="42">
        <v>43724</v>
      </c>
    </row>
    <row r="13861" spans="1:6" x14ac:dyDescent="0.3">
      <c r="A13861" s="15" t="s">
        <v>36292</v>
      </c>
      <c r="B13861" s="15" t="s">
        <v>25408</v>
      </c>
      <c r="C13861" s="15" t="s">
        <v>800</v>
      </c>
      <c r="D13861" s="15" t="s">
        <v>25409</v>
      </c>
      <c r="E13861" s="15">
        <v>12.370699999999999</v>
      </c>
      <c r="F13861" s="42">
        <v>43724</v>
      </c>
    </row>
    <row r="13862" spans="1:6" x14ac:dyDescent="0.3">
      <c r="A13862" s="15" t="s">
        <v>36291</v>
      </c>
      <c r="B13862" s="15" t="s">
        <v>25410</v>
      </c>
      <c r="C13862" s="15" t="s">
        <v>800</v>
      </c>
      <c r="D13862" s="15" t="s">
        <v>25411</v>
      </c>
      <c r="E13862" s="15">
        <v>12.3018</v>
      </c>
      <c r="F13862" s="42">
        <v>43724</v>
      </c>
    </row>
    <row r="13863" spans="1:6" x14ac:dyDescent="0.3">
      <c r="A13863" s="15" t="s">
        <v>36290</v>
      </c>
      <c r="B13863" s="15" t="s">
        <v>25412</v>
      </c>
      <c r="C13863" s="15" t="s">
        <v>800</v>
      </c>
      <c r="D13863" s="15" t="s">
        <v>25413</v>
      </c>
      <c r="E13863" s="15">
        <v>12.527900000000001</v>
      </c>
      <c r="F13863" s="42">
        <v>43613</v>
      </c>
    </row>
    <row r="13864" spans="1:6" x14ac:dyDescent="0.3">
      <c r="A13864" s="15" t="s">
        <v>36289</v>
      </c>
      <c r="B13864" s="15" t="s">
        <v>25414</v>
      </c>
      <c r="C13864" s="15" t="s">
        <v>800</v>
      </c>
      <c r="D13864" s="15" t="s">
        <v>25415</v>
      </c>
      <c r="E13864" s="15">
        <v>12.6271</v>
      </c>
      <c r="F13864" s="42">
        <v>43613</v>
      </c>
    </row>
    <row r="13865" spans="1:6" x14ac:dyDescent="0.3">
      <c r="A13865" s="15" t="s">
        <v>36288</v>
      </c>
      <c r="B13865" s="15" t="s">
        <v>25416</v>
      </c>
      <c r="C13865" s="15" t="s">
        <v>800</v>
      </c>
      <c r="D13865" s="15" t="s">
        <v>25417</v>
      </c>
      <c r="E13865" s="15">
        <v>12.6271</v>
      </c>
      <c r="F13865" s="42">
        <v>43613</v>
      </c>
    </row>
    <row r="13866" spans="1:6" x14ac:dyDescent="0.3">
      <c r="A13866" s="15" t="s">
        <v>36287</v>
      </c>
      <c r="B13866" s="15" t="s">
        <v>25418</v>
      </c>
      <c r="C13866" s="15" t="s">
        <v>800</v>
      </c>
      <c r="D13866" s="15" t="s">
        <v>25419</v>
      </c>
      <c r="E13866" s="15">
        <v>12.527900000000001</v>
      </c>
      <c r="F13866" s="42">
        <v>43613</v>
      </c>
    </row>
    <row r="13867" spans="1:6" x14ac:dyDescent="0.3">
      <c r="A13867" s="15" t="s">
        <v>36286</v>
      </c>
      <c r="B13867" s="15" t="s">
        <v>25420</v>
      </c>
      <c r="C13867" s="15" t="s">
        <v>800</v>
      </c>
      <c r="D13867" s="15" t="s">
        <v>25421</v>
      </c>
      <c r="E13867" s="15">
        <v>12.295</v>
      </c>
      <c r="F13867" s="42">
        <v>43711</v>
      </c>
    </row>
    <row r="13868" spans="1:6" x14ac:dyDescent="0.3">
      <c r="A13868" s="15" t="s">
        <v>36285</v>
      </c>
      <c r="B13868" s="15" t="s">
        <v>25422</v>
      </c>
      <c r="C13868" s="15" t="s">
        <v>800</v>
      </c>
      <c r="D13868" s="15" t="s">
        <v>25423</v>
      </c>
      <c r="E13868" s="15">
        <v>12.295</v>
      </c>
      <c r="F13868" s="42">
        <v>43711</v>
      </c>
    </row>
    <row r="13869" spans="1:6" x14ac:dyDescent="0.3">
      <c r="A13869" s="15" t="s">
        <v>36284</v>
      </c>
      <c r="B13869" s="15" t="s">
        <v>25424</v>
      </c>
      <c r="C13869" s="15" t="s">
        <v>800</v>
      </c>
      <c r="D13869" s="15" t="s">
        <v>25425</v>
      </c>
      <c r="E13869" s="15">
        <v>12.372199999999999</v>
      </c>
      <c r="F13869" s="42">
        <v>43711</v>
      </c>
    </row>
    <row r="13870" spans="1:6" x14ac:dyDescent="0.3">
      <c r="A13870" s="15" t="s">
        <v>36283</v>
      </c>
      <c r="B13870" s="15" t="s">
        <v>25426</v>
      </c>
      <c r="C13870" s="15" t="s">
        <v>800</v>
      </c>
      <c r="D13870" s="15" t="s">
        <v>25427</v>
      </c>
      <c r="E13870" s="15">
        <v>12.372199999999999</v>
      </c>
      <c r="F13870" s="42">
        <v>43711</v>
      </c>
    </row>
    <row r="13871" spans="1:6" x14ac:dyDescent="0.3">
      <c r="A13871" s="15" t="s">
        <v>36282</v>
      </c>
      <c r="B13871" s="15" t="s">
        <v>25428</v>
      </c>
      <c r="C13871" s="15" t="s">
        <v>800</v>
      </c>
      <c r="D13871" s="15" t="s">
        <v>25429</v>
      </c>
      <c r="E13871" s="15">
        <v>12.3682</v>
      </c>
      <c r="F13871" s="42">
        <v>43711</v>
      </c>
    </row>
    <row r="13872" spans="1:6" x14ac:dyDescent="0.3">
      <c r="A13872" s="15" t="s">
        <v>36281</v>
      </c>
      <c r="B13872" s="15" t="s">
        <v>25430</v>
      </c>
      <c r="C13872" s="15" t="s">
        <v>800</v>
      </c>
      <c r="D13872" s="15" t="s">
        <v>25431</v>
      </c>
      <c r="E13872" s="15">
        <v>12.4278</v>
      </c>
      <c r="F13872" s="42">
        <v>43711</v>
      </c>
    </row>
    <row r="13873" spans="1:6" x14ac:dyDescent="0.3">
      <c r="A13873" s="15" t="s">
        <v>36280</v>
      </c>
      <c r="B13873" s="15" t="s">
        <v>25432</v>
      </c>
      <c r="C13873" s="15" t="s">
        <v>800</v>
      </c>
      <c r="D13873" s="15" t="s">
        <v>25433</v>
      </c>
      <c r="E13873" s="15">
        <v>12.4278</v>
      </c>
      <c r="F13873" s="42">
        <v>43711</v>
      </c>
    </row>
    <row r="13874" spans="1:6" x14ac:dyDescent="0.3">
      <c r="A13874" s="15" t="s">
        <v>36279</v>
      </c>
      <c r="B13874" s="15" t="s">
        <v>25434</v>
      </c>
      <c r="C13874" s="15" t="s">
        <v>800</v>
      </c>
      <c r="D13874" s="15" t="s">
        <v>25435</v>
      </c>
      <c r="E13874" s="15">
        <v>12.3682</v>
      </c>
      <c r="F13874" s="42">
        <v>43711</v>
      </c>
    </row>
    <row r="13875" spans="1:6" x14ac:dyDescent="0.3">
      <c r="A13875" s="15" t="s">
        <v>36278</v>
      </c>
      <c r="B13875" s="15" t="s">
        <v>25436</v>
      </c>
      <c r="C13875" s="15" t="s">
        <v>800</v>
      </c>
      <c r="D13875" s="15" t="s">
        <v>25437</v>
      </c>
      <c r="E13875" s="15">
        <v>12.4277</v>
      </c>
      <c r="F13875" s="42">
        <v>43704</v>
      </c>
    </row>
    <row r="13876" spans="1:6" x14ac:dyDescent="0.3">
      <c r="A13876" s="15" t="s">
        <v>36277</v>
      </c>
      <c r="B13876" s="15" t="s">
        <v>25438</v>
      </c>
      <c r="C13876" s="15" t="s">
        <v>800</v>
      </c>
      <c r="D13876" s="15" t="s">
        <v>25439</v>
      </c>
      <c r="E13876" s="15">
        <v>12.485099999999999</v>
      </c>
      <c r="F13876" s="42">
        <v>43704</v>
      </c>
    </row>
    <row r="13877" spans="1:6" x14ac:dyDescent="0.3">
      <c r="A13877" s="15" t="s">
        <v>36276</v>
      </c>
      <c r="B13877" s="15" t="s">
        <v>25440</v>
      </c>
      <c r="C13877" s="15" t="s">
        <v>800</v>
      </c>
      <c r="D13877" s="15" t="s">
        <v>25441</v>
      </c>
      <c r="E13877" s="15">
        <v>12.4277</v>
      </c>
      <c r="F13877" s="42">
        <v>43704</v>
      </c>
    </row>
    <row r="13878" spans="1:6" x14ac:dyDescent="0.3">
      <c r="A13878" s="15" t="s">
        <v>36275</v>
      </c>
      <c r="B13878" s="15" t="s">
        <v>25442</v>
      </c>
      <c r="C13878" s="15" t="s">
        <v>800</v>
      </c>
      <c r="D13878" s="15" t="s">
        <v>25443</v>
      </c>
      <c r="E13878" s="15">
        <v>12.4366</v>
      </c>
      <c r="F13878" s="42">
        <v>43678</v>
      </c>
    </row>
    <row r="13879" spans="1:6" x14ac:dyDescent="0.3">
      <c r="A13879" s="15" t="s">
        <v>36274</v>
      </c>
      <c r="B13879" s="15" t="s">
        <v>25444</v>
      </c>
      <c r="C13879" s="15" t="s">
        <v>800</v>
      </c>
      <c r="D13879" s="15" t="s">
        <v>25445</v>
      </c>
      <c r="E13879" s="15">
        <v>12.519399999999999</v>
      </c>
      <c r="F13879" s="42">
        <v>43678</v>
      </c>
    </row>
    <row r="13880" spans="1:6" x14ac:dyDescent="0.3">
      <c r="A13880" s="15" t="s">
        <v>36273</v>
      </c>
      <c r="B13880" s="15" t="s">
        <v>25446</v>
      </c>
      <c r="C13880" s="15" t="s">
        <v>800</v>
      </c>
      <c r="D13880" s="15" t="s">
        <v>25447</v>
      </c>
      <c r="E13880" s="15">
        <v>12.519399999999999</v>
      </c>
      <c r="F13880" s="42">
        <v>43678</v>
      </c>
    </row>
    <row r="13881" spans="1:6" x14ac:dyDescent="0.3">
      <c r="A13881" s="15" t="s">
        <v>36272</v>
      </c>
      <c r="B13881" s="15" t="s">
        <v>25448</v>
      </c>
      <c r="C13881" s="15" t="s">
        <v>800</v>
      </c>
      <c r="D13881" s="15" t="s">
        <v>25449</v>
      </c>
      <c r="E13881" s="15">
        <v>12.4366</v>
      </c>
      <c r="F13881" s="42">
        <v>43678</v>
      </c>
    </row>
    <row r="13882" spans="1:6" x14ac:dyDescent="0.3">
      <c r="A13882" s="15" t="s">
        <v>36271</v>
      </c>
      <c r="B13882" s="15" t="s">
        <v>25450</v>
      </c>
      <c r="C13882" s="15" t="s">
        <v>800</v>
      </c>
      <c r="D13882" s="15" t="s">
        <v>25451</v>
      </c>
      <c r="E13882" s="15">
        <v>12.661799999999999</v>
      </c>
      <c r="F13882" s="42">
        <v>43690</v>
      </c>
    </row>
    <row r="13883" spans="1:6" x14ac:dyDescent="0.3">
      <c r="A13883" s="15" t="s">
        <v>36270</v>
      </c>
      <c r="B13883" s="15" t="s">
        <v>25452</v>
      </c>
      <c r="C13883" s="15" t="s">
        <v>800</v>
      </c>
      <c r="D13883" s="15" t="s">
        <v>25453</v>
      </c>
      <c r="E13883" s="15">
        <v>12.818</v>
      </c>
      <c r="F13883" s="42">
        <v>43690</v>
      </c>
    </row>
    <row r="13884" spans="1:6" x14ac:dyDescent="0.3">
      <c r="A13884" s="15" t="s">
        <v>36269</v>
      </c>
      <c r="B13884" s="15" t="s">
        <v>25454</v>
      </c>
      <c r="C13884" s="15" t="s">
        <v>800</v>
      </c>
      <c r="D13884" s="15" t="s">
        <v>25455</v>
      </c>
      <c r="E13884" s="15">
        <v>12.818</v>
      </c>
      <c r="F13884" s="42">
        <v>43690</v>
      </c>
    </row>
    <row r="13885" spans="1:6" x14ac:dyDescent="0.3">
      <c r="A13885" s="15" t="s">
        <v>36268</v>
      </c>
      <c r="B13885" s="15" t="s">
        <v>25456</v>
      </c>
      <c r="C13885" s="15" t="s">
        <v>800</v>
      </c>
      <c r="D13885" s="15" t="s">
        <v>25457</v>
      </c>
      <c r="E13885" s="15">
        <v>12.661799999999999</v>
      </c>
      <c r="F13885" s="42">
        <v>43690</v>
      </c>
    </row>
    <row r="13886" spans="1:6" x14ac:dyDescent="0.3">
      <c r="A13886" s="15" t="s">
        <v>36267</v>
      </c>
      <c r="B13886" s="15" t="s">
        <v>25458</v>
      </c>
      <c r="C13886" s="15" t="s">
        <v>800</v>
      </c>
      <c r="D13886" s="15" t="s">
        <v>25459</v>
      </c>
      <c r="E13886" s="15">
        <v>13.113899999999999</v>
      </c>
      <c r="F13886" s="42">
        <v>43712</v>
      </c>
    </row>
    <row r="13887" spans="1:6" x14ac:dyDescent="0.3">
      <c r="A13887" s="15" t="s">
        <v>36266</v>
      </c>
      <c r="B13887" s="15" t="s">
        <v>25460</v>
      </c>
      <c r="C13887" s="15" t="s">
        <v>800</v>
      </c>
      <c r="D13887" s="15" t="s">
        <v>25461</v>
      </c>
      <c r="E13887" s="15">
        <v>13.3003</v>
      </c>
      <c r="F13887" s="42">
        <v>43712</v>
      </c>
    </row>
    <row r="13888" spans="1:6" x14ac:dyDescent="0.3">
      <c r="A13888" s="15" t="s">
        <v>36265</v>
      </c>
      <c r="B13888" s="15" t="s">
        <v>25462</v>
      </c>
      <c r="C13888" s="15" t="s">
        <v>800</v>
      </c>
      <c r="D13888" s="15" t="s">
        <v>25463</v>
      </c>
      <c r="E13888" s="15">
        <v>13.3003</v>
      </c>
      <c r="F13888" s="42">
        <v>43712</v>
      </c>
    </row>
    <row r="13889" spans="1:6" x14ac:dyDescent="0.3">
      <c r="A13889" s="15" t="s">
        <v>36264</v>
      </c>
      <c r="B13889" s="15" t="s">
        <v>25464</v>
      </c>
      <c r="C13889" s="15" t="s">
        <v>800</v>
      </c>
      <c r="D13889" s="15" t="s">
        <v>25465</v>
      </c>
      <c r="E13889" s="15">
        <v>13.113899999999999</v>
      </c>
      <c r="F13889" s="42">
        <v>43712</v>
      </c>
    </row>
    <row r="13890" spans="1:6" x14ac:dyDescent="0.3">
      <c r="A13890" s="15" t="s">
        <v>36263</v>
      </c>
      <c r="B13890" s="15" t="s">
        <v>25466</v>
      </c>
      <c r="C13890" s="15" t="s">
        <v>800</v>
      </c>
      <c r="D13890" s="15" t="s">
        <v>25467</v>
      </c>
      <c r="E13890" s="15">
        <v>13.0267</v>
      </c>
      <c r="F13890" s="42">
        <v>44039</v>
      </c>
    </row>
    <row r="13891" spans="1:6" x14ac:dyDescent="0.3">
      <c r="A13891" s="15" t="s">
        <v>36262</v>
      </c>
      <c r="B13891" s="15" t="s">
        <v>25468</v>
      </c>
      <c r="C13891" s="15" t="s">
        <v>800</v>
      </c>
      <c r="D13891" s="15" t="s">
        <v>25469</v>
      </c>
      <c r="E13891" s="15">
        <v>13.1043</v>
      </c>
      <c r="F13891" s="42">
        <v>44039</v>
      </c>
    </row>
    <row r="13892" spans="1:6" x14ac:dyDescent="0.3">
      <c r="A13892" s="15" t="s">
        <v>36261</v>
      </c>
      <c r="B13892" s="15" t="s">
        <v>25470</v>
      </c>
      <c r="C13892" s="15" t="s">
        <v>800</v>
      </c>
      <c r="D13892" s="15" t="s">
        <v>25471</v>
      </c>
      <c r="E13892" s="15">
        <v>13.0267</v>
      </c>
      <c r="F13892" s="42">
        <v>44039</v>
      </c>
    </row>
    <row r="13893" spans="1:6" x14ac:dyDescent="0.3">
      <c r="A13893" s="15" t="s">
        <v>36260</v>
      </c>
      <c r="B13893" s="15" t="s">
        <v>25472</v>
      </c>
      <c r="C13893" s="15" t="s">
        <v>800</v>
      </c>
      <c r="D13893" s="15" t="s">
        <v>25473</v>
      </c>
      <c r="E13893" s="15">
        <v>12.5893</v>
      </c>
      <c r="F13893" s="42">
        <v>43763</v>
      </c>
    </row>
    <row r="13894" spans="1:6" x14ac:dyDescent="0.3">
      <c r="A13894" s="15" t="s">
        <v>36259</v>
      </c>
      <c r="B13894" s="15" t="s">
        <v>25474</v>
      </c>
      <c r="C13894" s="15" t="s">
        <v>800</v>
      </c>
      <c r="D13894" s="15" t="s">
        <v>25475</v>
      </c>
      <c r="E13894" s="15">
        <v>12.7173</v>
      </c>
      <c r="F13894" s="42">
        <v>43763</v>
      </c>
    </row>
    <row r="13895" spans="1:6" x14ac:dyDescent="0.3">
      <c r="A13895" s="15" t="s">
        <v>36258</v>
      </c>
      <c r="B13895" s="15" t="s">
        <v>25476</v>
      </c>
      <c r="C13895" s="15" t="s">
        <v>800</v>
      </c>
      <c r="D13895" s="15" t="s">
        <v>25477</v>
      </c>
      <c r="E13895" s="15">
        <v>12.7173</v>
      </c>
      <c r="F13895" s="42">
        <v>43763</v>
      </c>
    </row>
    <row r="13896" spans="1:6" x14ac:dyDescent="0.3">
      <c r="A13896" s="15" t="s">
        <v>36257</v>
      </c>
      <c r="B13896" s="15" t="s">
        <v>25478</v>
      </c>
      <c r="C13896" s="15" t="s">
        <v>800</v>
      </c>
      <c r="D13896" s="15" t="s">
        <v>25479</v>
      </c>
      <c r="E13896" s="15">
        <v>12.5893</v>
      </c>
      <c r="F13896" s="42">
        <v>43763</v>
      </c>
    </row>
    <row r="13897" spans="1:6" x14ac:dyDescent="0.3">
      <c r="A13897" s="15" t="s">
        <v>36256</v>
      </c>
      <c r="B13897" s="15" t="s">
        <v>25480</v>
      </c>
      <c r="C13897" s="15" t="s">
        <v>800</v>
      </c>
      <c r="D13897" s="15" t="s">
        <v>25481</v>
      </c>
      <c r="E13897" s="15">
        <v>12.673500000000001</v>
      </c>
      <c r="F13897" s="42">
        <v>43948</v>
      </c>
    </row>
    <row r="13898" spans="1:6" x14ac:dyDescent="0.3">
      <c r="A13898" s="15" t="s">
        <v>36255</v>
      </c>
      <c r="B13898" s="15" t="s">
        <v>25482</v>
      </c>
      <c r="C13898" s="15" t="s">
        <v>800</v>
      </c>
      <c r="D13898" s="15" t="s">
        <v>25483</v>
      </c>
      <c r="E13898" s="15">
        <v>12.779</v>
      </c>
      <c r="F13898" s="42">
        <v>43948</v>
      </c>
    </row>
    <row r="13899" spans="1:6" x14ac:dyDescent="0.3">
      <c r="A13899" s="15" t="s">
        <v>36254</v>
      </c>
      <c r="B13899" s="15" t="s">
        <v>25484</v>
      </c>
      <c r="C13899" s="15" t="s">
        <v>800</v>
      </c>
      <c r="D13899" s="15" t="s">
        <v>25485</v>
      </c>
      <c r="E13899" s="15">
        <v>12.779</v>
      </c>
      <c r="F13899" s="42">
        <v>43948</v>
      </c>
    </row>
    <row r="13900" spans="1:6" x14ac:dyDescent="0.3">
      <c r="A13900" s="15" t="s">
        <v>36253</v>
      </c>
      <c r="B13900" s="15" t="s">
        <v>25486</v>
      </c>
      <c r="C13900" s="15" t="s">
        <v>800</v>
      </c>
      <c r="D13900" s="15" t="s">
        <v>25487</v>
      </c>
      <c r="E13900" s="15">
        <v>12.673500000000001</v>
      </c>
      <c r="F13900" s="42">
        <v>43948</v>
      </c>
    </row>
    <row r="13901" spans="1:6" x14ac:dyDescent="0.3">
      <c r="A13901" s="15" t="s">
        <v>36252</v>
      </c>
      <c r="B13901" s="15" t="s">
        <v>25488</v>
      </c>
      <c r="C13901" s="15" t="s">
        <v>800</v>
      </c>
      <c r="D13901" s="15" t="s">
        <v>25489</v>
      </c>
      <c r="E13901" s="15">
        <v>12.680300000000001</v>
      </c>
      <c r="F13901" s="42">
        <v>43962</v>
      </c>
    </row>
    <row r="13902" spans="1:6" x14ac:dyDescent="0.3">
      <c r="A13902" s="15" t="s">
        <v>36251</v>
      </c>
      <c r="B13902" s="15" t="s">
        <v>25490</v>
      </c>
      <c r="C13902" s="15" t="s">
        <v>800</v>
      </c>
      <c r="D13902" s="15" t="s">
        <v>25491</v>
      </c>
      <c r="E13902" s="15">
        <v>12.831300000000001</v>
      </c>
      <c r="F13902" s="42">
        <v>43962</v>
      </c>
    </row>
    <row r="13903" spans="1:6" x14ac:dyDescent="0.3">
      <c r="A13903" s="15" t="s">
        <v>36250</v>
      </c>
      <c r="B13903" s="15" t="s">
        <v>25492</v>
      </c>
      <c r="C13903" s="15" t="s">
        <v>800</v>
      </c>
      <c r="D13903" s="15" t="s">
        <v>25493</v>
      </c>
      <c r="E13903" s="15">
        <v>12.831300000000001</v>
      </c>
      <c r="F13903" s="42">
        <v>43962</v>
      </c>
    </row>
    <row r="13904" spans="1:6" x14ac:dyDescent="0.3">
      <c r="A13904" s="15" t="s">
        <v>36249</v>
      </c>
      <c r="B13904" s="15" t="s">
        <v>25494</v>
      </c>
      <c r="C13904" s="15" t="s">
        <v>800</v>
      </c>
      <c r="D13904" s="15" t="s">
        <v>25495</v>
      </c>
      <c r="E13904" s="15">
        <v>12.680300000000001</v>
      </c>
      <c r="F13904" s="42">
        <v>43962</v>
      </c>
    </row>
    <row r="13905" spans="1:6" x14ac:dyDescent="0.3">
      <c r="A13905" s="15" t="s">
        <v>36248</v>
      </c>
      <c r="B13905" s="15" t="s">
        <v>25496</v>
      </c>
      <c r="C13905" s="15" t="s">
        <v>800</v>
      </c>
      <c r="D13905" s="15" t="s">
        <v>25497</v>
      </c>
      <c r="E13905" s="15">
        <v>12.7361</v>
      </c>
      <c r="F13905" s="42">
        <v>43959</v>
      </c>
    </row>
    <row r="13906" spans="1:6" x14ac:dyDescent="0.3">
      <c r="A13906" s="15" t="s">
        <v>36247</v>
      </c>
      <c r="B13906" s="15" t="s">
        <v>25498</v>
      </c>
      <c r="C13906" s="15" t="s">
        <v>800</v>
      </c>
      <c r="D13906" s="15" t="s">
        <v>25499</v>
      </c>
      <c r="E13906" s="15">
        <v>12.874599999999999</v>
      </c>
      <c r="F13906" s="42">
        <v>43959</v>
      </c>
    </row>
    <row r="13907" spans="1:6" x14ac:dyDescent="0.3">
      <c r="A13907" s="15" t="s">
        <v>36246</v>
      </c>
      <c r="B13907" s="15" t="s">
        <v>25500</v>
      </c>
      <c r="C13907" s="15" t="s">
        <v>800</v>
      </c>
      <c r="D13907" s="15" t="s">
        <v>25501</v>
      </c>
      <c r="E13907" s="15">
        <v>12.7361</v>
      </c>
      <c r="F13907" s="42">
        <v>43959</v>
      </c>
    </row>
    <row r="13908" spans="1:6" x14ac:dyDescent="0.3">
      <c r="A13908" s="15" t="s">
        <v>36245</v>
      </c>
      <c r="B13908" s="15" t="s">
        <v>25502</v>
      </c>
      <c r="C13908" s="15" t="s">
        <v>800</v>
      </c>
      <c r="D13908" s="15" t="s">
        <v>25503</v>
      </c>
      <c r="E13908" s="15">
        <v>12.874599999999999</v>
      </c>
      <c r="F13908" s="42">
        <v>43959</v>
      </c>
    </row>
    <row r="13909" spans="1:6" x14ac:dyDescent="0.3">
      <c r="A13909" s="15" t="s">
        <v>36244</v>
      </c>
      <c r="B13909" s="15" t="s">
        <v>25504</v>
      </c>
      <c r="C13909" s="15" t="s">
        <v>800</v>
      </c>
      <c r="D13909" s="15" t="s">
        <v>25505</v>
      </c>
      <c r="E13909" s="15">
        <v>12.7888</v>
      </c>
      <c r="F13909" s="42">
        <v>43963</v>
      </c>
    </row>
    <row r="13910" spans="1:6" x14ac:dyDescent="0.3">
      <c r="A13910" s="15" t="s">
        <v>36243</v>
      </c>
      <c r="B13910" s="15" t="s">
        <v>25506</v>
      </c>
      <c r="C13910" s="15" t="s">
        <v>800</v>
      </c>
      <c r="D13910" s="15" t="s">
        <v>25507</v>
      </c>
      <c r="E13910" s="15">
        <v>12.9292</v>
      </c>
      <c r="F13910" s="42">
        <v>43963</v>
      </c>
    </row>
    <row r="13911" spans="1:6" x14ac:dyDescent="0.3">
      <c r="A13911" s="15" t="s">
        <v>36242</v>
      </c>
      <c r="B13911" s="15" t="s">
        <v>25508</v>
      </c>
      <c r="C13911" s="15" t="s">
        <v>800</v>
      </c>
      <c r="D13911" s="15" t="s">
        <v>25509</v>
      </c>
      <c r="E13911" s="15">
        <v>12.9292</v>
      </c>
      <c r="F13911" s="42">
        <v>43963</v>
      </c>
    </row>
    <row r="13912" spans="1:6" x14ac:dyDescent="0.3">
      <c r="A13912" s="15" t="s">
        <v>36241</v>
      </c>
      <c r="B13912" s="15" t="s">
        <v>25510</v>
      </c>
      <c r="C13912" s="15" t="s">
        <v>800</v>
      </c>
      <c r="D13912" s="15" t="s">
        <v>25511</v>
      </c>
      <c r="E13912" s="15">
        <v>12.7888</v>
      </c>
      <c r="F13912" s="42">
        <v>43963</v>
      </c>
    </row>
    <row r="13913" spans="1:6" x14ac:dyDescent="0.3">
      <c r="A13913" s="15" t="s">
        <v>36240</v>
      </c>
      <c r="B13913" s="15" t="s">
        <v>25512</v>
      </c>
      <c r="C13913" s="15" t="s">
        <v>800</v>
      </c>
      <c r="D13913" s="15" t="s">
        <v>25513</v>
      </c>
      <c r="E13913" s="15">
        <v>12.569599999999999</v>
      </c>
      <c r="F13913" s="42">
        <v>44039</v>
      </c>
    </row>
    <row r="13914" spans="1:6" x14ac:dyDescent="0.3">
      <c r="A13914" s="15" t="s">
        <v>36239</v>
      </c>
      <c r="B13914" s="15" t="s">
        <v>25514</v>
      </c>
      <c r="C13914" s="15" t="s">
        <v>800</v>
      </c>
      <c r="D13914" s="15" t="s">
        <v>25515</v>
      </c>
      <c r="E13914" s="15">
        <v>12.6082</v>
      </c>
      <c r="F13914" s="42">
        <v>44039</v>
      </c>
    </row>
    <row r="13915" spans="1:6" x14ac:dyDescent="0.3">
      <c r="A13915" s="15" t="s">
        <v>36238</v>
      </c>
      <c r="B13915" s="15" t="s">
        <v>25516</v>
      </c>
      <c r="C13915" s="15" t="s">
        <v>800</v>
      </c>
      <c r="D13915" s="15" t="s">
        <v>25517</v>
      </c>
      <c r="E13915" s="15">
        <v>12.6082</v>
      </c>
      <c r="F13915" s="42">
        <v>44039</v>
      </c>
    </row>
    <row r="13916" spans="1:6" x14ac:dyDescent="0.3">
      <c r="A13916" s="15" t="s">
        <v>36237</v>
      </c>
      <c r="B13916" s="15" t="s">
        <v>25518</v>
      </c>
      <c r="C13916" s="15" t="s">
        <v>800</v>
      </c>
      <c r="D13916" s="15" t="s">
        <v>25519</v>
      </c>
      <c r="E13916" s="15">
        <v>12.569599999999999</v>
      </c>
      <c r="F13916" s="42">
        <v>44039</v>
      </c>
    </row>
    <row r="13917" spans="1:6" x14ac:dyDescent="0.3">
      <c r="A13917" s="15" t="s">
        <v>36236</v>
      </c>
      <c r="B13917" s="15" t="s">
        <v>25520</v>
      </c>
      <c r="C13917" s="15" t="s">
        <v>800</v>
      </c>
      <c r="D13917" s="15" t="s">
        <v>25521</v>
      </c>
      <c r="E13917" s="15">
        <v>12.624499999999999</v>
      </c>
      <c r="F13917" s="42">
        <v>44047</v>
      </c>
    </row>
    <row r="13918" spans="1:6" x14ac:dyDescent="0.3">
      <c r="A13918" s="15" t="s">
        <v>36235</v>
      </c>
      <c r="B13918" s="15" t="s">
        <v>25522</v>
      </c>
      <c r="C13918" s="15" t="s">
        <v>800</v>
      </c>
      <c r="D13918" s="15" t="s">
        <v>25523</v>
      </c>
      <c r="E13918" s="15">
        <v>12.6647</v>
      </c>
      <c r="F13918" s="42">
        <v>44047</v>
      </c>
    </row>
    <row r="13919" spans="1:6" x14ac:dyDescent="0.3">
      <c r="A13919" s="15" t="s">
        <v>36234</v>
      </c>
      <c r="B13919" s="15" t="s">
        <v>25524</v>
      </c>
      <c r="C13919" s="15" t="s">
        <v>800</v>
      </c>
      <c r="D13919" s="15" t="s">
        <v>25525</v>
      </c>
      <c r="E13919" s="15">
        <v>12.6647</v>
      </c>
      <c r="F13919" s="42">
        <v>44047</v>
      </c>
    </row>
    <row r="13920" spans="1:6" x14ac:dyDescent="0.3">
      <c r="A13920" s="15" t="s">
        <v>36233</v>
      </c>
      <c r="B13920" s="15" t="s">
        <v>25526</v>
      </c>
      <c r="C13920" s="15" t="s">
        <v>800</v>
      </c>
      <c r="D13920" s="15" t="s">
        <v>25527</v>
      </c>
      <c r="E13920" s="15">
        <v>12.624499999999999</v>
      </c>
      <c r="F13920" s="42">
        <v>44047</v>
      </c>
    </row>
    <row r="13921" spans="1:6" x14ac:dyDescent="0.3">
      <c r="A13921" s="15" t="s">
        <v>36232</v>
      </c>
      <c r="B13921" s="15" t="s">
        <v>25528</v>
      </c>
      <c r="C13921" s="15" t="s">
        <v>800</v>
      </c>
      <c r="D13921" s="15" t="s">
        <v>25529</v>
      </c>
      <c r="E13921" s="15">
        <v>12.6478</v>
      </c>
      <c r="F13921" s="42">
        <v>44041</v>
      </c>
    </row>
    <row r="13922" spans="1:6" x14ac:dyDescent="0.3">
      <c r="A13922" s="15" t="s">
        <v>36231</v>
      </c>
      <c r="B13922" s="15" t="s">
        <v>25530</v>
      </c>
      <c r="C13922" s="15" t="s">
        <v>800</v>
      </c>
      <c r="D13922" s="15" t="s">
        <v>25531</v>
      </c>
      <c r="E13922" s="15">
        <v>12.689399999999999</v>
      </c>
      <c r="F13922" s="42">
        <v>44041</v>
      </c>
    </row>
    <row r="13923" spans="1:6" x14ac:dyDescent="0.3">
      <c r="A13923" s="15" t="s">
        <v>36230</v>
      </c>
      <c r="B13923" s="15" t="s">
        <v>25532</v>
      </c>
      <c r="C13923" s="15" t="s">
        <v>800</v>
      </c>
      <c r="D13923" s="15" t="s">
        <v>25533</v>
      </c>
      <c r="E13923" s="15">
        <v>12.689399999999999</v>
      </c>
      <c r="F13923" s="42">
        <v>44041</v>
      </c>
    </row>
    <row r="13924" spans="1:6" x14ac:dyDescent="0.3">
      <c r="A13924" s="15" t="s">
        <v>36229</v>
      </c>
      <c r="B13924" s="15" t="s">
        <v>25534</v>
      </c>
      <c r="C13924" s="15" t="s">
        <v>800</v>
      </c>
      <c r="D13924" s="15" t="s">
        <v>25535</v>
      </c>
      <c r="E13924" s="15">
        <v>12.664400000000001</v>
      </c>
      <c r="F13924" s="42">
        <v>44041</v>
      </c>
    </row>
    <row r="13925" spans="1:6" x14ac:dyDescent="0.3">
      <c r="A13925" s="15" t="s">
        <v>36228</v>
      </c>
      <c r="B13925" s="15" t="s">
        <v>25536</v>
      </c>
      <c r="C13925" s="15" t="s">
        <v>800</v>
      </c>
      <c r="D13925" s="15" t="s">
        <v>25537</v>
      </c>
      <c r="E13925" s="15">
        <v>12.7072</v>
      </c>
      <c r="F13925" s="42">
        <v>44041</v>
      </c>
    </row>
    <row r="13926" spans="1:6" x14ac:dyDescent="0.3">
      <c r="A13926" s="15" t="s">
        <v>36227</v>
      </c>
      <c r="B13926" s="15" t="s">
        <v>25538</v>
      </c>
      <c r="C13926" s="15" t="s">
        <v>800</v>
      </c>
      <c r="D13926" s="15" t="s">
        <v>25539</v>
      </c>
      <c r="E13926" s="15">
        <v>12.7072</v>
      </c>
      <c r="F13926" s="42">
        <v>44041</v>
      </c>
    </row>
    <row r="13927" spans="1:6" x14ac:dyDescent="0.3">
      <c r="A13927" s="15" t="s">
        <v>36226</v>
      </c>
      <c r="B13927" s="15" t="s">
        <v>25540</v>
      </c>
      <c r="C13927" s="15" t="s">
        <v>800</v>
      </c>
      <c r="D13927" s="15" t="s">
        <v>25541</v>
      </c>
      <c r="E13927" s="15">
        <v>12.645899999999999</v>
      </c>
      <c r="F13927" s="42">
        <v>44041</v>
      </c>
    </row>
    <row r="13928" spans="1:6" x14ac:dyDescent="0.3">
      <c r="A13928" s="15" t="s">
        <v>36225</v>
      </c>
      <c r="B13928" s="15" t="s">
        <v>25542</v>
      </c>
      <c r="C13928" s="15" t="s">
        <v>800</v>
      </c>
      <c r="D13928" s="15" t="s">
        <v>25543</v>
      </c>
      <c r="E13928" s="15">
        <v>12.6668</v>
      </c>
      <c r="F13928" s="42">
        <v>44041</v>
      </c>
    </row>
    <row r="13929" spans="1:6" x14ac:dyDescent="0.3">
      <c r="A13929" s="15" t="s">
        <v>36224</v>
      </c>
      <c r="B13929" s="15" t="s">
        <v>25544</v>
      </c>
      <c r="C13929" s="15" t="s">
        <v>800</v>
      </c>
      <c r="D13929" s="15" t="s">
        <v>25545</v>
      </c>
      <c r="E13929" s="15">
        <v>12.6668</v>
      </c>
      <c r="F13929" s="42">
        <v>44041</v>
      </c>
    </row>
    <row r="13930" spans="1:6" x14ac:dyDescent="0.3">
      <c r="A13930" s="15" t="s">
        <v>36223</v>
      </c>
      <c r="B13930" s="15" t="s">
        <v>25546</v>
      </c>
      <c r="C13930" s="15" t="s">
        <v>800</v>
      </c>
      <c r="D13930" s="15" t="s">
        <v>25547</v>
      </c>
      <c r="E13930" s="15">
        <v>12.6462</v>
      </c>
      <c r="F13930" s="42">
        <v>44048</v>
      </c>
    </row>
    <row r="13931" spans="1:6" x14ac:dyDescent="0.3">
      <c r="A13931" s="15" t="s">
        <v>36222</v>
      </c>
      <c r="B13931" s="15" t="s">
        <v>25548</v>
      </c>
      <c r="C13931" s="15" t="s">
        <v>800</v>
      </c>
      <c r="D13931" s="15" t="s">
        <v>25549</v>
      </c>
      <c r="E13931" s="15">
        <v>12.669600000000001</v>
      </c>
      <c r="F13931" s="42">
        <v>44048</v>
      </c>
    </row>
    <row r="13932" spans="1:6" x14ac:dyDescent="0.3">
      <c r="A13932" s="15" t="s">
        <v>36221</v>
      </c>
      <c r="B13932" s="15" t="s">
        <v>25550</v>
      </c>
      <c r="C13932" s="15" t="s">
        <v>800</v>
      </c>
      <c r="D13932" s="15" t="s">
        <v>25551</v>
      </c>
      <c r="E13932" s="15">
        <v>12.669600000000001</v>
      </c>
      <c r="F13932" s="42">
        <v>44048</v>
      </c>
    </row>
    <row r="13933" spans="1:6" x14ac:dyDescent="0.3">
      <c r="A13933" s="15" t="s">
        <v>36220</v>
      </c>
      <c r="B13933" s="15" t="s">
        <v>25552</v>
      </c>
      <c r="C13933" s="15" t="s">
        <v>800</v>
      </c>
      <c r="D13933" s="15" t="s">
        <v>25553</v>
      </c>
      <c r="E13933" s="15">
        <v>12.6462</v>
      </c>
      <c r="F13933" s="42">
        <v>44048</v>
      </c>
    </row>
    <row r="13934" spans="1:6" x14ac:dyDescent="0.3">
      <c r="A13934" s="15" t="s">
        <v>36219</v>
      </c>
      <c r="B13934" s="15" t="s">
        <v>25554</v>
      </c>
      <c r="C13934" s="15" t="s">
        <v>800</v>
      </c>
      <c r="D13934" s="15" t="s">
        <v>25555</v>
      </c>
      <c r="E13934" s="15">
        <v>12.873200000000001</v>
      </c>
      <c r="F13934" s="42">
        <v>43943</v>
      </c>
    </row>
    <row r="13935" spans="1:6" x14ac:dyDescent="0.3">
      <c r="A13935" s="15" t="s">
        <v>36218</v>
      </c>
      <c r="B13935" s="15" t="s">
        <v>25556</v>
      </c>
      <c r="C13935" s="15" t="s">
        <v>800</v>
      </c>
      <c r="D13935" s="15" t="s">
        <v>25557</v>
      </c>
      <c r="E13935" s="15">
        <v>12.969900000000001</v>
      </c>
      <c r="F13935" s="42">
        <v>43943</v>
      </c>
    </row>
    <row r="13936" spans="1:6" x14ac:dyDescent="0.3">
      <c r="A13936" s="15" t="s">
        <v>36217</v>
      </c>
      <c r="B13936" s="15" t="s">
        <v>25558</v>
      </c>
      <c r="C13936" s="15" t="s">
        <v>800</v>
      </c>
      <c r="D13936" s="15" t="s">
        <v>25559</v>
      </c>
      <c r="E13936" s="15">
        <v>12.873200000000001</v>
      </c>
      <c r="F13936" s="42">
        <v>43943</v>
      </c>
    </row>
    <row r="13937" spans="1:6" x14ac:dyDescent="0.3">
      <c r="A13937" s="15" t="s">
        <v>36216</v>
      </c>
      <c r="B13937" s="15" t="s">
        <v>25560</v>
      </c>
      <c r="C13937" s="15" t="s">
        <v>800</v>
      </c>
      <c r="D13937" s="15" t="s">
        <v>25561</v>
      </c>
      <c r="E13937" s="15">
        <v>12.6365</v>
      </c>
      <c r="F13937" s="42">
        <v>44041</v>
      </c>
    </row>
    <row r="13938" spans="1:6" x14ac:dyDescent="0.3">
      <c r="A13938" s="15" t="s">
        <v>36215</v>
      </c>
      <c r="B13938" s="15" t="s">
        <v>25562</v>
      </c>
      <c r="C13938" s="15" t="s">
        <v>800</v>
      </c>
      <c r="D13938" s="15" t="s">
        <v>25563</v>
      </c>
      <c r="E13938" s="15">
        <v>12.642799999999999</v>
      </c>
      <c r="F13938" s="42">
        <v>44041</v>
      </c>
    </row>
    <row r="13939" spans="1:6" x14ac:dyDescent="0.3">
      <c r="A13939" s="15" t="s">
        <v>36214</v>
      </c>
      <c r="B13939" s="15" t="s">
        <v>25564</v>
      </c>
      <c r="C13939" s="15" t="s">
        <v>800</v>
      </c>
      <c r="D13939" s="15" t="s">
        <v>25565</v>
      </c>
      <c r="E13939" s="15">
        <v>12.6365</v>
      </c>
      <c r="F13939" s="42">
        <v>44041</v>
      </c>
    </row>
    <row r="13940" spans="1:6" x14ac:dyDescent="0.3">
      <c r="A13940" s="15" t="s">
        <v>36213</v>
      </c>
      <c r="B13940" s="15" t="s">
        <v>25566</v>
      </c>
      <c r="C13940" s="15" t="s">
        <v>800</v>
      </c>
      <c r="D13940" s="15" t="s">
        <v>25567</v>
      </c>
      <c r="E13940" s="15">
        <v>12.3863</v>
      </c>
      <c r="F13940" s="42">
        <v>44029</v>
      </c>
    </row>
    <row r="13941" spans="1:6" x14ac:dyDescent="0.3">
      <c r="A13941" s="15" t="s">
        <v>36212</v>
      </c>
      <c r="B13941" s="15" t="s">
        <v>25568</v>
      </c>
      <c r="C13941" s="15" t="s">
        <v>800</v>
      </c>
      <c r="D13941" s="15" t="s">
        <v>25569</v>
      </c>
      <c r="E13941" s="15">
        <v>12.511699999999999</v>
      </c>
      <c r="F13941" s="42">
        <v>44029</v>
      </c>
    </row>
    <row r="13942" spans="1:6" x14ac:dyDescent="0.3">
      <c r="A13942" s="15" t="s">
        <v>36211</v>
      </c>
      <c r="B13942" s="15" t="s">
        <v>25570</v>
      </c>
      <c r="C13942" s="15" t="s">
        <v>800</v>
      </c>
      <c r="D13942" s="15" t="s">
        <v>25571</v>
      </c>
      <c r="E13942" s="15">
        <v>12.511699999999999</v>
      </c>
      <c r="F13942" s="42">
        <v>44029</v>
      </c>
    </row>
    <row r="13943" spans="1:6" x14ac:dyDescent="0.3">
      <c r="A13943" s="15" t="s">
        <v>36210</v>
      </c>
      <c r="B13943" s="15" t="s">
        <v>25572</v>
      </c>
      <c r="C13943" s="15" t="s">
        <v>800</v>
      </c>
      <c r="D13943" s="15" t="s">
        <v>25573</v>
      </c>
      <c r="E13943" s="15">
        <v>12.3863</v>
      </c>
      <c r="F13943" s="42">
        <v>44029</v>
      </c>
    </row>
    <row r="13944" spans="1:6" x14ac:dyDescent="0.3">
      <c r="A13944" s="15" t="s">
        <v>36209</v>
      </c>
      <c r="B13944" s="15" t="s">
        <v>25574</v>
      </c>
      <c r="C13944" s="15" t="s">
        <v>800</v>
      </c>
      <c r="D13944" s="15" t="s">
        <v>25575</v>
      </c>
      <c r="E13944" s="15">
        <v>12.420400000000001</v>
      </c>
      <c r="F13944" s="42">
        <v>44062</v>
      </c>
    </row>
    <row r="13945" spans="1:6" x14ac:dyDescent="0.3">
      <c r="A13945" s="15" t="s">
        <v>36208</v>
      </c>
      <c r="B13945" s="15" t="s">
        <v>25576</v>
      </c>
      <c r="C13945" s="15" t="s">
        <v>800</v>
      </c>
      <c r="D13945" s="15" t="s">
        <v>25577</v>
      </c>
      <c r="E13945" s="15">
        <v>12.519399999999999</v>
      </c>
      <c r="F13945" s="42">
        <v>44062</v>
      </c>
    </row>
    <row r="13946" spans="1:6" x14ac:dyDescent="0.3">
      <c r="A13946" s="15" t="s">
        <v>36207</v>
      </c>
      <c r="B13946" s="15" t="s">
        <v>25578</v>
      </c>
      <c r="C13946" s="15" t="s">
        <v>800</v>
      </c>
      <c r="D13946" s="15" t="s">
        <v>25579</v>
      </c>
      <c r="E13946" s="15">
        <v>12.519399999999999</v>
      </c>
      <c r="F13946" s="42">
        <v>44062</v>
      </c>
    </row>
    <row r="13947" spans="1:6" x14ac:dyDescent="0.3">
      <c r="A13947" s="15" t="s">
        <v>36206</v>
      </c>
      <c r="B13947" s="15" t="s">
        <v>25580</v>
      </c>
      <c r="C13947" s="15" t="s">
        <v>800</v>
      </c>
      <c r="D13947" s="15" t="s">
        <v>25581</v>
      </c>
      <c r="E13947" s="15">
        <v>12.420400000000001</v>
      </c>
      <c r="F13947" s="42">
        <v>44062</v>
      </c>
    </row>
    <row r="13948" spans="1:6" x14ac:dyDescent="0.3">
      <c r="A13948" s="15" t="s">
        <v>36205</v>
      </c>
      <c r="B13948" s="15" t="s">
        <v>25582</v>
      </c>
      <c r="C13948" s="15" t="s">
        <v>800</v>
      </c>
      <c r="D13948" s="15" t="s">
        <v>25583</v>
      </c>
      <c r="E13948" s="15">
        <v>12.4779</v>
      </c>
      <c r="F13948" s="42">
        <v>44119</v>
      </c>
    </row>
    <row r="13949" spans="1:6" x14ac:dyDescent="0.3">
      <c r="A13949" s="15" t="s">
        <v>36204</v>
      </c>
      <c r="B13949" s="15" t="s">
        <v>25584</v>
      </c>
      <c r="C13949" s="15" t="s">
        <v>800</v>
      </c>
      <c r="D13949" s="15" t="s">
        <v>25585</v>
      </c>
      <c r="E13949" s="15">
        <v>12.5101</v>
      </c>
      <c r="F13949" s="42">
        <v>44119</v>
      </c>
    </row>
    <row r="13950" spans="1:6" x14ac:dyDescent="0.3">
      <c r="A13950" s="15" t="s">
        <v>36203</v>
      </c>
      <c r="B13950" s="15" t="s">
        <v>25586</v>
      </c>
      <c r="C13950" s="15" t="s">
        <v>800</v>
      </c>
      <c r="D13950" s="15" t="s">
        <v>25587</v>
      </c>
      <c r="E13950" s="15">
        <v>12.5101</v>
      </c>
      <c r="F13950" s="42">
        <v>44119</v>
      </c>
    </row>
    <row r="13951" spans="1:6" x14ac:dyDescent="0.3">
      <c r="A13951" s="15" t="s">
        <v>36202</v>
      </c>
      <c r="B13951" s="15" t="s">
        <v>25588</v>
      </c>
      <c r="C13951" s="15" t="s">
        <v>800</v>
      </c>
      <c r="D13951" s="15" t="s">
        <v>25589</v>
      </c>
      <c r="E13951" s="15">
        <v>12.4779</v>
      </c>
      <c r="F13951" s="42">
        <v>44119</v>
      </c>
    </row>
    <row r="13952" spans="1:6" x14ac:dyDescent="0.3">
      <c r="A13952" s="15" t="s">
        <v>36201</v>
      </c>
      <c r="B13952" s="15" t="s">
        <v>25590</v>
      </c>
      <c r="C13952" s="15" t="s">
        <v>800</v>
      </c>
      <c r="D13952" s="15" t="s">
        <v>25591</v>
      </c>
      <c r="E13952" s="15">
        <v>12.450699999999999</v>
      </c>
      <c r="F13952" s="42">
        <v>43955</v>
      </c>
    </row>
    <row r="13953" spans="1:6" x14ac:dyDescent="0.3">
      <c r="A13953" s="15" t="s">
        <v>36200</v>
      </c>
      <c r="B13953" s="15" t="s">
        <v>25592</v>
      </c>
      <c r="C13953" s="15" t="s">
        <v>800</v>
      </c>
      <c r="D13953" s="15" t="s">
        <v>25593</v>
      </c>
      <c r="E13953" s="15">
        <v>12.7188</v>
      </c>
      <c r="F13953" s="42">
        <v>43955</v>
      </c>
    </row>
    <row r="13954" spans="1:6" x14ac:dyDescent="0.3">
      <c r="A13954" s="15" t="s">
        <v>36199</v>
      </c>
      <c r="B13954" s="15" t="s">
        <v>25594</v>
      </c>
      <c r="C13954" s="15" t="s">
        <v>800</v>
      </c>
      <c r="D13954" s="15" t="s">
        <v>25595</v>
      </c>
      <c r="E13954" s="15">
        <v>12.7188</v>
      </c>
      <c r="F13954" s="42">
        <v>43955</v>
      </c>
    </row>
    <row r="13955" spans="1:6" x14ac:dyDescent="0.3">
      <c r="A13955" s="15" t="s">
        <v>36198</v>
      </c>
      <c r="B13955" s="15" t="s">
        <v>25596</v>
      </c>
      <c r="C13955" s="15" t="s">
        <v>800</v>
      </c>
      <c r="D13955" s="15" t="s">
        <v>25597</v>
      </c>
      <c r="E13955" s="15">
        <v>12.450699999999999</v>
      </c>
      <c r="F13955" s="42">
        <v>43955</v>
      </c>
    </row>
    <row r="13956" spans="1:6" x14ac:dyDescent="0.3">
      <c r="A13956" s="15" t="s">
        <v>36197</v>
      </c>
      <c r="B13956" s="15" t="s">
        <v>25598</v>
      </c>
      <c r="C13956" s="15" t="s">
        <v>800</v>
      </c>
      <c r="D13956" s="15" t="s">
        <v>25599</v>
      </c>
      <c r="E13956" s="15">
        <v>12.448</v>
      </c>
      <c r="F13956" s="42">
        <v>43969</v>
      </c>
    </row>
    <row r="13957" spans="1:6" x14ac:dyDescent="0.3">
      <c r="A13957" s="15" t="s">
        <v>36196</v>
      </c>
      <c r="B13957" s="15" t="s">
        <v>25600</v>
      </c>
      <c r="C13957" s="15" t="s">
        <v>800</v>
      </c>
      <c r="D13957" s="15" t="s">
        <v>25601</v>
      </c>
      <c r="E13957" s="15">
        <v>12.6656</v>
      </c>
      <c r="F13957" s="42">
        <v>43969</v>
      </c>
    </row>
    <row r="13958" spans="1:6" x14ac:dyDescent="0.3">
      <c r="A13958" s="15" t="s">
        <v>36195</v>
      </c>
      <c r="B13958" s="15" t="s">
        <v>25602</v>
      </c>
      <c r="C13958" s="15" t="s">
        <v>800</v>
      </c>
      <c r="D13958" s="15" t="s">
        <v>25603</v>
      </c>
      <c r="E13958" s="15">
        <v>12.6656</v>
      </c>
      <c r="F13958" s="42">
        <v>43969</v>
      </c>
    </row>
    <row r="13959" spans="1:6" x14ac:dyDescent="0.3">
      <c r="A13959" s="15" t="s">
        <v>36194</v>
      </c>
      <c r="B13959" s="15" t="s">
        <v>25604</v>
      </c>
      <c r="C13959" s="15" t="s">
        <v>800</v>
      </c>
      <c r="D13959" s="15" t="s">
        <v>25605</v>
      </c>
      <c r="E13959" s="15">
        <v>12.448</v>
      </c>
      <c r="F13959" s="42">
        <v>43969</v>
      </c>
    </row>
    <row r="13960" spans="1:6" x14ac:dyDescent="0.3">
      <c r="A13960" s="15" t="s">
        <v>36193</v>
      </c>
      <c r="B13960" s="15" t="s">
        <v>25606</v>
      </c>
      <c r="C13960" s="15" t="s">
        <v>800</v>
      </c>
      <c r="D13960" s="15" t="s">
        <v>25607</v>
      </c>
      <c r="E13960" s="15">
        <v>12.458</v>
      </c>
      <c r="F13960" s="42">
        <v>43983</v>
      </c>
    </row>
    <row r="13961" spans="1:6" x14ac:dyDescent="0.3">
      <c r="A13961" s="15" t="s">
        <v>36192</v>
      </c>
      <c r="B13961" s="15" t="s">
        <v>25608</v>
      </c>
      <c r="C13961" s="15" t="s">
        <v>800</v>
      </c>
      <c r="D13961" s="15" t="s">
        <v>25609</v>
      </c>
      <c r="E13961" s="15">
        <v>12.5296</v>
      </c>
      <c r="F13961" s="42">
        <v>43983</v>
      </c>
    </row>
    <row r="13962" spans="1:6" x14ac:dyDescent="0.3">
      <c r="A13962" s="15" t="s">
        <v>36191</v>
      </c>
      <c r="B13962" s="15" t="s">
        <v>25610</v>
      </c>
      <c r="C13962" s="15" t="s">
        <v>800</v>
      </c>
      <c r="D13962" s="15" t="s">
        <v>25611</v>
      </c>
      <c r="E13962" s="15">
        <v>12.5296</v>
      </c>
      <c r="F13962" s="42">
        <v>43983</v>
      </c>
    </row>
    <row r="13963" spans="1:6" x14ac:dyDescent="0.3">
      <c r="A13963" s="15" t="s">
        <v>36190</v>
      </c>
      <c r="B13963" s="15" t="s">
        <v>25612</v>
      </c>
      <c r="C13963" s="15" t="s">
        <v>800</v>
      </c>
      <c r="D13963" s="15" t="s">
        <v>25613</v>
      </c>
      <c r="E13963" s="15">
        <v>12.3154</v>
      </c>
      <c r="F13963" s="42">
        <v>44056</v>
      </c>
    </row>
    <row r="13964" spans="1:6" x14ac:dyDescent="0.3">
      <c r="A13964" s="15" t="s">
        <v>36189</v>
      </c>
      <c r="B13964" s="15" t="s">
        <v>25614</v>
      </c>
      <c r="C13964" s="15" t="s">
        <v>800</v>
      </c>
      <c r="D13964" s="15" t="s">
        <v>25615</v>
      </c>
      <c r="E13964" s="15">
        <v>12.3774</v>
      </c>
      <c r="F13964" s="42">
        <v>44056</v>
      </c>
    </row>
    <row r="13965" spans="1:6" x14ac:dyDescent="0.3">
      <c r="A13965" s="15" t="s">
        <v>36188</v>
      </c>
      <c r="B13965" s="15" t="s">
        <v>25616</v>
      </c>
      <c r="C13965" s="15" t="s">
        <v>800</v>
      </c>
      <c r="D13965" s="15" t="s">
        <v>25617</v>
      </c>
      <c r="E13965" s="15">
        <v>12.3774</v>
      </c>
      <c r="F13965" s="42">
        <v>44056</v>
      </c>
    </row>
    <row r="13966" spans="1:6" x14ac:dyDescent="0.3">
      <c r="A13966" s="15" t="s">
        <v>36187</v>
      </c>
      <c r="B13966" s="15" t="s">
        <v>25618</v>
      </c>
      <c r="C13966" s="15" t="s">
        <v>800</v>
      </c>
      <c r="D13966" s="15" t="s">
        <v>25619</v>
      </c>
      <c r="E13966" s="15">
        <v>12.3154</v>
      </c>
      <c r="F13966" s="42">
        <v>44056</v>
      </c>
    </row>
    <row r="13967" spans="1:6" x14ac:dyDescent="0.3">
      <c r="A13967" s="15" t="s">
        <v>36186</v>
      </c>
      <c r="B13967" s="15" t="s">
        <v>25620</v>
      </c>
      <c r="C13967" s="15" t="s">
        <v>800</v>
      </c>
      <c r="D13967" s="15" t="s">
        <v>25621</v>
      </c>
      <c r="E13967" s="15">
        <v>12.4016</v>
      </c>
      <c r="F13967" s="42">
        <v>44048</v>
      </c>
    </row>
    <row r="13968" spans="1:6" x14ac:dyDescent="0.3">
      <c r="A13968" s="15" t="s">
        <v>36185</v>
      </c>
      <c r="B13968" s="15" t="s">
        <v>25622</v>
      </c>
      <c r="C13968" s="15" t="s">
        <v>800</v>
      </c>
      <c r="D13968" s="15" t="s">
        <v>25623</v>
      </c>
      <c r="E13968" s="15">
        <v>12.4016</v>
      </c>
      <c r="F13968" s="42">
        <v>44048</v>
      </c>
    </row>
    <row r="13969" spans="1:6" x14ac:dyDescent="0.3">
      <c r="A13969" s="15" t="s">
        <v>36184</v>
      </c>
      <c r="B13969" s="15" t="s">
        <v>25624</v>
      </c>
      <c r="C13969" s="15" t="s">
        <v>800</v>
      </c>
      <c r="D13969" s="15" t="s">
        <v>25625</v>
      </c>
      <c r="E13969" s="15">
        <v>12.3169</v>
      </c>
      <c r="F13969" s="42">
        <v>44048</v>
      </c>
    </row>
    <row r="13970" spans="1:6" x14ac:dyDescent="0.3">
      <c r="A13970" s="15" t="s">
        <v>36183</v>
      </c>
      <c r="B13970" s="15" t="s">
        <v>25626</v>
      </c>
      <c r="C13970" s="15" t="s">
        <v>800</v>
      </c>
      <c r="D13970" s="15" t="s">
        <v>25627</v>
      </c>
      <c r="E13970" s="15">
        <v>12.3169</v>
      </c>
      <c r="F13970" s="42">
        <v>44048</v>
      </c>
    </row>
    <row r="13971" spans="1:6" x14ac:dyDescent="0.3">
      <c r="A13971" s="15" t="s">
        <v>36182</v>
      </c>
      <c r="B13971" s="15" t="s">
        <v>25628</v>
      </c>
      <c r="C13971" s="15" t="s">
        <v>800</v>
      </c>
      <c r="D13971" s="15" t="s">
        <v>25629</v>
      </c>
      <c r="E13971" s="15">
        <v>12.3687</v>
      </c>
      <c r="F13971" s="42">
        <v>44096</v>
      </c>
    </row>
    <row r="13972" spans="1:6" x14ac:dyDescent="0.3">
      <c r="A13972" s="15" t="s">
        <v>36181</v>
      </c>
      <c r="B13972" s="15" t="s">
        <v>25630</v>
      </c>
      <c r="C13972" s="15" t="s">
        <v>800</v>
      </c>
      <c r="D13972" s="15" t="s">
        <v>25631</v>
      </c>
      <c r="E13972" s="15">
        <v>12.398199999999999</v>
      </c>
      <c r="F13972" s="42">
        <v>44096</v>
      </c>
    </row>
    <row r="13973" spans="1:6" x14ac:dyDescent="0.3">
      <c r="A13973" s="15" t="s">
        <v>36180</v>
      </c>
      <c r="B13973" s="15" t="s">
        <v>25632</v>
      </c>
      <c r="C13973" s="15" t="s">
        <v>800</v>
      </c>
      <c r="D13973" s="15" t="s">
        <v>25633</v>
      </c>
      <c r="E13973" s="15">
        <v>12.398199999999999</v>
      </c>
      <c r="F13973" s="42">
        <v>44096</v>
      </c>
    </row>
    <row r="13974" spans="1:6" x14ac:dyDescent="0.3">
      <c r="A13974" s="15" t="s">
        <v>36179</v>
      </c>
      <c r="B13974" s="15" t="s">
        <v>25634</v>
      </c>
      <c r="C13974" s="15" t="s">
        <v>800</v>
      </c>
      <c r="D13974" s="15" t="s">
        <v>25635</v>
      </c>
      <c r="E13974" s="15">
        <v>12.3687</v>
      </c>
      <c r="F13974" s="42">
        <v>44096</v>
      </c>
    </row>
    <row r="13975" spans="1:6" x14ac:dyDescent="0.3">
      <c r="A13975" s="15" t="s">
        <v>36178</v>
      </c>
      <c r="B13975" s="15" t="s">
        <v>25636</v>
      </c>
      <c r="C13975" s="15" t="s">
        <v>800</v>
      </c>
      <c r="D13975" s="15" t="s">
        <v>25637</v>
      </c>
      <c r="E13975" s="15">
        <v>12.3512</v>
      </c>
      <c r="F13975" s="42">
        <v>44109</v>
      </c>
    </row>
    <row r="13976" spans="1:6" x14ac:dyDescent="0.3">
      <c r="A13976" s="15" t="s">
        <v>36177</v>
      </c>
      <c r="B13976" s="15" t="s">
        <v>25638</v>
      </c>
      <c r="C13976" s="15" t="s">
        <v>800</v>
      </c>
      <c r="D13976" s="15" t="s">
        <v>25639</v>
      </c>
      <c r="E13976" s="15">
        <v>12.3864</v>
      </c>
      <c r="F13976" s="42">
        <v>44109</v>
      </c>
    </row>
    <row r="13977" spans="1:6" x14ac:dyDescent="0.3">
      <c r="A13977" s="15" t="s">
        <v>36176</v>
      </c>
      <c r="B13977" s="15" t="s">
        <v>25640</v>
      </c>
      <c r="C13977" s="15" t="s">
        <v>800</v>
      </c>
      <c r="D13977" s="15" t="s">
        <v>25641</v>
      </c>
      <c r="E13977" s="15">
        <v>12.3864</v>
      </c>
      <c r="F13977" s="42">
        <v>44109</v>
      </c>
    </row>
    <row r="13978" spans="1:6" x14ac:dyDescent="0.3">
      <c r="A13978" s="15" t="s">
        <v>36175</v>
      </c>
      <c r="B13978" s="15" t="s">
        <v>25642</v>
      </c>
      <c r="C13978" s="15" t="s">
        <v>800</v>
      </c>
      <c r="D13978" s="15" t="s">
        <v>25643</v>
      </c>
      <c r="E13978" s="15">
        <v>12.3512</v>
      </c>
      <c r="F13978" s="42">
        <v>44109</v>
      </c>
    </row>
    <row r="13979" spans="1:6" x14ac:dyDescent="0.3">
      <c r="A13979" s="15" t="s">
        <v>36174</v>
      </c>
      <c r="B13979" s="15" t="s">
        <v>25644</v>
      </c>
      <c r="C13979" s="15" t="s">
        <v>800</v>
      </c>
      <c r="D13979" s="15" t="s">
        <v>25645</v>
      </c>
      <c r="E13979" s="15">
        <v>12.447800000000001</v>
      </c>
      <c r="F13979" s="42">
        <v>44055</v>
      </c>
    </row>
    <row r="13980" spans="1:6" x14ac:dyDescent="0.3">
      <c r="A13980" s="15" t="s">
        <v>36173</v>
      </c>
      <c r="B13980" s="15" t="s">
        <v>25646</v>
      </c>
      <c r="C13980" s="15" t="s">
        <v>800</v>
      </c>
      <c r="D13980" s="15" t="s">
        <v>25647</v>
      </c>
      <c r="E13980" s="15">
        <v>12.545199999999999</v>
      </c>
      <c r="F13980" s="42">
        <v>44055</v>
      </c>
    </row>
    <row r="13981" spans="1:6" x14ac:dyDescent="0.3">
      <c r="A13981" s="15" t="s">
        <v>36172</v>
      </c>
      <c r="B13981" s="15" t="s">
        <v>25648</v>
      </c>
      <c r="C13981" s="15" t="s">
        <v>800</v>
      </c>
      <c r="D13981" s="15" t="s">
        <v>25649</v>
      </c>
      <c r="E13981" s="15">
        <v>12.545199999999999</v>
      </c>
      <c r="F13981" s="42">
        <v>44055</v>
      </c>
    </row>
    <row r="13982" spans="1:6" x14ac:dyDescent="0.3">
      <c r="A13982" s="15" t="s">
        <v>36171</v>
      </c>
      <c r="B13982" s="15" t="s">
        <v>25650</v>
      </c>
      <c r="C13982" s="15" t="s">
        <v>800</v>
      </c>
      <c r="D13982" s="15" t="s">
        <v>25651</v>
      </c>
      <c r="E13982" s="15">
        <v>12.447800000000001</v>
      </c>
      <c r="F13982" s="42">
        <v>44055</v>
      </c>
    </row>
    <row r="13983" spans="1:6" x14ac:dyDescent="0.3">
      <c r="A13983" s="15" t="s">
        <v>36170</v>
      </c>
      <c r="B13983" s="15" t="s">
        <v>25652</v>
      </c>
      <c r="C13983" s="15" t="s">
        <v>800</v>
      </c>
      <c r="D13983" s="15" t="s">
        <v>25653</v>
      </c>
      <c r="E13983" s="15">
        <v>12.473000000000001</v>
      </c>
      <c r="F13983" s="42">
        <v>44053</v>
      </c>
    </row>
    <row r="13984" spans="1:6" x14ac:dyDescent="0.3">
      <c r="A13984" s="15" t="s">
        <v>36169</v>
      </c>
      <c r="B13984" s="15" t="s">
        <v>25654</v>
      </c>
      <c r="C13984" s="15" t="s">
        <v>800</v>
      </c>
      <c r="D13984" s="15" t="s">
        <v>25655</v>
      </c>
      <c r="E13984" s="15">
        <v>12.568</v>
      </c>
      <c r="F13984" s="42">
        <v>44053</v>
      </c>
    </row>
    <row r="13985" spans="1:6" x14ac:dyDescent="0.3">
      <c r="A13985" s="15" t="s">
        <v>36168</v>
      </c>
      <c r="B13985" s="15" t="s">
        <v>25656</v>
      </c>
      <c r="C13985" s="15" t="s">
        <v>800</v>
      </c>
      <c r="D13985" s="15" t="s">
        <v>25657</v>
      </c>
      <c r="E13985" s="15">
        <v>12.473000000000001</v>
      </c>
      <c r="F13985" s="42">
        <v>44053</v>
      </c>
    </row>
    <row r="13986" spans="1:6" x14ac:dyDescent="0.3">
      <c r="A13986" s="15" t="s">
        <v>36167</v>
      </c>
      <c r="B13986" s="15" t="s">
        <v>25658</v>
      </c>
      <c r="C13986" s="15" t="s">
        <v>800</v>
      </c>
      <c r="D13986" s="15" t="s">
        <v>25659</v>
      </c>
      <c r="E13986" s="15">
        <v>12.476699999999999</v>
      </c>
      <c r="F13986" s="42">
        <v>44049</v>
      </c>
    </row>
    <row r="13987" spans="1:6" x14ac:dyDescent="0.3">
      <c r="A13987" s="15" t="s">
        <v>36166</v>
      </c>
      <c r="B13987" s="15" t="s">
        <v>25660</v>
      </c>
      <c r="C13987" s="15" t="s">
        <v>800</v>
      </c>
      <c r="D13987" s="15" t="s">
        <v>25661</v>
      </c>
      <c r="E13987" s="15">
        <v>12.5785</v>
      </c>
      <c r="F13987" s="42">
        <v>44049</v>
      </c>
    </row>
    <row r="13988" spans="1:6" x14ac:dyDescent="0.3">
      <c r="A13988" s="15" t="s">
        <v>36165</v>
      </c>
      <c r="B13988" s="15" t="s">
        <v>25662</v>
      </c>
      <c r="C13988" s="15" t="s">
        <v>800</v>
      </c>
      <c r="D13988" s="15" t="s">
        <v>25663</v>
      </c>
      <c r="E13988" s="15">
        <v>12.476699999999999</v>
      </c>
      <c r="F13988" s="42">
        <v>44049</v>
      </c>
    </row>
    <row r="13989" spans="1:6" x14ac:dyDescent="0.3">
      <c r="A13989" s="15" t="s">
        <v>36164</v>
      </c>
      <c r="B13989" s="15" t="s">
        <v>25664</v>
      </c>
      <c r="C13989" s="15" t="s">
        <v>800</v>
      </c>
      <c r="D13989" s="15" t="s">
        <v>25665</v>
      </c>
      <c r="E13989" s="15">
        <v>12.478899999999999</v>
      </c>
      <c r="F13989" s="42">
        <v>44047</v>
      </c>
    </row>
    <row r="13990" spans="1:6" x14ac:dyDescent="0.3">
      <c r="A13990" s="15" t="s">
        <v>36163</v>
      </c>
      <c r="B13990" s="15" t="s">
        <v>25666</v>
      </c>
      <c r="C13990" s="15" t="s">
        <v>800</v>
      </c>
      <c r="D13990" s="15" t="s">
        <v>25667</v>
      </c>
      <c r="E13990" s="15">
        <v>12.59</v>
      </c>
      <c r="F13990" s="42">
        <v>44047</v>
      </c>
    </row>
    <row r="13991" spans="1:6" x14ac:dyDescent="0.3">
      <c r="A13991" s="15" t="s">
        <v>36162</v>
      </c>
      <c r="B13991" s="15" t="s">
        <v>25668</v>
      </c>
      <c r="C13991" s="15" t="s">
        <v>800</v>
      </c>
      <c r="D13991" s="15" t="s">
        <v>25669</v>
      </c>
      <c r="E13991" s="15">
        <v>12.478899999999999</v>
      </c>
      <c r="F13991" s="42">
        <v>44047</v>
      </c>
    </row>
    <row r="13992" spans="1:6" x14ac:dyDescent="0.3">
      <c r="A13992" s="15" t="s">
        <v>36161</v>
      </c>
      <c r="B13992" s="15" t="s">
        <v>25670</v>
      </c>
      <c r="C13992" s="15" t="s">
        <v>800</v>
      </c>
      <c r="D13992" s="15" t="s">
        <v>25671</v>
      </c>
      <c r="E13992" s="15">
        <v>12.4985</v>
      </c>
      <c r="F13992" s="42">
        <v>44054</v>
      </c>
    </row>
    <row r="13993" spans="1:6" x14ac:dyDescent="0.3">
      <c r="A13993" s="15" t="s">
        <v>36160</v>
      </c>
      <c r="B13993" s="15" t="s">
        <v>25672</v>
      </c>
      <c r="C13993" s="15" t="s">
        <v>800</v>
      </c>
      <c r="D13993" s="15" t="s">
        <v>25673</v>
      </c>
      <c r="E13993" s="15">
        <v>12.588200000000001</v>
      </c>
      <c r="F13993" s="42">
        <v>44054</v>
      </c>
    </row>
    <row r="13994" spans="1:6" x14ac:dyDescent="0.3">
      <c r="A13994" s="15" t="s">
        <v>36159</v>
      </c>
      <c r="B13994" s="15" t="s">
        <v>25674</v>
      </c>
      <c r="C13994" s="15" t="s">
        <v>800</v>
      </c>
      <c r="D13994" s="15" t="s">
        <v>25675</v>
      </c>
      <c r="E13994" s="15">
        <v>12.588200000000001</v>
      </c>
      <c r="F13994" s="42">
        <v>44054</v>
      </c>
    </row>
    <row r="13995" spans="1:6" x14ac:dyDescent="0.3">
      <c r="A13995" s="15" t="s">
        <v>36158</v>
      </c>
      <c r="B13995" s="15" t="s">
        <v>25676</v>
      </c>
      <c r="C13995" s="15" t="s">
        <v>800</v>
      </c>
      <c r="D13995" s="15" t="s">
        <v>25677</v>
      </c>
      <c r="E13995" s="15">
        <v>12.4985</v>
      </c>
      <c r="F13995" s="42">
        <v>44054</v>
      </c>
    </row>
    <row r="13996" spans="1:6" x14ac:dyDescent="0.3">
      <c r="A13996" s="15" t="s">
        <v>36157</v>
      </c>
      <c r="B13996" s="15" t="s">
        <v>25678</v>
      </c>
      <c r="C13996" s="15" t="s">
        <v>800</v>
      </c>
      <c r="D13996" s="15" t="s">
        <v>25679</v>
      </c>
      <c r="E13996" s="15">
        <v>12.526300000000001</v>
      </c>
      <c r="F13996" s="42">
        <v>44053</v>
      </c>
    </row>
    <row r="13997" spans="1:6" x14ac:dyDescent="0.3">
      <c r="A13997" s="15" t="s">
        <v>36156</v>
      </c>
      <c r="B13997" s="15" t="s">
        <v>25680</v>
      </c>
      <c r="C13997" s="15" t="s">
        <v>800</v>
      </c>
      <c r="D13997" s="15" t="s">
        <v>25681</v>
      </c>
      <c r="E13997" s="15">
        <v>12.5982</v>
      </c>
      <c r="F13997" s="42">
        <v>44053</v>
      </c>
    </row>
    <row r="13998" spans="1:6" x14ac:dyDescent="0.3">
      <c r="A13998" s="15" t="s">
        <v>36155</v>
      </c>
      <c r="B13998" s="15" t="s">
        <v>25682</v>
      </c>
      <c r="C13998" s="15" t="s">
        <v>800</v>
      </c>
      <c r="D13998" s="15" t="s">
        <v>25683</v>
      </c>
      <c r="E13998" s="15">
        <v>12.5982</v>
      </c>
      <c r="F13998" s="42">
        <v>44053</v>
      </c>
    </row>
    <row r="13999" spans="1:6" x14ac:dyDescent="0.3">
      <c r="A13999" s="15" t="s">
        <v>36154</v>
      </c>
      <c r="B13999" s="15" t="s">
        <v>25684</v>
      </c>
      <c r="C13999" s="15" t="s">
        <v>800</v>
      </c>
      <c r="D13999" s="15" t="s">
        <v>25685</v>
      </c>
      <c r="E13999" s="15">
        <v>12.526300000000001</v>
      </c>
      <c r="F13999" s="42">
        <v>44053</v>
      </c>
    </row>
    <row r="14000" spans="1:6" x14ac:dyDescent="0.3">
      <c r="A14000" s="15" t="s">
        <v>36153</v>
      </c>
      <c r="B14000" s="15" t="s">
        <v>25686</v>
      </c>
      <c r="C14000" s="15" t="s">
        <v>800</v>
      </c>
      <c r="D14000" s="15" t="s">
        <v>25687</v>
      </c>
      <c r="E14000" s="15">
        <v>10.206200000000001</v>
      </c>
      <c r="F14000" s="42">
        <v>43269</v>
      </c>
    </row>
    <row r="14001" spans="1:6" x14ac:dyDescent="0.3">
      <c r="A14001" s="15" t="s">
        <v>36152</v>
      </c>
      <c r="B14001" s="15" t="s">
        <v>25688</v>
      </c>
      <c r="C14001" s="15" t="s">
        <v>800</v>
      </c>
      <c r="D14001" s="15" t="s">
        <v>25689</v>
      </c>
      <c r="E14001" s="15">
        <v>10.212</v>
      </c>
      <c r="F14001" s="42">
        <v>43269</v>
      </c>
    </row>
    <row r="14002" spans="1:6" x14ac:dyDescent="0.3">
      <c r="A14002" s="15" t="s">
        <v>36151</v>
      </c>
      <c r="B14002" s="15" t="s">
        <v>25690</v>
      </c>
      <c r="C14002" s="15" t="s">
        <v>800</v>
      </c>
      <c r="D14002" s="15" t="s">
        <v>25691</v>
      </c>
      <c r="E14002" s="15">
        <v>10.212</v>
      </c>
      <c r="F14002" s="42">
        <v>43269</v>
      </c>
    </row>
    <row r="14003" spans="1:6" x14ac:dyDescent="0.3">
      <c r="A14003" s="15" t="s">
        <v>36150</v>
      </c>
      <c r="B14003" s="15" t="s">
        <v>25692</v>
      </c>
      <c r="C14003" s="15" t="s">
        <v>800</v>
      </c>
      <c r="D14003" s="15" t="s">
        <v>25693</v>
      </c>
      <c r="E14003" s="15">
        <v>10.206200000000001</v>
      </c>
      <c r="F14003" s="42">
        <v>43269</v>
      </c>
    </row>
    <row r="14004" spans="1:6" x14ac:dyDescent="0.3">
      <c r="A14004" s="15" t="s">
        <v>36149</v>
      </c>
      <c r="B14004" s="15" t="s">
        <v>25694</v>
      </c>
      <c r="C14004" s="15" t="s">
        <v>800</v>
      </c>
      <c r="D14004" s="15" t="s">
        <v>25695</v>
      </c>
      <c r="E14004" s="15">
        <v>12.431800000000001</v>
      </c>
      <c r="F14004" s="42">
        <v>44321</v>
      </c>
    </row>
    <row r="14005" spans="1:6" x14ac:dyDescent="0.3">
      <c r="A14005" s="15" t="s">
        <v>36148</v>
      </c>
      <c r="B14005" s="15" t="s">
        <v>25696</v>
      </c>
      <c r="C14005" s="15" t="s">
        <v>800</v>
      </c>
      <c r="D14005" s="15" t="s">
        <v>25697</v>
      </c>
      <c r="E14005" s="15">
        <v>12.461</v>
      </c>
      <c r="F14005" s="42">
        <v>44321</v>
      </c>
    </row>
    <row r="14006" spans="1:6" x14ac:dyDescent="0.3">
      <c r="A14006" s="15" t="s">
        <v>36147</v>
      </c>
      <c r="B14006" s="15" t="s">
        <v>25698</v>
      </c>
      <c r="C14006" s="15" t="s">
        <v>800</v>
      </c>
      <c r="D14006" s="15" t="s">
        <v>25699</v>
      </c>
      <c r="E14006" s="15">
        <v>12.461</v>
      </c>
      <c r="F14006" s="42">
        <v>44321</v>
      </c>
    </row>
    <row r="14007" spans="1:6" x14ac:dyDescent="0.3">
      <c r="A14007" s="15" t="s">
        <v>36146</v>
      </c>
      <c r="B14007" s="15" t="s">
        <v>25700</v>
      </c>
      <c r="C14007" s="15" t="s">
        <v>800</v>
      </c>
      <c r="D14007" s="15" t="s">
        <v>25701</v>
      </c>
      <c r="E14007" s="15">
        <v>12.4316</v>
      </c>
      <c r="F14007" s="42">
        <v>44321</v>
      </c>
    </row>
    <row r="14008" spans="1:6" x14ac:dyDescent="0.3">
      <c r="A14008" s="15" t="s">
        <v>36145</v>
      </c>
      <c r="B14008" s="15" t="s">
        <v>25702</v>
      </c>
      <c r="C14008" s="15" t="s">
        <v>800</v>
      </c>
      <c r="D14008" s="15" t="s">
        <v>25703</v>
      </c>
      <c r="E14008" s="15">
        <v>12.431800000000001</v>
      </c>
      <c r="F14008" s="42">
        <v>44321</v>
      </c>
    </row>
    <row r="14009" spans="1:6" x14ac:dyDescent="0.3">
      <c r="A14009" s="15" t="s">
        <v>36144</v>
      </c>
      <c r="B14009" s="15" t="s">
        <v>25704</v>
      </c>
      <c r="C14009" s="15" t="s">
        <v>800</v>
      </c>
      <c r="D14009" s="15" t="s">
        <v>25705</v>
      </c>
      <c r="E14009" s="15">
        <v>12.511699999999999</v>
      </c>
      <c r="F14009" s="42">
        <v>44319</v>
      </c>
    </row>
    <row r="14010" spans="1:6" x14ac:dyDescent="0.3">
      <c r="A14010" s="15" t="s">
        <v>36143</v>
      </c>
      <c r="B14010" s="15" t="s">
        <v>25706</v>
      </c>
      <c r="C14010" s="15" t="s">
        <v>800</v>
      </c>
      <c r="D14010" s="15" t="s">
        <v>25707</v>
      </c>
      <c r="E14010" s="15">
        <v>12.6419</v>
      </c>
      <c r="F14010" s="42">
        <v>44319</v>
      </c>
    </row>
    <row r="14011" spans="1:6" x14ac:dyDescent="0.3">
      <c r="A14011" s="15" t="s">
        <v>36142</v>
      </c>
      <c r="B14011" s="15" t="s">
        <v>25708</v>
      </c>
      <c r="C14011" s="15" t="s">
        <v>800</v>
      </c>
      <c r="D14011" s="15" t="s">
        <v>25709</v>
      </c>
      <c r="E14011" s="15">
        <v>12.6419</v>
      </c>
      <c r="F14011" s="42">
        <v>44319</v>
      </c>
    </row>
    <row r="14012" spans="1:6" x14ac:dyDescent="0.3">
      <c r="A14012" s="15" t="s">
        <v>36141</v>
      </c>
      <c r="B14012" s="15" t="s">
        <v>25710</v>
      </c>
      <c r="C14012" s="15" t="s">
        <v>800</v>
      </c>
      <c r="D14012" s="15" t="s">
        <v>25711</v>
      </c>
      <c r="E14012" s="15">
        <v>12.6417</v>
      </c>
      <c r="F14012" s="42">
        <v>44319</v>
      </c>
    </row>
    <row r="14013" spans="1:6" x14ac:dyDescent="0.3">
      <c r="A14013" s="15" t="s">
        <v>36140</v>
      </c>
      <c r="B14013" s="15" t="s">
        <v>25712</v>
      </c>
      <c r="C14013" s="15" t="s">
        <v>800</v>
      </c>
      <c r="D14013" s="15" t="s">
        <v>25713</v>
      </c>
      <c r="E14013" s="15">
        <v>12.511699999999999</v>
      </c>
      <c r="F14013" s="42">
        <v>44319</v>
      </c>
    </row>
    <row r="14014" spans="1:6" x14ac:dyDescent="0.3">
      <c r="A14014" s="15" t="s">
        <v>36139</v>
      </c>
      <c r="B14014" s="15" t="s">
        <v>25714</v>
      </c>
      <c r="C14014" s="15" t="s">
        <v>800</v>
      </c>
      <c r="D14014" s="15" t="s">
        <v>25715</v>
      </c>
      <c r="E14014" s="15">
        <v>12.511699999999999</v>
      </c>
      <c r="F14014" s="42">
        <v>44319</v>
      </c>
    </row>
    <row r="14015" spans="1:6" x14ac:dyDescent="0.3">
      <c r="A14015" s="15" t="s">
        <v>36138</v>
      </c>
      <c r="B14015" s="15" t="s">
        <v>25716</v>
      </c>
      <c r="C14015" s="15" t="s">
        <v>800</v>
      </c>
      <c r="D14015" s="15" t="s">
        <v>25717</v>
      </c>
      <c r="E14015" s="15">
        <v>12.514200000000001</v>
      </c>
      <c r="F14015" s="42">
        <v>44315</v>
      </c>
    </row>
    <row r="14016" spans="1:6" x14ac:dyDescent="0.3">
      <c r="A14016" s="15" t="s">
        <v>36137</v>
      </c>
      <c r="B14016" s="15" t="s">
        <v>25718</v>
      </c>
      <c r="C14016" s="15" t="s">
        <v>800</v>
      </c>
      <c r="D14016" s="15" t="s">
        <v>25719</v>
      </c>
      <c r="E14016" s="15">
        <v>12.5657</v>
      </c>
      <c r="F14016" s="42">
        <v>44315</v>
      </c>
    </row>
    <row r="14017" spans="1:6" x14ac:dyDescent="0.3">
      <c r="A14017" s="15" t="s">
        <v>36136</v>
      </c>
      <c r="B14017" s="15" t="s">
        <v>25720</v>
      </c>
      <c r="C14017" s="15" t="s">
        <v>800</v>
      </c>
      <c r="D14017" s="15" t="s">
        <v>25721</v>
      </c>
      <c r="E14017" s="15">
        <v>12.5657</v>
      </c>
      <c r="F14017" s="42">
        <v>44315</v>
      </c>
    </row>
    <row r="14018" spans="1:6" x14ac:dyDescent="0.3">
      <c r="A14018" s="15" t="s">
        <v>36135</v>
      </c>
      <c r="B14018" s="15" t="s">
        <v>25722</v>
      </c>
      <c r="C14018" s="15" t="s">
        <v>800</v>
      </c>
      <c r="D14018" s="15" t="s">
        <v>25723</v>
      </c>
      <c r="E14018" s="15">
        <v>12.514200000000001</v>
      </c>
      <c r="F14018" s="42">
        <v>44315</v>
      </c>
    </row>
    <row r="14019" spans="1:6" x14ac:dyDescent="0.3">
      <c r="A14019" s="15" t="s">
        <v>36134</v>
      </c>
      <c r="B14019" s="15" t="s">
        <v>25724</v>
      </c>
      <c r="C14019" s="15" t="s">
        <v>800</v>
      </c>
      <c r="D14019" s="15" t="s">
        <v>25725</v>
      </c>
      <c r="E14019" s="15">
        <v>12.4442</v>
      </c>
      <c r="F14019" s="42">
        <v>44320</v>
      </c>
    </row>
    <row r="14020" spans="1:6" x14ac:dyDescent="0.3">
      <c r="A14020" s="15" t="s">
        <v>36133</v>
      </c>
      <c r="B14020" s="15" t="s">
        <v>25726</v>
      </c>
      <c r="C14020" s="15" t="s">
        <v>800</v>
      </c>
      <c r="D14020" s="15" t="s">
        <v>25727</v>
      </c>
      <c r="E14020" s="15">
        <v>12.523999999999999</v>
      </c>
      <c r="F14020" s="42">
        <v>44320</v>
      </c>
    </row>
    <row r="14021" spans="1:6" x14ac:dyDescent="0.3">
      <c r="A14021" s="15" t="s">
        <v>36132</v>
      </c>
      <c r="B14021" s="15" t="s">
        <v>25728</v>
      </c>
      <c r="C14021" s="15" t="s">
        <v>800</v>
      </c>
      <c r="D14021" s="15" t="s">
        <v>25729</v>
      </c>
      <c r="E14021" s="15">
        <v>12.523999999999999</v>
      </c>
      <c r="F14021" s="42">
        <v>44320</v>
      </c>
    </row>
    <row r="14022" spans="1:6" x14ac:dyDescent="0.3">
      <c r="A14022" s="15" t="s">
        <v>36131</v>
      </c>
      <c r="B14022" s="15" t="s">
        <v>25730</v>
      </c>
      <c r="C14022" s="15" t="s">
        <v>800</v>
      </c>
      <c r="D14022" s="15" t="s">
        <v>25731</v>
      </c>
      <c r="E14022" s="15">
        <v>12.444000000000001</v>
      </c>
      <c r="F14022" s="42">
        <v>44320</v>
      </c>
    </row>
    <row r="14023" spans="1:6" x14ac:dyDescent="0.3">
      <c r="A14023" s="15" t="s">
        <v>36130</v>
      </c>
      <c r="B14023" s="15" t="s">
        <v>25732</v>
      </c>
      <c r="C14023" s="15" t="s">
        <v>800</v>
      </c>
      <c r="D14023" s="15" t="s">
        <v>25733</v>
      </c>
      <c r="E14023" s="15">
        <v>12.4442</v>
      </c>
      <c r="F14023" s="42">
        <v>44320</v>
      </c>
    </row>
    <row r="14024" spans="1:6" x14ac:dyDescent="0.3">
      <c r="A14024" s="15" t="s">
        <v>36129</v>
      </c>
      <c r="B14024" s="15" t="s">
        <v>25734</v>
      </c>
      <c r="C14024" s="15" t="s">
        <v>800</v>
      </c>
      <c r="D14024" s="15" t="s">
        <v>25735</v>
      </c>
      <c r="E14024" s="15">
        <v>12.691599999999999</v>
      </c>
      <c r="F14024" s="42">
        <v>44316</v>
      </c>
    </row>
    <row r="14025" spans="1:6" x14ac:dyDescent="0.3">
      <c r="A14025" s="15" t="s">
        <v>36128</v>
      </c>
      <c r="B14025" s="15" t="s">
        <v>25736</v>
      </c>
      <c r="C14025" s="15" t="s">
        <v>800</v>
      </c>
      <c r="D14025" s="15" t="s">
        <v>25737</v>
      </c>
      <c r="E14025" s="15">
        <v>12.7905</v>
      </c>
      <c r="F14025" s="42">
        <v>44316</v>
      </c>
    </row>
    <row r="14026" spans="1:6" x14ac:dyDescent="0.3">
      <c r="A14026" s="15" t="s">
        <v>36127</v>
      </c>
      <c r="B14026" s="15" t="s">
        <v>25738</v>
      </c>
      <c r="C14026" s="15" t="s">
        <v>800</v>
      </c>
      <c r="D14026" s="15" t="s">
        <v>25739</v>
      </c>
      <c r="E14026" s="15">
        <v>12.7904</v>
      </c>
      <c r="F14026" s="42">
        <v>44316</v>
      </c>
    </row>
    <row r="14027" spans="1:6" x14ac:dyDescent="0.3">
      <c r="A14027" s="15" t="s">
        <v>36126</v>
      </c>
      <c r="B14027" s="15" t="s">
        <v>25740</v>
      </c>
      <c r="C14027" s="15" t="s">
        <v>800</v>
      </c>
      <c r="D14027" s="15" t="s">
        <v>25741</v>
      </c>
      <c r="E14027" s="15">
        <v>12.7903</v>
      </c>
      <c r="F14027" s="42">
        <v>44316</v>
      </c>
    </row>
    <row r="14028" spans="1:6" x14ac:dyDescent="0.3">
      <c r="A14028" s="15" t="s">
        <v>36125</v>
      </c>
      <c r="B14028" s="15" t="s">
        <v>25742</v>
      </c>
      <c r="C14028" s="15" t="s">
        <v>800</v>
      </c>
      <c r="D14028" s="15" t="s">
        <v>25743</v>
      </c>
      <c r="E14028" s="15">
        <v>12.6915</v>
      </c>
      <c r="F14028" s="42">
        <v>44316</v>
      </c>
    </row>
    <row r="14029" spans="1:6" x14ac:dyDescent="0.3">
      <c r="A14029" s="15" t="s">
        <v>36124</v>
      </c>
      <c r="B14029" s="15" t="s">
        <v>25744</v>
      </c>
      <c r="C14029" s="15" t="s">
        <v>800</v>
      </c>
      <c r="D14029" s="15" t="s">
        <v>25745</v>
      </c>
      <c r="E14029" s="15">
        <v>12.691599999999999</v>
      </c>
      <c r="F14029" s="42">
        <v>44316</v>
      </c>
    </row>
    <row r="14030" spans="1:6" x14ac:dyDescent="0.3">
      <c r="A14030" s="15" t="s">
        <v>36123</v>
      </c>
      <c r="B14030" s="15" t="s">
        <v>25746</v>
      </c>
      <c r="C14030" s="15" t="s">
        <v>800</v>
      </c>
      <c r="D14030" s="15" t="s">
        <v>25747</v>
      </c>
      <c r="E14030" s="15">
        <v>12.588800000000001</v>
      </c>
      <c r="F14030" s="42">
        <v>44357</v>
      </c>
    </row>
    <row r="14031" spans="1:6" x14ac:dyDescent="0.3">
      <c r="A14031" s="15" t="s">
        <v>36122</v>
      </c>
      <c r="B14031" s="15" t="s">
        <v>25748</v>
      </c>
      <c r="C14031" s="15" t="s">
        <v>800</v>
      </c>
      <c r="D14031" s="15" t="s">
        <v>25749</v>
      </c>
      <c r="E14031" s="15">
        <v>12.623799999999999</v>
      </c>
      <c r="F14031" s="42">
        <v>44357</v>
      </c>
    </row>
    <row r="14032" spans="1:6" x14ac:dyDescent="0.3">
      <c r="A14032" s="15" t="s">
        <v>36121</v>
      </c>
      <c r="B14032" s="15" t="s">
        <v>25750</v>
      </c>
      <c r="C14032" s="15" t="s">
        <v>800</v>
      </c>
      <c r="D14032" s="15" t="s">
        <v>25751</v>
      </c>
      <c r="E14032" s="15">
        <v>12.623799999999999</v>
      </c>
      <c r="F14032" s="42">
        <v>44357</v>
      </c>
    </row>
    <row r="14033" spans="1:6" x14ac:dyDescent="0.3">
      <c r="A14033" s="15" t="s">
        <v>36120</v>
      </c>
      <c r="B14033" s="15" t="s">
        <v>25752</v>
      </c>
      <c r="C14033" s="15" t="s">
        <v>800</v>
      </c>
      <c r="D14033" s="15" t="s">
        <v>25753</v>
      </c>
      <c r="E14033" s="15">
        <v>12.588699999999999</v>
      </c>
      <c r="F14033" s="42">
        <v>44357</v>
      </c>
    </row>
    <row r="14034" spans="1:6" x14ac:dyDescent="0.3">
      <c r="A14034" s="15" t="s">
        <v>36119</v>
      </c>
      <c r="B14034" s="15" t="s">
        <v>25754</v>
      </c>
      <c r="C14034" s="15" t="s">
        <v>800</v>
      </c>
      <c r="D14034" s="15" t="s">
        <v>25755</v>
      </c>
      <c r="E14034" s="15">
        <v>12.588800000000001</v>
      </c>
      <c r="F14034" s="42">
        <v>44357</v>
      </c>
    </row>
    <row r="14035" spans="1:6" x14ac:dyDescent="0.3">
      <c r="A14035" s="15" t="s">
        <v>36118</v>
      </c>
      <c r="B14035" s="15" t="s">
        <v>25756</v>
      </c>
      <c r="C14035" s="15" t="s">
        <v>800</v>
      </c>
      <c r="D14035" s="15" t="s">
        <v>25757</v>
      </c>
      <c r="E14035" s="15">
        <v>12.6951</v>
      </c>
      <c r="F14035" s="42">
        <v>44316</v>
      </c>
    </row>
    <row r="14036" spans="1:6" x14ac:dyDescent="0.3">
      <c r="A14036" s="15" t="s">
        <v>36117</v>
      </c>
      <c r="B14036" s="15" t="s">
        <v>25758</v>
      </c>
      <c r="C14036" s="15" t="s">
        <v>800</v>
      </c>
      <c r="D14036" s="15" t="s">
        <v>25759</v>
      </c>
      <c r="E14036" s="15">
        <v>12.825100000000001</v>
      </c>
      <c r="F14036" s="42">
        <v>44316</v>
      </c>
    </row>
    <row r="14037" spans="1:6" x14ac:dyDescent="0.3">
      <c r="A14037" s="15" t="s">
        <v>36116</v>
      </c>
      <c r="B14037" s="15" t="s">
        <v>25760</v>
      </c>
      <c r="C14037" s="15" t="s">
        <v>800</v>
      </c>
      <c r="D14037" s="15" t="s">
        <v>25761</v>
      </c>
      <c r="E14037" s="15">
        <v>12.825100000000001</v>
      </c>
      <c r="F14037" s="42">
        <v>44316</v>
      </c>
    </row>
    <row r="14038" spans="1:6" x14ac:dyDescent="0.3">
      <c r="A14038" s="15" t="s">
        <v>36115</v>
      </c>
      <c r="B14038" s="15" t="s">
        <v>25762</v>
      </c>
      <c r="C14038" s="15" t="s">
        <v>800</v>
      </c>
      <c r="D14038" s="15" t="s">
        <v>25763</v>
      </c>
      <c r="E14038" s="15">
        <v>12.8248</v>
      </c>
      <c r="F14038" s="42">
        <v>44316</v>
      </c>
    </row>
    <row r="14039" spans="1:6" x14ac:dyDescent="0.3">
      <c r="A14039" s="15" t="s">
        <v>36114</v>
      </c>
      <c r="B14039" s="15" t="s">
        <v>25764</v>
      </c>
      <c r="C14039" s="15" t="s">
        <v>800</v>
      </c>
      <c r="D14039" s="15" t="s">
        <v>25765</v>
      </c>
      <c r="E14039" s="15">
        <v>12.6951</v>
      </c>
      <c r="F14039" s="42">
        <v>44316</v>
      </c>
    </row>
    <row r="14040" spans="1:6" x14ac:dyDescent="0.3">
      <c r="A14040" s="15" t="s">
        <v>36113</v>
      </c>
      <c r="B14040" s="15" t="s">
        <v>25766</v>
      </c>
      <c r="C14040" s="15" t="s">
        <v>800</v>
      </c>
      <c r="D14040" s="15" t="s">
        <v>25767</v>
      </c>
      <c r="E14040" s="15">
        <v>12.6951</v>
      </c>
      <c r="F14040" s="42">
        <v>44316</v>
      </c>
    </row>
    <row r="14041" spans="1:6" x14ac:dyDescent="0.3">
      <c r="A14041" s="15" t="s">
        <v>36112</v>
      </c>
      <c r="B14041" s="15" t="s">
        <v>25768</v>
      </c>
      <c r="C14041" s="15" t="s">
        <v>800</v>
      </c>
      <c r="D14041" s="15" t="s">
        <v>25769</v>
      </c>
      <c r="E14041" s="15">
        <v>12.5099</v>
      </c>
      <c r="F14041" s="42">
        <v>44355</v>
      </c>
    </row>
    <row r="14042" spans="1:6" x14ac:dyDescent="0.3">
      <c r="A14042" s="15" t="s">
        <v>36111</v>
      </c>
      <c r="B14042" s="15" t="s">
        <v>25770</v>
      </c>
      <c r="C14042" s="15" t="s">
        <v>800</v>
      </c>
      <c r="D14042" s="15" t="s">
        <v>25771</v>
      </c>
      <c r="E14042" s="15">
        <v>12.5604</v>
      </c>
      <c r="F14042" s="42">
        <v>44355</v>
      </c>
    </row>
    <row r="14043" spans="1:6" x14ac:dyDescent="0.3">
      <c r="A14043" s="15" t="s">
        <v>36110</v>
      </c>
      <c r="B14043" s="15" t="s">
        <v>25772</v>
      </c>
      <c r="C14043" s="15" t="s">
        <v>800</v>
      </c>
      <c r="D14043" s="15" t="s">
        <v>25773</v>
      </c>
      <c r="E14043" s="15">
        <v>12.5604</v>
      </c>
      <c r="F14043" s="42">
        <v>44355</v>
      </c>
    </row>
    <row r="14044" spans="1:6" x14ac:dyDescent="0.3">
      <c r="A14044" s="15" t="s">
        <v>36109</v>
      </c>
      <c r="B14044" s="15" t="s">
        <v>25774</v>
      </c>
      <c r="C14044" s="15" t="s">
        <v>800</v>
      </c>
      <c r="D14044" s="15" t="s">
        <v>25775</v>
      </c>
      <c r="E14044" s="15">
        <v>12.5099</v>
      </c>
      <c r="F14044" s="42">
        <v>44355</v>
      </c>
    </row>
    <row r="14045" spans="1:6" x14ac:dyDescent="0.3">
      <c r="A14045" s="15" t="s">
        <v>36108</v>
      </c>
      <c r="B14045" s="15" t="s">
        <v>25776</v>
      </c>
      <c r="C14045" s="15" t="s">
        <v>800</v>
      </c>
      <c r="D14045" s="15" t="s">
        <v>25777</v>
      </c>
      <c r="E14045" s="15">
        <v>12.5099</v>
      </c>
      <c r="F14045" s="42">
        <v>44355</v>
      </c>
    </row>
    <row r="14046" spans="1:6" x14ac:dyDescent="0.3">
      <c r="A14046" s="15" t="s">
        <v>36107</v>
      </c>
      <c r="B14046" s="15" t="s">
        <v>25778</v>
      </c>
      <c r="C14046" s="15" t="s">
        <v>800</v>
      </c>
      <c r="D14046" s="15" t="s">
        <v>25779</v>
      </c>
      <c r="E14046" s="15">
        <v>12.566800000000001</v>
      </c>
      <c r="F14046" s="42">
        <v>44347</v>
      </c>
    </row>
    <row r="14047" spans="1:6" x14ac:dyDescent="0.3">
      <c r="A14047" s="15" t="s">
        <v>36106</v>
      </c>
      <c r="B14047" s="15" t="s">
        <v>25780</v>
      </c>
      <c r="C14047" s="15" t="s">
        <v>800</v>
      </c>
      <c r="D14047" s="15" t="s">
        <v>25781</v>
      </c>
      <c r="E14047" s="15">
        <v>12.6531</v>
      </c>
      <c r="F14047" s="42">
        <v>44347</v>
      </c>
    </row>
    <row r="14048" spans="1:6" x14ac:dyDescent="0.3">
      <c r="A14048" s="15" t="s">
        <v>36105</v>
      </c>
      <c r="B14048" s="15" t="s">
        <v>25782</v>
      </c>
      <c r="C14048" s="15" t="s">
        <v>800</v>
      </c>
      <c r="D14048" s="15" t="s">
        <v>25783</v>
      </c>
      <c r="E14048" s="15">
        <v>12.653</v>
      </c>
      <c r="F14048" s="42">
        <v>44347</v>
      </c>
    </row>
    <row r="14049" spans="1:6" x14ac:dyDescent="0.3">
      <c r="A14049" s="15" t="s">
        <v>36104</v>
      </c>
      <c r="B14049" s="15" t="s">
        <v>25784</v>
      </c>
      <c r="C14049" s="15" t="s">
        <v>800</v>
      </c>
      <c r="D14049" s="15" t="s">
        <v>25785</v>
      </c>
      <c r="E14049" s="15">
        <v>12.6531</v>
      </c>
      <c r="F14049" s="42">
        <v>44347</v>
      </c>
    </row>
    <row r="14050" spans="1:6" x14ac:dyDescent="0.3">
      <c r="A14050" s="15" t="s">
        <v>36103</v>
      </c>
      <c r="B14050" s="15" t="s">
        <v>25786</v>
      </c>
      <c r="C14050" s="15" t="s">
        <v>800</v>
      </c>
      <c r="D14050" s="15" t="s">
        <v>25787</v>
      </c>
      <c r="E14050" s="15">
        <v>12.566800000000001</v>
      </c>
      <c r="F14050" s="42">
        <v>44347</v>
      </c>
    </row>
    <row r="14051" spans="1:6" x14ac:dyDescent="0.3">
      <c r="A14051" s="15" t="s">
        <v>36102</v>
      </c>
      <c r="B14051" s="15" t="s">
        <v>25788</v>
      </c>
      <c r="C14051" s="15" t="s">
        <v>800</v>
      </c>
      <c r="D14051" s="15" t="s">
        <v>25789</v>
      </c>
      <c r="E14051" s="15">
        <v>12.566800000000001</v>
      </c>
      <c r="F14051" s="42">
        <v>44347</v>
      </c>
    </row>
    <row r="14052" spans="1:6" x14ac:dyDescent="0.3">
      <c r="A14052" s="15" t="s">
        <v>36101</v>
      </c>
      <c r="B14052" s="15" t="s">
        <v>25790</v>
      </c>
      <c r="C14052" s="15" t="s">
        <v>800</v>
      </c>
      <c r="D14052" s="15" t="s">
        <v>25791</v>
      </c>
      <c r="E14052" s="15">
        <v>12.634399999999999</v>
      </c>
      <c r="F14052" s="42">
        <v>44321</v>
      </c>
    </row>
    <row r="14053" spans="1:6" x14ac:dyDescent="0.3">
      <c r="A14053" s="15" t="s">
        <v>36100</v>
      </c>
      <c r="B14053" s="15" t="s">
        <v>25792</v>
      </c>
      <c r="C14053" s="15" t="s">
        <v>800</v>
      </c>
      <c r="D14053" s="15" t="s">
        <v>25793</v>
      </c>
      <c r="E14053" s="15">
        <v>12.686500000000001</v>
      </c>
      <c r="F14053" s="42">
        <v>44321</v>
      </c>
    </row>
    <row r="14054" spans="1:6" x14ac:dyDescent="0.3">
      <c r="A14054" s="15" t="s">
        <v>36099</v>
      </c>
      <c r="B14054" s="15" t="s">
        <v>25794</v>
      </c>
      <c r="C14054" s="15" t="s">
        <v>800</v>
      </c>
      <c r="D14054" s="15" t="s">
        <v>25795</v>
      </c>
      <c r="E14054" s="15">
        <v>12.5961</v>
      </c>
      <c r="F14054" s="42">
        <v>44351</v>
      </c>
    </row>
    <row r="14055" spans="1:6" x14ac:dyDescent="0.3">
      <c r="A14055" s="15" t="s">
        <v>36098</v>
      </c>
      <c r="B14055" s="15" t="s">
        <v>25796</v>
      </c>
      <c r="C14055" s="15" t="s">
        <v>800</v>
      </c>
      <c r="D14055" s="15" t="s">
        <v>25797</v>
      </c>
      <c r="E14055" s="15">
        <v>12.6671</v>
      </c>
      <c r="F14055" s="42">
        <v>44351</v>
      </c>
    </row>
    <row r="14056" spans="1:6" x14ac:dyDescent="0.3">
      <c r="A14056" s="15" t="s">
        <v>36097</v>
      </c>
      <c r="B14056" s="15" t="s">
        <v>25798</v>
      </c>
      <c r="C14056" s="15" t="s">
        <v>800</v>
      </c>
      <c r="D14056" s="15" t="s">
        <v>25799</v>
      </c>
      <c r="E14056" s="15">
        <v>12.6671</v>
      </c>
      <c r="F14056" s="42">
        <v>44351</v>
      </c>
    </row>
    <row r="14057" spans="1:6" x14ac:dyDescent="0.3">
      <c r="A14057" s="15" t="s">
        <v>36096</v>
      </c>
      <c r="B14057" s="15" t="s">
        <v>25800</v>
      </c>
      <c r="C14057" s="15" t="s">
        <v>800</v>
      </c>
      <c r="D14057" s="15" t="s">
        <v>25801</v>
      </c>
      <c r="E14057" s="15">
        <v>12.6638</v>
      </c>
      <c r="F14057" s="42">
        <v>44351</v>
      </c>
    </row>
    <row r="14058" spans="1:6" x14ac:dyDescent="0.3">
      <c r="A14058" s="15" t="s">
        <v>36095</v>
      </c>
      <c r="B14058" s="15" t="s">
        <v>25802</v>
      </c>
      <c r="C14058" s="15" t="s">
        <v>800</v>
      </c>
      <c r="D14058" s="15" t="s">
        <v>25803</v>
      </c>
      <c r="E14058" s="15">
        <v>12.5961</v>
      </c>
      <c r="F14058" s="42">
        <v>44351</v>
      </c>
    </row>
    <row r="14059" spans="1:6" x14ac:dyDescent="0.3">
      <c r="A14059" s="15" t="s">
        <v>36094</v>
      </c>
      <c r="B14059" s="15" t="s">
        <v>25804</v>
      </c>
      <c r="C14059" s="15" t="s">
        <v>800</v>
      </c>
      <c r="D14059" s="15" t="s">
        <v>25805</v>
      </c>
      <c r="E14059" s="15">
        <v>12.5961</v>
      </c>
      <c r="F14059" s="42">
        <v>44351</v>
      </c>
    </row>
    <row r="14060" spans="1:6" x14ac:dyDescent="0.3">
      <c r="A14060" s="15" t="s">
        <v>36093</v>
      </c>
      <c r="B14060" s="15" t="s">
        <v>25806</v>
      </c>
      <c r="C14060" s="15" t="s">
        <v>800</v>
      </c>
      <c r="D14060" s="15" t="s">
        <v>25807</v>
      </c>
      <c r="E14060" s="15">
        <v>12.788399999999999</v>
      </c>
      <c r="F14060" s="42">
        <v>44316</v>
      </c>
    </row>
    <row r="14061" spans="1:6" x14ac:dyDescent="0.3">
      <c r="A14061" s="15" t="s">
        <v>36092</v>
      </c>
      <c r="B14061" s="15" t="s">
        <v>25808</v>
      </c>
      <c r="C14061" s="15" t="s">
        <v>800</v>
      </c>
      <c r="D14061" s="15" t="s">
        <v>25809</v>
      </c>
      <c r="E14061" s="15">
        <v>12.9109</v>
      </c>
      <c r="F14061" s="42">
        <v>44316</v>
      </c>
    </row>
    <row r="14062" spans="1:6" x14ac:dyDescent="0.3">
      <c r="A14062" s="15" t="s">
        <v>36091</v>
      </c>
      <c r="B14062" s="15" t="s">
        <v>25810</v>
      </c>
      <c r="C14062" s="15" t="s">
        <v>800</v>
      </c>
      <c r="D14062" s="15" t="s">
        <v>25811</v>
      </c>
      <c r="E14062" s="15">
        <v>12.9109</v>
      </c>
      <c r="F14062" s="42">
        <v>44316</v>
      </c>
    </row>
    <row r="14063" spans="1:6" x14ac:dyDescent="0.3">
      <c r="A14063" s="15" t="s">
        <v>36090</v>
      </c>
      <c r="B14063" s="15" t="s">
        <v>25812</v>
      </c>
      <c r="C14063" s="15" t="s">
        <v>800</v>
      </c>
      <c r="D14063" s="15" t="s">
        <v>25813</v>
      </c>
      <c r="E14063" s="15">
        <v>12.7883</v>
      </c>
      <c r="F14063" s="42">
        <v>44316</v>
      </c>
    </row>
    <row r="14064" spans="1:6" x14ac:dyDescent="0.3">
      <c r="A14064" s="15" t="s">
        <v>36089</v>
      </c>
      <c r="B14064" s="15" t="s">
        <v>25814</v>
      </c>
      <c r="C14064" s="15" t="s">
        <v>800</v>
      </c>
      <c r="D14064" s="15" t="s">
        <v>25815</v>
      </c>
      <c r="E14064" s="15">
        <v>12.788399999999999</v>
      </c>
      <c r="F14064" s="42">
        <v>44316</v>
      </c>
    </row>
    <row r="14065" spans="1:6" x14ac:dyDescent="0.3">
      <c r="A14065" s="15" t="s">
        <v>36088</v>
      </c>
      <c r="B14065" s="15" t="s">
        <v>25816</v>
      </c>
      <c r="C14065" s="15" t="s">
        <v>800</v>
      </c>
      <c r="D14065" s="15" t="s">
        <v>25817</v>
      </c>
      <c r="E14065" s="15">
        <v>12.662599999999999</v>
      </c>
      <c r="F14065" s="42">
        <v>44350</v>
      </c>
    </row>
    <row r="14066" spans="1:6" x14ac:dyDescent="0.3">
      <c r="A14066" s="15" t="s">
        <v>36087</v>
      </c>
      <c r="B14066" s="15" t="s">
        <v>25818</v>
      </c>
      <c r="C14066" s="15" t="s">
        <v>800</v>
      </c>
      <c r="D14066" s="15" t="s">
        <v>25819</v>
      </c>
      <c r="E14066" s="15">
        <v>12.7141</v>
      </c>
      <c r="F14066" s="42">
        <v>44350</v>
      </c>
    </row>
    <row r="14067" spans="1:6" x14ac:dyDescent="0.3">
      <c r="A14067" s="15" t="s">
        <v>36086</v>
      </c>
      <c r="B14067" s="15" t="s">
        <v>25820</v>
      </c>
      <c r="C14067" s="15" t="s">
        <v>800</v>
      </c>
      <c r="D14067" s="15" t="s">
        <v>25821</v>
      </c>
      <c r="E14067" s="15">
        <v>12.7134</v>
      </c>
      <c r="F14067" s="42">
        <v>44350</v>
      </c>
    </row>
    <row r="14068" spans="1:6" x14ac:dyDescent="0.3">
      <c r="A14068" s="15" t="s">
        <v>36085</v>
      </c>
      <c r="B14068" s="15" t="s">
        <v>25822</v>
      </c>
      <c r="C14068" s="15" t="s">
        <v>800</v>
      </c>
      <c r="D14068" s="15" t="s">
        <v>25823</v>
      </c>
      <c r="E14068" s="15">
        <v>12.662699999999999</v>
      </c>
      <c r="F14068" s="42">
        <v>44350</v>
      </c>
    </row>
    <row r="14069" spans="1:6" x14ac:dyDescent="0.3">
      <c r="A14069" s="15" t="s">
        <v>36084</v>
      </c>
      <c r="B14069" s="15" t="s">
        <v>25824</v>
      </c>
      <c r="C14069" s="15" t="s">
        <v>800</v>
      </c>
      <c r="D14069" s="15" t="s">
        <v>25825</v>
      </c>
      <c r="E14069" s="15">
        <v>12.6555</v>
      </c>
      <c r="F14069" s="42">
        <v>44348</v>
      </c>
    </row>
    <row r="14070" spans="1:6" x14ac:dyDescent="0.3">
      <c r="A14070" s="15" t="s">
        <v>36083</v>
      </c>
      <c r="B14070" s="15" t="s">
        <v>25826</v>
      </c>
      <c r="C14070" s="15" t="s">
        <v>800</v>
      </c>
      <c r="D14070" s="15" t="s">
        <v>25827</v>
      </c>
      <c r="E14070" s="15">
        <v>12.705399999999999</v>
      </c>
      <c r="F14070" s="42">
        <v>44348</v>
      </c>
    </row>
    <row r="14071" spans="1:6" x14ac:dyDescent="0.3">
      <c r="A14071" s="15" t="s">
        <v>36082</v>
      </c>
      <c r="B14071" s="15" t="s">
        <v>25828</v>
      </c>
      <c r="C14071" s="15" t="s">
        <v>800</v>
      </c>
      <c r="D14071" s="15" t="s">
        <v>25829</v>
      </c>
      <c r="E14071" s="15">
        <v>12.705399999999999</v>
      </c>
      <c r="F14071" s="42">
        <v>44348</v>
      </c>
    </row>
    <row r="14072" spans="1:6" x14ac:dyDescent="0.3">
      <c r="A14072" s="15" t="s">
        <v>36081</v>
      </c>
      <c r="B14072" s="15" t="s">
        <v>25830</v>
      </c>
      <c r="C14072" s="15" t="s">
        <v>800</v>
      </c>
      <c r="D14072" s="15" t="s">
        <v>25831</v>
      </c>
      <c r="E14072" s="15">
        <v>12.6557</v>
      </c>
      <c r="F14072" s="42">
        <v>44348</v>
      </c>
    </row>
    <row r="14073" spans="1:6" x14ac:dyDescent="0.3">
      <c r="A14073" s="15" t="s">
        <v>36080</v>
      </c>
      <c r="B14073" s="15" t="s">
        <v>25832</v>
      </c>
      <c r="C14073" s="15" t="s">
        <v>800</v>
      </c>
      <c r="D14073" s="15" t="s">
        <v>25833</v>
      </c>
      <c r="E14073" s="15">
        <v>12.6554</v>
      </c>
      <c r="F14073" s="42">
        <v>44348</v>
      </c>
    </row>
    <row r="14074" spans="1:6" x14ac:dyDescent="0.3">
      <c r="A14074" s="15" t="s">
        <v>36079</v>
      </c>
      <c r="B14074" s="15" t="s">
        <v>25834</v>
      </c>
      <c r="C14074" s="15" t="s">
        <v>800</v>
      </c>
      <c r="D14074" s="15" t="s">
        <v>25835</v>
      </c>
      <c r="E14074" s="15">
        <v>12.6981</v>
      </c>
      <c r="F14074" s="42">
        <v>44347</v>
      </c>
    </row>
    <row r="14075" spans="1:6" x14ac:dyDescent="0.3">
      <c r="A14075" s="15" t="s">
        <v>36078</v>
      </c>
      <c r="B14075" s="15" t="s">
        <v>25836</v>
      </c>
      <c r="C14075" s="15" t="s">
        <v>800</v>
      </c>
      <c r="D14075" s="15" t="s">
        <v>25837</v>
      </c>
      <c r="E14075" s="15">
        <v>12.7501</v>
      </c>
      <c r="F14075" s="42">
        <v>44347</v>
      </c>
    </row>
    <row r="14076" spans="1:6" x14ac:dyDescent="0.3">
      <c r="A14076" s="15" t="s">
        <v>36077</v>
      </c>
      <c r="B14076" s="15" t="s">
        <v>25838</v>
      </c>
      <c r="C14076" s="15" t="s">
        <v>800</v>
      </c>
      <c r="D14076" s="15" t="s">
        <v>25839</v>
      </c>
      <c r="E14076" s="15">
        <v>12.75</v>
      </c>
      <c r="F14076" s="42">
        <v>44347</v>
      </c>
    </row>
    <row r="14077" spans="1:6" x14ac:dyDescent="0.3">
      <c r="A14077" s="15" t="s">
        <v>36076</v>
      </c>
      <c r="B14077" s="15" t="s">
        <v>25840</v>
      </c>
      <c r="C14077" s="15" t="s">
        <v>800</v>
      </c>
      <c r="D14077" s="15" t="s">
        <v>25841</v>
      </c>
      <c r="E14077" s="15">
        <v>12.750299999999999</v>
      </c>
      <c r="F14077" s="42">
        <v>44347</v>
      </c>
    </row>
    <row r="14078" spans="1:6" x14ac:dyDescent="0.3">
      <c r="A14078" s="15" t="s">
        <v>36075</v>
      </c>
      <c r="B14078" s="15" t="s">
        <v>25842</v>
      </c>
      <c r="C14078" s="15" t="s">
        <v>800</v>
      </c>
      <c r="D14078" s="15" t="s">
        <v>25843</v>
      </c>
      <c r="E14078" s="15">
        <v>12.698</v>
      </c>
      <c r="F14078" s="42">
        <v>44347</v>
      </c>
    </row>
    <row r="14079" spans="1:6" x14ac:dyDescent="0.3">
      <c r="A14079" s="15" t="s">
        <v>36074</v>
      </c>
      <c r="B14079" s="15" t="s">
        <v>25844</v>
      </c>
      <c r="C14079" s="15" t="s">
        <v>800</v>
      </c>
      <c r="D14079" s="15" t="s">
        <v>25845</v>
      </c>
      <c r="E14079" s="15">
        <v>12.6982</v>
      </c>
      <c r="F14079" s="42">
        <v>44347</v>
      </c>
    </row>
    <row r="14080" spans="1:6" x14ac:dyDescent="0.3">
      <c r="A14080" s="15" t="s">
        <v>36073</v>
      </c>
      <c r="B14080" s="15" t="s">
        <v>25846</v>
      </c>
      <c r="C14080" s="15" t="s">
        <v>800</v>
      </c>
      <c r="D14080" s="15" t="s">
        <v>25847</v>
      </c>
      <c r="E14080" s="15">
        <v>12.6114</v>
      </c>
      <c r="F14080" s="42">
        <v>44320</v>
      </c>
    </row>
    <row r="14081" spans="1:6" x14ac:dyDescent="0.3">
      <c r="A14081" s="15" t="s">
        <v>36072</v>
      </c>
      <c r="B14081" s="15" t="s">
        <v>25848</v>
      </c>
      <c r="C14081" s="15" t="s">
        <v>800</v>
      </c>
      <c r="D14081" s="15" t="s">
        <v>25849</v>
      </c>
      <c r="E14081" s="15">
        <v>12.681100000000001</v>
      </c>
      <c r="F14081" s="42">
        <v>44320</v>
      </c>
    </row>
    <row r="14082" spans="1:6" x14ac:dyDescent="0.3">
      <c r="A14082" s="15" t="s">
        <v>36071</v>
      </c>
      <c r="B14082" s="15" t="s">
        <v>25850</v>
      </c>
      <c r="C14082" s="15" t="s">
        <v>800</v>
      </c>
      <c r="D14082" s="15" t="s">
        <v>25851</v>
      </c>
      <c r="E14082" s="15">
        <v>12.6784</v>
      </c>
      <c r="F14082" s="42">
        <v>44320</v>
      </c>
    </row>
    <row r="14083" spans="1:6" x14ac:dyDescent="0.3">
      <c r="A14083" s="15" t="s">
        <v>36070</v>
      </c>
      <c r="B14083" s="15" t="s">
        <v>25852</v>
      </c>
      <c r="C14083" s="15" t="s">
        <v>800</v>
      </c>
      <c r="D14083" s="15" t="s">
        <v>25853</v>
      </c>
      <c r="E14083" s="15">
        <v>12.681100000000001</v>
      </c>
      <c r="F14083" s="42">
        <v>44320</v>
      </c>
    </row>
    <row r="14084" spans="1:6" x14ac:dyDescent="0.3">
      <c r="A14084" s="15" t="s">
        <v>36069</v>
      </c>
      <c r="B14084" s="15" t="s">
        <v>25854</v>
      </c>
      <c r="C14084" s="15" t="s">
        <v>800</v>
      </c>
      <c r="D14084" s="15" t="s">
        <v>25855</v>
      </c>
      <c r="E14084" s="15">
        <v>12.6113</v>
      </c>
      <c r="F14084" s="42">
        <v>44320</v>
      </c>
    </row>
    <row r="14085" spans="1:6" x14ac:dyDescent="0.3">
      <c r="A14085" s="15" t="s">
        <v>36068</v>
      </c>
      <c r="B14085" s="15" t="s">
        <v>25856</v>
      </c>
      <c r="C14085" s="15" t="s">
        <v>800</v>
      </c>
      <c r="D14085" s="15" t="s">
        <v>25857</v>
      </c>
      <c r="E14085" s="15">
        <v>12.6114</v>
      </c>
      <c r="F14085" s="42">
        <v>44320</v>
      </c>
    </row>
    <row r="14086" spans="1:6" x14ac:dyDescent="0.3">
      <c r="A14086" s="15" t="s">
        <v>36067</v>
      </c>
      <c r="B14086" s="15" t="s">
        <v>25858</v>
      </c>
      <c r="C14086" s="15" t="s">
        <v>800</v>
      </c>
      <c r="D14086" s="15" t="s">
        <v>25859</v>
      </c>
      <c r="E14086" s="15">
        <v>12.658200000000001</v>
      </c>
      <c r="F14086" s="42">
        <v>44330</v>
      </c>
    </row>
    <row r="14087" spans="1:6" x14ac:dyDescent="0.3">
      <c r="A14087" s="15" t="s">
        <v>36066</v>
      </c>
      <c r="B14087" s="15" t="s">
        <v>25860</v>
      </c>
      <c r="C14087" s="15" t="s">
        <v>800</v>
      </c>
      <c r="D14087" s="15" t="s">
        <v>25861</v>
      </c>
      <c r="E14087" s="15">
        <v>12.7258</v>
      </c>
      <c r="F14087" s="42">
        <v>44330</v>
      </c>
    </row>
    <row r="14088" spans="1:6" x14ac:dyDescent="0.3">
      <c r="A14088" s="15" t="s">
        <v>36065</v>
      </c>
      <c r="B14088" s="15" t="s">
        <v>25862</v>
      </c>
      <c r="C14088" s="15" t="s">
        <v>800</v>
      </c>
      <c r="D14088" s="15" t="s">
        <v>25863</v>
      </c>
      <c r="E14088" s="15">
        <v>12.7258</v>
      </c>
      <c r="F14088" s="42">
        <v>44330</v>
      </c>
    </row>
    <row r="14089" spans="1:6" x14ac:dyDescent="0.3">
      <c r="A14089" s="15" t="s">
        <v>36064</v>
      </c>
      <c r="B14089" s="15" t="s">
        <v>25864</v>
      </c>
      <c r="C14089" s="15" t="s">
        <v>800</v>
      </c>
      <c r="D14089" s="15" t="s">
        <v>25865</v>
      </c>
      <c r="E14089" s="15">
        <v>12.649900000000001</v>
      </c>
      <c r="F14089" s="42">
        <v>44330</v>
      </c>
    </row>
    <row r="14090" spans="1:6" x14ac:dyDescent="0.3">
      <c r="A14090" s="15" t="s">
        <v>36063</v>
      </c>
      <c r="B14090" s="15" t="s">
        <v>25866</v>
      </c>
      <c r="C14090" s="15" t="s">
        <v>800</v>
      </c>
      <c r="D14090" s="15" t="s">
        <v>25867</v>
      </c>
      <c r="E14090" s="15">
        <v>12.658200000000001</v>
      </c>
      <c r="F14090" s="42">
        <v>44330</v>
      </c>
    </row>
    <row r="14091" spans="1:6" x14ac:dyDescent="0.3">
      <c r="A14091" s="15" t="s">
        <v>36062</v>
      </c>
      <c r="B14091" s="15" t="s">
        <v>25868</v>
      </c>
      <c r="C14091" s="15" t="s">
        <v>800</v>
      </c>
      <c r="D14091" s="15" t="s">
        <v>25869</v>
      </c>
      <c r="E14091" s="15">
        <v>12.6311</v>
      </c>
      <c r="F14091" s="42">
        <v>44340</v>
      </c>
    </row>
    <row r="14092" spans="1:6" x14ac:dyDescent="0.3">
      <c r="A14092" s="15" t="s">
        <v>36061</v>
      </c>
      <c r="B14092" s="15" t="s">
        <v>25870</v>
      </c>
      <c r="C14092" s="15" t="s">
        <v>800</v>
      </c>
      <c r="D14092" s="15" t="s">
        <v>25871</v>
      </c>
      <c r="E14092" s="15">
        <v>12.698700000000001</v>
      </c>
      <c r="F14092" s="42">
        <v>44340</v>
      </c>
    </row>
    <row r="14093" spans="1:6" x14ac:dyDescent="0.3">
      <c r="A14093" s="15" t="s">
        <v>36060</v>
      </c>
      <c r="B14093" s="15" t="s">
        <v>25872</v>
      </c>
      <c r="C14093" s="15" t="s">
        <v>800</v>
      </c>
      <c r="D14093" s="15" t="s">
        <v>25873</v>
      </c>
      <c r="E14093" s="15">
        <v>12.6988</v>
      </c>
      <c r="F14093" s="42">
        <v>44340</v>
      </c>
    </row>
    <row r="14094" spans="1:6" x14ac:dyDescent="0.3">
      <c r="A14094" s="15" t="s">
        <v>36059</v>
      </c>
      <c r="B14094" s="15" t="s">
        <v>25874</v>
      </c>
      <c r="C14094" s="15" t="s">
        <v>800</v>
      </c>
      <c r="D14094" s="15" t="s">
        <v>25875</v>
      </c>
      <c r="E14094" s="15">
        <v>12.698700000000001</v>
      </c>
      <c r="F14094" s="42">
        <v>44340</v>
      </c>
    </row>
    <row r="14095" spans="1:6" x14ac:dyDescent="0.3">
      <c r="A14095" s="15" t="s">
        <v>36058</v>
      </c>
      <c r="B14095" s="15" t="s">
        <v>25876</v>
      </c>
      <c r="C14095" s="15" t="s">
        <v>800</v>
      </c>
      <c r="D14095" s="15" t="s">
        <v>25877</v>
      </c>
      <c r="E14095" s="15">
        <v>12.630699999999999</v>
      </c>
      <c r="F14095" s="42">
        <v>44340</v>
      </c>
    </row>
    <row r="14096" spans="1:6" x14ac:dyDescent="0.3">
      <c r="A14096" s="15" t="s">
        <v>36057</v>
      </c>
      <c r="B14096" s="15" t="s">
        <v>25878</v>
      </c>
      <c r="C14096" s="15" t="s">
        <v>800</v>
      </c>
      <c r="D14096" s="15" t="s">
        <v>25879</v>
      </c>
      <c r="E14096" s="15">
        <v>12.6311</v>
      </c>
      <c r="F14096" s="42">
        <v>44340</v>
      </c>
    </row>
    <row r="14097" spans="1:6" x14ac:dyDescent="0.3">
      <c r="A14097" s="15" t="s">
        <v>36056</v>
      </c>
      <c r="B14097" s="15" t="s">
        <v>25880</v>
      </c>
      <c r="C14097" s="15" t="s">
        <v>800</v>
      </c>
      <c r="D14097" s="15" t="s">
        <v>25881</v>
      </c>
      <c r="E14097" s="15">
        <v>12.6569</v>
      </c>
      <c r="F14097" s="42">
        <v>44347</v>
      </c>
    </row>
    <row r="14098" spans="1:6" x14ac:dyDescent="0.3">
      <c r="A14098" s="15" t="s">
        <v>36055</v>
      </c>
      <c r="B14098" s="15" t="s">
        <v>25882</v>
      </c>
      <c r="C14098" s="15" t="s">
        <v>800</v>
      </c>
      <c r="D14098" s="15" t="s">
        <v>25883</v>
      </c>
      <c r="E14098" s="15">
        <v>12.7102</v>
      </c>
      <c r="F14098" s="42">
        <v>44347</v>
      </c>
    </row>
    <row r="14099" spans="1:6" x14ac:dyDescent="0.3">
      <c r="A14099" s="15" t="s">
        <v>36054</v>
      </c>
      <c r="B14099" s="15" t="s">
        <v>25884</v>
      </c>
      <c r="C14099" s="15" t="s">
        <v>800</v>
      </c>
      <c r="D14099" s="15" t="s">
        <v>25885</v>
      </c>
      <c r="E14099" s="15">
        <v>12.7102</v>
      </c>
      <c r="F14099" s="42">
        <v>44347</v>
      </c>
    </row>
    <row r="14100" spans="1:6" x14ac:dyDescent="0.3">
      <c r="A14100" s="15" t="s">
        <v>36053</v>
      </c>
      <c r="B14100" s="15" t="s">
        <v>25886</v>
      </c>
      <c r="C14100" s="15" t="s">
        <v>800</v>
      </c>
      <c r="D14100" s="15" t="s">
        <v>25887</v>
      </c>
      <c r="E14100" s="15">
        <v>12.6569</v>
      </c>
      <c r="F14100" s="42">
        <v>44347</v>
      </c>
    </row>
    <row r="14101" spans="1:6" x14ac:dyDescent="0.3">
      <c r="A14101" s="15" t="s">
        <v>36052</v>
      </c>
      <c r="B14101" s="15" t="s">
        <v>25888</v>
      </c>
      <c r="C14101" s="15" t="s">
        <v>800</v>
      </c>
      <c r="D14101" s="15" t="s">
        <v>25889</v>
      </c>
      <c r="E14101" s="15">
        <v>12.656599999999999</v>
      </c>
      <c r="F14101" s="42">
        <v>44347</v>
      </c>
    </row>
    <row r="14102" spans="1:6" x14ac:dyDescent="0.3">
      <c r="A14102" s="15" t="s">
        <v>36051</v>
      </c>
      <c r="B14102" s="15" t="s">
        <v>25890</v>
      </c>
      <c r="C14102" s="15" t="s">
        <v>800</v>
      </c>
      <c r="D14102" s="15" t="s">
        <v>25891</v>
      </c>
      <c r="E14102" s="15">
        <v>12.633699999999999</v>
      </c>
      <c r="F14102" s="42">
        <v>44320</v>
      </c>
    </row>
    <row r="14103" spans="1:6" x14ac:dyDescent="0.3">
      <c r="A14103" s="15" t="s">
        <v>36050</v>
      </c>
      <c r="B14103" s="15" t="s">
        <v>25892</v>
      </c>
      <c r="C14103" s="15" t="s">
        <v>800</v>
      </c>
      <c r="D14103" s="15" t="s">
        <v>25893</v>
      </c>
      <c r="E14103" s="15">
        <v>12.702500000000001</v>
      </c>
      <c r="F14103" s="42">
        <v>44320</v>
      </c>
    </row>
    <row r="14104" spans="1:6" x14ac:dyDescent="0.3">
      <c r="A14104" s="15" t="s">
        <v>36049</v>
      </c>
      <c r="B14104" s="15" t="s">
        <v>25894</v>
      </c>
      <c r="C14104" s="15" t="s">
        <v>800</v>
      </c>
      <c r="D14104" s="15" t="s">
        <v>25895</v>
      </c>
      <c r="E14104" s="15">
        <v>12.7028</v>
      </c>
      <c r="F14104" s="42">
        <v>44320</v>
      </c>
    </row>
    <row r="14105" spans="1:6" x14ac:dyDescent="0.3">
      <c r="A14105" s="15" t="s">
        <v>36048</v>
      </c>
      <c r="B14105" s="15" t="s">
        <v>25896</v>
      </c>
      <c r="C14105" s="15" t="s">
        <v>800</v>
      </c>
      <c r="D14105" s="15" t="s">
        <v>25897</v>
      </c>
      <c r="E14105" s="15">
        <v>12.702199999999999</v>
      </c>
      <c r="F14105" s="42">
        <v>44320</v>
      </c>
    </row>
    <row r="14106" spans="1:6" x14ac:dyDescent="0.3">
      <c r="A14106" s="15" t="s">
        <v>36047</v>
      </c>
      <c r="B14106" s="15" t="s">
        <v>25898</v>
      </c>
      <c r="C14106" s="15" t="s">
        <v>800</v>
      </c>
      <c r="D14106" s="15" t="s">
        <v>25899</v>
      </c>
      <c r="E14106" s="15">
        <v>12.633699999999999</v>
      </c>
      <c r="F14106" s="42">
        <v>44320</v>
      </c>
    </row>
    <row r="14107" spans="1:6" x14ac:dyDescent="0.3">
      <c r="A14107" s="15" t="s">
        <v>36046</v>
      </c>
      <c r="B14107" s="15" t="s">
        <v>25900</v>
      </c>
      <c r="C14107" s="15" t="s">
        <v>800</v>
      </c>
      <c r="D14107" s="15" t="s">
        <v>25901</v>
      </c>
      <c r="E14107" s="15">
        <v>12.633599999999999</v>
      </c>
      <c r="F14107" s="42">
        <v>44320</v>
      </c>
    </row>
    <row r="14108" spans="1:6" x14ac:dyDescent="0.3">
      <c r="A14108" s="15" t="s">
        <v>36045</v>
      </c>
      <c r="B14108" s="15" t="s">
        <v>25902</v>
      </c>
      <c r="C14108" s="15" t="s">
        <v>800</v>
      </c>
      <c r="D14108" s="15" t="s">
        <v>25903</v>
      </c>
      <c r="E14108" s="15">
        <v>12.633800000000001</v>
      </c>
      <c r="F14108" s="42">
        <v>44312</v>
      </c>
    </row>
    <row r="14109" spans="1:6" x14ac:dyDescent="0.3">
      <c r="A14109" s="15" t="s">
        <v>36044</v>
      </c>
      <c r="B14109" s="15" t="s">
        <v>25904</v>
      </c>
      <c r="C14109" s="15" t="s">
        <v>800</v>
      </c>
      <c r="D14109" s="15" t="s">
        <v>25905</v>
      </c>
      <c r="E14109" s="15">
        <v>12.6677</v>
      </c>
      <c r="F14109" s="42">
        <v>44312</v>
      </c>
    </row>
    <row r="14110" spans="1:6" x14ac:dyDescent="0.3">
      <c r="A14110" s="15" t="s">
        <v>36043</v>
      </c>
      <c r="B14110" s="15" t="s">
        <v>25906</v>
      </c>
      <c r="C14110" s="15" t="s">
        <v>800</v>
      </c>
      <c r="D14110" s="15" t="s">
        <v>25907</v>
      </c>
      <c r="E14110" s="15">
        <v>12.6676</v>
      </c>
      <c r="F14110" s="42">
        <v>44312</v>
      </c>
    </row>
    <row r="14111" spans="1:6" x14ac:dyDescent="0.3">
      <c r="A14111" s="15" t="s">
        <v>36042</v>
      </c>
      <c r="B14111" s="15" t="s">
        <v>25908</v>
      </c>
      <c r="C14111" s="15" t="s">
        <v>800</v>
      </c>
      <c r="D14111" s="15" t="s">
        <v>25909</v>
      </c>
      <c r="E14111" s="15">
        <v>12.666700000000001</v>
      </c>
      <c r="F14111" s="42">
        <v>44312</v>
      </c>
    </row>
    <row r="14112" spans="1:6" x14ac:dyDescent="0.3">
      <c r="A14112" s="15" t="s">
        <v>36041</v>
      </c>
      <c r="B14112" s="15" t="s">
        <v>25910</v>
      </c>
      <c r="C14112" s="15" t="s">
        <v>800</v>
      </c>
      <c r="D14112" s="15" t="s">
        <v>25911</v>
      </c>
      <c r="E14112" s="15">
        <v>12.6335</v>
      </c>
      <c r="F14112" s="42">
        <v>44312</v>
      </c>
    </row>
    <row r="14113" spans="1:6" x14ac:dyDescent="0.3">
      <c r="A14113" s="15" t="s">
        <v>36040</v>
      </c>
      <c r="B14113" s="15" t="s">
        <v>25912</v>
      </c>
      <c r="C14113" s="15" t="s">
        <v>800</v>
      </c>
      <c r="D14113" s="15" t="s">
        <v>25913</v>
      </c>
      <c r="E14113" s="15">
        <v>12.633800000000001</v>
      </c>
      <c r="F14113" s="42">
        <v>44312</v>
      </c>
    </row>
    <row r="14114" spans="1:6" x14ac:dyDescent="0.3">
      <c r="A14114" s="15" t="s">
        <v>36039</v>
      </c>
      <c r="B14114" s="15" t="s">
        <v>25914</v>
      </c>
      <c r="C14114" s="15" t="s">
        <v>800</v>
      </c>
      <c r="D14114" s="15" t="s">
        <v>25915</v>
      </c>
      <c r="E14114" s="15">
        <v>10.197100000000001</v>
      </c>
      <c r="F14114" s="42">
        <v>43335</v>
      </c>
    </row>
    <row r="14115" spans="1:6" x14ac:dyDescent="0.3">
      <c r="A14115" s="15" t="s">
        <v>36038</v>
      </c>
      <c r="B14115" s="15" t="s">
        <v>25916</v>
      </c>
      <c r="C14115" s="15" t="s">
        <v>800</v>
      </c>
      <c r="D14115" s="15" t="s">
        <v>25917</v>
      </c>
      <c r="E14115" s="15">
        <v>10.202999999999999</v>
      </c>
      <c r="F14115" s="42">
        <v>43335</v>
      </c>
    </row>
    <row r="14116" spans="1:6" x14ac:dyDescent="0.3">
      <c r="A14116" s="15" t="s">
        <v>36037</v>
      </c>
      <c r="B14116" s="15" t="s">
        <v>25918</v>
      </c>
      <c r="C14116" s="15" t="s">
        <v>800</v>
      </c>
      <c r="D14116" s="15" t="s">
        <v>25919</v>
      </c>
      <c r="E14116" s="15">
        <v>10.202999999999999</v>
      </c>
      <c r="F14116" s="42">
        <v>43335</v>
      </c>
    </row>
    <row r="14117" spans="1:6" x14ac:dyDescent="0.3">
      <c r="A14117" s="15" t="s">
        <v>36036</v>
      </c>
      <c r="B14117" s="15" t="s">
        <v>25920</v>
      </c>
      <c r="C14117" s="15" t="s">
        <v>800</v>
      </c>
      <c r="D14117" s="15" t="s">
        <v>25921</v>
      </c>
      <c r="E14117" s="15">
        <v>10.197100000000001</v>
      </c>
      <c r="F14117" s="42">
        <v>43335</v>
      </c>
    </row>
    <row r="14118" spans="1:6" x14ac:dyDescent="0.3">
      <c r="A14118" s="15" t="s">
        <v>36035</v>
      </c>
      <c r="B14118" s="15" t="s">
        <v>25922</v>
      </c>
      <c r="C14118" s="15" t="s">
        <v>800</v>
      </c>
      <c r="D14118" s="15" t="s">
        <v>25923</v>
      </c>
      <c r="E14118" s="15">
        <v>12.5505</v>
      </c>
      <c r="F14118" s="42">
        <v>44385</v>
      </c>
    </row>
    <row r="14119" spans="1:6" x14ac:dyDescent="0.3">
      <c r="A14119" s="15" t="s">
        <v>36034</v>
      </c>
      <c r="B14119" s="15" t="s">
        <v>25924</v>
      </c>
      <c r="C14119" s="15" t="s">
        <v>800</v>
      </c>
      <c r="D14119" s="15" t="s">
        <v>25925</v>
      </c>
      <c r="E14119" s="15">
        <v>12.664099999999999</v>
      </c>
      <c r="F14119" s="42">
        <v>44385</v>
      </c>
    </row>
    <row r="14120" spans="1:6" x14ac:dyDescent="0.3">
      <c r="A14120" s="15" t="s">
        <v>36033</v>
      </c>
      <c r="B14120" s="15" t="s">
        <v>25926</v>
      </c>
      <c r="C14120" s="15" t="s">
        <v>800</v>
      </c>
      <c r="D14120" s="15" t="s">
        <v>25927</v>
      </c>
      <c r="E14120" s="15">
        <v>12.570600000000001</v>
      </c>
      <c r="F14120" s="42">
        <v>44399</v>
      </c>
    </row>
    <row r="14121" spans="1:6" x14ac:dyDescent="0.3">
      <c r="A14121" s="15" t="s">
        <v>36032</v>
      </c>
      <c r="B14121" s="15" t="s">
        <v>25928</v>
      </c>
      <c r="C14121" s="15" t="s">
        <v>800</v>
      </c>
      <c r="D14121" s="15" t="s">
        <v>25929</v>
      </c>
      <c r="E14121" s="15">
        <v>12.655200000000001</v>
      </c>
      <c r="F14121" s="42">
        <v>44399</v>
      </c>
    </row>
    <row r="14122" spans="1:6" x14ac:dyDescent="0.3">
      <c r="A14122" s="15" t="s">
        <v>36031</v>
      </c>
      <c r="B14122" s="15" t="s">
        <v>25930</v>
      </c>
      <c r="C14122" s="15" t="s">
        <v>800</v>
      </c>
      <c r="D14122" s="15" t="s">
        <v>25931</v>
      </c>
      <c r="E14122" s="15">
        <v>12.5732</v>
      </c>
      <c r="F14122" s="42">
        <v>44399</v>
      </c>
    </row>
    <row r="14123" spans="1:6" x14ac:dyDescent="0.3">
      <c r="A14123" s="15" t="s">
        <v>36030</v>
      </c>
      <c r="B14123" s="15" t="s">
        <v>25932</v>
      </c>
      <c r="C14123" s="15" t="s">
        <v>800</v>
      </c>
      <c r="D14123" s="15" t="s">
        <v>25933</v>
      </c>
      <c r="E14123" s="15">
        <v>12.350199999999999</v>
      </c>
      <c r="F14123" s="42">
        <v>44413</v>
      </c>
    </row>
    <row r="14124" spans="1:6" x14ac:dyDescent="0.3">
      <c r="A14124" s="15" t="s">
        <v>36029</v>
      </c>
      <c r="B14124" s="15" t="s">
        <v>25934</v>
      </c>
      <c r="C14124" s="15" t="s">
        <v>800</v>
      </c>
      <c r="D14124" s="15" t="s">
        <v>25935</v>
      </c>
      <c r="E14124" s="15">
        <v>12.440300000000001</v>
      </c>
      <c r="F14124" s="42">
        <v>44413</v>
      </c>
    </row>
    <row r="14125" spans="1:6" x14ac:dyDescent="0.3">
      <c r="A14125" s="15" t="s">
        <v>36028</v>
      </c>
      <c r="B14125" s="15" t="s">
        <v>25936</v>
      </c>
      <c r="C14125" s="15" t="s">
        <v>800</v>
      </c>
      <c r="D14125" s="15" t="s">
        <v>25937</v>
      </c>
      <c r="E14125" s="15">
        <v>12.4361</v>
      </c>
      <c r="F14125" s="42">
        <v>44413</v>
      </c>
    </row>
    <row r="14126" spans="1:6" x14ac:dyDescent="0.3">
      <c r="A14126" s="15" t="s">
        <v>36027</v>
      </c>
      <c r="B14126" s="15" t="s">
        <v>25938</v>
      </c>
      <c r="C14126" s="15" t="s">
        <v>800</v>
      </c>
      <c r="D14126" s="15" t="s">
        <v>25939</v>
      </c>
      <c r="E14126" s="15">
        <v>12.350199999999999</v>
      </c>
      <c r="F14126" s="42">
        <v>44413</v>
      </c>
    </row>
    <row r="14127" spans="1:6" x14ac:dyDescent="0.3">
      <c r="A14127" s="15" t="s">
        <v>36026</v>
      </c>
      <c r="B14127" s="15" t="s">
        <v>25940</v>
      </c>
      <c r="C14127" s="15" t="s">
        <v>800</v>
      </c>
      <c r="D14127" s="15" t="s">
        <v>25941</v>
      </c>
      <c r="E14127" s="15">
        <v>12.350199999999999</v>
      </c>
      <c r="F14127" s="42">
        <v>44413</v>
      </c>
    </row>
    <row r="14128" spans="1:6" x14ac:dyDescent="0.3">
      <c r="A14128" s="15" t="s">
        <v>36025</v>
      </c>
      <c r="B14128" s="15" t="s">
        <v>25942</v>
      </c>
      <c r="C14128" s="15" t="s">
        <v>800</v>
      </c>
      <c r="D14128" s="15" t="s">
        <v>25943</v>
      </c>
      <c r="E14128" s="15">
        <v>12.591799999999999</v>
      </c>
      <c r="F14128" s="42">
        <v>44442</v>
      </c>
    </row>
    <row r="14129" spans="1:6" x14ac:dyDescent="0.3">
      <c r="A14129" s="15" t="s">
        <v>36024</v>
      </c>
      <c r="B14129" s="15" t="s">
        <v>25944</v>
      </c>
      <c r="C14129" s="15" t="s">
        <v>800</v>
      </c>
      <c r="D14129" s="15" t="s">
        <v>25945</v>
      </c>
      <c r="E14129" s="15">
        <v>12.7088</v>
      </c>
      <c r="F14129" s="42">
        <v>44442</v>
      </c>
    </row>
    <row r="14130" spans="1:6" x14ac:dyDescent="0.3">
      <c r="A14130" s="15" t="s">
        <v>36023</v>
      </c>
      <c r="B14130" s="15" t="s">
        <v>25946</v>
      </c>
      <c r="C14130" s="15" t="s">
        <v>800</v>
      </c>
      <c r="D14130" s="15" t="s">
        <v>25947</v>
      </c>
      <c r="E14130" s="15">
        <v>12.7088</v>
      </c>
      <c r="F14130" s="42">
        <v>44442</v>
      </c>
    </row>
    <row r="14131" spans="1:6" x14ac:dyDescent="0.3">
      <c r="A14131" s="15" t="s">
        <v>36022</v>
      </c>
      <c r="B14131" s="15" t="s">
        <v>25948</v>
      </c>
      <c r="C14131" s="15" t="s">
        <v>800</v>
      </c>
      <c r="D14131" s="15" t="s">
        <v>25949</v>
      </c>
      <c r="E14131" s="15">
        <v>12.7088</v>
      </c>
      <c r="F14131" s="42">
        <v>44442</v>
      </c>
    </row>
    <row r="14132" spans="1:6" x14ac:dyDescent="0.3">
      <c r="A14132" s="15" t="s">
        <v>36021</v>
      </c>
      <c r="B14132" s="15" t="s">
        <v>25950</v>
      </c>
      <c r="C14132" s="15" t="s">
        <v>800</v>
      </c>
      <c r="D14132" s="15" t="s">
        <v>25951</v>
      </c>
      <c r="E14132" s="15">
        <v>12.591799999999999</v>
      </c>
      <c r="F14132" s="42">
        <v>44442</v>
      </c>
    </row>
    <row r="14133" spans="1:6" x14ac:dyDescent="0.3">
      <c r="A14133" s="15" t="s">
        <v>36020</v>
      </c>
      <c r="B14133" s="15" t="s">
        <v>25952</v>
      </c>
      <c r="C14133" s="15" t="s">
        <v>800</v>
      </c>
      <c r="D14133" s="15" t="s">
        <v>25953</v>
      </c>
      <c r="E14133" s="15">
        <v>12.591799999999999</v>
      </c>
      <c r="F14133" s="42">
        <v>44442</v>
      </c>
    </row>
    <row r="14134" spans="1:6" x14ac:dyDescent="0.3">
      <c r="A14134" s="15" t="s">
        <v>36019</v>
      </c>
      <c r="B14134" s="15" t="s">
        <v>25954</v>
      </c>
      <c r="C14134" s="15" t="s">
        <v>800</v>
      </c>
      <c r="D14134" s="15" t="s">
        <v>25955</v>
      </c>
      <c r="E14134" s="15">
        <v>12.619</v>
      </c>
      <c r="F14134" s="42">
        <v>44454</v>
      </c>
    </row>
    <row r="14135" spans="1:6" x14ac:dyDescent="0.3">
      <c r="A14135" s="15" t="s">
        <v>36018</v>
      </c>
      <c r="B14135" s="15" t="s">
        <v>25956</v>
      </c>
      <c r="C14135" s="15" t="s">
        <v>800</v>
      </c>
      <c r="D14135" s="15" t="s">
        <v>25957</v>
      </c>
      <c r="E14135" s="15">
        <v>12.7019</v>
      </c>
      <c r="F14135" s="42">
        <v>44454</v>
      </c>
    </row>
    <row r="14136" spans="1:6" x14ac:dyDescent="0.3">
      <c r="A14136" s="15" t="s">
        <v>36017</v>
      </c>
      <c r="B14136" s="15" t="s">
        <v>25958</v>
      </c>
      <c r="C14136" s="15" t="s">
        <v>800</v>
      </c>
      <c r="D14136" s="15" t="s">
        <v>25959</v>
      </c>
      <c r="E14136" s="15">
        <v>12.7019</v>
      </c>
      <c r="F14136" s="42">
        <v>44454</v>
      </c>
    </row>
    <row r="14137" spans="1:6" x14ac:dyDescent="0.3">
      <c r="A14137" s="15" t="s">
        <v>36016</v>
      </c>
      <c r="B14137" s="15" t="s">
        <v>25960</v>
      </c>
      <c r="C14137" s="15" t="s">
        <v>800</v>
      </c>
      <c r="D14137" s="15" t="s">
        <v>25961</v>
      </c>
      <c r="E14137" s="15">
        <v>12.703200000000001</v>
      </c>
      <c r="F14137" s="42">
        <v>44454</v>
      </c>
    </row>
    <row r="14138" spans="1:6" x14ac:dyDescent="0.3">
      <c r="A14138" s="15" t="s">
        <v>36015</v>
      </c>
      <c r="B14138" s="15" t="s">
        <v>25962</v>
      </c>
      <c r="C14138" s="15" t="s">
        <v>800</v>
      </c>
      <c r="D14138" s="15" t="s">
        <v>25963</v>
      </c>
      <c r="E14138" s="15">
        <v>12.6188</v>
      </c>
      <c r="F14138" s="42">
        <v>44454</v>
      </c>
    </row>
    <row r="14139" spans="1:6" x14ac:dyDescent="0.3">
      <c r="A14139" s="15" t="s">
        <v>36014</v>
      </c>
      <c r="B14139" s="15" t="s">
        <v>25964</v>
      </c>
      <c r="C14139" s="15" t="s">
        <v>800</v>
      </c>
      <c r="D14139" s="15" t="s">
        <v>25965</v>
      </c>
      <c r="E14139" s="15">
        <v>12.619</v>
      </c>
      <c r="F14139" s="42">
        <v>44454</v>
      </c>
    </row>
    <row r="14140" spans="1:6" x14ac:dyDescent="0.3">
      <c r="A14140" s="15" t="s">
        <v>36013</v>
      </c>
      <c r="B14140" s="15" t="s">
        <v>25966</v>
      </c>
      <c r="C14140" s="15" t="s">
        <v>800</v>
      </c>
      <c r="D14140" s="15" t="s">
        <v>25967</v>
      </c>
      <c r="E14140" s="15">
        <v>12.6852</v>
      </c>
      <c r="F14140" s="42">
        <v>44375</v>
      </c>
    </row>
    <row r="14141" spans="1:6" x14ac:dyDescent="0.3">
      <c r="A14141" s="15" t="s">
        <v>36012</v>
      </c>
      <c r="B14141" s="15" t="s">
        <v>25968</v>
      </c>
      <c r="C14141" s="15" t="s">
        <v>800</v>
      </c>
      <c r="D14141" s="15" t="s">
        <v>25969</v>
      </c>
      <c r="E14141" s="15">
        <v>12.697100000000001</v>
      </c>
      <c r="F14141" s="42">
        <v>44375</v>
      </c>
    </row>
    <row r="14142" spans="1:6" x14ac:dyDescent="0.3">
      <c r="A14142" s="15" t="s">
        <v>36011</v>
      </c>
      <c r="B14142" s="15" t="s">
        <v>25970</v>
      </c>
      <c r="C14142" s="15" t="s">
        <v>800</v>
      </c>
      <c r="D14142" s="15" t="s">
        <v>25971</v>
      </c>
      <c r="E14142" s="15">
        <v>12.5336</v>
      </c>
      <c r="F14142" s="42">
        <v>44349</v>
      </c>
    </row>
    <row r="14143" spans="1:6" x14ac:dyDescent="0.3">
      <c r="A14143" s="15" t="s">
        <v>36010</v>
      </c>
      <c r="B14143" s="15" t="s">
        <v>25972</v>
      </c>
      <c r="C14143" s="15" t="s">
        <v>800</v>
      </c>
      <c r="D14143" s="15" t="s">
        <v>25973</v>
      </c>
      <c r="E14143" s="15">
        <v>12.648099999999999</v>
      </c>
      <c r="F14143" s="42">
        <v>44349</v>
      </c>
    </row>
    <row r="14144" spans="1:6" x14ac:dyDescent="0.3">
      <c r="A14144" s="15" t="s">
        <v>36009</v>
      </c>
      <c r="B14144" s="15" t="s">
        <v>25974</v>
      </c>
      <c r="C14144" s="15" t="s">
        <v>800</v>
      </c>
      <c r="D14144" s="15" t="s">
        <v>25975</v>
      </c>
      <c r="E14144" s="15">
        <v>12.648099999999999</v>
      </c>
      <c r="F14144" s="42">
        <v>44349</v>
      </c>
    </row>
    <row r="14145" spans="1:6" x14ac:dyDescent="0.3">
      <c r="A14145" s="15" t="s">
        <v>36008</v>
      </c>
      <c r="B14145" s="15" t="s">
        <v>25976</v>
      </c>
      <c r="C14145" s="15" t="s">
        <v>800</v>
      </c>
      <c r="D14145" s="15" t="s">
        <v>25977</v>
      </c>
      <c r="E14145" s="15">
        <v>12.648099999999999</v>
      </c>
      <c r="F14145" s="42">
        <v>44349</v>
      </c>
    </row>
    <row r="14146" spans="1:6" x14ac:dyDescent="0.3">
      <c r="A14146" s="15" t="s">
        <v>36007</v>
      </c>
      <c r="B14146" s="15" t="s">
        <v>25978</v>
      </c>
      <c r="C14146" s="15" t="s">
        <v>800</v>
      </c>
      <c r="D14146" s="15" t="s">
        <v>25979</v>
      </c>
      <c r="E14146" s="15">
        <v>12.533899999999999</v>
      </c>
      <c r="F14146" s="42">
        <v>44349</v>
      </c>
    </row>
    <row r="14147" spans="1:6" x14ac:dyDescent="0.3">
      <c r="A14147" s="15" t="s">
        <v>36006</v>
      </c>
      <c r="B14147" s="15" t="s">
        <v>25980</v>
      </c>
      <c r="C14147" s="15" t="s">
        <v>800</v>
      </c>
      <c r="D14147" s="15" t="s">
        <v>25981</v>
      </c>
      <c r="E14147" s="15">
        <v>12.5336</v>
      </c>
      <c r="F14147" s="42">
        <v>44349</v>
      </c>
    </row>
    <row r="14148" spans="1:6" x14ac:dyDescent="0.3">
      <c r="A14148" s="15" t="s">
        <v>36005</v>
      </c>
      <c r="B14148" s="15" t="s">
        <v>25982</v>
      </c>
      <c r="C14148" s="15" t="s">
        <v>800</v>
      </c>
      <c r="D14148" s="15" t="s">
        <v>25983</v>
      </c>
      <c r="E14148" s="15">
        <v>12.5639</v>
      </c>
      <c r="F14148" s="42">
        <v>44363</v>
      </c>
    </row>
    <row r="14149" spans="1:6" x14ac:dyDescent="0.3">
      <c r="A14149" s="15" t="s">
        <v>36004</v>
      </c>
      <c r="B14149" s="15" t="s">
        <v>25984</v>
      </c>
      <c r="C14149" s="15" t="s">
        <v>800</v>
      </c>
      <c r="D14149" s="15" t="s">
        <v>25985</v>
      </c>
      <c r="E14149" s="15">
        <v>12.6774</v>
      </c>
      <c r="F14149" s="42">
        <v>44363</v>
      </c>
    </row>
    <row r="14150" spans="1:6" x14ac:dyDescent="0.3">
      <c r="A14150" s="15" t="s">
        <v>36003</v>
      </c>
      <c r="B14150" s="15" t="s">
        <v>25986</v>
      </c>
      <c r="C14150" s="15" t="s">
        <v>800</v>
      </c>
      <c r="D14150" s="15" t="s">
        <v>25987</v>
      </c>
      <c r="E14150" s="15">
        <v>12.6774</v>
      </c>
      <c r="F14150" s="42">
        <v>44363</v>
      </c>
    </row>
    <row r="14151" spans="1:6" x14ac:dyDescent="0.3">
      <c r="A14151" s="15" t="s">
        <v>36002</v>
      </c>
      <c r="B14151" s="15" t="s">
        <v>25988</v>
      </c>
      <c r="C14151" s="15" t="s">
        <v>800</v>
      </c>
      <c r="D14151" s="15" t="s">
        <v>25989</v>
      </c>
      <c r="E14151" s="15">
        <v>12.558</v>
      </c>
      <c r="F14151" s="42">
        <v>44363</v>
      </c>
    </row>
    <row r="14152" spans="1:6" x14ac:dyDescent="0.3">
      <c r="A14152" s="15" t="s">
        <v>36001</v>
      </c>
      <c r="B14152" s="15" t="s">
        <v>25990</v>
      </c>
      <c r="C14152" s="15" t="s">
        <v>800</v>
      </c>
      <c r="D14152" s="15" t="s">
        <v>25991</v>
      </c>
      <c r="E14152" s="15">
        <v>12.5639</v>
      </c>
      <c r="F14152" s="42">
        <v>44363</v>
      </c>
    </row>
    <row r="14153" spans="1:6" x14ac:dyDescent="0.3">
      <c r="A14153" s="15" t="s">
        <v>36000</v>
      </c>
      <c r="B14153" s="15" t="s">
        <v>25992</v>
      </c>
      <c r="C14153" s="15" t="s">
        <v>800</v>
      </c>
      <c r="D14153" s="15" t="s">
        <v>25993</v>
      </c>
      <c r="E14153" s="15">
        <v>12.5684</v>
      </c>
      <c r="F14153" s="42">
        <v>44399</v>
      </c>
    </row>
    <row r="14154" spans="1:6" x14ac:dyDescent="0.3">
      <c r="A14154" s="15" t="s">
        <v>35999</v>
      </c>
      <c r="B14154" s="15" t="s">
        <v>25994</v>
      </c>
      <c r="C14154" s="15" t="s">
        <v>800</v>
      </c>
      <c r="D14154" s="15" t="s">
        <v>25995</v>
      </c>
      <c r="E14154" s="15">
        <v>12.672499999999999</v>
      </c>
      <c r="F14154" s="42">
        <v>44399</v>
      </c>
    </row>
    <row r="14155" spans="1:6" x14ac:dyDescent="0.3">
      <c r="A14155" s="15" t="s">
        <v>35998</v>
      </c>
      <c r="B14155" s="15" t="s">
        <v>25996</v>
      </c>
      <c r="C14155" s="15" t="s">
        <v>800</v>
      </c>
      <c r="D14155" s="15" t="s">
        <v>25997</v>
      </c>
      <c r="E14155" s="15">
        <v>12.5684</v>
      </c>
      <c r="F14155" s="42">
        <v>44399</v>
      </c>
    </row>
    <row r="14156" spans="1:6" x14ac:dyDescent="0.3">
      <c r="A14156" s="15" t="s">
        <v>35997</v>
      </c>
      <c r="B14156" s="15" t="s">
        <v>25998</v>
      </c>
      <c r="C14156" s="15" t="s">
        <v>800</v>
      </c>
      <c r="D14156" s="15" t="s">
        <v>25999</v>
      </c>
      <c r="E14156" s="15">
        <v>12.5684</v>
      </c>
      <c r="F14156" s="42">
        <v>44399</v>
      </c>
    </row>
    <row r="14157" spans="1:6" x14ac:dyDescent="0.3">
      <c r="A14157" s="15" t="s">
        <v>35996</v>
      </c>
      <c r="B14157" s="15" t="s">
        <v>26000</v>
      </c>
      <c r="C14157" s="15" t="s">
        <v>800</v>
      </c>
      <c r="D14157" s="15" t="s">
        <v>26001</v>
      </c>
      <c r="E14157" s="15">
        <v>12.601100000000001</v>
      </c>
      <c r="F14157" s="42">
        <v>44399</v>
      </c>
    </row>
    <row r="14158" spans="1:6" x14ac:dyDescent="0.3">
      <c r="A14158" s="15" t="s">
        <v>35995</v>
      </c>
      <c r="B14158" s="15" t="s">
        <v>26002</v>
      </c>
      <c r="C14158" s="15" t="s">
        <v>800</v>
      </c>
      <c r="D14158" s="15" t="s">
        <v>26003</v>
      </c>
      <c r="E14158" s="15">
        <v>12.676600000000001</v>
      </c>
      <c r="F14158" s="42">
        <v>44399</v>
      </c>
    </row>
    <row r="14159" spans="1:6" x14ac:dyDescent="0.3">
      <c r="A14159" s="15" t="s">
        <v>35994</v>
      </c>
      <c r="B14159" s="15" t="s">
        <v>26004</v>
      </c>
      <c r="C14159" s="15" t="s">
        <v>800</v>
      </c>
      <c r="D14159" s="15" t="s">
        <v>26005</v>
      </c>
      <c r="E14159" s="15">
        <v>12.644399999999999</v>
      </c>
      <c r="F14159" s="42">
        <v>44370</v>
      </c>
    </row>
    <row r="14160" spans="1:6" x14ac:dyDescent="0.3">
      <c r="A14160" s="15" t="s">
        <v>35993</v>
      </c>
      <c r="B14160" s="15" t="s">
        <v>26006</v>
      </c>
      <c r="C14160" s="15" t="s">
        <v>800</v>
      </c>
      <c r="D14160" s="15" t="s">
        <v>26007</v>
      </c>
      <c r="E14160" s="15">
        <v>12.758599999999999</v>
      </c>
      <c r="F14160" s="42">
        <v>44370</v>
      </c>
    </row>
    <row r="14161" spans="1:6" x14ac:dyDescent="0.3">
      <c r="A14161" s="15" t="s">
        <v>35992</v>
      </c>
      <c r="B14161" s="15" t="s">
        <v>26008</v>
      </c>
      <c r="C14161" s="15" t="s">
        <v>800</v>
      </c>
      <c r="D14161" s="15" t="s">
        <v>26009</v>
      </c>
      <c r="E14161" s="15">
        <v>12.7585</v>
      </c>
      <c r="F14161" s="42">
        <v>44370</v>
      </c>
    </row>
    <row r="14162" spans="1:6" x14ac:dyDescent="0.3">
      <c r="A14162" s="15" t="s">
        <v>35991</v>
      </c>
      <c r="B14162" s="15" t="s">
        <v>26010</v>
      </c>
      <c r="C14162" s="15" t="s">
        <v>800</v>
      </c>
      <c r="D14162" s="15" t="s">
        <v>26011</v>
      </c>
      <c r="E14162" s="15">
        <v>12.7583</v>
      </c>
      <c r="F14162" s="42">
        <v>44370</v>
      </c>
    </row>
    <row r="14163" spans="1:6" x14ac:dyDescent="0.3">
      <c r="A14163" s="15" t="s">
        <v>35990</v>
      </c>
      <c r="B14163" s="15" t="s">
        <v>26012</v>
      </c>
      <c r="C14163" s="15" t="s">
        <v>800</v>
      </c>
      <c r="D14163" s="15" t="s">
        <v>26013</v>
      </c>
      <c r="E14163" s="15">
        <v>12.644399999999999</v>
      </c>
      <c r="F14163" s="42">
        <v>44370</v>
      </c>
    </row>
    <row r="14164" spans="1:6" x14ac:dyDescent="0.3">
      <c r="A14164" s="15" t="s">
        <v>35989</v>
      </c>
      <c r="B14164" s="15" t="s">
        <v>26014</v>
      </c>
      <c r="C14164" s="15" t="s">
        <v>800</v>
      </c>
      <c r="D14164" s="15" t="s">
        <v>26015</v>
      </c>
      <c r="E14164" s="15">
        <v>12.5573</v>
      </c>
      <c r="F14164" s="42">
        <v>44434</v>
      </c>
    </row>
    <row r="14165" spans="1:6" x14ac:dyDescent="0.3">
      <c r="A14165" s="15" t="s">
        <v>35988</v>
      </c>
      <c r="B14165" s="15" t="s">
        <v>26016</v>
      </c>
      <c r="C14165" s="15" t="s">
        <v>800</v>
      </c>
      <c r="D14165" s="15" t="s">
        <v>26017</v>
      </c>
      <c r="E14165" s="15">
        <v>12.662699999999999</v>
      </c>
      <c r="F14165" s="42">
        <v>44434</v>
      </c>
    </row>
    <row r="14166" spans="1:6" x14ac:dyDescent="0.3">
      <c r="A14166" s="15" t="s">
        <v>35987</v>
      </c>
      <c r="B14166" s="15" t="s">
        <v>26018</v>
      </c>
      <c r="C14166" s="15" t="s">
        <v>800</v>
      </c>
      <c r="D14166" s="15" t="s">
        <v>26019</v>
      </c>
      <c r="E14166" s="15">
        <v>12.5573</v>
      </c>
      <c r="F14166" s="42">
        <v>44434</v>
      </c>
    </row>
    <row r="14167" spans="1:6" x14ac:dyDescent="0.3">
      <c r="A14167" s="15" t="s">
        <v>35986</v>
      </c>
      <c r="B14167" s="15" t="s">
        <v>26020</v>
      </c>
      <c r="C14167" s="15" t="s">
        <v>800</v>
      </c>
      <c r="D14167" s="15" t="s">
        <v>26021</v>
      </c>
      <c r="E14167" s="15">
        <v>12.6248</v>
      </c>
      <c r="F14167" s="42">
        <v>44445</v>
      </c>
    </row>
    <row r="14168" spans="1:6" x14ac:dyDescent="0.3">
      <c r="A14168" s="15" t="s">
        <v>35985</v>
      </c>
      <c r="B14168" s="15" t="s">
        <v>26022</v>
      </c>
      <c r="C14168" s="15" t="s">
        <v>800</v>
      </c>
      <c r="D14168" s="15" t="s">
        <v>26023</v>
      </c>
      <c r="E14168" s="15">
        <v>12.7041</v>
      </c>
      <c r="F14168" s="42">
        <v>44445</v>
      </c>
    </row>
    <row r="14169" spans="1:6" x14ac:dyDescent="0.3">
      <c r="A14169" s="15" t="s">
        <v>35984</v>
      </c>
      <c r="B14169" s="15" t="s">
        <v>26024</v>
      </c>
      <c r="C14169" s="15" t="s">
        <v>800</v>
      </c>
      <c r="D14169" s="15" t="s">
        <v>26025</v>
      </c>
      <c r="E14169" s="15">
        <v>12.6248</v>
      </c>
      <c r="F14169" s="42">
        <v>44445</v>
      </c>
    </row>
    <row r="14170" spans="1:6" x14ac:dyDescent="0.3">
      <c r="A14170" s="15" t="s">
        <v>35983</v>
      </c>
      <c r="B14170" s="15" t="s">
        <v>26026</v>
      </c>
      <c r="C14170" s="15" t="s">
        <v>800</v>
      </c>
      <c r="D14170" s="15" t="s">
        <v>26027</v>
      </c>
      <c r="E14170" s="15">
        <v>12.6248</v>
      </c>
      <c r="F14170" s="42">
        <v>44445</v>
      </c>
    </row>
    <row r="14171" spans="1:6" x14ac:dyDescent="0.3">
      <c r="A14171" s="15" t="s">
        <v>35982</v>
      </c>
      <c r="B14171" s="15" t="s">
        <v>26028</v>
      </c>
      <c r="C14171" s="15" t="s">
        <v>800</v>
      </c>
      <c r="D14171" s="15" t="s">
        <v>26029</v>
      </c>
      <c r="E14171" s="15">
        <v>12.624499999999999</v>
      </c>
      <c r="F14171" s="42">
        <v>44377</v>
      </c>
    </row>
    <row r="14172" spans="1:6" x14ac:dyDescent="0.3">
      <c r="A14172" s="15" t="s">
        <v>35981</v>
      </c>
      <c r="B14172" s="15" t="s">
        <v>26030</v>
      </c>
      <c r="C14172" s="15" t="s">
        <v>800</v>
      </c>
      <c r="D14172" s="15" t="s">
        <v>26031</v>
      </c>
      <c r="E14172" s="15">
        <v>12.7323</v>
      </c>
      <c r="F14172" s="42">
        <v>44377</v>
      </c>
    </row>
    <row r="14173" spans="1:6" x14ac:dyDescent="0.3">
      <c r="A14173" s="15" t="s">
        <v>35980</v>
      </c>
      <c r="B14173" s="15" t="s">
        <v>26032</v>
      </c>
      <c r="C14173" s="15" t="s">
        <v>800</v>
      </c>
      <c r="D14173" s="15" t="s">
        <v>26033</v>
      </c>
      <c r="E14173" s="15">
        <v>12.732100000000001</v>
      </c>
      <c r="F14173" s="42">
        <v>44377</v>
      </c>
    </row>
    <row r="14174" spans="1:6" x14ac:dyDescent="0.3">
      <c r="A14174" s="15" t="s">
        <v>35979</v>
      </c>
      <c r="B14174" s="15" t="s">
        <v>26034</v>
      </c>
      <c r="C14174" s="15" t="s">
        <v>800</v>
      </c>
      <c r="D14174" s="15" t="s">
        <v>26035</v>
      </c>
      <c r="E14174" s="15">
        <v>12.732200000000001</v>
      </c>
      <c r="F14174" s="42">
        <v>44377</v>
      </c>
    </row>
    <row r="14175" spans="1:6" x14ac:dyDescent="0.3">
      <c r="A14175" s="15" t="s">
        <v>35978</v>
      </c>
      <c r="B14175" s="15" t="s">
        <v>26036</v>
      </c>
      <c r="C14175" s="15" t="s">
        <v>800</v>
      </c>
      <c r="D14175" s="15" t="s">
        <v>26037</v>
      </c>
      <c r="E14175" s="15">
        <v>12.625999999999999</v>
      </c>
      <c r="F14175" s="42">
        <v>44377</v>
      </c>
    </row>
    <row r="14176" spans="1:6" x14ac:dyDescent="0.3">
      <c r="A14176" s="15" t="s">
        <v>35977</v>
      </c>
      <c r="B14176" s="15" t="s">
        <v>26038</v>
      </c>
      <c r="C14176" s="15" t="s">
        <v>800</v>
      </c>
      <c r="D14176" s="15" t="s">
        <v>26039</v>
      </c>
      <c r="E14176" s="15">
        <v>12.624499999999999</v>
      </c>
      <c r="F14176" s="42">
        <v>44377</v>
      </c>
    </row>
    <row r="14177" spans="1:6" x14ac:dyDescent="0.3">
      <c r="A14177" s="15" t="s">
        <v>35976</v>
      </c>
      <c r="B14177" s="15" t="s">
        <v>26040</v>
      </c>
      <c r="C14177" s="15" t="s">
        <v>800</v>
      </c>
      <c r="D14177" s="15" t="s">
        <v>26041</v>
      </c>
      <c r="E14177" s="15">
        <v>13.3758</v>
      </c>
      <c r="F14177" s="42">
        <v>44662</v>
      </c>
    </row>
    <row r="14178" spans="1:6" x14ac:dyDescent="0.3">
      <c r="A14178" s="15" t="s">
        <v>35975</v>
      </c>
      <c r="B14178" s="15" t="s">
        <v>26042</v>
      </c>
      <c r="C14178" s="15" t="s">
        <v>800</v>
      </c>
      <c r="D14178" s="15" t="s">
        <v>26043</v>
      </c>
      <c r="E14178" s="15">
        <v>13.493399999999999</v>
      </c>
      <c r="F14178" s="42">
        <v>44662</v>
      </c>
    </row>
    <row r="14179" spans="1:6" x14ac:dyDescent="0.3">
      <c r="A14179" s="15" t="s">
        <v>35974</v>
      </c>
      <c r="B14179" s="15" t="s">
        <v>26044</v>
      </c>
      <c r="C14179" s="15" t="s">
        <v>800</v>
      </c>
      <c r="D14179" s="15" t="s">
        <v>26045</v>
      </c>
      <c r="E14179" s="15">
        <v>13.493399999999999</v>
      </c>
      <c r="F14179" s="42">
        <v>44662</v>
      </c>
    </row>
    <row r="14180" spans="1:6" x14ac:dyDescent="0.3">
      <c r="A14180" s="15" t="s">
        <v>35973</v>
      </c>
      <c r="B14180" s="15" t="s">
        <v>26046</v>
      </c>
      <c r="C14180" s="15" t="s">
        <v>800</v>
      </c>
      <c r="D14180" s="15" t="s">
        <v>26047</v>
      </c>
      <c r="E14180" s="15">
        <v>13.4932</v>
      </c>
      <c r="F14180" s="42">
        <v>44662</v>
      </c>
    </row>
    <row r="14181" spans="1:6" x14ac:dyDescent="0.3">
      <c r="A14181" s="15" t="s">
        <v>35972</v>
      </c>
      <c r="B14181" s="15" t="s">
        <v>26048</v>
      </c>
      <c r="C14181" s="15" t="s">
        <v>800</v>
      </c>
      <c r="D14181" s="15" t="s">
        <v>26049</v>
      </c>
      <c r="E14181" s="15">
        <v>13.3757</v>
      </c>
      <c r="F14181" s="42">
        <v>44662</v>
      </c>
    </row>
    <row r="14182" spans="1:6" x14ac:dyDescent="0.3">
      <c r="A14182" s="15" t="s">
        <v>35971</v>
      </c>
      <c r="B14182" s="15" t="s">
        <v>26050</v>
      </c>
      <c r="C14182" s="15" t="s">
        <v>800</v>
      </c>
      <c r="D14182" s="15" t="s">
        <v>26051</v>
      </c>
      <c r="E14182" s="15">
        <v>13.3758</v>
      </c>
      <c r="F14182" s="42">
        <v>44662</v>
      </c>
    </row>
    <row r="14183" spans="1:6" x14ac:dyDescent="0.3">
      <c r="A14183" s="15" t="s">
        <v>35970</v>
      </c>
      <c r="B14183" s="15" t="s">
        <v>26052</v>
      </c>
      <c r="C14183" s="15" t="s">
        <v>800</v>
      </c>
      <c r="D14183" s="15" t="s">
        <v>26053</v>
      </c>
      <c r="E14183" s="15">
        <v>13.408799999999999</v>
      </c>
      <c r="F14183" s="42">
        <v>44656</v>
      </c>
    </row>
    <row r="14184" spans="1:6" x14ac:dyDescent="0.3">
      <c r="A14184" s="15" t="s">
        <v>35969</v>
      </c>
      <c r="B14184" s="15" t="s">
        <v>26054</v>
      </c>
      <c r="C14184" s="15" t="s">
        <v>800</v>
      </c>
      <c r="D14184" s="15" t="s">
        <v>26055</v>
      </c>
      <c r="E14184" s="15">
        <v>13.5466</v>
      </c>
      <c r="F14184" s="42">
        <v>44656</v>
      </c>
    </row>
    <row r="14185" spans="1:6" x14ac:dyDescent="0.3">
      <c r="A14185" s="15" t="s">
        <v>35968</v>
      </c>
      <c r="B14185" s="15" t="s">
        <v>26056</v>
      </c>
      <c r="C14185" s="15" t="s">
        <v>800</v>
      </c>
      <c r="D14185" s="15" t="s">
        <v>26057</v>
      </c>
      <c r="E14185" s="15">
        <v>13.408300000000001</v>
      </c>
      <c r="F14185" s="42">
        <v>44656</v>
      </c>
    </row>
    <row r="14186" spans="1:6" x14ac:dyDescent="0.3">
      <c r="A14186" s="15" t="s">
        <v>35967</v>
      </c>
      <c r="B14186" s="15" t="s">
        <v>26058</v>
      </c>
      <c r="C14186" s="15" t="s">
        <v>800</v>
      </c>
      <c r="D14186" s="15" t="s">
        <v>26059</v>
      </c>
      <c r="E14186" s="15">
        <v>13.408799999999999</v>
      </c>
      <c r="F14186" s="42">
        <v>44656</v>
      </c>
    </row>
    <row r="14187" spans="1:6" x14ac:dyDescent="0.3">
      <c r="A14187" s="15" t="s">
        <v>35966</v>
      </c>
      <c r="B14187" s="15" t="s">
        <v>26060</v>
      </c>
      <c r="C14187" s="15" t="s">
        <v>800</v>
      </c>
      <c r="D14187" s="15" t="s">
        <v>26061</v>
      </c>
      <c r="E14187" s="15">
        <v>13.418900000000001</v>
      </c>
      <c r="F14187" s="42">
        <v>44656</v>
      </c>
    </row>
    <row r="14188" spans="1:6" x14ac:dyDescent="0.3">
      <c r="A14188" s="15" t="s">
        <v>35965</v>
      </c>
      <c r="B14188" s="15" t="s">
        <v>26062</v>
      </c>
      <c r="C14188" s="15" t="s">
        <v>800</v>
      </c>
      <c r="D14188" s="15" t="s">
        <v>26063</v>
      </c>
      <c r="E14188" s="15">
        <v>13.543799999999999</v>
      </c>
      <c r="F14188" s="42">
        <v>44656</v>
      </c>
    </row>
    <row r="14189" spans="1:6" x14ac:dyDescent="0.3">
      <c r="A14189" s="15" t="s">
        <v>35964</v>
      </c>
      <c r="B14189" s="15" t="s">
        <v>26064</v>
      </c>
      <c r="C14189" s="15" t="s">
        <v>800</v>
      </c>
      <c r="D14189" s="15" t="s">
        <v>26065</v>
      </c>
      <c r="E14189" s="15">
        <v>13.543799999999999</v>
      </c>
      <c r="F14189" s="42">
        <v>44656</v>
      </c>
    </row>
    <row r="14190" spans="1:6" x14ac:dyDescent="0.3">
      <c r="A14190" s="15" t="s">
        <v>35963</v>
      </c>
      <c r="B14190" s="15" t="s">
        <v>26066</v>
      </c>
      <c r="C14190" s="15" t="s">
        <v>800</v>
      </c>
      <c r="D14190" s="15" t="s">
        <v>26067</v>
      </c>
      <c r="E14190" s="15">
        <v>13.543799999999999</v>
      </c>
      <c r="F14190" s="42">
        <v>44656</v>
      </c>
    </row>
    <row r="14191" spans="1:6" x14ac:dyDescent="0.3">
      <c r="A14191" s="15" t="s">
        <v>35962</v>
      </c>
      <c r="B14191" s="15" t="s">
        <v>26068</v>
      </c>
      <c r="C14191" s="15" t="s">
        <v>800</v>
      </c>
      <c r="D14191" s="15" t="s">
        <v>26069</v>
      </c>
      <c r="E14191" s="15">
        <v>13.418900000000001</v>
      </c>
      <c r="F14191" s="42">
        <v>44656</v>
      </c>
    </row>
    <row r="14192" spans="1:6" x14ac:dyDescent="0.3">
      <c r="A14192" s="15" t="s">
        <v>35961</v>
      </c>
      <c r="B14192" s="15" t="s">
        <v>26070</v>
      </c>
      <c r="C14192" s="15" t="s">
        <v>800</v>
      </c>
      <c r="D14192" s="15" t="s">
        <v>26071</v>
      </c>
      <c r="E14192" s="15">
        <v>14.368499999999999</v>
      </c>
      <c r="F14192" s="42">
        <v>45034</v>
      </c>
    </row>
    <row r="14193" spans="1:6" x14ac:dyDescent="0.3">
      <c r="A14193" s="15" t="s">
        <v>35960</v>
      </c>
      <c r="B14193" s="15" t="s">
        <v>26072</v>
      </c>
      <c r="C14193" s="15" t="s">
        <v>800</v>
      </c>
      <c r="D14193" s="15" t="s">
        <v>26073</v>
      </c>
      <c r="E14193" s="15">
        <v>14.4885</v>
      </c>
      <c r="F14193" s="42">
        <v>45034</v>
      </c>
    </row>
    <row r="14194" spans="1:6" x14ac:dyDescent="0.3">
      <c r="A14194" s="15" t="s">
        <v>35959</v>
      </c>
      <c r="B14194" s="15" t="s">
        <v>26074</v>
      </c>
      <c r="C14194" s="15" t="s">
        <v>800</v>
      </c>
      <c r="D14194" s="15" t="s">
        <v>26075</v>
      </c>
      <c r="E14194" s="15">
        <v>14.4884</v>
      </c>
      <c r="F14194" s="42">
        <v>45034</v>
      </c>
    </row>
    <row r="14195" spans="1:6" x14ac:dyDescent="0.3">
      <c r="A14195" s="15" t="s">
        <v>35958</v>
      </c>
      <c r="B14195" s="15" t="s">
        <v>26076</v>
      </c>
      <c r="C14195" s="15" t="s">
        <v>800</v>
      </c>
      <c r="D14195" s="15" t="s">
        <v>26077</v>
      </c>
      <c r="E14195" s="15">
        <v>14.368499999999999</v>
      </c>
      <c r="F14195" s="42">
        <v>45034</v>
      </c>
    </row>
    <row r="14196" spans="1:6" x14ac:dyDescent="0.3">
      <c r="A14196" s="15" t="s">
        <v>35957</v>
      </c>
      <c r="B14196" s="15" t="s">
        <v>26078</v>
      </c>
      <c r="C14196" s="15" t="s">
        <v>800</v>
      </c>
      <c r="D14196" s="15" t="s">
        <v>26079</v>
      </c>
      <c r="E14196" s="15">
        <v>14.368499999999999</v>
      </c>
      <c r="F14196" s="42">
        <v>45034</v>
      </c>
    </row>
    <row r="14197" spans="1:6" x14ac:dyDescent="0.3">
      <c r="A14197" s="15" t="s">
        <v>35956</v>
      </c>
      <c r="B14197" s="15" t="s">
        <v>26080</v>
      </c>
      <c r="C14197" s="15" t="s">
        <v>800</v>
      </c>
      <c r="D14197" s="15" t="s">
        <v>26081</v>
      </c>
      <c r="E14197" s="15">
        <v>10.405099999999999</v>
      </c>
      <c r="F14197" s="42">
        <v>43451</v>
      </c>
    </row>
    <row r="14198" spans="1:6" x14ac:dyDescent="0.3">
      <c r="A14198" s="15" t="s">
        <v>35955</v>
      </c>
      <c r="B14198" s="15" t="s">
        <v>26082</v>
      </c>
      <c r="C14198" s="15" t="s">
        <v>800</v>
      </c>
      <c r="D14198" s="15" t="s">
        <v>26083</v>
      </c>
      <c r="E14198" s="15">
        <v>10.4177</v>
      </c>
      <c r="F14198" s="42">
        <v>43451</v>
      </c>
    </row>
    <row r="14199" spans="1:6" x14ac:dyDescent="0.3">
      <c r="A14199" s="15" t="s">
        <v>35954</v>
      </c>
      <c r="B14199" s="15" t="s">
        <v>26084</v>
      </c>
      <c r="C14199" s="15" t="s">
        <v>800</v>
      </c>
      <c r="D14199" s="15" t="s">
        <v>26085</v>
      </c>
      <c r="E14199" s="15">
        <v>10.4177</v>
      </c>
      <c r="F14199" s="42">
        <v>43451</v>
      </c>
    </row>
    <row r="14200" spans="1:6" x14ac:dyDescent="0.3">
      <c r="A14200" s="15" t="s">
        <v>35953</v>
      </c>
      <c r="B14200" s="15" t="s">
        <v>26086</v>
      </c>
      <c r="C14200" s="15" t="s">
        <v>800</v>
      </c>
      <c r="D14200" s="15" t="s">
        <v>26087</v>
      </c>
      <c r="E14200" s="15">
        <v>10.1807</v>
      </c>
      <c r="F14200" s="42">
        <v>43339</v>
      </c>
    </row>
    <row r="14201" spans="1:6" x14ac:dyDescent="0.3">
      <c r="A14201" s="15" t="s">
        <v>35952</v>
      </c>
      <c r="B14201" s="15" t="s">
        <v>26088</v>
      </c>
      <c r="C14201" s="15" t="s">
        <v>800</v>
      </c>
      <c r="D14201" s="15" t="s">
        <v>26089</v>
      </c>
      <c r="E14201" s="15">
        <v>10.186500000000001</v>
      </c>
      <c r="F14201" s="42">
        <v>43339</v>
      </c>
    </row>
    <row r="14202" spans="1:6" x14ac:dyDescent="0.3">
      <c r="A14202" s="15" t="s">
        <v>35951</v>
      </c>
      <c r="B14202" s="15" t="s">
        <v>26090</v>
      </c>
      <c r="C14202" s="15" t="s">
        <v>800</v>
      </c>
      <c r="D14202" s="15" t="s">
        <v>26091</v>
      </c>
      <c r="E14202" s="15">
        <v>10.186500000000001</v>
      </c>
      <c r="F14202" s="42">
        <v>43339</v>
      </c>
    </row>
    <row r="14203" spans="1:6" x14ac:dyDescent="0.3">
      <c r="A14203" s="15" t="s">
        <v>35950</v>
      </c>
      <c r="B14203" s="15" t="s">
        <v>26092</v>
      </c>
      <c r="C14203" s="15" t="s">
        <v>800</v>
      </c>
      <c r="D14203" s="15" t="s">
        <v>26093</v>
      </c>
      <c r="E14203" s="15">
        <v>10.1807</v>
      </c>
      <c r="F14203" s="42">
        <v>43339</v>
      </c>
    </row>
    <row r="14204" spans="1:6" x14ac:dyDescent="0.3">
      <c r="A14204" s="15" t="s">
        <v>35949</v>
      </c>
      <c r="B14204" s="15" t="s">
        <v>26094</v>
      </c>
      <c r="C14204" s="15" t="s">
        <v>800</v>
      </c>
      <c r="D14204" s="15" t="s">
        <v>26095</v>
      </c>
      <c r="E14204" s="15">
        <v>12.5495</v>
      </c>
      <c r="F14204" s="42">
        <v>44452</v>
      </c>
    </row>
    <row r="14205" spans="1:6" x14ac:dyDescent="0.3">
      <c r="A14205" s="15" t="s">
        <v>35948</v>
      </c>
      <c r="B14205" s="15" t="s">
        <v>26096</v>
      </c>
      <c r="C14205" s="15" t="s">
        <v>800</v>
      </c>
      <c r="D14205" s="15" t="s">
        <v>26097</v>
      </c>
      <c r="E14205" s="15">
        <v>12.6372</v>
      </c>
      <c r="F14205" s="42">
        <v>44452</v>
      </c>
    </row>
    <row r="14206" spans="1:6" x14ac:dyDescent="0.3">
      <c r="A14206" s="15" t="s">
        <v>35947</v>
      </c>
      <c r="B14206" s="15" t="s">
        <v>26098</v>
      </c>
      <c r="C14206" s="15" t="s">
        <v>800</v>
      </c>
      <c r="D14206" s="15" t="s">
        <v>26099</v>
      </c>
      <c r="E14206" s="15">
        <v>12.6371</v>
      </c>
      <c r="F14206" s="42">
        <v>44452</v>
      </c>
    </row>
    <row r="14207" spans="1:6" x14ac:dyDescent="0.3">
      <c r="A14207" s="15" t="s">
        <v>35946</v>
      </c>
      <c r="B14207" s="15" t="s">
        <v>26100</v>
      </c>
      <c r="C14207" s="15" t="s">
        <v>800</v>
      </c>
      <c r="D14207" s="15" t="s">
        <v>26101</v>
      </c>
      <c r="E14207" s="15">
        <v>12.637600000000001</v>
      </c>
      <c r="F14207" s="42">
        <v>44452</v>
      </c>
    </row>
    <row r="14208" spans="1:6" x14ac:dyDescent="0.3">
      <c r="A14208" s="15" t="s">
        <v>35945</v>
      </c>
      <c r="B14208" s="15" t="s">
        <v>26102</v>
      </c>
      <c r="C14208" s="15" t="s">
        <v>800</v>
      </c>
      <c r="D14208" s="15" t="s">
        <v>26103</v>
      </c>
      <c r="E14208" s="15">
        <v>12.5495</v>
      </c>
      <c r="F14208" s="42">
        <v>44452</v>
      </c>
    </row>
    <row r="14209" spans="1:6" x14ac:dyDescent="0.3">
      <c r="A14209" s="15" t="s">
        <v>35944</v>
      </c>
      <c r="B14209" s="15" t="s">
        <v>26104</v>
      </c>
      <c r="C14209" s="15" t="s">
        <v>800</v>
      </c>
      <c r="D14209" s="15" t="s">
        <v>26105</v>
      </c>
      <c r="E14209" s="15">
        <v>12.825799999999999</v>
      </c>
      <c r="F14209" s="42">
        <v>44473</v>
      </c>
    </row>
    <row r="14210" spans="1:6" x14ac:dyDescent="0.3">
      <c r="A14210" s="15" t="s">
        <v>35943</v>
      </c>
      <c r="B14210" s="15" t="s">
        <v>26106</v>
      </c>
      <c r="C14210" s="15" t="s">
        <v>800</v>
      </c>
      <c r="D14210" s="15" t="s">
        <v>26107</v>
      </c>
      <c r="E14210" s="15">
        <v>12.937099999999999</v>
      </c>
      <c r="F14210" s="42">
        <v>44473</v>
      </c>
    </row>
    <row r="14211" spans="1:6" x14ac:dyDescent="0.3">
      <c r="A14211" s="15" t="s">
        <v>35942</v>
      </c>
      <c r="B14211" s="15" t="s">
        <v>26108</v>
      </c>
      <c r="C14211" s="15" t="s">
        <v>800</v>
      </c>
      <c r="D14211" s="15" t="s">
        <v>26109</v>
      </c>
      <c r="E14211" s="15">
        <v>12.937099999999999</v>
      </c>
      <c r="F14211" s="42">
        <v>44473</v>
      </c>
    </row>
    <row r="14212" spans="1:6" x14ac:dyDescent="0.3">
      <c r="A14212" s="15" t="s">
        <v>35941</v>
      </c>
      <c r="B14212" s="15" t="s">
        <v>26110</v>
      </c>
      <c r="C14212" s="15" t="s">
        <v>800</v>
      </c>
      <c r="D14212" s="15" t="s">
        <v>26111</v>
      </c>
      <c r="E14212" s="15">
        <v>12.825799999999999</v>
      </c>
      <c r="F14212" s="42">
        <v>44473</v>
      </c>
    </row>
    <row r="14213" spans="1:6" x14ac:dyDescent="0.3">
      <c r="A14213" s="15" t="s">
        <v>35940</v>
      </c>
      <c r="B14213" s="15" t="s">
        <v>26112</v>
      </c>
      <c r="C14213" s="15" t="s">
        <v>800</v>
      </c>
      <c r="D14213" s="15" t="s">
        <v>26113</v>
      </c>
      <c r="E14213" s="15">
        <v>12.825799999999999</v>
      </c>
      <c r="F14213" s="42">
        <v>44473</v>
      </c>
    </row>
    <row r="14214" spans="1:6" x14ac:dyDescent="0.3">
      <c r="A14214" s="15" t="s">
        <v>35939</v>
      </c>
      <c r="B14214" s="15" t="s">
        <v>26114</v>
      </c>
      <c r="C14214" s="15" t="s">
        <v>800</v>
      </c>
      <c r="D14214" s="15" t="s">
        <v>26115</v>
      </c>
      <c r="E14214" s="15">
        <v>12.770799999999999</v>
      </c>
      <c r="F14214" s="42">
        <v>44669</v>
      </c>
    </row>
    <row r="14215" spans="1:6" x14ac:dyDescent="0.3">
      <c r="A14215" s="15" t="s">
        <v>35938</v>
      </c>
      <c r="B14215" s="15" t="s">
        <v>26116</v>
      </c>
      <c r="C14215" s="15" t="s">
        <v>800</v>
      </c>
      <c r="D14215" s="15" t="s">
        <v>26117</v>
      </c>
      <c r="E14215" s="15">
        <v>12.9063</v>
      </c>
      <c r="F14215" s="42">
        <v>44669</v>
      </c>
    </row>
    <row r="14216" spans="1:6" x14ac:dyDescent="0.3">
      <c r="A14216" s="15" t="s">
        <v>35937</v>
      </c>
      <c r="B14216" s="15" t="s">
        <v>26118</v>
      </c>
      <c r="C14216" s="15" t="s">
        <v>800</v>
      </c>
      <c r="D14216" s="15" t="s">
        <v>26119</v>
      </c>
      <c r="E14216" s="15">
        <v>12.771100000000001</v>
      </c>
      <c r="F14216" s="42">
        <v>44669</v>
      </c>
    </row>
    <row r="14217" spans="1:6" x14ac:dyDescent="0.3">
      <c r="A14217" s="15" t="s">
        <v>35936</v>
      </c>
      <c r="B14217" s="15" t="s">
        <v>26120</v>
      </c>
      <c r="C14217" s="15" t="s">
        <v>800</v>
      </c>
      <c r="D14217" s="15" t="s">
        <v>26121</v>
      </c>
      <c r="E14217" s="15">
        <v>12.771100000000001</v>
      </c>
      <c r="F14217" s="42">
        <v>44669</v>
      </c>
    </row>
    <row r="14218" spans="1:6" x14ac:dyDescent="0.3">
      <c r="A14218" s="15" t="s">
        <v>35935</v>
      </c>
      <c r="B14218" s="15" t="s">
        <v>26122</v>
      </c>
      <c r="C14218" s="15" t="s">
        <v>800</v>
      </c>
      <c r="D14218" s="15" t="s">
        <v>26123</v>
      </c>
      <c r="E14218" s="15">
        <v>12.7879</v>
      </c>
      <c r="F14218" s="42">
        <v>44685</v>
      </c>
    </row>
    <row r="14219" spans="1:6" x14ac:dyDescent="0.3">
      <c r="A14219" s="15" t="s">
        <v>35934</v>
      </c>
      <c r="B14219" s="15" t="s">
        <v>26124</v>
      </c>
      <c r="C14219" s="15" t="s">
        <v>800</v>
      </c>
      <c r="D14219" s="15" t="s">
        <v>26125</v>
      </c>
      <c r="E14219" s="15">
        <v>12.883699999999999</v>
      </c>
      <c r="F14219" s="42">
        <v>44685</v>
      </c>
    </row>
    <row r="14220" spans="1:6" x14ac:dyDescent="0.3">
      <c r="A14220" s="15" t="s">
        <v>35933</v>
      </c>
      <c r="B14220" s="15" t="s">
        <v>26126</v>
      </c>
      <c r="C14220" s="15" t="s">
        <v>800</v>
      </c>
      <c r="D14220" s="15" t="s">
        <v>26127</v>
      </c>
      <c r="E14220" s="15">
        <v>12.7874</v>
      </c>
      <c r="F14220" s="42">
        <v>44685</v>
      </c>
    </row>
    <row r="14221" spans="1:6" x14ac:dyDescent="0.3">
      <c r="A14221" s="15" t="s">
        <v>35932</v>
      </c>
      <c r="B14221" s="15" t="s">
        <v>26128</v>
      </c>
      <c r="C14221" s="15" t="s">
        <v>800</v>
      </c>
      <c r="D14221" s="15" t="s">
        <v>26129</v>
      </c>
      <c r="E14221" s="15">
        <v>12.788</v>
      </c>
      <c r="F14221" s="42">
        <v>44685</v>
      </c>
    </row>
    <row r="14222" spans="1:6" x14ac:dyDescent="0.3">
      <c r="A14222" s="15" t="s">
        <v>35931</v>
      </c>
      <c r="B14222" s="15" t="s">
        <v>26130</v>
      </c>
      <c r="C14222" s="15" t="s">
        <v>800</v>
      </c>
      <c r="D14222" s="15" t="s">
        <v>26131</v>
      </c>
      <c r="E14222" s="15">
        <v>12.8569</v>
      </c>
      <c r="F14222" s="42">
        <v>44670</v>
      </c>
    </row>
    <row r="14223" spans="1:6" x14ac:dyDescent="0.3">
      <c r="A14223" s="15" t="s">
        <v>35930</v>
      </c>
      <c r="B14223" s="15" t="s">
        <v>26132</v>
      </c>
      <c r="C14223" s="15" t="s">
        <v>800</v>
      </c>
      <c r="D14223" s="15" t="s">
        <v>26133</v>
      </c>
      <c r="E14223" s="15">
        <v>12.9598</v>
      </c>
      <c r="F14223" s="42">
        <v>44670</v>
      </c>
    </row>
    <row r="14224" spans="1:6" x14ac:dyDescent="0.3">
      <c r="A14224" s="15" t="s">
        <v>35929</v>
      </c>
      <c r="B14224" s="15" t="s">
        <v>26134</v>
      </c>
      <c r="C14224" s="15" t="s">
        <v>800</v>
      </c>
      <c r="D14224" s="15" t="s">
        <v>26135</v>
      </c>
      <c r="E14224" s="15">
        <v>12.8566</v>
      </c>
      <c r="F14224" s="42">
        <v>44670</v>
      </c>
    </row>
    <row r="14225" spans="1:6" x14ac:dyDescent="0.3">
      <c r="A14225" s="15" t="s">
        <v>35928</v>
      </c>
      <c r="B14225" s="15" t="s">
        <v>26136</v>
      </c>
      <c r="C14225" s="15" t="s">
        <v>800</v>
      </c>
      <c r="D14225" s="15" t="s">
        <v>26137</v>
      </c>
      <c r="E14225" s="15">
        <v>12.8568</v>
      </c>
      <c r="F14225" s="42">
        <v>44670</v>
      </c>
    </row>
    <row r="14226" spans="1:6" x14ac:dyDescent="0.3">
      <c r="A14226" s="15" t="s">
        <v>35927</v>
      </c>
      <c r="B14226" s="15" t="s">
        <v>26138</v>
      </c>
      <c r="C14226" s="15" t="s">
        <v>800</v>
      </c>
      <c r="D14226" s="15" t="s">
        <v>26139</v>
      </c>
      <c r="E14226" s="15">
        <v>12.9695</v>
      </c>
      <c r="F14226" s="42">
        <v>44692</v>
      </c>
    </row>
    <row r="14227" spans="1:6" x14ac:dyDescent="0.3">
      <c r="A14227" s="15" t="s">
        <v>35926</v>
      </c>
      <c r="B14227" s="15" t="s">
        <v>26140</v>
      </c>
      <c r="C14227" s="15" t="s">
        <v>800</v>
      </c>
      <c r="D14227" s="15" t="s">
        <v>26141</v>
      </c>
      <c r="E14227" s="15">
        <v>13.1046</v>
      </c>
      <c r="F14227" s="42">
        <v>44692</v>
      </c>
    </row>
    <row r="14228" spans="1:6" x14ac:dyDescent="0.3">
      <c r="A14228" s="15" t="s">
        <v>35925</v>
      </c>
      <c r="B14228" s="15" t="s">
        <v>26142</v>
      </c>
      <c r="C14228" s="15" t="s">
        <v>800</v>
      </c>
      <c r="D14228" s="15" t="s">
        <v>26143</v>
      </c>
      <c r="E14228" s="15">
        <v>13.098699999999999</v>
      </c>
      <c r="F14228" s="42">
        <v>44692</v>
      </c>
    </row>
    <row r="14229" spans="1:6" x14ac:dyDescent="0.3">
      <c r="A14229" s="15" t="s">
        <v>35924</v>
      </c>
      <c r="B14229" s="15" t="s">
        <v>26144</v>
      </c>
      <c r="C14229" s="15" t="s">
        <v>800</v>
      </c>
      <c r="D14229" s="15" t="s">
        <v>26145</v>
      </c>
      <c r="E14229" s="15">
        <v>13.1038</v>
      </c>
      <c r="F14229" s="42">
        <v>44692</v>
      </c>
    </row>
    <row r="14230" spans="1:6" x14ac:dyDescent="0.3">
      <c r="A14230" s="15" t="s">
        <v>35923</v>
      </c>
      <c r="B14230" s="15" t="s">
        <v>26146</v>
      </c>
      <c r="C14230" s="15" t="s">
        <v>800</v>
      </c>
      <c r="D14230" s="15" t="s">
        <v>26147</v>
      </c>
      <c r="E14230" s="15">
        <v>12.969099999999999</v>
      </c>
      <c r="F14230" s="42">
        <v>44692</v>
      </c>
    </row>
    <row r="14231" spans="1:6" x14ac:dyDescent="0.3">
      <c r="A14231" s="15" t="s">
        <v>35922</v>
      </c>
      <c r="B14231" s="15" t="s">
        <v>26148</v>
      </c>
      <c r="C14231" s="15" t="s">
        <v>800</v>
      </c>
      <c r="D14231" s="15" t="s">
        <v>26149</v>
      </c>
      <c r="E14231" s="15">
        <v>12.9695</v>
      </c>
      <c r="F14231" s="42">
        <v>44692</v>
      </c>
    </row>
    <row r="14232" spans="1:6" x14ac:dyDescent="0.3">
      <c r="A14232" s="15" t="s">
        <v>35921</v>
      </c>
      <c r="B14232" s="15" t="s">
        <v>26150</v>
      </c>
      <c r="C14232" s="15" t="s">
        <v>800</v>
      </c>
      <c r="D14232" s="15" t="s">
        <v>26151</v>
      </c>
      <c r="E14232" s="15">
        <v>13.0267</v>
      </c>
      <c r="F14232" s="42">
        <v>44663</v>
      </c>
    </row>
    <row r="14233" spans="1:6" x14ac:dyDescent="0.3">
      <c r="A14233" s="15" t="s">
        <v>35920</v>
      </c>
      <c r="B14233" s="15" t="s">
        <v>26152</v>
      </c>
      <c r="C14233" s="15" t="s">
        <v>800</v>
      </c>
      <c r="D14233" s="15" t="s">
        <v>26153</v>
      </c>
      <c r="E14233" s="15">
        <v>13.135300000000001</v>
      </c>
      <c r="F14233" s="42">
        <v>44663</v>
      </c>
    </row>
    <row r="14234" spans="1:6" x14ac:dyDescent="0.3">
      <c r="A14234" s="15" t="s">
        <v>35919</v>
      </c>
      <c r="B14234" s="15" t="s">
        <v>26154</v>
      </c>
      <c r="C14234" s="15" t="s">
        <v>800</v>
      </c>
      <c r="D14234" s="15" t="s">
        <v>26155</v>
      </c>
      <c r="E14234" s="15">
        <v>13.135300000000001</v>
      </c>
      <c r="F14234" s="42">
        <v>44663</v>
      </c>
    </row>
    <row r="14235" spans="1:6" x14ac:dyDescent="0.3">
      <c r="A14235" s="15" t="s">
        <v>35918</v>
      </c>
      <c r="B14235" s="15" t="s">
        <v>26156</v>
      </c>
      <c r="C14235" s="15" t="s">
        <v>800</v>
      </c>
      <c r="D14235" s="15" t="s">
        <v>26157</v>
      </c>
      <c r="E14235" s="15">
        <v>13.0267</v>
      </c>
      <c r="F14235" s="42">
        <v>44663</v>
      </c>
    </row>
    <row r="14236" spans="1:6" x14ac:dyDescent="0.3">
      <c r="A14236" s="15" t="s">
        <v>35917</v>
      </c>
      <c r="B14236" s="15" t="s">
        <v>26158</v>
      </c>
      <c r="C14236" s="15" t="s">
        <v>800</v>
      </c>
      <c r="D14236" s="15" t="s">
        <v>26159</v>
      </c>
      <c r="E14236" s="15">
        <v>12.8757</v>
      </c>
      <c r="F14236" s="42">
        <v>44656</v>
      </c>
    </row>
    <row r="14237" spans="1:6" x14ac:dyDescent="0.3">
      <c r="A14237" s="15" t="s">
        <v>35916</v>
      </c>
      <c r="B14237" s="15" t="s">
        <v>26160</v>
      </c>
      <c r="C14237" s="15" t="s">
        <v>800</v>
      </c>
      <c r="D14237" s="15" t="s">
        <v>26161</v>
      </c>
      <c r="E14237" s="15">
        <v>12.9756</v>
      </c>
      <c r="F14237" s="42">
        <v>44656</v>
      </c>
    </row>
    <row r="14238" spans="1:6" x14ac:dyDescent="0.3">
      <c r="A14238" s="15" t="s">
        <v>35915</v>
      </c>
      <c r="B14238" s="15" t="s">
        <v>26162</v>
      </c>
      <c r="C14238" s="15" t="s">
        <v>800</v>
      </c>
      <c r="D14238" s="15" t="s">
        <v>26163</v>
      </c>
      <c r="E14238" s="15">
        <v>12.875500000000001</v>
      </c>
      <c r="F14238" s="42">
        <v>44656</v>
      </c>
    </row>
    <row r="14239" spans="1:6" x14ac:dyDescent="0.3">
      <c r="A14239" s="15" t="s">
        <v>35914</v>
      </c>
      <c r="B14239" s="15" t="s">
        <v>26164</v>
      </c>
      <c r="C14239" s="15" t="s">
        <v>800</v>
      </c>
      <c r="D14239" s="15" t="s">
        <v>26165</v>
      </c>
      <c r="E14239" s="15">
        <v>12.8756</v>
      </c>
      <c r="F14239" s="42">
        <v>44656</v>
      </c>
    </row>
    <row r="14240" spans="1:6" x14ac:dyDescent="0.3">
      <c r="A14240" s="15" t="s">
        <v>35913</v>
      </c>
      <c r="B14240" s="15" t="s">
        <v>26166</v>
      </c>
      <c r="C14240" s="15" t="s">
        <v>800</v>
      </c>
      <c r="D14240" s="15" t="s">
        <v>26167</v>
      </c>
      <c r="E14240" s="15">
        <v>12.852499999999999</v>
      </c>
      <c r="F14240" s="42">
        <v>44721</v>
      </c>
    </row>
    <row r="14241" spans="1:6" x14ac:dyDescent="0.3">
      <c r="A14241" s="15" t="s">
        <v>35912</v>
      </c>
      <c r="B14241" s="15" t="s">
        <v>26168</v>
      </c>
      <c r="C14241" s="15" t="s">
        <v>800</v>
      </c>
      <c r="D14241" s="15" t="s">
        <v>26169</v>
      </c>
      <c r="E14241" s="15">
        <v>12.953900000000001</v>
      </c>
      <c r="F14241" s="42">
        <v>44721</v>
      </c>
    </row>
    <row r="14242" spans="1:6" x14ac:dyDescent="0.3">
      <c r="A14242" s="15" t="s">
        <v>35911</v>
      </c>
      <c r="B14242" s="15" t="s">
        <v>26170</v>
      </c>
      <c r="C14242" s="15" t="s">
        <v>800</v>
      </c>
      <c r="D14242" s="15" t="s">
        <v>26171</v>
      </c>
      <c r="E14242" s="15">
        <v>12.953900000000001</v>
      </c>
      <c r="F14242" s="42">
        <v>44721</v>
      </c>
    </row>
    <row r="14243" spans="1:6" x14ac:dyDescent="0.3">
      <c r="A14243" s="15" t="s">
        <v>35910</v>
      </c>
      <c r="B14243" s="15" t="s">
        <v>26172</v>
      </c>
      <c r="C14243" s="15" t="s">
        <v>800</v>
      </c>
      <c r="D14243" s="15" t="s">
        <v>26173</v>
      </c>
      <c r="E14243" s="15">
        <v>12.953900000000001</v>
      </c>
      <c r="F14243" s="42">
        <v>44721</v>
      </c>
    </row>
    <row r="14244" spans="1:6" x14ac:dyDescent="0.3">
      <c r="A14244" s="15" t="s">
        <v>35909</v>
      </c>
      <c r="B14244" s="15" t="s">
        <v>26174</v>
      </c>
      <c r="C14244" s="15" t="s">
        <v>800</v>
      </c>
      <c r="D14244" s="15" t="s">
        <v>26175</v>
      </c>
      <c r="E14244" s="15">
        <v>12.852399999999999</v>
      </c>
      <c r="F14244" s="42">
        <v>44721</v>
      </c>
    </row>
    <row r="14245" spans="1:6" x14ac:dyDescent="0.3">
      <c r="A14245" s="15" t="s">
        <v>35908</v>
      </c>
      <c r="B14245" s="15" t="s">
        <v>26176</v>
      </c>
      <c r="C14245" s="15" t="s">
        <v>800</v>
      </c>
      <c r="D14245" s="15" t="s">
        <v>26177</v>
      </c>
      <c r="E14245" s="15">
        <v>12.852399999999999</v>
      </c>
      <c r="F14245" s="42">
        <v>44721</v>
      </c>
    </row>
    <row r="14246" spans="1:6" x14ac:dyDescent="0.3">
      <c r="A14246" s="15" t="s">
        <v>35907</v>
      </c>
      <c r="B14246" s="15" t="s">
        <v>26178</v>
      </c>
      <c r="C14246" s="15" t="s">
        <v>800</v>
      </c>
      <c r="D14246" s="15" t="s">
        <v>26179</v>
      </c>
      <c r="E14246" s="15">
        <v>12.825200000000001</v>
      </c>
      <c r="F14246" s="42">
        <v>44714</v>
      </c>
    </row>
    <row r="14247" spans="1:6" x14ac:dyDescent="0.3">
      <c r="A14247" s="15" t="s">
        <v>35906</v>
      </c>
      <c r="B14247" s="15" t="s">
        <v>26180</v>
      </c>
      <c r="C14247" s="15" t="s">
        <v>800</v>
      </c>
      <c r="D14247" s="15" t="s">
        <v>26181</v>
      </c>
      <c r="E14247" s="15">
        <v>12.9359</v>
      </c>
      <c r="F14247" s="42">
        <v>44714</v>
      </c>
    </row>
    <row r="14248" spans="1:6" x14ac:dyDescent="0.3">
      <c r="A14248" s="15" t="s">
        <v>35905</v>
      </c>
      <c r="B14248" s="15" t="s">
        <v>26182</v>
      </c>
      <c r="C14248" s="15" t="s">
        <v>800</v>
      </c>
      <c r="D14248" s="15" t="s">
        <v>26183</v>
      </c>
      <c r="E14248" s="15">
        <v>12.9359</v>
      </c>
      <c r="F14248" s="42">
        <v>44714</v>
      </c>
    </row>
    <row r="14249" spans="1:6" x14ac:dyDescent="0.3">
      <c r="A14249" s="15" t="s">
        <v>35904</v>
      </c>
      <c r="B14249" s="15" t="s">
        <v>26184</v>
      </c>
      <c r="C14249" s="15" t="s">
        <v>800</v>
      </c>
      <c r="D14249" s="15" t="s">
        <v>26185</v>
      </c>
      <c r="E14249" s="15">
        <v>12.8209</v>
      </c>
      <c r="F14249" s="42">
        <v>44714</v>
      </c>
    </row>
    <row r="14250" spans="1:6" x14ac:dyDescent="0.3">
      <c r="A14250" s="15" t="s">
        <v>35903</v>
      </c>
      <c r="B14250" s="15" t="s">
        <v>26186</v>
      </c>
      <c r="C14250" s="15" t="s">
        <v>800</v>
      </c>
      <c r="D14250" s="15" t="s">
        <v>26187</v>
      </c>
      <c r="E14250" s="15">
        <v>12.8253</v>
      </c>
      <c r="F14250" s="42">
        <v>44714</v>
      </c>
    </row>
    <row r="14251" spans="1:6" x14ac:dyDescent="0.3">
      <c r="A14251" s="15" t="s">
        <v>35902</v>
      </c>
      <c r="B14251" s="15" t="s">
        <v>26188</v>
      </c>
      <c r="C14251" s="15" t="s">
        <v>800</v>
      </c>
      <c r="D14251" s="15" t="s">
        <v>26189</v>
      </c>
      <c r="E14251" s="15">
        <v>12.997</v>
      </c>
      <c r="F14251" s="42">
        <v>44711</v>
      </c>
    </row>
    <row r="14252" spans="1:6" x14ac:dyDescent="0.3">
      <c r="A14252" s="15" t="s">
        <v>35901</v>
      </c>
      <c r="B14252" s="15" t="s">
        <v>26190</v>
      </c>
      <c r="C14252" s="15" t="s">
        <v>800</v>
      </c>
      <c r="D14252" s="15" t="s">
        <v>26191</v>
      </c>
      <c r="E14252" s="15">
        <v>13.1022</v>
      </c>
      <c r="F14252" s="42">
        <v>44711</v>
      </c>
    </row>
    <row r="14253" spans="1:6" x14ac:dyDescent="0.3">
      <c r="A14253" s="15" t="s">
        <v>35900</v>
      </c>
      <c r="B14253" s="15" t="s">
        <v>26192</v>
      </c>
      <c r="C14253" s="15" t="s">
        <v>800</v>
      </c>
      <c r="D14253" s="15" t="s">
        <v>26193</v>
      </c>
      <c r="E14253" s="15">
        <v>12.9969</v>
      </c>
      <c r="F14253" s="42">
        <v>44711</v>
      </c>
    </row>
    <row r="14254" spans="1:6" x14ac:dyDescent="0.3">
      <c r="A14254" s="15" t="s">
        <v>35899</v>
      </c>
      <c r="B14254" s="15" t="s">
        <v>26194</v>
      </c>
      <c r="C14254" s="15" t="s">
        <v>800</v>
      </c>
      <c r="D14254" s="15" t="s">
        <v>26195</v>
      </c>
      <c r="E14254" s="15">
        <v>12.997</v>
      </c>
      <c r="F14254" s="42">
        <v>44711</v>
      </c>
    </row>
    <row r="14255" spans="1:6" x14ac:dyDescent="0.3">
      <c r="A14255" s="15" t="s">
        <v>35898</v>
      </c>
      <c r="B14255" s="15" t="s">
        <v>26196</v>
      </c>
      <c r="C14255" s="15" t="s">
        <v>800</v>
      </c>
      <c r="D14255" s="15" t="s">
        <v>26197</v>
      </c>
      <c r="E14255" s="15">
        <v>13.09</v>
      </c>
      <c r="F14255" s="42">
        <v>44672</v>
      </c>
    </row>
    <row r="14256" spans="1:6" x14ac:dyDescent="0.3">
      <c r="A14256" s="15" t="s">
        <v>35897</v>
      </c>
      <c r="B14256" s="15" t="s">
        <v>26198</v>
      </c>
      <c r="C14256" s="15" t="s">
        <v>800</v>
      </c>
      <c r="D14256" s="15" t="s">
        <v>26199</v>
      </c>
      <c r="E14256" s="15">
        <v>13.2257</v>
      </c>
      <c r="F14256" s="42">
        <v>44672</v>
      </c>
    </row>
    <row r="14257" spans="1:6" x14ac:dyDescent="0.3">
      <c r="A14257" s="15" t="s">
        <v>35896</v>
      </c>
      <c r="B14257" s="15" t="s">
        <v>26200</v>
      </c>
      <c r="C14257" s="15" t="s">
        <v>800</v>
      </c>
      <c r="D14257" s="15" t="s">
        <v>26201</v>
      </c>
      <c r="E14257" s="15">
        <v>13.2257</v>
      </c>
      <c r="F14257" s="42">
        <v>44672</v>
      </c>
    </row>
    <row r="14258" spans="1:6" x14ac:dyDescent="0.3">
      <c r="A14258" s="15" t="s">
        <v>35895</v>
      </c>
      <c r="B14258" s="15" t="s">
        <v>26202</v>
      </c>
      <c r="C14258" s="15" t="s">
        <v>800</v>
      </c>
      <c r="D14258" s="15" t="s">
        <v>26203</v>
      </c>
      <c r="E14258" s="15">
        <v>13.09</v>
      </c>
      <c r="F14258" s="42">
        <v>44672</v>
      </c>
    </row>
    <row r="14259" spans="1:6" x14ac:dyDescent="0.3">
      <c r="A14259" s="15" t="s">
        <v>35894</v>
      </c>
      <c r="B14259" s="15" t="s">
        <v>26204</v>
      </c>
      <c r="C14259" s="15" t="s">
        <v>800</v>
      </c>
      <c r="D14259" s="15" t="s">
        <v>26205</v>
      </c>
      <c r="E14259" s="15">
        <v>13.09</v>
      </c>
      <c r="F14259" s="42">
        <v>44672</v>
      </c>
    </row>
    <row r="14260" spans="1:6" x14ac:dyDescent="0.3">
      <c r="A14260" s="15" t="s">
        <v>35893</v>
      </c>
      <c r="B14260" s="15" t="s">
        <v>26206</v>
      </c>
      <c r="C14260" s="15" t="s">
        <v>800</v>
      </c>
      <c r="D14260" s="15" t="s">
        <v>26207</v>
      </c>
      <c r="E14260" s="15">
        <v>13.0059</v>
      </c>
      <c r="F14260" s="42">
        <v>44711</v>
      </c>
    </row>
    <row r="14261" spans="1:6" x14ac:dyDescent="0.3">
      <c r="A14261" s="15" t="s">
        <v>35892</v>
      </c>
      <c r="B14261" s="15" t="s">
        <v>26208</v>
      </c>
      <c r="C14261" s="15" t="s">
        <v>800</v>
      </c>
      <c r="D14261" s="15" t="s">
        <v>26209</v>
      </c>
      <c r="E14261" s="15">
        <v>13.118399999999999</v>
      </c>
      <c r="F14261" s="42">
        <v>44711</v>
      </c>
    </row>
    <row r="14262" spans="1:6" x14ac:dyDescent="0.3">
      <c r="A14262" s="15" t="s">
        <v>35891</v>
      </c>
      <c r="B14262" s="15" t="s">
        <v>26210</v>
      </c>
      <c r="C14262" s="15" t="s">
        <v>800</v>
      </c>
      <c r="D14262" s="15" t="s">
        <v>26211</v>
      </c>
      <c r="E14262" s="15">
        <v>13.010300000000001</v>
      </c>
      <c r="F14262" s="42">
        <v>44711</v>
      </c>
    </row>
    <row r="14263" spans="1:6" x14ac:dyDescent="0.3">
      <c r="A14263" s="15" t="s">
        <v>35890</v>
      </c>
      <c r="B14263" s="15" t="s">
        <v>26212</v>
      </c>
      <c r="C14263" s="15" t="s">
        <v>800</v>
      </c>
      <c r="D14263" s="15" t="s">
        <v>26213</v>
      </c>
      <c r="E14263" s="15">
        <v>13.005800000000001</v>
      </c>
      <c r="F14263" s="42">
        <v>44711</v>
      </c>
    </row>
    <row r="14264" spans="1:6" x14ac:dyDescent="0.3">
      <c r="A14264" s="15" t="s">
        <v>35889</v>
      </c>
      <c r="B14264" s="15" t="s">
        <v>26214</v>
      </c>
      <c r="C14264" s="15" t="s">
        <v>800</v>
      </c>
      <c r="D14264" s="15" t="s">
        <v>26215</v>
      </c>
      <c r="E14264" s="15">
        <v>13.1485</v>
      </c>
      <c r="F14264" s="42">
        <v>44669</v>
      </c>
    </row>
    <row r="14265" spans="1:6" x14ac:dyDescent="0.3">
      <c r="A14265" s="15" t="s">
        <v>35888</v>
      </c>
      <c r="B14265" s="15" t="s">
        <v>26216</v>
      </c>
      <c r="C14265" s="15" t="s">
        <v>800</v>
      </c>
      <c r="D14265" s="15" t="s">
        <v>26217</v>
      </c>
      <c r="E14265" s="15">
        <v>13.2506</v>
      </c>
      <c r="F14265" s="42">
        <v>44669</v>
      </c>
    </row>
    <row r="14266" spans="1:6" x14ac:dyDescent="0.3">
      <c r="A14266" s="15" t="s">
        <v>35887</v>
      </c>
      <c r="B14266" s="15" t="s">
        <v>26218</v>
      </c>
      <c r="C14266" s="15" t="s">
        <v>800</v>
      </c>
      <c r="D14266" s="15" t="s">
        <v>26219</v>
      </c>
      <c r="E14266" s="15">
        <v>13.2506</v>
      </c>
      <c r="F14266" s="42">
        <v>44669</v>
      </c>
    </row>
    <row r="14267" spans="1:6" x14ac:dyDescent="0.3">
      <c r="A14267" s="15" t="s">
        <v>35886</v>
      </c>
      <c r="B14267" s="15" t="s">
        <v>26220</v>
      </c>
      <c r="C14267" s="15" t="s">
        <v>800</v>
      </c>
      <c r="D14267" s="15" t="s">
        <v>26221</v>
      </c>
      <c r="E14267" s="15">
        <v>13.1485</v>
      </c>
      <c r="F14267" s="42">
        <v>44669</v>
      </c>
    </row>
    <row r="14268" spans="1:6" x14ac:dyDescent="0.3">
      <c r="A14268" s="15" t="s">
        <v>35885</v>
      </c>
      <c r="B14268" s="15" t="s">
        <v>26222</v>
      </c>
      <c r="C14268" s="15" t="s">
        <v>800</v>
      </c>
      <c r="D14268" s="15" t="s">
        <v>26223</v>
      </c>
      <c r="E14268" s="15">
        <v>13.2041</v>
      </c>
      <c r="F14268" s="42">
        <v>44683</v>
      </c>
    </row>
    <row r="14269" spans="1:6" x14ac:dyDescent="0.3">
      <c r="A14269" s="15" t="s">
        <v>35884</v>
      </c>
      <c r="B14269" s="15" t="s">
        <v>26224</v>
      </c>
      <c r="C14269" s="15" t="s">
        <v>800</v>
      </c>
      <c r="D14269" s="15" t="s">
        <v>26225</v>
      </c>
      <c r="E14269" s="15">
        <v>13.3454</v>
      </c>
      <c r="F14269" s="42">
        <v>44683</v>
      </c>
    </row>
    <row r="14270" spans="1:6" x14ac:dyDescent="0.3">
      <c r="A14270" s="15" t="s">
        <v>35883</v>
      </c>
      <c r="B14270" s="15" t="s">
        <v>26226</v>
      </c>
      <c r="C14270" s="15" t="s">
        <v>800</v>
      </c>
      <c r="D14270" s="15" t="s">
        <v>26227</v>
      </c>
      <c r="E14270" s="15">
        <v>13.202999999999999</v>
      </c>
      <c r="F14270" s="42">
        <v>44683</v>
      </c>
    </row>
    <row r="14271" spans="1:6" x14ac:dyDescent="0.3">
      <c r="A14271" s="15" t="s">
        <v>35882</v>
      </c>
      <c r="B14271" s="15" t="s">
        <v>26228</v>
      </c>
      <c r="C14271" s="15" t="s">
        <v>800</v>
      </c>
      <c r="D14271" s="15" t="s">
        <v>26229</v>
      </c>
      <c r="E14271" s="15">
        <v>13.203900000000001</v>
      </c>
      <c r="F14271" s="42">
        <v>44683</v>
      </c>
    </row>
    <row r="14272" spans="1:6" x14ac:dyDescent="0.3">
      <c r="A14272" s="15" t="s">
        <v>35881</v>
      </c>
      <c r="B14272" s="15" t="s">
        <v>26230</v>
      </c>
      <c r="C14272" s="15" t="s">
        <v>800</v>
      </c>
      <c r="D14272" s="15" t="s">
        <v>26231</v>
      </c>
      <c r="E14272" s="15">
        <v>13.1455</v>
      </c>
      <c r="F14272" s="42">
        <v>44664</v>
      </c>
    </row>
    <row r="14273" spans="1:6" x14ac:dyDescent="0.3">
      <c r="A14273" s="15" t="s">
        <v>35880</v>
      </c>
      <c r="B14273" s="15" t="s">
        <v>26232</v>
      </c>
      <c r="C14273" s="15" t="s">
        <v>800</v>
      </c>
      <c r="D14273" s="15" t="s">
        <v>26233</v>
      </c>
      <c r="E14273" s="15">
        <v>13.258699999999999</v>
      </c>
      <c r="F14273" s="42">
        <v>44664</v>
      </c>
    </row>
    <row r="14274" spans="1:6" x14ac:dyDescent="0.3">
      <c r="A14274" s="15" t="s">
        <v>35879</v>
      </c>
      <c r="B14274" s="15" t="s">
        <v>26234</v>
      </c>
      <c r="C14274" s="15" t="s">
        <v>800</v>
      </c>
      <c r="D14274" s="15" t="s">
        <v>26235</v>
      </c>
      <c r="E14274" s="15">
        <v>13.1454</v>
      </c>
      <c r="F14274" s="42">
        <v>44664</v>
      </c>
    </row>
    <row r="14275" spans="1:6" x14ac:dyDescent="0.3">
      <c r="A14275" s="15" t="s">
        <v>35878</v>
      </c>
      <c r="B14275" s="15" t="s">
        <v>26236</v>
      </c>
      <c r="C14275" s="15" t="s">
        <v>800</v>
      </c>
      <c r="D14275" s="15" t="s">
        <v>26237</v>
      </c>
      <c r="E14275" s="15">
        <v>13.145300000000001</v>
      </c>
      <c r="F14275" s="42">
        <v>44664</v>
      </c>
    </row>
    <row r="14276" spans="1:6" x14ac:dyDescent="0.3">
      <c r="A14276" s="15" t="s">
        <v>35877</v>
      </c>
      <c r="B14276" s="15" t="s">
        <v>26238</v>
      </c>
      <c r="C14276" s="15" t="s">
        <v>800</v>
      </c>
      <c r="D14276" s="15" t="s">
        <v>26239</v>
      </c>
      <c r="E14276" s="15">
        <v>13.1572</v>
      </c>
      <c r="F14276" s="42">
        <v>44711</v>
      </c>
    </row>
    <row r="14277" spans="1:6" x14ac:dyDescent="0.3">
      <c r="A14277" s="15" t="s">
        <v>35876</v>
      </c>
      <c r="B14277" s="15" t="s">
        <v>26240</v>
      </c>
      <c r="C14277" s="15" t="s">
        <v>800</v>
      </c>
      <c r="D14277" s="15" t="s">
        <v>26241</v>
      </c>
      <c r="E14277" s="15">
        <v>13.203900000000001</v>
      </c>
      <c r="F14277" s="42">
        <v>44711</v>
      </c>
    </row>
    <row r="14278" spans="1:6" x14ac:dyDescent="0.3">
      <c r="A14278" s="15" t="s">
        <v>35875</v>
      </c>
      <c r="B14278" s="15" t="s">
        <v>26242</v>
      </c>
      <c r="C14278" s="15" t="s">
        <v>800</v>
      </c>
      <c r="D14278" s="15" t="s">
        <v>26243</v>
      </c>
      <c r="E14278" s="15">
        <v>13.203900000000001</v>
      </c>
      <c r="F14278" s="42">
        <v>44711</v>
      </c>
    </row>
    <row r="14279" spans="1:6" x14ac:dyDescent="0.3">
      <c r="A14279" s="15" t="s">
        <v>35874</v>
      </c>
      <c r="B14279" s="15" t="s">
        <v>26244</v>
      </c>
      <c r="C14279" s="15" t="s">
        <v>800</v>
      </c>
      <c r="D14279" s="15" t="s">
        <v>26245</v>
      </c>
      <c r="E14279" s="15">
        <v>13.238799999999999</v>
      </c>
      <c r="F14279" s="42">
        <v>44662</v>
      </c>
    </row>
    <row r="14280" spans="1:6" x14ac:dyDescent="0.3">
      <c r="A14280" s="15" t="s">
        <v>35873</v>
      </c>
      <c r="B14280" s="15" t="s">
        <v>26246</v>
      </c>
      <c r="C14280" s="15" t="s">
        <v>800</v>
      </c>
      <c r="D14280" s="15" t="s">
        <v>26247</v>
      </c>
      <c r="E14280" s="15">
        <v>13.3589</v>
      </c>
      <c r="F14280" s="42">
        <v>44662</v>
      </c>
    </row>
    <row r="14281" spans="1:6" x14ac:dyDescent="0.3">
      <c r="A14281" s="15" t="s">
        <v>35872</v>
      </c>
      <c r="B14281" s="15" t="s">
        <v>26248</v>
      </c>
      <c r="C14281" s="15" t="s">
        <v>800</v>
      </c>
      <c r="D14281" s="15" t="s">
        <v>26249</v>
      </c>
      <c r="E14281" s="15">
        <v>13.241400000000001</v>
      </c>
      <c r="F14281" s="42">
        <v>44662</v>
      </c>
    </row>
    <row r="14282" spans="1:6" x14ac:dyDescent="0.3">
      <c r="A14282" s="15" t="s">
        <v>35871</v>
      </c>
      <c r="B14282" s="15" t="s">
        <v>26250</v>
      </c>
      <c r="C14282" s="15" t="s">
        <v>800</v>
      </c>
      <c r="D14282" s="15" t="s">
        <v>26251</v>
      </c>
      <c r="E14282" s="15">
        <v>13.238799999999999</v>
      </c>
      <c r="F14282" s="42">
        <v>44662</v>
      </c>
    </row>
    <row r="14283" spans="1:6" x14ac:dyDescent="0.3">
      <c r="A14283" s="15" t="s">
        <v>35870</v>
      </c>
      <c r="B14283" s="15" t="s">
        <v>26252</v>
      </c>
      <c r="C14283" s="15" t="s">
        <v>800</v>
      </c>
      <c r="D14283" s="15" t="s">
        <v>26253</v>
      </c>
      <c r="E14283" s="15">
        <v>10.3545</v>
      </c>
      <c r="F14283" s="42">
        <v>43537</v>
      </c>
    </row>
    <row r="14284" spans="1:6" x14ac:dyDescent="0.3">
      <c r="A14284" s="15" t="s">
        <v>35869</v>
      </c>
      <c r="B14284" s="15" t="s">
        <v>26254</v>
      </c>
      <c r="C14284" s="15" t="s">
        <v>800</v>
      </c>
      <c r="D14284" s="15" t="s">
        <v>26255</v>
      </c>
      <c r="E14284" s="15">
        <v>10.363799999999999</v>
      </c>
      <c r="F14284" s="42">
        <v>43537</v>
      </c>
    </row>
    <row r="14285" spans="1:6" x14ac:dyDescent="0.3">
      <c r="A14285" s="15" t="s">
        <v>35868</v>
      </c>
      <c r="B14285" s="15" t="s">
        <v>26256</v>
      </c>
      <c r="C14285" s="15" t="s">
        <v>800</v>
      </c>
      <c r="D14285" s="15" t="s">
        <v>26257</v>
      </c>
      <c r="E14285" s="15">
        <v>10.3545</v>
      </c>
      <c r="F14285" s="42">
        <v>43537</v>
      </c>
    </row>
    <row r="14286" spans="1:6" x14ac:dyDescent="0.3">
      <c r="A14286" s="15" t="s">
        <v>35867</v>
      </c>
      <c r="B14286" s="15" t="s">
        <v>26258</v>
      </c>
      <c r="C14286" s="15" t="s">
        <v>800</v>
      </c>
      <c r="D14286" s="15" t="s">
        <v>26259</v>
      </c>
      <c r="E14286" s="15">
        <v>17.691700000000001</v>
      </c>
      <c r="F14286" s="42">
        <v>46198</v>
      </c>
    </row>
    <row r="14287" spans="1:6" x14ac:dyDescent="0.3">
      <c r="A14287" s="15" t="s">
        <v>35866</v>
      </c>
      <c r="B14287" s="15" t="s">
        <v>26260</v>
      </c>
      <c r="C14287" s="15" t="s">
        <v>800</v>
      </c>
      <c r="D14287" s="15" t="s">
        <v>26261</v>
      </c>
      <c r="E14287" s="15">
        <v>17.933800000000002</v>
      </c>
      <c r="F14287" s="42">
        <v>46198</v>
      </c>
    </row>
    <row r="14288" spans="1:6" x14ac:dyDescent="0.3">
      <c r="A14288" s="15" t="s">
        <v>35865</v>
      </c>
      <c r="B14288" s="15" t="s">
        <v>26262</v>
      </c>
      <c r="C14288" s="15" t="s">
        <v>800</v>
      </c>
      <c r="D14288" s="15" t="s">
        <v>26263</v>
      </c>
      <c r="E14288" s="15">
        <v>17.3796</v>
      </c>
      <c r="F14288" s="42">
        <v>46198</v>
      </c>
    </row>
    <row r="14289" spans="1:6" x14ac:dyDescent="0.3">
      <c r="A14289" s="15" t="s">
        <v>35864</v>
      </c>
      <c r="B14289" s="15" t="s">
        <v>26264</v>
      </c>
      <c r="C14289" s="15" t="s">
        <v>800</v>
      </c>
      <c r="D14289" s="15" t="s">
        <v>26265</v>
      </c>
      <c r="E14289" s="15">
        <v>12.3725</v>
      </c>
      <c r="F14289" s="42">
        <v>44676</v>
      </c>
    </row>
    <row r="14290" spans="1:6" x14ac:dyDescent="0.3">
      <c r="A14290" s="15" t="s">
        <v>35863</v>
      </c>
      <c r="B14290" s="15" t="s">
        <v>26266</v>
      </c>
      <c r="C14290" s="15" t="s">
        <v>800</v>
      </c>
      <c r="D14290" s="15" t="s">
        <v>26267</v>
      </c>
      <c r="E14290" s="15">
        <v>12.4682</v>
      </c>
      <c r="F14290" s="42">
        <v>44676</v>
      </c>
    </row>
    <row r="14291" spans="1:6" x14ac:dyDescent="0.3">
      <c r="A14291" s="15" t="s">
        <v>35862</v>
      </c>
      <c r="B14291" s="15" t="s">
        <v>26268</v>
      </c>
      <c r="C14291" s="15" t="s">
        <v>800</v>
      </c>
      <c r="D14291" s="15" t="s">
        <v>26269</v>
      </c>
      <c r="E14291" s="15">
        <v>12.3725</v>
      </c>
      <c r="F14291" s="42">
        <v>44676</v>
      </c>
    </row>
    <row r="14292" spans="1:6" x14ac:dyDescent="0.3">
      <c r="A14292" s="15" t="s">
        <v>35861</v>
      </c>
      <c r="B14292" s="15" t="s">
        <v>26270</v>
      </c>
      <c r="C14292" s="15" t="s">
        <v>800</v>
      </c>
      <c r="D14292" s="15" t="s">
        <v>26271</v>
      </c>
      <c r="E14292" s="15">
        <v>12.398400000000001</v>
      </c>
      <c r="F14292" s="42">
        <v>44679</v>
      </c>
    </row>
    <row r="14293" spans="1:6" x14ac:dyDescent="0.3">
      <c r="A14293" s="15" t="s">
        <v>35860</v>
      </c>
      <c r="B14293" s="15" t="s">
        <v>26272</v>
      </c>
      <c r="C14293" s="15" t="s">
        <v>800</v>
      </c>
      <c r="D14293" s="15" t="s">
        <v>26273</v>
      </c>
      <c r="E14293" s="15">
        <v>12.473800000000001</v>
      </c>
      <c r="F14293" s="42">
        <v>44679</v>
      </c>
    </row>
    <row r="14294" spans="1:6" x14ac:dyDescent="0.3">
      <c r="A14294" s="15" t="s">
        <v>35859</v>
      </c>
      <c r="B14294" s="15" t="s">
        <v>26274</v>
      </c>
      <c r="C14294" s="15" t="s">
        <v>800</v>
      </c>
      <c r="D14294" s="15" t="s">
        <v>26275</v>
      </c>
      <c r="E14294" s="15">
        <v>12.397600000000001</v>
      </c>
      <c r="F14294" s="42">
        <v>44679</v>
      </c>
    </row>
    <row r="14295" spans="1:6" x14ac:dyDescent="0.3">
      <c r="A14295" s="15" t="s">
        <v>35858</v>
      </c>
      <c r="B14295" s="15" t="s">
        <v>26276</v>
      </c>
      <c r="C14295" s="15" t="s">
        <v>800</v>
      </c>
      <c r="D14295" s="15" t="s">
        <v>26277</v>
      </c>
      <c r="E14295" s="15">
        <v>12.398400000000001</v>
      </c>
      <c r="F14295" s="42">
        <v>44679</v>
      </c>
    </row>
    <row r="14296" spans="1:6" x14ac:dyDescent="0.3">
      <c r="A14296" s="15" t="s">
        <v>35857</v>
      </c>
      <c r="B14296" s="15" t="s">
        <v>26278</v>
      </c>
      <c r="C14296" s="15" t="s">
        <v>800</v>
      </c>
      <c r="D14296" s="15" t="s">
        <v>26279</v>
      </c>
      <c r="E14296" s="15">
        <v>12.4567</v>
      </c>
      <c r="F14296" s="42">
        <v>44679</v>
      </c>
    </row>
    <row r="14297" spans="1:6" x14ac:dyDescent="0.3">
      <c r="A14297" s="15" t="s">
        <v>35856</v>
      </c>
      <c r="B14297" s="15" t="s">
        <v>26280</v>
      </c>
      <c r="C14297" s="15" t="s">
        <v>800</v>
      </c>
      <c r="D14297" s="15" t="s">
        <v>26281</v>
      </c>
      <c r="E14297" s="15">
        <v>12.495200000000001</v>
      </c>
      <c r="F14297" s="42">
        <v>44679</v>
      </c>
    </row>
    <row r="14298" spans="1:6" x14ac:dyDescent="0.3">
      <c r="A14298" s="15" t="s">
        <v>35855</v>
      </c>
      <c r="B14298" s="15" t="s">
        <v>26282</v>
      </c>
      <c r="C14298" s="15" t="s">
        <v>800</v>
      </c>
      <c r="D14298" s="15" t="s">
        <v>26283</v>
      </c>
      <c r="E14298" s="15">
        <v>12.4567</v>
      </c>
      <c r="F14298" s="42">
        <v>44679</v>
      </c>
    </row>
    <row r="14299" spans="1:6" x14ac:dyDescent="0.3">
      <c r="A14299" s="15" t="s">
        <v>35854</v>
      </c>
      <c r="B14299" s="15" t="s">
        <v>26284</v>
      </c>
      <c r="C14299" s="15" t="s">
        <v>800</v>
      </c>
      <c r="D14299" s="15" t="s">
        <v>26285</v>
      </c>
      <c r="E14299" s="15">
        <v>12.607799999999999</v>
      </c>
      <c r="F14299" s="42">
        <v>44691</v>
      </c>
    </row>
    <row r="14300" spans="1:6" x14ac:dyDescent="0.3">
      <c r="A14300" s="15" t="s">
        <v>35853</v>
      </c>
      <c r="B14300" s="15" t="s">
        <v>26286</v>
      </c>
      <c r="C14300" s="15" t="s">
        <v>800</v>
      </c>
      <c r="D14300" s="15" t="s">
        <v>26287</v>
      </c>
      <c r="E14300" s="15">
        <v>12.6843</v>
      </c>
      <c r="F14300" s="42">
        <v>44691</v>
      </c>
    </row>
    <row r="14301" spans="1:6" x14ac:dyDescent="0.3">
      <c r="A14301" s="15" t="s">
        <v>35852</v>
      </c>
      <c r="B14301" s="15" t="s">
        <v>26288</v>
      </c>
      <c r="C14301" s="15" t="s">
        <v>800</v>
      </c>
      <c r="D14301" s="15" t="s">
        <v>26289</v>
      </c>
      <c r="E14301" s="15">
        <v>12.607799999999999</v>
      </c>
      <c r="F14301" s="42">
        <v>44691</v>
      </c>
    </row>
    <row r="14302" spans="1:6" x14ac:dyDescent="0.3">
      <c r="A14302" s="15" t="s">
        <v>35851</v>
      </c>
      <c r="B14302" s="15" t="s">
        <v>26290</v>
      </c>
      <c r="C14302" s="15" t="s">
        <v>800</v>
      </c>
      <c r="D14302" s="15" t="s">
        <v>26291</v>
      </c>
      <c r="E14302" s="15">
        <v>12.4678</v>
      </c>
      <c r="F14302" s="42">
        <v>44683</v>
      </c>
    </row>
    <row r="14303" spans="1:6" x14ac:dyDescent="0.3">
      <c r="A14303" s="15" t="s">
        <v>35850</v>
      </c>
      <c r="B14303" s="15" t="s">
        <v>26292</v>
      </c>
      <c r="C14303" s="15" t="s">
        <v>800</v>
      </c>
      <c r="D14303" s="15" t="s">
        <v>26293</v>
      </c>
      <c r="E14303" s="15">
        <v>12.5069</v>
      </c>
      <c r="F14303" s="42">
        <v>44683</v>
      </c>
    </row>
    <row r="14304" spans="1:6" x14ac:dyDescent="0.3">
      <c r="A14304" s="15" t="s">
        <v>35849</v>
      </c>
      <c r="B14304" s="15" t="s">
        <v>26294</v>
      </c>
      <c r="C14304" s="15" t="s">
        <v>800</v>
      </c>
      <c r="D14304" s="15" t="s">
        <v>26295</v>
      </c>
      <c r="E14304" s="15">
        <v>12.5069</v>
      </c>
      <c r="F14304" s="42">
        <v>44683</v>
      </c>
    </row>
    <row r="14305" spans="1:6" x14ac:dyDescent="0.3">
      <c r="A14305" s="15" t="s">
        <v>35848</v>
      </c>
      <c r="B14305" s="15" t="s">
        <v>26296</v>
      </c>
      <c r="C14305" s="15" t="s">
        <v>800</v>
      </c>
      <c r="D14305" s="15" t="s">
        <v>26297</v>
      </c>
      <c r="E14305" s="15">
        <v>12.4678</v>
      </c>
      <c r="F14305" s="42">
        <v>44683</v>
      </c>
    </row>
    <row r="14306" spans="1:6" x14ac:dyDescent="0.3">
      <c r="A14306" s="15" t="s">
        <v>35847</v>
      </c>
      <c r="B14306" s="15" t="s">
        <v>26298</v>
      </c>
      <c r="C14306" s="15" t="s">
        <v>800</v>
      </c>
      <c r="D14306" s="15" t="s">
        <v>26299</v>
      </c>
      <c r="E14306" s="15">
        <v>12.5627</v>
      </c>
      <c r="F14306" s="42">
        <v>44678</v>
      </c>
    </row>
    <row r="14307" spans="1:6" x14ac:dyDescent="0.3">
      <c r="A14307" s="15" t="s">
        <v>35846</v>
      </c>
      <c r="B14307" s="15" t="s">
        <v>26300</v>
      </c>
      <c r="C14307" s="15" t="s">
        <v>800</v>
      </c>
      <c r="D14307" s="15" t="s">
        <v>26301</v>
      </c>
      <c r="E14307" s="15">
        <v>12.6837</v>
      </c>
      <c r="F14307" s="42">
        <v>44678</v>
      </c>
    </row>
    <row r="14308" spans="1:6" x14ac:dyDescent="0.3">
      <c r="A14308" s="15" t="s">
        <v>35845</v>
      </c>
      <c r="B14308" s="15" t="s">
        <v>26302</v>
      </c>
      <c r="C14308" s="15" t="s">
        <v>800</v>
      </c>
      <c r="D14308" s="15" t="s">
        <v>26303</v>
      </c>
      <c r="E14308" s="15">
        <v>12.6837</v>
      </c>
      <c r="F14308" s="42">
        <v>44678</v>
      </c>
    </row>
    <row r="14309" spans="1:6" x14ac:dyDescent="0.3">
      <c r="A14309" s="15" t="s">
        <v>35844</v>
      </c>
      <c r="B14309" s="15" t="s">
        <v>26304</v>
      </c>
      <c r="C14309" s="15" t="s">
        <v>800</v>
      </c>
      <c r="D14309" s="15" t="s">
        <v>26305</v>
      </c>
      <c r="E14309" s="15">
        <v>12.5627</v>
      </c>
      <c r="F14309" s="42">
        <v>44678</v>
      </c>
    </row>
    <row r="14310" spans="1:6" x14ac:dyDescent="0.3">
      <c r="A14310" s="15" t="s">
        <v>35843</v>
      </c>
      <c r="B14310" s="15" t="s">
        <v>26306</v>
      </c>
      <c r="C14310" s="15" t="s">
        <v>800</v>
      </c>
      <c r="D14310" s="15" t="s">
        <v>26307</v>
      </c>
      <c r="E14310" s="15">
        <v>12.5627</v>
      </c>
      <c r="F14310" s="42">
        <v>44678</v>
      </c>
    </row>
    <row r="14311" spans="1:6" x14ac:dyDescent="0.3">
      <c r="A14311" s="15" t="s">
        <v>35842</v>
      </c>
      <c r="B14311" s="15" t="s">
        <v>26308</v>
      </c>
      <c r="C14311" s="15" t="s">
        <v>800</v>
      </c>
      <c r="D14311" s="15" t="s">
        <v>26309</v>
      </c>
      <c r="E14311" s="15">
        <v>12.647600000000001</v>
      </c>
      <c r="F14311" s="42">
        <v>44686</v>
      </c>
    </row>
    <row r="14312" spans="1:6" x14ac:dyDescent="0.3">
      <c r="A14312" s="15" t="s">
        <v>35841</v>
      </c>
      <c r="B14312" s="15" t="s">
        <v>26310</v>
      </c>
      <c r="C14312" s="15" t="s">
        <v>800</v>
      </c>
      <c r="D14312" s="15" t="s">
        <v>26311</v>
      </c>
      <c r="E14312" s="15">
        <v>12.6877</v>
      </c>
      <c r="F14312" s="42">
        <v>44686</v>
      </c>
    </row>
    <row r="14313" spans="1:6" x14ac:dyDescent="0.3">
      <c r="A14313" s="15" t="s">
        <v>35840</v>
      </c>
      <c r="B14313" s="15" t="s">
        <v>26312</v>
      </c>
      <c r="C14313" s="15" t="s">
        <v>800</v>
      </c>
      <c r="D14313" s="15" t="s">
        <v>26313</v>
      </c>
      <c r="E14313" s="15">
        <v>12.647600000000001</v>
      </c>
      <c r="F14313" s="42">
        <v>44686</v>
      </c>
    </row>
    <row r="14314" spans="1:6" x14ac:dyDescent="0.3">
      <c r="A14314" s="15" t="s">
        <v>35839</v>
      </c>
      <c r="B14314" s="15" t="s">
        <v>26314</v>
      </c>
      <c r="C14314" s="15" t="s">
        <v>800</v>
      </c>
      <c r="D14314" s="15" t="s">
        <v>26315</v>
      </c>
      <c r="E14314" s="15">
        <v>12.647600000000001</v>
      </c>
      <c r="F14314" s="42">
        <v>44686</v>
      </c>
    </row>
    <row r="14315" spans="1:6" x14ac:dyDescent="0.3">
      <c r="A14315" s="15" t="s">
        <v>35838</v>
      </c>
      <c r="B14315" s="15" t="s">
        <v>26316</v>
      </c>
      <c r="C14315" s="15" t="s">
        <v>800</v>
      </c>
      <c r="D14315" s="15" t="s">
        <v>26317</v>
      </c>
      <c r="E14315" s="15">
        <v>12.687099999999999</v>
      </c>
      <c r="F14315" s="42">
        <v>44685</v>
      </c>
    </row>
    <row r="14316" spans="1:6" x14ac:dyDescent="0.3">
      <c r="A14316" s="15" t="s">
        <v>35837</v>
      </c>
      <c r="B14316" s="15" t="s">
        <v>26318</v>
      </c>
      <c r="C14316" s="15" t="s">
        <v>800</v>
      </c>
      <c r="D14316" s="15" t="s">
        <v>26319</v>
      </c>
      <c r="E14316" s="15">
        <v>12.7072</v>
      </c>
      <c r="F14316" s="42">
        <v>44685</v>
      </c>
    </row>
    <row r="14317" spans="1:6" x14ac:dyDescent="0.3">
      <c r="A14317" s="15" t="s">
        <v>35836</v>
      </c>
      <c r="B14317" s="15" t="s">
        <v>26320</v>
      </c>
      <c r="C14317" s="15" t="s">
        <v>800</v>
      </c>
      <c r="D14317" s="15" t="s">
        <v>26321</v>
      </c>
      <c r="E14317" s="15">
        <v>12.7072</v>
      </c>
      <c r="F14317" s="42">
        <v>44685</v>
      </c>
    </row>
    <row r="14318" spans="1:6" x14ac:dyDescent="0.3">
      <c r="A14318" s="15" t="s">
        <v>35835</v>
      </c>
      <c r="B14318" s="15" t="s">
        <v>26322</v>
      </c>
      <c r="C14318" s="15" t="s">
        <v>800</v>
      </c>
      <c r="D14318" s="15" t="s">
        <v>26323</v>
      </c>
      <c r="E14318" s="15">
        <v>12.687099999999999</v>
      </c>
      <c r="F14318" s="42">
        <v>44685</v>
      </c>
    </row>
    <row r="14319" spans="1:6" x14ac:dyDescent="0.3">
      <c r="A14319" s="15" t="s">
        <v>35834</v>
      </c>
      <c r="B14319" s="15" t="s">
        <v>26324</v>
      </c>
      <c r="C14319" s="15" t="s">
        <v>800</v>
      </c>
      <c r="D14319" s="15" t="s">
        <v>26325</v>
      </c>
      <c r="E14319" s="15">
        <v>12.654199999999999</v>
      </c>
      <c r="F14319" s="42">
        <v>44683</v>
      </c>
    </row>
    <row r="14320" spans="1:6" x14ac:dyDescent="0.3">
      <c r="A14320" s="15" t="s">
        <v>35833</v>
      </c>
      <c r="B14320" s="15" t="s">
        <v>26326</v>
      </c>
      <c r="C14320" s="15" t="s">
        <v>800</v>
      </c>
      <c r="D14320" s="15" t="s">
        <v>26327</v>
      </c>
      <c r="E14320" s="15">
        <v>12.7516</v>
      </c>
      <c r="F14320" s="42">
        <v>44683</v>
      </c>
    </row>
    <row r="14321" spans="1:6" x14ac:dyDescent="0.3">
      <c r="A14321" s="15" t="s">
        <v>35832</v>
      </c>
      <c r="B14321" s="15" t="s">
        <v>26328</v>
      </c>
      <c r="C14321" s="15" t="s">
        <v>800</v>
      </c>
      <c r="D14321" s="15" t="s">
        <v>26329</v>
      </c>
      <c r="E14321" s="15">
        <v>12.7522</v>
      </c>
      <c r="F14321" s="42">
        <v>44683</v>
      </c>
    </row>
    <row r="14322" spans="1:6" x14ac:dyDescent="0.3">
      <c r="A14322" s="15" t="s">
        <v>35831</v>
      </c>
      <c r="B14322" s="15" t="s">
        <v>26330</v>
      </c>
      <c r="C14322" s="15" t="s">
        <v>800</v>
      </c>
      <c r="D14322" s="15" t="s">
        <v>26331</v>
      </c>
      <c r="E14322" s="15">
        <v>12.6539</v>
      </c>
      <c r="F14322" s="42">
        <v>44683</v>
      </c>
    </row>
    <row r="14323" spans="1:6" x14ac:dyDescent="0.3">
      <c r="A14323" s="15" t="s">
        <v>35830</v>
      </c>
      <c r="B14323" s="15" t="s">
        <v>26332</v>
      </c>
      <c r="C14323" s="15" t="s">
        <v>800</v>
      </c>
      <c r="D14323" s="15" t="s">
        <v>26333</v>
      </c>
      <c r="E14323" s="15">
        <v>12.654199999999999</v>
      </c>
      <c r="F14323" s="42">
        <v>44683</v>
      </c>
    </row>
    <row r="14324" spans="1:6" x14ac:dyDescent="0.3">
      <c r="A14324" s="15" t="s">
        <v>35829</v>
      </c>
      <c r="B14324" s="15" t="s">
        <v>26334</v>
      </c>
      <c r="C14324" s="15" t="s">
        <v>800</v>
      </c>
      <c r="D14324" s="15" t="s">
        <v>26335</v>
      </c>
      <c r="E14324" s="15">
        <v>12.690200000000001</v>
      </c>
      <c r="F14324" s="42">
        <v>44672</v>
      </c>
    </row>
    <row r="14325" spans="1:6" x14ac:dyDescent="0.3">
      <c r="A14325" s="15" t="s">
        <v>35828</v>
      </c>
      <c r="B14325" s="15" t="s">
        <v>26336</v>
      </c>
      <c r="C14325" s="15" t="s">
        <v>800</v>
      </c>
      <c r="D14325" s="15" t="s">
        <v>26337</v>
      </c>
      <c r="E14325" s="15">
        <v>12.823700000000001</v>
      </c>
      <c r="F14325" s="42">
        <v>44672</v>
      </c>
    </row>
    <row r="14326" spans="1:6" x14ac:dyDescent="0.3">
      <c r="A14326" s="15" t="s">
        <v>35827</v>
      </c>
      <c r="B14326" s="15" t="s">
        <v>26338</v>
      </c>
      <c r="C14326" s="15" t="s">
        <v>800</v>
      </c>
      <c r="D14326" s="15" t="s">
        <v>26339</v>
      </c>
      <c r="E14326" s="15">
        <v>12.823700000000001</v>
      </c>
      <c r="F14326" s="42">
        <v>44672</v>
      </c>
    </row>
    <row r="14327" spans="1:6" x14ac:dyDescent="0.3">
      <c r="A14327" s="15" t="s">
        <v>35826</v>
      </c>
      <c r="B14327" s="15" t="s">
        <v>26340</v>
      </c>
      <c r="C14327" s="15" t="s">
        <v>800</v>
      </c>
      <c r="D14327" s="15" t="s">
        <v>26341</v>
      </c>
      <c r="E14327" s="15">
        <v>12.8215</v>
      </c>
      <c r="F14327" s="42">
        <v>44672</v>
      </c>
    </row>
    <row r="14328" spans="1:6" x14ac:dyDescent="0.3">
      <c r="A14328" s="15" t="s">
        <v>35825</v>
      </c>
      <c r="B14328" s="15" t="s">
        <v>26342</v>
      </c>
      <c r="C14328" s="15" t="s">
        <v>800</v>
      </c>
      <c r="D14328" s="15" t="s">
        <v>26343</v>
      </c>
      <c r="E14328" s="15">
        <v>12.690200000000001</v>
      </c>
      <c r="F14328" s="42">
        <v>44672</v>
      </c>
    </row>
    <row r="14329" spans="1:6" x14ac:dyDescent="0.3">
      <c r="A14329" s="15" t="s">
        <v>35824</v>
      </c>
      <c r="B14329" s="15" t="s">
        <v>26344</v>
      </c>
      <c r="C14329" s="15" t="s">
        <v>800</v>
      </c>
      <c r="D14329" s="15" t="s">
        <v>26345</v>
      </c>
      <c r="E14329" s="15">
        <v>12.689399999999999</v>
      </c>
      <c r="F14329" s="42">
        <v>44672</v>
      </c>
    </row>
    <row r="14330" spans="1:6" x14ac:dyDescent="0.3">
      <c r="A14330" s="15" t="s">
        <v>35823</v>
      </c>
      <c r="B14330" s="15" t="s">
        <v>26346</v>
      </c>
      <c r="C14330" s="15" t="s">
        <v>800</v>
      </c>
      <c r="D14330" s="15" t="s">
        <v>26347</v>
      </c>
      <c r="E14330" s="15">
        <v>12.8642</v>
      </c>
      <c r="F14330" s="42">
        <v>44698</v>
      </c>
    </row>
    <row r="14331" spans="1:6" x14ac:dyDescent="0.3">
      <c r="A14331" s="15" t="s">
        <v>35822</v>
      </c>
      <c r="B14331" s="15" t="s">
        <v>26348</v>
      </c>
      <c r="C14331" s="15" t="s">
        <v>800</v>
      </c>
      <c r="D14331" s="15" t="s">
        <v>26349</v>
      </c>
      <c r="E14331" s="15">
        <v>12.9876</v>
      </c>
      <c r="F14331" s="42">
        <v>44698</v>
      </c>
    </row>
    <row r="14332" spans="1:6" x14ac:dyDescent="0.3">
      <c r="A14332" s="15" t="s">
        <v>35821</v>
      </c>
      <c r="B14332" s="15" t="s">
        <v>26350</v>
      </c>
      <c r="C14332" s="15" t="s">
        <v>800</v>
      </c>
      <c r="D14332" s="15" t="s">
        <v>26351</v>
      </c>
      <c r="E14332" s="15">
        <v>12.9876</v>
      </c>
      <c r="F14332" s="42">
        <v>44698</v>
      </c>
    </row>
    <row r="14333" spans="1:6" x14ac:dyDescent="0.3">
      <c r="A14333" s="15" t="s">
        <v>35820</v>
      </c>
      <c r="B14333" s="15" t="s">
        <v>26352</v>
      </c>
      <c r="C14333" s="15" t="s">
        <v>800</v>
      </c>
      <c r="D14333" s="15" t="s">
        <v>26353</v>
      </c>
      <c r="E14333" s="15">
        <v>12.863899999999999</v>
      </c>
      <c r="F14333" s="42">
        <v>44698</v>
      </c>
    </row>
    <row r="14334" spans="1:6" x14ac:dyDescent="0.3">
      <c r="A14334" s="15" t="s">
        <v>35819</v>
      </c>
      <c r="B14334" s="15" t="s">
        <v>26354</v>
      </c>
      <c r="C14334" s="15" t="s">
        <v>800</v>
      </c>
      <c r="D14334" s="15" t="s">
        <v>26355</v>
      </c>
      <c r="E14334" s="15">
        <v>12.8642</v>
      </c>
      <c r="F14334" s="42">
        <v>44698</v>
      </c>
    </row>
    <row r="14335" spans="1:6" x14ac:dyDescent="0.3">
      <c r="A14335" s="15" t="s">
        <v>35818</v>
      </c>
      <c r="B14335" s="15" t="s">
        <v>26356</v>
      </c>
      <c r="C14335" s="15" t="s">
        <v>800</v>
      </c>
      <c r="D14335" s="15" t="s">
        <v>26357</v>
      </c>
      <c r="E14335" s="15">
        <v>12.754099999999999</v>
      </c>
      <c r="F14335" s="42">
        <v>44686</v>
      </c>
    </row>
    <row r="14336" spans="1:6" x14ac:dyDescent="0.3">
      <c r="A14336" s="15" t="s">
        <v>35817</v>
      </c>
      <c r="B14336" s="15" t="s">
        <v>26358</v>
      </c>
      <c r="C14336" s="15" t="s">
        <v>800</v>
      </c>
      <c r="D14336" s="15" t="s">
        <v>26359</v>
      </c>
      <c r="E14336" s="15">
        <v>12.862</v>
      </c>
      <c r="F14336" s="42">
        <v>44686</v>
      </c>
    </row>
    <row r="14337" spans="1:6" x14ac:dyDescent="0.3">
      <c r="A14337" s="15" t="s">
        <v>35816</v>
      </c>
      <c r="B14337" s="15" t="s">
        <v>26360</v>
      </c>
      <c r="C14337" s="15" t="s">
        <v>800</v>
      </c>
      <c r="D14337" s="15" t="s">
        <v>26361</v>
      </c>
      <c r="E14337" s="15">
        <v>12.862</v>
      </c>
      <c r="F14337" s="42">
        <v>44686</v>
      </c>
    </row>
    <row r="14338" spans="1:6" x14ac:dyDescent="0.3">
      <c r="A14338" s="15" t="s">
        <v>35815</v>
      </c>
      <c r="B14338" s="15" t="s">
        <v>26362</v>
      </c>
      <c r="C14338" s="15" t="s">
        <v>800</v>
      </c>
      <c r="D14338" s="15" t="s">
        <v>26363</v>
      </c>
      <c r="E14338" s="15">
        <v>12.754</v>
      </c>
      <c r="F14338" s="42">
        <v>44686</v>
      </c>
    </row>
    <row r="14339" spans="1:6" x14ac:dyDescent="0.3">
      <c r="A14339" s="15" t="s">
        <v>35814</v>
      </c>
      <c r="B14339" s="15" t="s">
        <v>26364</v>
      </c>
      <c r="C14339" s="15" t="s">
        <v>800</v>
      </c>
      <c r="D14339" s="15" t="s">
        <v>26365</v>
      </c>
      <c r="E14339" s="15">
        <v>12.754099999999999</v>
      </c>
      <c r="F14339" s="42">
        <v>44686</v>
      </c>
    </row>
    <row r="14340" spans="1:6" x14ac:dyDescent="0.3">
      <c r="A14340" s="15" t="s">
        <v>35813</v>
      </c>
      <c r="B14340" s="15" t="s">
        <v>26366</v>
      </c>
      <c r="C14340" s="15" t="s">
        <v>800</v>
      </c>
      <c r="D14340" s="15" t="s">
        <v>26367</v>
      </c>
      <c r="E14340" s="15">
        <v>12.391400000000001</v>
      </c>
      <c r="F14340" s="42">
        <v>44679</v>
      </c>
    </row>
    <row r="14341" spans="1:6" x14ac:dyDescent="0.3">
      <c r="A14341" s="15" t="s">
        <v>35812</v>
      </c>
      <c r="B14341" s="15" t="s">
        <v>26368</v>
      </c>
      <c r="C14341" s="15" t="s">
        <v>800</v>
      </c>
      <c r="D14341" s="15" t="s">
        <v>26369</v>
      </c>
      <c r="E14341" s="15">
        <v>12.4857</v>
      </c>
      <c r="F14341" s="42">
        <v>44679</v>
      </c>
    </row>
    <row r="14342" spans="1:6" x14ac:dyDescent="0.3">
      <c r="A14342" s="15" t="s">
        <v>35811</v>
      </c>
      <c r="B14342" s="15" t="s">
        <v>26370</v>
      </c>
      <c r="C14342" s="15" t="s">
        <v>800</v>
      </c>
      <c r="D14342" s="15" t="s">
        <v>26371</v>
      </c>
      <c r="E14342" s="15">
        <v>12.4856</v>
      </c>
      <c r="F14342" s="42">
        <v>44679</v>
      </c>
    </row>
    <row r="14343" spans="1:6" x14ac:dyDescent="0.3">
      <c r="A14343" s="15" t="s">
        <v>35810</v>
      </c>
      <c r="B14343" s="15" t="s">
        <v>26372</v>
      </c>
      <c r="C14343" s="15" t="s">
        <v>800</v>
      </c>
      <c r="D14343" s="15" t="s">
        <v>26373</v>
      </c>
      <c r="E14343" s="15">
        <v>12.3811</v>
      </c>
      <c r="F14343" s="42">
        <v>44679</v>
      </c>
    </row>
    <row r="14344" spans="1:6" x14ac:dyDescent="0.3">
      <c r="A14344" s="15" t="s">
        <v>35809</v>
      </c>
      <c r="B14344" s="15" t="s">
        <v>26374</v>
      </c>
      <c r="C14344" s="15" t="s">
        <v>800</v>
      </c>
      <c r="D14344" s="15" t="s">
        <v>26375</v>
      </c>
      <c r="E14344" s="15">
        <v>12.391299999999999</v>
      </c>
      <c r="F14344" s="42">
        <v>44679</v>
      </c>
    </row>
    <row r="14345" spans="1:6" x14ac:dyDescent="0.3">
      <c r="A14345" s="15" t="s">
        <v>35808</v>
      </c>
      <c r="B14345" s="15" t="s">
        <v>26376</v>
      </c>
      <c r="C14345" s="15" t="s">
        <v>800</v>
      </c>
      <c r="D14345" s="15" t="s">
        <v>26377</v>
      </c>
      <c r="E14345" s="15">
        <v>12.1897</v>
      </c>
      <c r="F14345" s="42">
        <v>45043</v>
      </c>
    </row>
    <row r="14346" spans="1:6" x14ac:dyDescent="0.3">
      <c r="A14346" s="15" t="s">
        <v>35807</v>
      </c>
      <c r="B14346" s="15" t="s">
        <v>26378</v>
      </c>
      <c r="C14346" s="15" t="s">
        <v>800</v>
      </c>
      <c r="D14346" s="15" t="s">
        <v>26379</v>
      </c>
      <c r="E14346" s="15">
        <v>12.210900000000001</v>
      </c>
      <c r="F14346" s="42">
        <v>45043</v>
      </c>
    </row>
    <row r="14347" spans="1:6" x14ac:dyDescent="0.3">
      <c r="A14347" s="15" t="s">
        <v>35806</v>
      </c>
      <c r="B14347" s="15" t="s">
        <v>26380</v>
      </c>
      <c r="C14347" s="15" t="s">
        <v>800</v>
      </c>
      <c r="D14347" s="15" t="s">
        <v>26381</v>
      </c>
      <c r="E14347" s="15">
        <v>12.189399999999999</v>
      </c>
      <c r="F14347" s="42">
        <v>45043</v>
      </c>
    </row>
    <row r="14348" spans="1:6" x14ac:dyDescent="0.3">
      <c r="A14348" s="15" t="s">
        <v>35805</v>
      </c>
      <c r="B14348" s="15" t="s">
        <v>26382</v>
      </c>
      <c r="C14348" s="15" t="s">
        <v>800</v>
      </c>
      <c r="D14348" s="15" t="s">
        <v>26383</v>
      </c>
      <c r="E14348" s="15">
        <v>12.1896</v>
      </c>
      <c r="F14348" s="42">
        <v>45043</v>
      </c>
    </row>
    <row r="14349" spans="1:6" x14ac:dyDescent="0.3">
      <c r="A14349" s="15" t="s">
        <v>35804</v>
      </c>
      <c r="B14349" s="15" t="s">
        <v>26384</v>
      </c>
      <c r="C14349" s="15" t="s">
        <v>800</v>
      </c>
      <c r="D14349" s="15" t="s">
        <v>26385</v>
      </c>
      <c r="E14349" s="15">
        <v>12.2371</v>
      </c>
      <c r="F14349" s="42">
        <v>45033</v>
      </c>
    </row>
    <row r="14350" spans="1:6" x14ac:dyDescent="0.3">
      <c r="A14350" s="15" t="s">
        <v>35803</v>
      </c>
      <c r="B14350" s="15" t="s">
        <v>26386</v>
      </c>
      <c r="C14350" s="15" t="s">
        <v>800</v>
      </c>
      <c r="D14350" s="15" t="s">
        <v>26387</v>
      </c>
      <c r="E14350" s="15">
        <v>12.29</v>
      </c>
      <c r="F14350" s="42">
        <v>45033</v>
      </c>
    </row>
    <row r="14351" spans="1:6" x14ac:dyDescent="0.3">
      <c r="A14351" s="15" t="s">
        <v>35802</v>
      </c>
      <c r="B14351" s="15" t="s">
        <v>26388</v>
      </c>
      <c r="C14351" s="15" t="s">
        <v>800</v>
      </c>
      <c r="D14351" s="15" t="s">
        <v>26389</v>
      </c>
      <c r="E14351" s="15">
        <v>12.289899999999999</v>
      </c>
      <c r="F14351" s="42">
        <v>45033</v>
      </c>
    </row>
    <row r="14352" spans="1:6" x14ac:dyDescent="0.3">
      <c r="A14352" s="15" t="s">
        <v>35801</v>
      </c>
      <c r="B14352" s="15" t="s">
        <v>26390</v>
      </c>
      <c r="C14352" s="15" t="s">
        <v>800</v>
      </c>
      <c r="D14352" s="15" t="s">
        <v>26391</v>
      </c>
      <c r="E14352" s="15">
        <v>12.289899999999999</v>
      </c>
      <c r="F14352" s="42">
        <v>45033</v>
      </c>
    </row>
    <row r="14353" spans="1:6" x14ac:dyDescent="0.3">
      <c r="A14353" s="15" t="s">
        <v>35800</v>
      </c>
      <c r="B14353" s="15" t="s">
        <v>26392</v>
      </c>
      <c r="C14353" s="15" t="s">
        <v>800</v>
      </c>
      <c r="D14353" s="15" t="s">
        <v>26393</v>
      </c>
      <c r="E14353" s="15">
        <v>12.2371</v>
      </c>
      <c r="F14353" s="42">
        <v>45033</v>
      </c>
    </row>
    <row r="14354" spans="1:6" x14ac:dyDescent="0.3">
      <c r="A14354" s="15" t="s">
        <v>35799</v>
      </c>
      <c r="B14354" s="15" t="s">
        <v>26394</v>
      </c>
      <c r="C14354" s="15" t="s">
        <v>800</v>
      </c>
      <c r="D14354" s="15" t="s">
        <v>26395</v>
      </c>
      <c r="E14354" s="15">
        <v>12.2371</v>
      </c>
      <c r="F14354" s="42">
        <v>45033</v>
      </c>
    </row>
    <row r="14355" spans="1:6" x14ac:dyDescent="0.3">
      <c r="A14355" s="15" t="s">
        <v>35798</v>
      </c>
      <c r="B14355" s="15" t="s">
        <v>26396</v>
      </c>
      <c r="C14355" s="15" t="s">
        <v>800</v>
      </c>
      <c r="D14355" s="15" t="s">
        <v>26397</v>
      </c>
      <c r="E14355" s="15">
        <v>12.4498</v>
      </c>
      <c r="F14355" s="42">
        <v>45043</v>
      </c>
    </row>
    <row r="14356" spans="1:6" x14ac:dyDescent="0.3">
      <c r="A14356" s="15" t="s">
        <v>35797</v>
      </c>
      <c r="B14356" s="15" t="s">
        <v>26398</v>
      </c>
      <c r="C14356" s="15" t="s">
        <v>800</v>
      </c>
      <c r="D14356" s="15" t="s">
        <v>26399</v>
      </c>
      <c r="E14356" s="15">
        <v>12.4947</v>
      </c>
      <c r="F14356" s="42">
        <v>45043</v>
      </c>
    </row>
    <row r="14357" spans="1:6" x14ac:dyDescent="0.3">
      <c r="A14357" s="15" t="s">
        <v>35796</v>
      </c>
      <c r="B14357" s="15" t="s">
        <v>26400</v>
      </c>
      <c r="C14357" s="15" t="s">
        <v>800</v>
      </c>
      <c r="D14357" s="15" t="s">
        <v>26401</v>
      </c>
      <c r="E14357" s="15">
        <v>12.4946</v>
      </c>
      <c r="F14357" s="42">
        <v>45043</v>
      </c>
    </row>
    <row r="14358" spans="1:6" x14ac:dyDescent="0.3">
      <c r="A14358" s="15" t="s">
        <v>35795</v>
      </c>
      <c r="B14358" s="15" t="s">
        <v>26402</v>
      </c>
      <c r="C14358" s="15" t="s">
        <v>800</v>
      </c>
      <c r="D14358" s="15" t="s">
        <v>26403</v>
      </c>
      <c r="E14358" s="15">
        <v>12.4946</v>
      </c>
      <c r="F14358" s="42">
        <v>45043</v>
      </c>
    </row>
    <row r="14359" spans="1:6" x14ac:dyDescent="0.3">
      <c r="A14359" s="15" t="s">
        <v>35794</v>
      </c>
      <c r="B14359" s="15" t="s">
        <v>26404</v>
      </c>
      <c r="C14359" s="15" t="s">
        <v>800</v>
      </c>
      <c r="D14359" s="15" t="s">
        <v>26405</v>
      </c>
      <c r="E14359" s="15">
        <v>12.4498</v>
      </c>
      <c r="F14359" s="42">
        <v>45043</v>
      </c>
    </row>
    <row r="14360" spans="1:6" x14ac:dyDescent="0.3">
      <c r="A14360" s="15" t="s">
        <v>35793</v>
      </c>
      <c r="B14360" s="15" t="s">
        <v>26406</v>
      </c>
      <c r="C14360" s="15" t="s">
        <v>800</v>
      </c>
      <c r="D14360" s="15" t="s">
        <v>26407</v>
      </c>
      <c r="E14360" s="15">
        <v>12.4498</v>
      </c>
      <c r="F14360" s="42">
        <v>45043</v>
      </c>
    </row>
    <row r="14361" spans="1:6" x14ac:dyDescent="0.3">
      <c r="A14361" s="15" t="s">
        <v>35792</v>
      </c>
      <c r="B14361" s="15" t="s">
        <v>26408</v>
      </c>
      <c r="C14361" s="15" t="s">
        <v>800</v>
      </c>
      <c r="D14361" s="15" t="s">
        <v>26409</v>
      </c>
      <c r="E14361" s="15">
        <v>12.598599999999999</v>
      </c>
      <c r="F14361" s="42">
        <v>46128</v>
      </c>
    </row>
    <row r="14362" spans="1:6" x14ac:dyDescent="0.3">
      <c r="A14362" s="15" t="s">
        <v>35791</v>
      </c>
      <c r="B14362" s="15" t="s">
        <v>26410</v>
      </c>
      <c r="C14362" s="15" t="s">
        <v>800</v>
      </c>
      <c r="D14362" s="15" t="s">
        <v>26411</v>
      </c>
      <c r="E14362" s="15">
        <v>12.392099999999999</v>
      </c>
      <c r="F14362" s="42">
        <v>46128</v>
      </c>
    </row>
    <row r="14363" spans="1:6" x14ac:dyDescent="0.3">
      <c r="A14363" s="15" t="s">
        <v>35790</v>
      </c>
      <c r="B14363" s="15" t="s">
        <v>26412</v>
      </c>
      <c r="C14363" s="15" t="s">
        <v>800</v>
      </c>
      <c r="D14363" s="15" t="s">
        <v>26413</v>
      </c>
      <c r="E14363" s="15">
        <v>12.337</v>
      </c>
      <c r="F14363" s="42">
        <v>46128</v>
      </c>
    </row>
    <row r="14364" spans="1:6" x14ac:dyDescent="0.3">
      <c r="A14364" s="15" t="s">
        <v>35789</v>
      </c>
      <c r="B14364" s="15" t="s">
        <v>26414</v>
      </c>
      <c r="C14364" s="15" t="s">
        <v>800</v>
      </c>
      <c r="D14364" s="15" t="s">
        <v>26415</v>
      </c>
      <c r="E14364" s="15">
        <v>12.5085</v>
      </c>
      <c r="F14364" s="42">
        <v>46128</v>
      </c>
    </row>
    <row r="14365" spans="1:6" x14ac:dyDescent="0.3">
      <c r="A14365" s="15" t="s">
        <v>35788</v>
      </c>
      <c r="B14365" s="15" t="s">
        <v>26416</v>
      </c>
      <c r="C14365" s="15" t="s">
        <v>800</v>
      </c>
      <c r="D14365" s="15" t="s">
        <v>26417</v>
      </c>
      <c r="E14365" s="15">
        <v>12.302300000000001</v>
      </c>
      <c r="F14365" s="42">
        <v>46128</v>
      </c>
    </row>
    <row r="14366" spans="1:6" x14ac:dyDescent="0.3">
      <c r="A14366" s="15" t="s">
        <v>35787</v>
      </c>
      <c r="B14366" s="15" t="s">
        <v>26418</v>
      </c>
      <c r="C14366" s="15" t="s">
        <v>800</v>
      </c>
      <c r="D14366" s="15" t="s">
        <v>26419</v>
      </c>
      <c r="E14366" s="15">
        <v>12.2499</v>
      </c>
      <c r="F14366" s="42">
        <v>46128</v>
      </c>
    </row>
    <row r="14367" spans="1:6" x14ac:dyDescent="0.3">
      <c r="A14367" s="15" t="s">
        <v>35786</v>
      </c>
      <c r="B14367" s="15" t="s">
        <v>26420</v>
      </c>
      <c r="C14367" s="15" t="s">
        <v>800</v>
      </c>
      <c r="D14367" s="15" t="s">
        <v>26421</v>
      </c>
      <c r="E14367" s="15">
        <v>12.6991</v>
      </c>
      <c r="F14367" s="42">
        <v>46198</v>
      </c>
    </row>
    <row r="14368" spans="1:6" x14ac:dyDescent="0.3">
      <c r="A14368" s="15" t="s">
        <v>35785</v>
      </c>
      <c r="B14368" s="15" t="s">
        <v>26422</v>
      </c>
      <c r="C14368" s="15" t="s">
        <v>800</v>
      </c>
      <c r="D14368" s="15" t="s">
        <v>26423</v>
      </c>
      <c r="E14368" s="15">
        <v>12.6991</v>
      </c>
      <c r="F14368" s="42">
        <v>46198</v>
      </c>
    </row>
    <row r="14369" spans="1:6" x14ac:dyDescent="0.3">
      <c r="A14369" s="15" t="s">
        <v>35784</v>
      </c>
      <c r="B14369" s="15" t="s">
        <v>26424</v>
      </c>
      <c r="C14369" s="15" t="s">
        <v>800</v>
      </c>
      <c r="D14369" s="15" t="s">
        <v>26425</v>
      </c>
      <c r="E14369" s="15">
        <v>12.595599999999999</v>
      </c>
      <c r="F14369" s="42">
        <v>46198</v>
      </c>
    </row>
    <row r="14370" spans="1:6" x14ac:dyDescent="0.3">
      <c r="A14370" s="15" t="s">
        <v>35783</v>
      </c>
      <c r="B14370" s="15" t="s">
        <v>26426</v>
      </c>
      <c r="C14370" s="15" t="s">
        <v>800</v>
      </c>
      <c r="D14370" s="15" t="s">
        <v>26427</v>
      </c>
      <c r="E14370" s="15">
        <v>12.595599999999999</v>
      </c>
      <c r="F14370" s="42">
        <v>46198</v>
      </c>
    </row>
    <row r="14371" spans="1:6" x14ac:dyDescent="0.3">
      <c r="A14371" s="15" t="s">
        <v>35782</v>
      </c>
      <c r="B14371" s="15" t="s">
        <v>26428</v>
      </c>
      <c r="C14371" s="15" t="s">
        <v>800</v>
      </c>
      <c r="D14371" s="15" t="s">
        <v>26429</v>
      </c>
      <c r="E14371" s="15">
        <v>10.381500000000001</v>
      </c>
      <c r="F14371" s="42">
        <v>44994</v>
      </c>
    </row>
    <row r="14372" spans="1:6" x14ac:dyDescent="0.3">
      <c r="A14372" s="15" t="s">
        <v>35781</v>
      </c>
      <c r="B14372" s="15" t="s">
        <v>26430</v>
      </c>
      <c r="C14372" s="15" t="s">
        <v>800</v>
      </c>
      <c r="D14372" s="15" t="s">
        <v>26431</v>
      </c>
      <c r="E14372" s="15">
        <v>10.380100000000001</v>
      </c>
      <c r="F14372" s="42">
        <v>44994</v>
      </c>
    </row>
    <row r="14373" spans="1:6" x14ac:dyDescent="0.3">
      <c r="A14373" s="15" t="s">
        <v>35780</v>
      </c>
      <c r="B14373" s="15" t="s">
        <v>26432</v>
      </c>
      <c r="C14373" s="15" t="s">
        <v>800</v>
      </c>
      <c r="D14373" s="15" t="s">
        <v>26433</v>
      </c>
      <c r="E14373" s="15">
        <v>10.3813</v>
      </c>
      <c r="F14373" s="42">
        <v>44994</v>
      </c>
    </row>
    <row r="14374" spans="1:6" x14ac:dyDescent="0.3">
      <c r="A14374" s="15" t="s">
        <v>35779</v>
      </c>
      <c r="B14374" s="15" t="s">
        <v>26434</v>
      </c>
      <c r="C14374" s="15" t="s">
        <v>800</v>
      </c>
      <c r="D14374" s="15" t="s">
        <v>26435</v>
      </c>
      <c r="E14374" s="15">
        <v>10.3751</v>
      </c>
      <c r="F14374" s="42">
        <v>44994</v>
      </c>
    </row>
    <row r="14375" spans="1:6" x14ac:dyDescent="0.3">
      <c r="A14375" s="15" t="s">
        <v>35778</v>
      </c>
      <c r="B14375" s="15" t="s">
        <v>26436</v>
      </c>
      <c r="C14375" s="15" t="s">
        <v>800</v>
      </c>
      <c r="D14375" s="15" t="s">
        <v>26437</v>
      </c>
      <c r="E14375" s="15">
        <v>10.3751</v>
      </c>
      <c r="F14375" s="42">
        <v>44994</v>
      </c>
    </row>
    <row r="14376" spans="1:6" x14ac:dyDescent="0.3">
      <c r="A14376" s="15" t="s">
        <v>35777</v>
      </c>
      <c r="B14376" s="15" t="s">
        <v>26438</v>
      </c>
      <c r="C14376" s="15" t="s">
        <v>800</v>
      </c>
      <c r="D14376" s="15" t="s">
        <v>26439</v>
      </c>
      <c r="E14376" s="15">
        <v>10.171799999999999</v>
      </c>
      <c r="F14376" s="42">
        <v>44998</v>
      </c>
    </row>
    <row r="14377" spans="1:6" x14ac:dyDescent="0.3">
      <c r="A14377" s="15" t="s">
        <v>35776</v>
      </c>
      <c r="B14377" s="15" t="s">
        <v>26440</v>
      </c>
      <c r="C14377" s="15" t="s">
        <v>800</v>
      </c>
      <c r="D14377" s="15" t="s">
        <v>26441</v>
      </c>
      <c r="E14377" s="15">
        <v>10.1716</v>
      </c>
      <c r="F14377" s="42">
        <v>44998</v>
      </c>
    </row>
    <row r="14378" spans="1:6" x14ac:dyDescent="0.3">
      <c r="A14378" s="15" t="s">
        <v>35775</v>
      </c>
      <c r="B14378" s="15" t="s">
        <v>26442</v>
      </c>
      <c r="C14378" s="15" t="s">
        <v>800</v>
      </c>
      <c r="D14378" s="15" t="s">
        <v>26443</v>
      </c>
      <c r="E14378" s="15">
        <v>10.168799999999999</v>
      </c>
      <c r="F14378" s="42">
        <v>44998</v>
      </c>
    </row>
    <row r="14379" spans="1:6" x14ac:dyDescent="0.3">
      <c r="A14379" s="15" t="s">
        <v>35774</v>
      </c>
      <c r="B14379" s="15" t="s">
        <v>26444</v>
      </c>
      <c r="C14379" s="15" t="s">
        <v>800</v>
      </c>
      <c r="D14379" s="15" t="s">
        <v>26445</v>
      </c>
      <c r="E14379" s="15">
        <v>10.168799999999999</v>
      </c>
      <c r="F14379" s="42">
        <v>44998</v>
      </c>
    </row>
    <row r="14380" spans="1:6" x14ac:dyDescent="0.3">
      <c r="A14380" s="15" t="s">
        <v>35773</v>
      </c>
      <c r="B14380" s="15" t="s">
        <v>26446</v>
      </c>
      <c r="C14380" s="15" t="s">
        <v>800</v>
      </c>
      <c r="D14380" s="15" t="s">
        <v>26447</v>
      </c>
      <c r="E14380" s="15">
        <v>10.1607</v>
      </c>
      <c r="F14380" s="42">
        <v>45090</v>
      </c>
    </row>
    <row r="14381" spans="1:6" x14ac:dyDescent="0.3">
      <c r="A14381" s="15" t="s">
        <v>35772</v>
      </c>
      <c r="B14381" s="15" t="s">
        <v>26448</v>
      </c>
      <c r="C14381" s="15" t="s">
        <v>800</v>
      </c>
      <c r="D14381" s="15" t="s">
        <v>26449</v>
      </c>
      <c r="E14381" s="15">
        <v>10.1602</v>
      </c>
      <c r="F14381" s="42">
        <v>45090</v>
      </c>
    </row>
    <row r="14382" spans="1:6" x14ac:dyDescent="0.3">
      <c r="A14382" s="15" t="s">
        <v>35771</v>
      </c>
      <c r="B14382" s="15" t="s">
        <v>26450</v>
      </c>
      <c r="C14382" s="15" t="s">
        <v>800</v>
      </c>
      <c r="D14382" s="15" t="s">
        <v>26451</v>
      </c>
      <c r="E14382" s="15">
        <v>10.1584</v>
      </c>
      <c r="F14382" s="42">
        <v>45090</v>
      </c>
    </row>
    <row r="14383" spans="1:6" x14ac:dyDescent="0.3">
      <c r="A14383" s="15" t="s">
        <v>35770</v>
      </c>
      <c r="B14383" s="15" t="s">
        <v>26452</v>
      </c>
      <c r="C14383" s="15" t="s">
        <v>800</v>
      </c>
      <c r="D14383" s="15" t="s">
        <v>26453</v>
      </c>
      <c r="E14383" s="15">
        <v>10.1584</v>
      </c>
      <c r="F14383" s="42">
        <v>45090</v>
      </c>
    </row>
    <row r="14384" spans="1:6" x14ac:dyDescent="0.3">
      <c r="A14384" s="15" t="s">
        <v>35769</v>
      </c>
      <c r="B14384" s="15" t="s">
        <v>26454</v>
      </c>
      <c r="C14384" s="15" t="s">
        <v>800</v>
      </c>
      <c r="D14384" s="15" t="s">
        <v>26455</v>
      </c>
      <c r="E14384" s="15">
        <v>12.892099999999999</v>
      </c>
      <c r="F14384" s="42">
        <v>42943</v>
      </c>
    </row>
    <row r="14385" spans="1:6" x14ac:dyDescent="0.3">
      <c r="A14385" s="15" t="s">
        <v>35768</v>
      </c>
      <c r="B14385" s="15" t="s">
        <v>26456</v>
      </c>
      <c r="C14385" s="15" t="s">
        <v>800</v>
      </c>
      <c r="D14385" s="15" t="s">
        <v>26457</v>
      </c>
      <c r="E14385" s="15">
        <v>12.8728</v>
      </c>
      <c r="F14385" s="42">
        <v>42943</v>
      </c>
    </row>
    <row r="14386" spans="1:6" x14ac:dyDescent="0.3">
      <c r="A14386" s="15" t="s">
        <v>35767</v>
      </c>
      <c r="B14386" s="15" t="s">
        <v>26458</v>
      </c>
      <c r="C14386" s="15" t="s">
        <v>800</v>
      </c>
      <c r="D14386" s="15" t="s">
        <v>26459</v>
      </c>
      <c r="E14386" s="15">
        <v>12.813599999999999</v>
      </c>
      <c r="F14386" s="42">
        <v>42943</v>
      </c>
    </row>
    <row r="14387" spans="1:6" x14ac:dyDescent="0.3">
      <c r="A14387" s="15" t="s">
        <v>35766</v>
      </c>
      <c r="B14387" s="15" t="s">
        <v>26460</v>
      </c>
      <c r="C14387" s="15" t="s">
        <v>800</v>
      </c>
      <c r="D14387" s="15" t="s">
        <v>26461</v>
      </c>
      <c r="E14387" s="15">
        <v>12.832800000000001</v>
      </c>
      <c r="F14387" s="42">
        <v>42943</v>
      </c>
    </row>
    <row r="14388" spans="1:6" x14ac:dyDescent="0.3">
      <c r="A14388" s="15" t="s">
        <v>35765</v>
      </c>
      <c r="B14388" s="15" t="s">
        <v>26462</v>
      </c>
      <c r="C14388" s="15" t="s">
        <v>800</v>
      </c>
      <c r="D14388" s="15" t="s">
        <v>26463</v>
      </c>
      <c r="E14388" s="15">
        <v>12.8285</v>
      </c>
      <c r="F14388" s="42">
        <v>42943</v>
      </c>
    </row>
    <row r="14389" spans="1:6" x14ac:dyDescent="0.3">
      <c r="A14389" s="15" t="s">
        <v>35764</v>
      </c>
      <c r="B14389" s="15" t="s">
        <v>26464</v>
      </c>
      <c r="C14389" s="15" t="s">
        <v>800</v>
      </c>
      <c r="D14389" s="15" t="s">
        <v>26465</v>
      </c>
      <c r="E14389" s="15">
        <v>12.7697</v>
      </c>
      <c r="F14389" s="42">
        <v>42943</v>
      </c>
    </row>
    <row r="14390" spans="1:6" x14ac:dyDescent="0.3">
      <c r="A14390" s="15" t="s">
        <v>35763</v>
      </c>
      <c r="B14390" s="15" t="s">
        <v>26466</v>
      </c>
      <c r="C14390" s="15" t="s">
        <v>800</v>
      </c>
      <c r="D14390" s="15" t="s">
        <v>26467</v>
      </c>
      <c r="E14390" s="15">
        <v>12.8491</v>
      </c>
      <c r="F14390" s="42">
        <v>42943</v>
      </c>
    </row>
    <row r="14391" spans="1:6" x14ac:dyDescent="0.3">
      <c r="A14391" s="15" t="s">
        <v>35762</v>
      </c>
      <c r="B14391" s="15" t="s">
        <v>26468</v>
      </c>
      <c r="C14391" s="15" t="s">
        <v>800</v>
      </c>
      <c r="D14391" s="15" t="s">
        <v>26469</v>
      </c>
      <c r="E14391" s="15">
        <v>12.7902</v>
      </c>
      <c r="F14391" s="42">
        <v>42943</v>
      </c>
    </row>
    <row r="14392" spans="1:6" x14ac:dyDescent="0.3">
      <c r="A14392" s="15" t="s">
        <v>35761</v>
      </c>
      <c r="B14392" s="15" t="s">
        <v>26470</v>
      </c>
      <c r="C14392" s="15" t="s">
        <v>800</v>
      </c>
      <c r="D14392" s="15" t="s">
        <v>26471</v>
      </c>
      <c r="E14392" s="15">
        <v>13.413600000000001</v>
      </c>
      <c r="F14392" s="42">
        <v>43222</v>
      </c>
    </row>
    <row r="14393" spans="1:6" x14ac:dyDescent="0.3">
      <c r="A14393" s="15" t="s">
        <v>35760</v>
      </c>
      <c r="B14393" s="15" t="s">
        <v>26472</v>
      </c>
      <c r="C14393" s="15" t="s">
        <v>800</v>
      </c>
      <c r="D14393" s="15" t="s">
        <v>26473</v>
      </c>
      <c r="E14393" s="15">
        <v>13.6061</v>
      </c>
      <c r="F14393" s="42">
        <v>43222</v>
      </c>
    </row>
    <row r="14394" spans="1:6" x14ac:dyDescent="0.3">
      <c r="A14394" s="15" t="s">
        <v>35759</v>
      </c>
      <c r="B14394" s="15" t="s">
        <v>26474</v>
      </c>
      <c r="C14394" s="15" t="s">
        <v>800</v>
      </c>
      <c r="D14394" s="15" t="s">
        <v>26475</v>
      </c>
      <c r="E14394" s="15">
        <v>13.6061</v>
      </c>
      <c r="F14394" s="42">
        <v>43222</v>
      </c>
    </row>
    <row r="14395" spans="1:6" x14ac:dyDescent="0.3">
      <c r="A14395" s="15" t="s">
        <v>35758</v>
      </c>
      <c r="B14395" s="15" t="s">
        <v>26476</v>
      </c>
      <c r="C14395" s="15" t="s">
        <v>800</v>
      </c>
      <c r="D14395" s="15" t="s">
        <v>26477</v>
      </c>
      <c r="E14395" s="15">
        <v>13.413600000000001</v>
      </c>
      <c r="F14395" s="42">
        <v>43222</v>
      </c>
    </row>
    <row r="14396" spans="1:6" x14ac:dyDescent="0.3">
      <c r="A14396" s="15" t="s">
        <v>35757</v>
      </c>
      <c r="B14396" s="15" t="s">
        <v>26478</v>
      </c>
      <c r="C14396" s="15" t="s">
        <v>800</v>
      </c>
      <c r="D14396" s="15" t="s">
        <v>26479</v>
      </c>
      <c r="E14396" s="15">
        <v>13.052899999999999</v>
      </c>
      <c r="F14396" s="42">
        <v>42954</v>
      </c>
    </row>
    <row r="14397" spans="1:6" x14ac:dyDescent="0.3">
      <c r="A14397" s="15" t="s">
        <v>35756</v>
      </c>
      <c r="B14397" s="15" t="s">
        <v>26480</v>
      </c>
      <c r="C14397" s="15" t="s">
        <v>800</v>
      </c>
      <c r="D14397" s="15" t="s">
        <v>26481</v>
      </c>
      <c r="E14397" s="15">
        <v>13.1752</v>
      </c>
      <c r="F14397" s="42">
        <v>42954</v>
      </c>
    </row>
    <row r="14398" spans="1:6" x14ac:dyDescent="0.3">
      <c r="A14398" s="15" t="s">
        <v>35755</v>
      </c>
      <c r="B14398" s="15" t="s">
        <v>26482</v>
      </c>
      <c r="C14398" s="15" t="s">
        <v>800</v>
      </c>
      <c r="D14398" s="15" t="s">
        <v>26483</v>
      </c>
      <c r="E14398" s="15">
        <v>12.3809</v>
      </c>
      <c r="F14398" s="42">
        <v>42954</v>
      </c>
    </row>
    <row r="14399" spans="1:6" x14ac:dyDescent="0.3">
      <c r="A14399" s="15" t="s">
        <v>35754</v>
      </c>
      <c r="B14399" s="15" t="s">
        <v>26484</v>
      </c>
      <c r="C14399" s="15" t="s">
        <v>800</v>
      </c>
      <c r="D14399" s="15" t="s">
        <v>26485</v>
      </c>
      <c r="E14399" s="15">
        <v>12.289099999999999</v>
      </c>
      <c r="F14399" s="42">
        <v>42954</v>
      </c>
    </row>
    <row r="14400" spans="1:6" x14ac:dyDescent="0.3">
      <c r="A14400" s="15" t="s">
        <v>35753</v>
      </c>
      <c r="B14400" s="15" t="s">
        <v>26486</v>
      </c>
      <c r="C14400" s="15" t="s">
        <v>800</v>
      </c>
      <c r="D14400" s="15" t="s">
        <v>26487</v>
      </c>
      <c r="E14400" s="15">
        <v>12.420400000000001</v>
      </c>
      <c r="F14400" s="42">
        <v>43955</v>
      </c>
    </row>
    <row r="14401" spans="1:6" x14ac:dyDescent="0.3">
      <c r="A14401" s="15" t="s">
        <v>35752</v>
      </c>
      <c r="B14401" s="15" t="s">
        <v>26488</v>
      </c>
      <c r="C14401" s="15" t="s">
        <v>800</v>
      </c>
      <c r="D14401" s="15" t="s">
        <v>26489</v>
      </c>
      <c r="E14401" s="15">
        <v>12.4437</v>
      </c>
      <c r="F14401" s="42">
        <v>43955</v>
      </c>
    </row>
    <row r="14402" spans="1:6" x14ac:dyDescent="0.3">
      <c r="A14402" s="15" t="s">
        <v>35751</v>
      </c>
      <c r="B14402" s="15" t="s">
        <v>26490</v>
      </c>
      <c r="C14402" s="15" t="s">
        <v>800</v>
      </c>
      <c r="D14402" s="15" t="s">
        <v>26491</v>
      </c>
      <c r="E14402" s="15">
        <v>12.4437</v>
      </c>
      <c r="F14402" s="42">
        <v>43955</v>
      </c>
    </row>
    <row r="14403" spans="1:6" x14ac:dyDescent="0.3">
      <c r="A14403" s="15" t="s">
        <v>35750</v>
      </c>
      <c r="B14403" s="15" t="s">
        <v>26492</v>
      </c>
      <c r="C14403" s="15" t="s">
        <v>800</v>
      </c>
      <c r="D14403" s="15" t="s">
        <v>26493</v>
      </c>
      <c r="E14403" s="15">
        <v>12.420400000000001</v>
      </c>
      <c r="F14403" s="42">
        <v>43955</v>
      </c>
    </row>
    <row r="14404" spans="1:6" x14ac:dyDescent="0.3">
      <c r="A14404" s="15" t="s">
        <v>35749</v>
      </c>
      <c r="B14404" s="15" t="s">
        <v>26494</v>
      </c>
      <c r="C14404" s="15" t="s">
        <v>800</v>
      </c>
      <c r="D14404" s="15" t="s">
        <v>26495</v>
      </c>
      <c r="E14404" s="15">
        <v>12.444599999999999</v>
      </c>
      <c r="F14404" s="42">
        <v>43955</v>
      </c>
    </row>
    <row r="14405" spans="1:6" x14ac:dyDescent="0.3">
      <c r="A14405" s="15" t="s">
        <v>35748</v>
      </c>
      <c r="B14405" s="15" t="s">
        <v>26496</v>
      </c>
      <c r="C14405" s="15" t="s">
        <v>800</v>
      </c>
      <c r="D14405" s="15" t="s">
        <v>26497</v>
      </c>
      <c r="E14405" s="15">
        <v>12.467499999999999</v>
      </c>
      <c r="F14405" s="42">
        <v>43955</v>
      </c>
    </row>
    <row r="14406" spans="1:6" x14ac:dyDescent="0.3">
      <c r="A14406" s="15" t="s">
        <v>35747</v>
      </c>
      <c r="B14406" s="15" t="s">
        <v>26498</v>
      </c>
      <c r="C14406" s="15" t="s">
        <v>800</v>
      </c>
      <c r="D14406" s="15" t="s">
        <v>26499</v>
      </c>
      <c r="E14406" s="15">
        <v>12.467499999999999</v>
      </c>
      <c r="F14406" s="42">
        <v>43955</v>
      </c>
    </row>
    <row r="14407" spans="1:6" x14ac:dyDescent="0.3">
      <c r="A14407" s="15" t="s">
        <v>35746</v>
      </c>
      <c r="B14407" s="15" t="s">
        <v>26500</v>
      </c>
      <c r="C14407" s="15" t="s">
        <v>800</v>
      </c>
      <c r="D14407" s="15" t="s">
        <v>26501</v>
      </c>
      <c r="E14407" s="15">
        <v>12.444599999999999</v>
      </c>
      <c r="F14407" s="42">
        <v>43955</v>
      </c>
    </row>
    <row r="14408" spans="1:6" x14ac:dyDescent="0.3">
      <c r="A14408" s="15" t="s">
        <v>35745</v>
      </c>
      <c r="B14408" s="15" t="s">
        <v>26502</v>
      </c>
      <c r="C14408" s="15" t="s">
        <v>800</v>
      </c>
      <c r="D14408" s="15" t="s">
        <v>26503</v>
      </c>
      <c r="E14408" s="15">
        <v>12.665699999999999</v>
      </c>
      <c r="F14408" s="42">
        <v>44343</v>
      </c>
    </row>
    <row r="14409" spans="1:6" x14ac:dyDescent="0.3">
      <c r="A14409" s="15" t="s">
        <v>35744</v>
      </c>
      <c r="B14409" s="15" t="s">
        <v>26504</v>
      </c>
      <c r="C14409" s="15" t="s">
        <v>800</v>
      </c>
      <c r="D14409" s="15" t="s">
        <v>26505</v>
      </c>
      <c r="E14409" s="15">
        <v>12.6831</v>
      </c>
      <c r="F14409" s="42">
        <v>44343</v>
      </c>
    </row>
    <row r="14410" spans="1:6" x14ac:dyDescent="0.3">
      <c r="A14410" s="15" t="s">
        <v>35743</v>
      </c>
      <c r="B14410" s="15" t="s">
        <v>26506</v>
      </c>
      <c r="C14410" s="15" t="s">
        <v>800</v>
      </c>
      <c r="D14410" s="15" t="s">
        <v>26507</v>
      </c>
      <c r="E14410" s="15">
        <v>12.6831</v>
      </c>
      <c r="F14410" s="42">
        <v>44343</v>
      </c>
    </row>
    <row r="14411" spans="1:6" x14ac:dyDescent="0.3">
      <c r="A14411" s="15" t="s">
        <v>35742</v>
      </c>
      <c r="B14411" s="15" t="s">
        <v>26508</v>
      </c>
      <c r="C14411" s="15" t="s">
        <v>800</v>
      </c>
      <c r="D14411" s="15" t="s">
        <v>26509</v>
      </c>
      <c r="E14411" s="15">
        <v>12.6831</v>
      </c>
      <c r="F14411" s="42">
        <v>44343</v>
      </c>
    </row>
    <row r="14412" spans="1:6" x14ac:dyDescent="0.3">
      <c r="A14412" s="15" t="s">
        <v>35741</v>
      </c>
      <c r="B14412" s="15" t="s">
        <v>26510</v>
      </c>
      <c r="C14412" s="15" t="s">
        <v>800</v>
      </c>
      <c r="D14412" s="15" t="s">
        <v>26511</v>
      </c>
      <c r="E14412" s="15">
        <v>12.665699999999999</v>
      </c>
      <c r="F14412" s="42">
        <v>44343</v>
      </c>
    </row>
    <row r="14413" spans="1:6" x14ac:dyDescent="0.3">
      <c r="A14413" s="15" t="s">
        <v>35740</v>
      </c>
      <c r="B14413" s="15" t="s">
        <v>26512</v>
      </c>
      <c r="C14413" s="15" t="s">
        <v>800</v>
      </c>
      <c r="D14413" s="15" t="s">
        <v>26513</v>
      </c>
      <c r="E14413" s="15">
        <v>12.8901</v>
      </c>
      <c r="F14413" s="42">
        <v>42943</v>
      </c>
    </row>
    <row r="14414" spans="1:6" x14ac:dyDescent="0.3">
      <c r="A14414" s="15" t="s">
        <v>35739</v>
      </c>
      <c r="B14414" s="15" t="s">
        <v>26514</v>
      </c>
      <c r="C14414" s="15" t="s">
        <v>800</v>
      </c>
      <c r="D14414" s="15" t="s">
        <v>26515</v>
      </c>
      <c r="E14414" s="15">
        <v>12.911899999999999</v>
      </c>
      <c r="F14414" s="42">
        <v>42943</v>
      </c>
    </row>
    <row r="14415" spans="1:6" x14ac:dyDescent="0.3">
      <c r="A14415" s="15" t="s">
        <v>35738</v>
      </c>
      <c r="B14415" s="15" t="s">
        <v>26516</v>
      </c>
      <c r="C14415" s="15" t="s">
        <v>800</v>
      </c>
      <c r="D14415" s="15" t="s">
        <v>26517</v>
      </c>
      <c r="E14415" s="15">
        <v>12.831</v>
      </c>
      <c r="F14415" s="42">
        <v>42943</v>
      </c>
    </row>
    <row r="14416" spans="1:6" x14ac:dyDescent="0.3">
      <c r="A14416" s="15" t="s">
        <v>35737</v>
      </c>
      <c r="B14416" s="15" t="s">
        <v>26518</v>
      </c>
      <c r="C14416" s="15" t="s">
        <v>800</v>
      </c>
      <c r="D14416" s="15" t="s">
        <v>26519</v>
      </c>
      <c r="E14416" s="15">
        <v>12.852399999999999</v>
      </c>
      <c r="F14416" s="42">
        <v>42943</v>
      </c>
    </row>
    <row r="14417" spans="1:6" x14ac:dyDescent="0.3">
      <c r="A14417" s="15" t="s">
        <v>35736</v>
      </c>
      <c r="B14417" s="15" t="s">
        <v>26520</v>
      </c>
      <c r="C14417" s="15" t="s">
        <v>800</v>
      </c>
      <c r="D14417" s="15" t="s">
        <v>26521</v>
      </c>
      <c r="E14417" s="15">
        <v>12.583299999999999</v>
      </c>
      <c r="F14417" s="42">
        <v>43306</v>
      </c>
    </row>
    <row r="14418" spans="1:6" x14ac:dyDescent="0.3">
      <c r="A14418" s="15" t="s">
        <v>35735</v>
      </c>
      <c r="B14418" s="15" t="s">
        <v>26522</v>
      </c>
      <c r="C14418" s="15" t="s">
        <v>800</v>
      </c>
      <c r="D14418" s="15" t="s">
        <v>26523</v>
      </c>
      <c r="E14418" s="15">
        <v>12.6638</v>
      </c>
      <c r="F14418" s="42">
        <v>43306</v>
      </c>
    </row>
    <row r="14419" spans="1:6" x14ac:dyDescent="0.3">
      <c r="A14419" s="15" t="s">
        <v>35734</v>
      </c>
      <c r="B14419" s="15" t="s">
        <v>26524</v>
      </c>
      <c r="C14419" s="15" t="s">
        <v>800</v>
      </c>
      <c r="D14419" s="15" t="s">
        <v>26525</v>
      </c>
      <c r="E14419" s="15">
        <v>12.583299999999999</v>
      </c>
      <c r="F14419" s="42">
        <v>43306</v>
      </c>
    </row>
    <row r="14420" spans="1:6" x14ac:dyDescent="0.3">
      <c r="A14420" s="15" t="s">
        <v>35733</v>
      </c>
      <c r="B14420" s="15" t="s">
        <v>26526</v>
      </c>
      <c r="C14420" s="15" t="s">
        <v>800</v>
      </c>
      <c r="D14420" s="15" t="s">
        <v>26527</v>
      </c>
      <c r="E14420" s="15">
        <v>12.9573</v>
      </c>
      <c r="F14420" s="42">
        <v>42163</v>
      </c>
    </row>
    <row r="14421" spans="1:6" x14ac:dyDescent="0.3">
      <c r="A14421" s="15" t="s">
        <v>35732</v>
      </c>
      <c r="B14421" s="15" t="s">
        <v>26528</v>
      </c>
      <c r="C14421" s="15" t="s">
        <v>800</v>
      </c>
      <c r="D14421" s="15" t="s">
        <v>26529</v>
      </c>
      <c r="E14421" s="15">
        <v>10.4976</v>
      </c>
      <c r="F14421" s="42">
        <v>42163</v>
      </c>
    </row>
    <row r="14422" spans="1:6" x14ac:dyDescent="0.3">
      <c r="A14422" s="15" t="s">
        <v>35731</v>
      </c>
      <c r="B14422" s="15" t="s">
        <v>26530</v>
      </c>
      <c r="C14422" s="15" t="s">
        <v>800</v>
      </c>
      <c r="D14422" s="15" t="s">
        <v>26531</v>
      </c>
      <c r="E14422" s="15">
        <v>12.9338</v>
      </c>
      <c r="F14422" s="42">
        <v>42191</v>
      </c>
    </row>
    <row r="14423" spans="1:6" x14ac:dyDescent="0.3">
      <c r="A14423" s="15" t="s">
        <v>35730</v>
      </c>
      <c r="B14423" s="15" t="s">
        <v>26532</v>
      </c>
      <c r="C14423" s="15" t="s">
        <v>800</v>
      </c>
      <c r="D14423" s="15" t="s">
        <v>26533</v>
      </c>
      <c r="E14423" s="15">
        <v>10.644299999999999</v>
      </c>
      <c r="F14423" s="42">
        <v>42191</v>
      </c>
    </row>
    <row r="14424" spans="1:6" x14ac:dyDescent="0.3">
      <c r="A14424" s="15" t="s">
        <v>35729</v>
      </c>
      <c r="B14424" s="15" t="s">
        <v>26534</v>
      </c>
      <c r="C14424" s="15" t="s">
        <v>800</v>
      </c>
      <c r="D14424" s="15" t="s">
        <v>26535</v>
      </c>
      <c r="E14424" s="15">
        <v>12.8634</v>
      </c>
      <c r="F14424" s="42">
        <v>42219</v>
      </c>
    </row>
    <row r="14425" spans="1:6" x14ac:dyDescent="0.3">
      <c r="A14425" s="15" t="s">
        <v>35728</v>
      </c>
      <c r="B14425" s="15" t="s">
        <v>26536</v>
      </c>
      <c r="C14425" s="15" t="s">
        <v>800</v>
      </c>
      <c r="D14425" s="15" t="s">
        <v>26537</v>
      </c>
      <c r="E14425" s="15">
        <v>10.667199999999999</v>
      </c>
      <c r="F14425" s="42">
        <v>42219</v>
      </c>
    </row>
    <row r="14426" spans="1:6" x14ac:dyDescent="0.3">
      <c r="A14426" s="15" t="s">
        <v>35727</v>
      </c>
      <c r="B14426" s="15" t="s">
        <v>26538</v>
      </c>
      <c r="C14426" s="15" t="s">
        <v>800</v>
      </c>
      <c r="D14426" s="15" t="s">
        <v>26539</v>
      </c>
      <c r="E14426" s="15">
        <v>12.739699999999999</v>
      </c>
      <c r="F14426" s="42">
        <v>42247</v>
      </c>
    </row>
    <row r="14427" spans="1:6" x14ac:dyDescent="0.3">
      <c r="A14427" s="15" t="s">
        <v>35726</v>
      </c>
      <c r="B14427" s="15" t="s">
        <v>26540</v>
      </c>
      <c r="C14427" s="15" t="s">
        <v>800</v>
      </c>
      <c r="D14427" s="15" t="s">
        <v>26541</v>
      </c>
      <c r="E14427" s="15">
        <v>10.7166</v>
      </c>
      <c r="F14427" s="42">
        <v>42247</v>
      </c>
    </row>
    <row r="14428" spans="1:6" x14ac:dyDescent="0.3">
      <c r="A14428" s="15" t="s">
        <v>35725</v>
      </c>
      <c r="B14428" s="15" t="s">
        <v>26542</v>
      </c>
      <c r="C14428" s="15" t="s">
        <v>800</v>
      </c>
      <c r="D14428" s="15" t="s">
        <v>26543</v>
      </c>
      <c r="E14428" s="15">
        <v>12.9274</v>
      </c>
      <c r="F14428" s="42">
        <v>42254</v>
      </c>
    </row>
    <row r="14429" spans="1:6" x14ac:dyDescent="0.3">
      <c r="A14429" s="15" t="s">
        <v>35724</v>
      </c>
      <c r="B14429" s="15" t="s">
        <v>26544</v>
      </c>
      <c r="C14429" s="15" t="s">
        <v>800</v>
      </c>
      <c r="D14429" s="15" t="s">
        <v>26545</v>
      </c>
      <c r="E14429" s="15">
        <v>11.9832</v>
      </c>
      <c r="F14429" s="42">
        <v>42254</v>
      </c>
    </row>
    <row r="14430" spans="1:6" x14ac:dyDescent="0.3">
      <c r="A14430" s="15" t="s">
        <v>35723</v>
      </c>
      <c r="B14430" s="15" t="s">
        <v>26546</v>
      </c>
      <c r="C14430" s="15" t="s">
        <v>800</v>
      </c>
      <c r="D14430" s="15" t="s">
        <v>26547</v>
      </c>
      <c r="E14430" s="15">
        <v>12.73</v>
      </c>
      <c r="F14430" s="42">
        <v>42275</v>
      </c>
    </row>
    <row r="14431" spans="1:6" x14ac:dyDescent="0.3">
      <c r="A14431" s="15" t="s">
        <v>35722</v>
      </c>
      <c r="B14431" s="15" t="s">
        <v>26548</v>
      </c>
      <c r="C14431" s="15" t="s">
        <v>800</v>
      </c>
      <c r="D14431" s="15" t="s">
        <v>26549</v>
      </c>
      <c r="E14431" s="15">
        <v>10.776999999999999</v>
      </c>
      <c r="F14431" s="42">
        <v>42275</v>
      </c>
    </row>
    <row r="14432" spans="1:6" x14ac:dyDescent="0.3">
      <c r="A14432" s="15" t="s">
        <v>35721</v>
      </c>
      <c r="B14432" s="15" t="s">
        <v>26550</v>
      </c>
      <c r="C14432" s="15" t="s">
        <v>800</v>
      </c>
      <c r="D14432" s="15" t="s">
        <v>26551</v>
      </c>
      <c r="E14432" s="15">
        <v>12.767200000000001</v>
      </c>
      <c r="F14432" s="42">
        <v>42303</v>
      </c>
    </row>
    <row r="14433" spans="1:6" x14ac:dyDescent="0.3">
      <c r="A14433" s="15" t="s">
        <v>35720</v>
      </c>
      <c r="B14433" s="15" t="s">
        <v>26552</v>
      </c>
      <c r="C14433" s="15" t="s">
        <v>800</v>
      </c>
      <c r="D14433" s="15" t="s">
        <v>26553</v>
      </c>
      <c r="E14433" s="15">
        <v>10.856</v>
      </c>
      <c r="F14433" s="42">
        <v>42303</v>
      </c>
    </row>
    <row r="14434" spans="1:6" x14ac:dyDescent="0.3">
      <c r="A14434" s="15" t="s">
        <v>35719</v>
      </c>
      <c r="B14434" s="15" t="s">
        <v>26554</v>
      </c>
      <c r="C14434" s="15" t="s">
        <v>800</v>
      </c>
      <c r="D14434" s="15" t="s">
        <v>26555</v>
      </c>
      <c r="E14434" s="15">
        <v>12.8506</v>
      </c>
      <c r="F14434" s="42">
        <v>42471</v>
      </c>
    </row>
    <row r="14435" spans="1:6" x14ac:dyDescent="0.3">
      <c r="A14435" s="15" t="s">
        <v>35718</v>
      </c>
      <c r="B14435" s="15" t="s">
        <v>26556</v>
      </c>
      <c r="C14435" s="15" t="s">
        <v>800</v>
      </c>
      <c r="D14435" s="15" t="s">
        <v>26557</v>
      </c>
      <c r="E14435" s="15">
        <v>12.9328</v>
      </c>
      <c r="F14435" s="42">
        <v>42471</v>
      </c>
    </row>
    <row r="14436" spans="1:6" x14ac:dyDescent="0.3">
      <c r="A14436" s="15" t="s">
        <v>35717</v>
      </c>
      <c r="B14436" s="15" t="s">
        <v>26558</v>
      </c>
      <c r="C14436" s="15" t="s">
        <v>800</v>
      </c>
      <c r="D14436" s="15" t="s">
        <v>26559</v>
      </c>
      <c r="E14436" s="15">
        <v>12.558999999999999</v>
      </c>
      <c r="F14436" s="42">
        <v>42471</v>
      </c>
    </row>
    <row r="14437" spans="1:6" x14ac:dyDescent="0.3">
      <c r="A14437" s="15" t="s">
        <v>35716</v>
      </c>
      <c r="B14437" s="15" t="s">
        <v>26560</v>
      </c>
      <c r="C14437" s="15" t="s">
        <v>800</v>
      </c>
      <c r="D14437" s="15" t="s">
        <v>26561</v>
      </c>
      <c r="E14437" s="15">
        <v>12.4781</v>
      </c>
      <c r="F14437" s="42">
        <v>42471</v>
      </c>
    </row>
    <row r="14438" spans="1:6" x14ac:dyDescent="0.3">
      <c r="A14438" s="15" t="s">
        <v>35715</v>
      </c>
      <c r="B14438" s="15" t="s">
        <v>26562</v>
      </c>
      <c r="C14438" s="15" t="s">
        <v>800</v>
      </c>
      <c r="D14438" s="15" t="s">
        <v>26563</v>
      </c>
      <c r="E14438" s="15">
        <v>13.9697</v>
      </c>
      <c r="F14438" s="42">
        <v>42879</v>
      </c>
    </row>
    <row r="14439" spans="1:6" x14ac:dyDescent="0.3">
      <c r="A14439" s="15" t="s">
        <v>35714</v>
      </c>
      <c r="B14439" s="15" t="s">
        <v>26564</v>
      </c>
      <c r="C14439" s="15" t="s">
        <v>800</v>
      </c>
      <c r="D14439" s="15" t="s">
        <v>26565</v>
      </c>
      <c r="E14439" s="15">
        <v>13.9771</v>
      </c>
      <c r="F14439" s="42">
        <v>42879</v>
      </c>
    </row>
    <row r="14440" spans="1:6" x14ac:dyDescent="0.3">
      <c r="A14440" s="15" t="s">
        <v>35713</v>
      </c>
      <c r="B14440" s="15" t="s">
        <v>26566</v>
      </c>
      <c r="C14440" s="15" t="s">
        <v>800</v>
      </c>
      <c r="D14440" s="15" t="s">
        <v>26567</v>
      </c>
      <c r="E14440" s="15">
        <v>12.4756</v>
      </c>
      <c r="F14440" s="42">
        <v>42478</v>
      </c>
    </row>
    <row r="14441" spans="1:6" x14ac:dyDescent="0.3">
      <c r="A14441" s="15" t="s">
        <v>35712</v>
      </c>
      <c r="B14441" s="15" t="s">
        <v>26568</v>
      </c>
      <c r="C14441" s="15" t="s">
        <v>800</v>
      </c>
      <c r="D14441" s="15" t="s">
        <v>26569</v>
      </c>
      <c r="E14441" s="15">
        <v>13.424099999999999</v>
      </c>
      <c r="F14441" s="42">
        <v>42879</v>
      </c>
    </row>
    <row r="14442" spans="1:6" x14ac:dyDescent="0.3">
      <c r="A14442" s="15" t="s">
        <v>35711</v>
      </c>
      <c r="B14442" s="15" t="s">
        <v>26570</v>
      </c>
      <c r="C14442" s="15" t="s">
        <v>800</v>
      </c>
      <c r="D14442" s="15" t="s">
        <v>26571</v>
      </c>
      <c r="E14442" s="15">
        <v>12.729900000000001</v>
      </c>
      <c r="F14442" s="42">
        <v>42508</v>
      </c>
    </row>
    <row r="14443" spans="1:6" x14ac:dyDescent="0.3">
      <c r="A14443" s="15" t="s">
        <v>35710</v>
      </c>
      <c r="B14443" s="15" t="s">
        <v>26572</v>
      </c>
      <c r="C14443" s="15" t="s">
        <v>800</v>
      </c>
      <c r="D14443" s="15" t="s">
        <v>26573</v>
      </c>
      <c r="E14443" s="15">
        <v>12.8026</v>
      </c>
      <c r="F14443" s="42">
        <v>42508</v>
      </c>
    </row>
    <row r="14444" spans="1:6" x14ac:dyDescent="0.3">
      <c r="A14444" s="15" t="s">
        <v>35709</v>
      </c>
      <c r="B14444" s="15" t="s">
        <v>26574</v>
      </c>
      <c r="C14444" s="15" t="s">
        <v>800</v>
      </c>
      <c r="D14444" s="15" t="s">
        <v>26575</v>
      </c>
      <c r="E14444" s="15">
        <v>11.2654</v>
      </c>
      <c r="F14444" s="42">
        <v>42508</v>
      </c>
    </row>
    <row r="14445" spans="1:6" x14ac:dyDescent="0.3">
      <c r="A14445" s="15" t="s">
        <v>35708</v>
      </c>
      <c r="B14445" s="15" t="s">
        <v>26576</v>
      </c>
      <c r="C14445" s="15" t="s">
        <v>800</v>
      </c>
      <c r="D14445" s="15" t="s">
        <v>26577</v>
      </c>
      <c r="E14445" s="15">
        <v>11.239100000000001</v>
      </c>
      <c r="F14445" s="42">
        <v>42508</v>
      </c>
    </row>
    <row r="14446" spans="1:6" x14ac:dyDescent="0.3">
      <c r="A14446" s="15" t="s">
        <v>35707</v>
      </c>
      <c r="B14446" s="15" t="s">
        <v>26578</v>
      </c>
      <c r="C14446" s="15" t="s">
        <v>800</v>
      </c>
      <c r="D14446" s="15" t="s">
        <v>26579</v>
      </c>
      <c r="E14446" s="15">
        <v>13.0306</v>
      </c>
      <c r="F14446" s="42">
        <v>42584</v>
      </c>
    </row>
    <row r="14447" spans="1:6" x14ac:dyDescent="0.3">
      <c r="A14447" s="15" t="s">
        <v>35706</v>
      </c>
      <c r="B14447" s="15" t="s">
        <v>26580</v>
      </c>
      <c r="C14447" s="15" t="s">
        <v>800</v>
      </c>
      <c r="D14447" s="15" t="s">
        <v>26581</v>
      </c>
      <c r="E14447" s="15">
        <v>13.0624</v>
      </c>
      <c r="F14447" s="42">
        <v>42584</v>
      </c>
    </row>
    <row r="14448" spans="1:6" x14ac:dyDescent="0.3">
      <c r="A14448" s="15" t="s">
        <v>35705</v>
      </c>
      <c r="B14448" s="15" t="s">
        <v>26582</v>
      </c>
      <c r="C14448" s="15" t="s">
        <v>800</v>
      </c>
      <c r="D14448" s="15" t="s">
        <v>26583</v>
      </c>
      <c r="E14448" s="15">
        <v>13.0352</v>
      </c>
      <c r="F14448" s="42">
        <v>42584</v>
      </c>
    </row>
    <row r="14449" spans="1:6" x14ac:dyDescent="0.3">
      <c r="A14449" s="15" t="s">
        <v>35704</v>
      </c>
      <c r="B14449" s="15" t="s">
        <v>26584</v>
      </c>
      <c r="C14449" s="15" t="s">
        <v>800</v>
      </c>
      <c r="D14449" s="15" t="s">
        <v>26585</v>
      </c>
      <c r="E14449" s="15">
        <v>13.08</v>
      </c>
      <c r="F14449" s="42">
        <v>42584</v>
      </c>
    </row>
    <row r="14450" spans="1:6" x14ac:dyDescent="0.3">
      <c r="A14450" s="15" t="s">
        <v>35703</v>
      </c>
      <c r="B14450" s="15" t="s">
        <v>26586</v>
      </c>
      <c r="C14450" s="15" t="s">
        <v>800</v>
      </c>
      <c r="D14450" s="15" t="s">
        <v>26587</v>
      </c>
      <c r="E14450" s="15">
        <v>12.9756</v>
      </c>
      <c r="F14450" s="42">
        <v>42584</v>
      </c>
    </row>
    <row r="14451" spans="1:6" x14ac:dyDescent="0.3">
      <c r="A14451" s="15" t="s">
        <v>35702</v>
      </c>
      <c r="B14451" s="15" t="s">
        <v>26588</v>
      </c>
      <c r="C14451" s="15" t="s">
        <v>800</v>
      </c>
      <c r="D14451" s="15" t="s">
        <v>26589</v>
      </c>
      <c r="E14451" s="15">
        <v>14.1731</v>
      </c>
      <c r="F14451" s="42">
        <v>43025</v>
      </c>
    </row>
    <row r="14452" spans="1:6" x14ac:dyDescent="0.3">
      <c r="A14452" s="15" t="s">
        <v>35701</v>
      </c>
      <c r="B14452" s="15" t="s">
        <v>26590</v>
      </c>
      <c r="C14452" s="15" t="s">
        <v>800</v>
      </c>
      <c r="D14452" s="15" t="s">
        <v>26591</v>
      </c>
      <c r="E14452" s="15">
        <v>14.2186</v>
      </c>
      <c r="F14452" s="42">
        <v>43025</v>
      </c>
    </row>
    <row r="14453" spans="1:6" x14ac:dyDescent="0.3">
      <c r="A14453" s="15" t="s">
        <v>35700</v>
      </c>
      <c r="B14453" s="15" t="s">
        <v>26592</v>
      </c>
      <c r="C14453" s="15" t="s">
        <v>800</v>
      </c>
      <c r="D14453" s="15" t="s">
        <v>26593</v>
      </c>
      <c r="E14453" s="15">
        <v>13.0068</v>
      </c>
      <c r="F14453" s="42">
        <v>42633</v>
      </c>
    </row>
    <row r="14454" spans="1:6" x14ac:dyDescent="0.3">
      <c r="A14454" s="15" t="s">
        <v>35699</v>
      </c>
      <c r="B14454" s="15" t="s">
        <v>26594</v>
      </c>
      <c r="C14454" s="15" t="s">
        <v>800</v>
      </c>
      <c r="D14454" s="15" t="s">
        <v>26595</v>
      </c>
      <c r="E14454" s="15">
        <v>13.073</v>
      </c>
      <c r="F14454" s="42">
        <v>42633</v>
      </c>
    </row>
    <row r="14455" spans="1:6" x14ac:dyDescent="0.3">
      <c r="A14455" s="15" t="s">
        <v>35698</v>
      </c>
      <c r="B14455" s="15" t="s">
        <v>26596</v>
      </c>
      <c r="C14455" s="15" t="s">
        <v>800</v>
      </c>
      <c r="D14455" s="15" t="s">
        <v>26597</v>
      </c>
      <c r="E14455" s="15">
        <v>11.8454</v>
      </c>
      <c r="F14455" s="42">
        <v>42633</v>
      </c>
    </row>
    <row r="14456" spans="1:6" x14ac:dyDescent="0.3">
      <c r="A14456" s="15" t="s">
        <v>35697</v>
      </c>
      <c r="B14456" s="15" t="s">
        <v>26598</v>
      </c>
      <c r="C14456" s="15" t="s">
        <v>800</v>
      </c>
      <c r="D14456" s="15" t="s">
        <v>26599</v>
      </c>
      <c r="E14456" s="15">
        <v>11.8131</v>
      </c>
      <c r="F14456" s="42">
        <v>42633</v>
      </c>
    </row>
    <row r="14457" spans="1:6" x14ac:dyDescent="0.3">
      <c r="A14457" s="15" t="s">
        <v>35696</v>
      </c>
      <c r="B14457" s="15" t="s">
        <v>26600</v>
      </c>
      <c r="C14457" s="15" t="s">
        <v>800</v>
      </c>
      <c r="D14457" s="15" t="s">
        <v>26601</v>
      </c>
      <c r="E14457" s="15">
        <v>12.6355</v>
      </c>
      <c r="F14457" s="42">
        <v>42548</v>
      </c>
    </row>
    <row r="14458" spans="1:6" x14ac:dyDescent="0.3">
      <c r="A14458" s="15" t="s">
        <v>35695</v>
      </c>
      <c r="B14458" s="15" t="s">
        <v>26602</v>
      </c>
      <c r="C14458" s="15" t="s">
        <v>800</v>
      </c>
      <c r="D14458" s="15" t="s">
        <v>26603</v>
      </c>
      <c r="E14458" s="15">
        <v>12.7021</v>
      </c>
      <c r="F14458" s="42">
        <v>42548</v>
      </c>
    </row>
    <row r="14459" spans="1:6" x14ac:dyDescent="0.3">
      <c r="A14459" s="15" t="s">
        <v>35694</v>
      </c>
      <c r="B14459" s="15" t="s">
        <v>26604</v>
      </c>
      <c r="C14459" s="15" t="s">
        <v>800</v>
      </c>
      <c r="D14459" s="15" t="s">
        <v>26605</v>
      </c>
      <c r="E14459" s="15">
        <v>10.844900000000001</v>
      </c>
      <c r="F14459" s="42">
        <v>42179</v>
      </c>
    </row>
    <row r="14460" spans="1:6" x14ac:dyDescent="0.3">
      <c r="A14460" s="15" t="s">
        <v>35693</v>
      </c>
      <c r="B14460" s="15" t="s">
        <v>26606</v>
      </c>
      <c r="C14460" s="15" t="s">
        <v>800</v>
      </c>
      <c r="D14460" s="15" t="s">
        <v>26607</v>
      </c>
      <c r="E14460" s="15">
        <v>11.5947</v>
      </c>
      <c r="F14460" s="42">
        <v>42548</v>
      </c>
    </row>
    <row r="14461" spans="1:6" x14ac:dyDescent="0.3">
      <c r="A14461" s="15" t="s">
        <v>35692</v>
      </c>
      <c r="B14461" s="15" t="s">
        <v>26608</v>
      </c>
      <c r="C14461" s="15" t="s">
        <v>800</v>
      </c>
      <c r="D14461" s="15" t="s">
        <v>26609</v>
      </c>
      <c r="E14461" s="15">
        <v>12.870699999999999</v>
      </c>
      <c r="F14461" s="42">
        <v>42633</v>
      </c>
    </row>
    <row r="14462" spans="1:6" x14ac:dyDescent="0.3">
      <c r="A14462" s="15" t="s">
        <v>35691</v>
      </c>
      <c r="B14462" s="15" t="s">
        <v>26610</v>
      </c>
      <c r="C14462" s="15" t="s">
        <v>800</v>
      </c>
      <c r="D14462" s="15" t="s">
        <v>26611</v>
      </c>
      <c r="E14462" s="15">
        <v>12.924899999999999</v>
      </c>
      <c r="F14462" s="42">
        <v>42633</v>
      </c>
    </row>
    <row r="14463" spans="1:6" x14ac:dyDescent="0.3">
      <c r="A14463" s="15" t="s">
        <v>35690</v>
      </c>
      <c r="B14463" s="15" t="s">
        <v>26612</v>
      </c>
      <c r="C14463" s="15" t="s">
        <v>800</v>
      </c>
      <c r="D14463" s="15" t="s">
        <v>26613</v>
      </c>
      <c r="E14463" s="15">
        <v>11.6896</v>
      </c>
      <c r="F14463" s="42">
        <v>42633</v>
      </c>
    </row>
    <row r="14464" spans="1:6" x14ac:dyDescent="0.3">
      <c r="A14464" s="15" t="s">
        <v>35689</v>
      </c>
      <c r="B14464" s="15" t="s">
        <v>26614</v>
      </c>
      <c r="C14464" s="15" t="s">
        <v>800</v>
      </c>
      <c r="D14464" s="15" t="s">
        <v>26615</v>
      </c>
      <c r="E14464" s="15">
        <v>11.6614</v>
      </c>
      <c r="F14464" s="42">
        <v>42633</v>
      </c>
    </row>
    <row r="14465" spans="1:6" x14ac:dyDescent="0.3">
      <c r="A14465" s="15" t="s">
        <v>35688</v>
      </c>
      <c r="B14465" s="15" t="s">
        <v>26616</v>
      </c>
      <c r="C14465" s="15" t="s">
        <v>800</v>
      </c>
      <c r="D14465" s="15" t="s">
        <v>26617</v>
      </c>
      <c r="E14465" s="15">
        <v>13.946199999999999</v>
      </c>
      <c r="F14465" s="42">
        <v>43011</v>
      </c>
    </row>
    <row r="14466" spans="1:6" x14ac:dyDescent="0.3">
      <c r="A14466" s="15" t="s">
        <v>35687</v>
      </c>
      <c r="B14466" s="15" t="s">
        <v>26618</v>
      </c>
      <c r="C14466" s="15" t="s">
        <v>800</v>
      </c>
      <c r="D14466" s="15" t="s">
        <v>26619</v>
      </c>
      <c r="E14466" s="15">
        <v>14.036099999999999</v>
      </c>
      <c r="F14466" s="42">
        <v>43011</v>
      </c>
    </row>
    <row r="14467" spans="1:6" x14ac:dyDescent="0.3">
      <c r="A14467" s="15" t="s">
        <v>35686</v>
      </c>
      <c r="B14467" s="15" t="s">
        <v>26620</v>
      </c>
      <c r="C14467" s="15" t="s">
        <v>800</v>
      </c>
      <c r="D14467" s="15" t="s">
        <v>26621</v>
      </c>
      <c r="E14467" s="15">
        <v>14.018700000000001</v>
      </c>
      <c r="F14467" s="42">
        <v>43011</v>
      </c>
    </row>
    <row r="14468" spans="1:6" x14ac:dyDescent="0.3">
      <c r="A14468" s="15" t="s">
        <v>35685</v>
      </c>
      <c r="B14468" s="15" t="s">
        <v>26622</v>
      </c>
      <c r="C14468" s="15" t="s">
        <v>800</v>
      </c>
      <c r="D14468" s="15" t="s">
        <v>26623</v>
      </c>
      <c r="E14468" s="15">
        <v>14.1065</v>
      </c>
      <c r="F14468" s="42">
        <v>43011</v>
      </c>
    </row>
    <row r="14469" spans="1:6" x14ac:dyDescent="0.3">
      <c r="A14469" s="15" t="s">
        <v>35684</v>
      </c>
      <c r="B14469" s="15" t="s">
        <v>26624</v>
      </c>
      <c r="C14469" s="15" t="s">
        <v>800</v>
      </c>
      <c r="D14469" s="15" t="s">
        <v>26625</v>
      </c>
      <c r="E14469" s="15">
        <v>12.3035</v>
      </c>
      <c r="F14469" s="42">
        <v>43011</v>
      </c>
    </row>
    <row r="14470" spans="1:6" x14ac:dyDescent="0.3">
      <c r="A14470" s="15" t="s">
        <v>35683</v>
      </c>
      <c r="B14470" s="15" t="s">
        <v>26626</v>
      </c>
      <c r="C14470" s="15" t="s">
        <v>800</v>
      </c>
      <c r="D14470" s="15" t="s">
        <v>26627</v>
      </c>
      <c r="E14470" s="15">
        <v>13.1157</v>
      </c>
      <c r="F14470" s="42">
        <v>42719</v>
      </c>
    </row>
    <row r="14471" spans="1:6" x14ac:dyDescent="0.3">
      <c r="A14471" s="15" t="s">
        <v>35682</v>
      </c>
      <c r="B14471" s="15" t="s">
        <v>26628</v>
      </c>
      <c r="C14471" s="15" t="s">
        <v>800</v>
      </c>
      <c r="D14471" s="15" t="s">
        <v>26629</v>
      </c>
      <c r="E14471" s="15">
        <v>13.3345</v>
      </c>
      <c r="F14471" s="42">
        <v>42719</v>
      </c>
    </row>
    <row r="14472" spans="1:6" x14ac:dyDescent="0.3">
      <c r="A14472" s="15" t="s">
        <v>35681</v>
      </c>
      <c r="B14472" s="15" t="s">
        <v>26630</v>
      </c>
      <c r="C14472" s="15" t="s">
        <v>800</v>
      </c>
      <c r="D14472" s="15" t="s">
        <v>26631</v>
      </c>
      <c r="E14472" s="15">
        <v>11.807399999999999</v>
      </c>
      <c r="F14472" s="42">
        <v>42621</v>
      </c>
    </row>
    <row r="14473" spans="1:6" x14ac:dyDescent="0.3">
      <c r="A14473" s="15" t="s">
        <v>35680</v>
      </c>
      <c r="B14473" s="15" t="s">
        <v>26632</v>
      </c>
      <c r="C14473" s="15" t="s">
        <v>800</v>
      </c>
      <c r="D14473" s="15" t="s">
        <v>26633</v>
      </c>
      <c r="E14473" s="15">
        <v>11.8538</v>
      </c>
      <c r="F14473" s="42">
        <v>42719</v>
      </c>
    </row>
    <row r="14474" spans="1:6" x14ac:dyDescent="0.3">
      <c r="A14474" s="15" t="s">
        <v>35679</v>
      </c>
      <c r="B14474" s="15" t="s">
        <v>26634</v>
      </c>
      <c r="C14474" s="15" t="s">
        <v>800</v>
      </c>
      <c r="D14474" s="15" t="s">
        <v>26635</v>
      </c>
      <c r="E14474" s="15">
        <v>13.2201</v>
      </c>
      <c r="F14474" s="42">
        <v>42704</v>
      </c>
    </row>
    <row r="14475" spans="1:6" x14ac:dyDescent="0.3">
      <c r="A14475" s="15" t="s">
        <v>35678</v>
      </c>
      <c r="B14475" s="15" t="s">
        <v>26636</v>
      </c>
      <c r="C14475" s="15" t="s">
        <v>800</v>
      </c>
      <c r="D14475" s="15" t="s">
        <v>26637</v>
      </c>
      <c r="E14475" s="15">
        <v>13.423</v>
      </c>
      <c r="F14475" s="42">
        <v>42704</v>
      </c>
    </row>
    <row r="14476" spans="1:6" x14ac:dyDescent="0.3">
      <c r="A14476" s="15" t="s">
        <v>35677</v>
      </c>
      <c r="B14476" s="15" t="s">
        <v>26638</v>
      </c>
      <c r="C14476" s="15" t="s">
        <v>800</v>
      </c>
      <c r="D14476" s="15" t="s">
        <v>26639</v>
      </c>
      <c r="E14476" s="15">
        <v>12.007199999999999</v>
      </c>
      <c r="F14476" s="42">
        <v>42704</v>
      </c>
    </row>
    <row r="14477" spans="1:6" x14ac:dyDescent="0.3">
      <c r="A14477" s="15" t="s">
        <v>35676</v>
      </c>
      <c r="B14477" s="15" t="s">
        <v>26640</v>
      </c>
      <c r="C14477" s="15" t="s">
        <v>800</v>
      </c>
      <c r="D14477" s="15" t="s">
        <v>26641</v>
      </c>
      <c r="E14477" s="15">
        <v>15.4246</v>
      </c>
      <c r="F14477" s="42">
        <v>43340</v>
      </c>
    </row>
    <row r="14478" spans="1:6" x14ac:dyDescent="0.3">
      <c r="A14478" s="15" t="s">
        <v>35675</v>
      </c>
      <c r="B14478" s="15" t="s">
        <v>26642</v>
      </c>
      <c r="C14478" s="15" t="s">
        <v>800</v>
      </c>
      <c r="D14478" s="15" t="s">
        <v>26643</v>
      </c>
      <c r="E14478" s="15">
        <v>15.7355</v>
      </c>
      <c r="F14478" s="42">
        <v>43340</v>
      </c>
    </row>
    <row r="14479" spans="1:6" x14ac:dyDescent="0.3">
      <c r="A14479" s="15" t="s">
        <v>35674</v>
      </c>
      <c r="B14479" s="15" t="s">
        <v>26644</v>
      </c>
      <c r="C14479" s="15" t="s">
        <v>800</v>
      </c>
      <c r="D14479" s="15" t="s">
        <v>26645</v>
      </c>
      <c r="E14479" s="15">
        <v>13.818199999999999</v>
      </c>
      <c r="F14479" s="42">
        <v>43340</v>
      </c>
    </row>
    <row r="14480" spans="1:6" x14ac:dyDescent="0.3">
      <c r="A14480" s="15" t="s">
        <v>35673</v>
      </c>
      <c r="B14480" s="15" t="s">
        <v>26646</v>
      </c>
      <c r="C14480" s="15" t="s">
        <v>800</v>
      </c>
      <c r="D14480" s="15" t="s">
        <v>26647</v>
      </c>
      <c r="E14480" s="15">
        <v>14.1577</v>
      </c>
      <c r="F14480" s="42">
        <v>43025</v>
      </c>
    </row>
    <row r="14481" spans="1:6" x14ac:dyDescent="0.3">
      <c r="A14481" s="15" t="s">
        <v>35672</v>
      </c>
      <c r="B14481" s="15" t="s">
        <v>26648</v>
      </c>
      <c r="C14481" s="15" t="s">
        <v>800</v>
      </c>
      <c r="D14481" s="15" t="s">
        <v>26649</v>
      </c>
      <c r="E14481" s="15">
        <v>14.202199999999999</v>
      </c>
      <c r="F14481" s="42">
        <v>43025</v>
      </c>
    </row>
    <row r="14482" spans="1:6" x14ac:dyDescent="0.3">
      <c r="A14482" s="15" t="s">
        <v>35671</v>
      </c>
      <c r="B14482" s="15" t="s">
        <v>26650</v>
      </c>
      <c r="C14482" s="15" t="s">
        <v>800</v>
      </c>
      <c r="D14482" s="15" t="s">
        <v>26651</v>
      </c>
      <c r="E14482" s="15">
        <v>13.097</v>
      </c>
      <c r="F14482" s="42">
        <v>42620</v>
      </c>
    </row>
    <row r="14483" spans="1:6" x14ac:dyDescent="0.3">
      <c r="A14483" s="15" t="s">
        <v>35670</v>
      </c>
      <c r="B14483" s="15" t="s">
        <v>26652</v>
      </c>
      <c r="C14483" s="15" t="s">
        <v>800</v>
      </c>
      <c r="D14483" s="15" t="s">
        <v>26653</v>
      </c>
      <c r="E14483" s="15">
        <v>13.1433</v>
      </c>
      <c r="F14483" s="42">
        <v>42620</v>
      </c>
    </row>
    <row r="14484" spans="1:6" x14ac:dyDescent="0.3">
      <c r="A14484" s="15" t="s">
        <v>35669</v>
      </c>
      <c r="B14484" s="15" t="s">
        <v>26654</v>
      </c>
      <c r="C14484" s="15" t="s">
        <v>800</v>
      </c>
      <c r="D14484" s="15" t="s">
        <v>26655</v>
      </c>
      <c r="E14484" s="15">
        <v>11.8779</v>
      </c>
      <c r="F14484" s="42">
        <v>42620</v>
      </c>
    </row>
    <row r="14485" spans="1:6" x14ac:dyDescent="0.3">
      <c r="A14485" s="15" t="s">
        <v>35668</v>
      </c>
      <c r="B14485" s="15" t="s">
        <v>26656</v>
      </c>
      <c r="C14485" s="15" t="s">
        <v>800</v>
      </c>
      <c r="D14485" s="15" t="s">
        <v>26657</v>
      </c>
      <c r="E14485" s="15">
        <v>14.1495</v>
      </c>
      <c r="F14485" s="42">
        <v>43025</v>
      </c>
    </row>
    <row r="14486" spans="1:6" x14ac:dyDescent="0.3">
      <c r="A14486" s="15" t="s">
        <v>35667</v>
      </c>
      <c r="B14486" s="15" t="s">
        <v>26658</v>
      </c>
      <c r="C14486" s="15" t="s">
        <v>800</v>
      </c>
      <c r="D14486" s="15" t="s">
        <v>26659</v>
      </c>
      <c r="E14486" s="15">
        <v>14.183400000000001</v>
      </c>
      <c r="F14486" s="42">
        <v>43025</v>
      </c>
    </row>
    <row r="14487" spans="1:6" x14ac:dyDescent="0.3">
      <c r="A14487" s="15" t="s">
        <v>35666</v>
      </c>
      <c r="B14487" s="15" t="s">
        <v>26660</v>
      </c>
      <c r="C14487" s="15" t="s">
        <v>800</v>
      </c>
      <c r="D14487" s="15" t="s">
        <v>26661</v>
      </c>
      <c r="E14487" s="15">
        <v>12.7341</v>
      </c>
      <c r="F14487" s="42">
        <v>43025</v>
      </c>
    </row>
    <row r="14488" spans="1:6" x14ac:dyDescent="0.3">
      <c r="A14488" s="15" t="s">
        <v>35665</v>
      </c>
      <c r="B14488" s="15" t="s">
        <v>26662</v>
      </c>
      <c r="C14488" s="15" t="s">
        <v>800</v>
      </c>
      <c r="D14488" s="15" t="s">
        <v>26663</v>
      </c>
      <c r="E14488" s="15">
        <v>13.0814</v>
      </c>
      <c r="F14488" s="42">
        <v>42633</v>
      </c>
    </row>
    <row r="14489" spans="1:6" x14ac:dyDescent="0.3">
      <c r="A14489" s="15" t="s">
        <v>35664</v>
      </c>
      <c r="B14489" s="15" t="s">
        <v>26664</v>
      </c>
      <c r="C14489" s="15" t="s">
        <v>800</v>
      </c>
      <c r="D14489" s="15" t="s">
        <v>26665</v>
      </c>
      <c r="E14489" s="15">
        <v>13.1396</v>
      </c>
      <c r="F14489" s="42">
        <v>42633</v>
      </c>
    </row>
    <row r="14490" spans="1:6" x14ac:dyDescent="0.3">
      <c r="A14490" s="15" t="s">
        <v>35663</v>
      </c>
      <c r="B14490" s="15" t="s">
        <v>26666</v>
      </c>
      <c r="C14490" s="15" t="s">
        <v>800</v>
      </c>
      <c r="D14490" s="15" t="s">
        <v>26667</v>
      </c>
      <c r="E14490" s="15">
        <v>11.849399999999999</v>
      </c>
      <c r="F14490" s="42">
        <v>42633</v>
      </c>
    </row>
    <row r="14491" spans="1:6" x14ac:dyDescent="0.3">
      <c r="A14491" s="15" t="s">
        <v>35662</v>
      </c>
      <c r="B14491" s="15" t="s">
        <v>26668</v>
      </c>
      <c r="C14491" s="15" t="s">
        <v>800</v>
      </c>
      <c r="D14491" s="15" t="s">
        <v>26669</v>
      </c>
      <c r="E14491" s="15">
        <v>13.197699999999999</v>
      </c>
      <c r="F14491" s="42">
        <v>42663</v>
      </c>
    </row>
    <row r="14492" spans="1:6" x14ac:dyDescent="0.3">
      <c r="A14492" s="15" t="s">
        <v>35661</v>
      </c>
      <c r="B14492" s="15" t="s">
        <v>26670</v>
      </c>
      <c r="C14492" s="15" t="s">
        <v>800</v>
      </c>
      <c r="D14492" s="15" t="s">
        <v>26671</v>
      </c>
      <c r="E14492" s="15">
        <v>13.251300000000001</v>
      </c>
      <c r="F14492" s="42">
        <v>42663</v>
      </c>
    </row>
    <row r="14493" spans="1:6" x14ac:dyDescent="0.3">
      <c r="A14493" s="15" t="s">
        <v>35660</v>
      </c>
      <c r="B14493" s="15" t="s">
        <v>26672</v>
      </c>
      <c r="C14493" s="15" t="s">
        <v>800</v>
      </c>
      <c r="D14493" s="15" t="s">
        <v>26673</v>
      </c>
      <c r="E14493" s="15">
        <v>13.1388</v>
      </c>
      <c r="F14493" s="42">
        <v>42663</v>
      </c>
    </row>
    <row r="14494" spans="1:6" x14ac:dyDescent="0.3">
      <c r="A14494" s="15" t="s">
        <v>35659</v>
      </c>
      <c r="B14494" s="15" t="s">
        <v>26674</v>
      </c>
      <c r="C14494" s="15" t="s">
        <v>800</v>
      </c>
      <c r="D14494" s="15" t="s">
        <v>26675</v>
      </c>
      <c r="E14494" s="15">
        <v>12.9976</v>
      </c>
      <c r="F14494" s="42">
        <v>42633</v>
      </c>
    </row>
    <row r="14495" spans="1:6" x14ac:dyDescent="0.3">
      <c r="A14495" s="15" t="s">
        <v>35658</v>
      </c>
      <c r="B14495" s="15" t="s">
        <v>26676</v>
      </c>
      <c r="C14495" s="15" t="s">
        <v>800</v>
      </c>
      <c r="D14495" s="15" t="s">
        <v>26677</v>
      </c>
      <c r="E14495" s="15">
        <v>13.063499999999999</v>
      </c>
      <c r="F14495" s="42">
        <v>42633</v>
      </c>
    </row>
    <row r="14496" spans="1:6" x14ac:dyDescent="0.3">
      <c r="A14496" s="15" t="s">
        <v>35657</v>
      </c>
      <c r="B14496" s="15" t="s">
        <v>26678</v>
      </c>
      <c r="C14496" s="15" t="s">
        <v>800</v>
      </c>
      <c r="D14496" s="15" t="s">
        <v>26679</v>
      </c>
      <c r="E14496" s="15">
        <v>11.726699999999999</v>
      </c>
      <c r="F14496" s="42">
        <v>42633</v>
      </c>
    </row>
    <row r="14497" spans="1:6" x14ac:dyDescent="0.3">
      <c r="A14497" s="15" t="s">
        <v>35656</v>
      </c>
      <c r="B14497" s="15" t="s">
        <v>26680</v>
      </c>
      <c r="C14497" s="15" t="s">
        <v>800</v>
      </c>
      <c r="D14497" s="15" t="s">
        <v>26681</v>
      </c>
      <c r="E14497" s="15">
        <v>11.6991</v>
      </c>
      <c r="F14497" s="42">
        <v>42633</v>
      </c>
    </row>
    <row r="14498" spans="1:6" x14ac:dyDescent="0.3">
      <c r="A14498" s="15" t="s">
        <v>35655</v>
      </c>
      <c r="B14498" s="15" t="s">
        <v>26682</v>
      </c>
      <c r="C14498" s="15" t="s">
        <v>800</v>
      </c>
      <c r="D14498" s="15" t="s">
        <v>26683</v>
      </c>
      <c r="E14498" s="15">
        <v>13.886699999999999</v>
      </c>
      <c r="F14498" s="42">
        <v>43003</v>
      </c>
    </row>
    <row r="14499" spans="1:6" x14ac:dyDescent="0.3">
      <c r="A14499" s="15" t="s">
        <v>35654</v>
      </c>
      <c r="B14499" s="15" t="s">
        <v>26684</v>
      </c>
      <c r="C14499" s="15" t="s">
        <v>800</v>
      </c>
      <c r="D14499" s="15" t="s">
        <v>26685</v>
      </c>
      <c r="E14499" s="15">
        <v>13.956200000000001</v>
      </c>
      <c r="F14499" s="42">
        <v>43003</v>
      </c>
    </row>
    <row r="14500" spans="1:6" x14ac:dyDescent="0.3">
      <c r="A14500" s="15" t="s">
        <v>35653</v>
      </c>
      <c r="B14500" s="15" t="s">
        <v>26686</v>
      </c>
      <c r="C14500" s="15" t="s">
        <v>800</v>
      </c>
      <c r="D14500" s="15" t="s">
        <v>26687</v>
      </c>
      <c r="E14500" s="15">
        <v>11.818</v>
      </c>
      <c r="F14500" s="42">
        <v>42633</v>
      </c>
    </row>
    <row r="14501" spans="1:6" x14ac:dyDescent="0.3">
      <c r="A14501" s="15" t="s">
        <v>35652</v>
      </c>
      <c r="B14501" s="15" t="s">
        <v>26688</v>
      </c>
      <c r="C14501" s="15" t="s">
        <v>800</v>
      </c>
      <c r="D14501" s="15" t="s">
        <v>26689</v>
      </c>
      <c r="E14501" s="15">
        <v>12.7829</v>
      </c>
      <c r="F14501" s="42">
        <v>42646</v>
      </c>
    </row>
    <row r="14502" spans="1:6" x14ac:dyDescent="0.3">
      <c r="A14502" s="15" t="s">
        <v>35651</v>
      </c>
      <c r="B14502" s="15" t="s">
        <v>26690</v>
      </c>
      <c r="C14502" s="15" t="s">
        <v>800</v>
      </c>
      <c r="D14502" s="15" t="s">
        <v>26691</v>
      </c>
      <c r="E14502" s="15">
        <v>12.9847</v>
      </c>
      <c r="F14502" s="42">
        <v>42646</v>
      </c>
    </row>
    <row r="14503" spans="1:6" x14ac:dyDescent="0.3">
      <c r="A14503" s="15" t="s">
        <v>35650</v>
      </c>
      <c r="B14503" s="15" t="s">
        <v>26692</v>
      </c>
      <c r="C14503" s="15" t="s">
        <v>800</v>
      </c>
      <c r="D14503" s="15" t="s">
        <v>26693</v>
      </c>
      <c r="E14503" s="15">
        <v>11.7402</v>
      </c>
      <c r="F14503" s="42">
        <v>42646</v>
      </c>
    </row>
    <row r="14504" spans="1:6" x14ac:dyDescent="0.3">
      <c r="A14504" s="15" t="s">
        <v>35649</v>
      </c>
      <c r="B14504" s="15" t="s">
        <v>26694</v>
      </c>
      <c r="C14504" s="15" t="s">
        <v>800</v>
      </c>
      <c r="D14504" s="15" t="s">
        <v>26695</v>
      </c>
      <c r="E14504" s="15">
        <v>11.6355</v>
      </c>
      <c r="F14504" s="42">
        <v>42646</v>
      </c>
    </row>
    <row r="14505" spans="1:6" x14ac:dyDescent="0.3">
      <c r="A14505" s="15" t="s">
        <v>35648</v>
      </c>
      <c r="B14505" s="15" t="s">
        <v>26696</v>
      </c>
      <c r="C14505" s="15" t="s">
        <v>800</v>
      </c>
      <c r="D14505" s="15" t="s">
        <v>26697</v>
      </c>
      <c r="E14505" s="15">
        <v>13.443</v>
      </c>
      <c r="F14505" s="42">
        <v>42870</v>
      </c>
    </row>
    <row r="14506" spans="1:6" x14ac:dyDescent="0.3">
      <c r="A14506" s="15" t="s">
        <v>35647</v>
      </c>
      <c r="B14506" s="15" t="s">
        <v>26698</v>
      </c>
      <c r="C14506" s="15" t="s">
        <v>800</v>
      </c>
      <c r="D14506" s="15" t="s">
        <v>26699</v>
      </c>
      <c r="E14506" s="15">
        <v>13.5624</v>
      </c>
      <c r="F14506" s="42">
        <v>42870</v>
      </c>
    </row>
    <row r="14507" spans="1:6" x14ac:dyDescent="0.3">
      <c r="A14507" s="15" t="s">
        <v>35646</v>
      </c>
      <c r="B14507" s="15" t="s">
        <v>26700</v>
      </c>
      <c r="C14507" s="15" t="s">
        <v>800</v>
      </c>
      <c r="D14507" s="15" t="s">
        <v>26701</v>
      </c>
      <c r="E14507" s="15">
        <v>12.776899999999999</v>
      </c>
      <c r="F14507" s="42">
        <v>42870</v>
      </c>
    </row>
    <row r="14508" spans="1:6" x14ac:dyDescent="0.3">
      <c r="A14508" s="15" t="s">
        <v>35645</v>
      </c>
      <c r="B14508" s="15" t="s">
        <v>26702</v>
      </c>
      <c r="C14508" s="15" t="s">
        <v>800</v>
      </c>
      <c r="D14508" s="15" t="s">
        <v>26703</v>
      </c>
      <c r="E14508" s="15">
        <v>12.662100000000001</v>
      </c>
      <c r="F14508" s="42">
        <v>42870</v>
      </c>
    </row>
    <row r="14509" spans="1:6" x14ac:dyDescent="0.3">
      <c r="A14509" s="15" t="s">
        <v>35644</v>
      </c>
      <c r="B14509" s="15" t="s">
        <v>26704</v>
      </c>
      <c r="C14509" s="15" t="s">
        <v>800</v>
      </c>
      <c r="D14509" s="15" t="s">
        <v>26705</v>
      </c>
      <c r="E14509" s="15">
        <v>13.048299999999999</v>
      </c>
      <c r="F14509" s="42">
        <v>42633</v>
      </c>
    </row>
    <row r="14510" spans="1:6" x14ac:dyDescent="0.3">
      <c r="A14510" s="15" t="s">
        <v>35643</v>
      </c>
      <c r="B14510" s="15" t="s">
        <v>26706</v>
      </c>
      <c r="C14510" s="15" t="s">
        <v>800</v>
      </c>
      <c r="D14510" s="15" t="s">
        <v>26707</v>
      </c>
      <c r="E14510" s="15">
        <v>13.076599999999999</v>
      </c>
      <c r="F14510" s="42">
        <v>42633</v>
      </c>
    </row>
    <row r="14511" spans="1:6" x14ac:dyDescent="0.3">
      <c r="A14511" s="15" t="s">
        <v>35642</v>
      </c>
      <c r="B14511" s="15" t="s">
        <v>26708</v>
      </c>
      <c r="C14511" s="15" t="s">
        <v>800</v>
      </c>
      <c r="D14511" s="15" t="s">
        <v>26709</v>
      </c>
      <c r="E14511" s="15">
        <v>11.843400000000001</v>
      </c>
      <c r="F14511" s="42">
        <v>42633</v>
      </c>
    </row>
    <row r="14512" spans="1:6" x14ac:dyDescent="0.3">
      <c r="A14512" s="15" t="s">
        <v>35641</v>
      </c>
      <c r="B14512" s="15" t="s">
        <v>26710</v>
      </c>
      <c r="C14512" s="15" t="s">
        <v>800</v>
      </c>
      <c r="D14512" s="15" t="s">
        <v>26711</v>
      </c>
      <c r="E14512" s="15">
        <v>12.948</v>
      </c>
      <c r="F14512" s="42">
        <v>42641</v>
      </c>
    </row>
    <row r="14513" spans="1:6" x14ac:dyDescent="0.3">
      <c r="A14513" s="15" t="s">
        <v>35640</v>
      </c>
      <c r="B14513" s="15" t="s">
        <v>26712</v>
      </c>
      <c r="C14513" s="15" t="s">
        <v>800</v>
      </c>
      <c r="D14513" s="15" t="s">
        <v>26713</v>
      </c>
      <c r="E14513" s="15">
        <v>12.9762</v>
      </c>
      <c r="F14513" s="42">
        <v>42641</v>
      </c>
    </row>
    <row r="14514" spans="1:6" x14ac:dyDescent="0.3">
      <c r="A14514" s="15" t="s">
        <v>35639</v>
      </c>
      <c r="B14514" s="15" t="s">
        <v>26714</v>
      </c>
      <c r="C14514" s="15" t="s">
        <v>800</v>
      </c>
      <c r="D14514" s="15" t="s">
        <v>26715</v>
      </c>
      <c r="E14514" s="15">
        <v>11.838100000000001</v>
      </c>
      <c r="F14514" s="42">
        <v>42641</v>
      </c>
    </row>
    <row r="14515" spans="1:6" x14ac:dyDescent="0.3">
      <c r="A14515" s="15" t="s">
        <v>35638</v>
      </c>
      <c r="B14515" s="15" t="s">
        <v>26716</v>
      </c>
      <c r="C14515" s="15" t="s">
        <v>800</v>
      </c>
      <c r="D14515" s="15" t="s">
        <v>26717</v>
      </c>
      <c r="E14515" s="15">
        <v>14.0405</v>
      </c>
      <c r="F14515" s="42">
        <v>43025</v>
      </c>
    </row>
    <row r="14516" spans="1:6" x14ac:dyDescent="0.3">
      <c r="A14516" s="15" t="s">
        <v>35637</v>
      </c>
      <c r="B14516" s="15" t="s">
        <v>26718</v>
      </c>
      <c r="C14516" s="15" t="s">
        <v>800</v>
      </c>
      <c r="D14516" s="15" t="s">
        <v>26719</v>
      </c>
      <c r="E14516" s="15">
        <v>14.073499999999999</v>
      </c>
      <c r="F14516" s="42">
        <v>43025</v>
      </c>
    </row>
    <row r="14517" spans="1:6" x14ac:dyDescent="0.3">
      <c r="A14517" s="15" t="s">
        <v>35636</v>
      </c>
      <c r="B14517" s="15" t="s">
        <v>26720</v>
      </c>
      <c r="C14517" s="15" t="s">
        <v>800</v>
      </c>
      <c r="D14517" s="15" t="s">
        <v>26721</v>
      </c>
      <c r="E14517" s="15">
        <v>11.876300000000001</v>
      </c>
      <c r="F14517" s="42">
        <v>42641</v>
      </c>
    </row>
    <row r="14518" spans="1:6" x14ac:dyDescent="0.3">
      <c r="A14518" s="15" t="s">
        <v>35635</v>
      </c>
      <c r="B14518" s="15" t="s">
        <v>26722</v>
      </c>
      <c r="C14518" s="15" t="s">
        <v>800</v>
      </c>
      <c r="D14518" s="15" t="s">
        <v>26723</v>
      </c>
      <c r="E14518" s="15">
        <v>11.8566</v>
      </c>
      <c r="F14518" s="42">
        <v>42641</v>
      </c>
    </row>
    <row r="14519" spans="1:6" x14ac:dyDescent="0.3">
      <c r="A14519" s="15" t="s">
        <v>35634</v>
      </c>
      <c r="B14519" s="15" t="s">
        <v>26724</v>
      </c>
      <c r="C14519" s="15" t="s">
        <v>800</v>
      </c>
      <c r="D14519" s="15" t="s">
        <v>26725</v>
      </c>
      <c r="E14519" s="15">
        <v>13.669</v>
      </c>
      <c r="F14519" s="42">
        <v>43031</v>
      </c>
    </row>
    <row r="14520" spans="1:6" x14ac:dyDescent="0.3">
      <c r="A14520" s="15" t="s">
        <v>35633</v>
      </c>
      <c r="B14520" s="15" t="s">
        <v>26726</v>
      </c>
      <c r="C14520" s="15" t="s">
        <v>800</v>
      </c>
      <c r="D14520" s="15" t="s">
        <v>26727</v>
      </c>
      <c r="E14520" s="15">
        <v>13.7133</v>
      </c>
      <c r="F14520" s="42">
        <v>43031</v>
      </c>
    </row>
    <row r="14521" spans="1:6" x14ac:dyDescent="0.3">
      <c r="A14521" s="15" t="s">
        <v>35632</v>
      </c>
      <c r="B14521" s="15" t="s">
        <v>26728</v>
      </c>
      <c r="C14521" s="15" t="s">
        <v>800</v>
      </c>
      <c r="D14521" s="15" t="s">
        <v>26729</v>
      </c>
      <c r="E14521" s="15">
        <v>12.9482</v>
      </c>
      <c r="F14521" s="42">
        <v>42641</v>
      </c>
    </row>
    <row r="14522" spans="1:6" x14ac:dyDescent="0.3">
      <c r="A14522" s="15" t="s">
        <v>35631</v>
      </c>
      <c r="B14522" s="15" t="s">
        <v>26730</v>
      </c>
      <c r="C14522" s="15" t="s">
        <v>800</v>
      </c>
      <c r="D14522" s="15" t="s">
        <v>26731</v>
      </c>
      <c r="E14522" s="15">
        <v>13.0015</v>
      </c>
      <c r="F14522" s="42">
        <v>42641</v>
      </c>
    </row>
    <row r="14523" spans="1:6" x14ac:dyDescent="0.3">
      <c r="A14523" s="15" t="s">
        <v>35630</v>
      </c>
      <c r="B14523" s="15" t="s">
        <v>26732</v>
      </c>
      <c r="C14523" s="15" t="s">
        <v>800</v>
      </c>
      <c r="D14523" s="15" t="s">
        <v>26733</v>
      </c>
      <c r="E14523" s="15">
        <v>13.006600000000001</v>
      </c>
      <c r="F14523" s="42">
        <v>42661</v>
      </c>
    </row>
    <row r="14524" spans="1:6" x14ac:dyDescent="0.3">
      <c r="A14524" s="15" t="s">
        <v>35629</v>
      </c>
      <c r="B14524" s="15" t="s">
        <v>26734</v>
      </c>
      <c r="C14524" s="15" t="s">
        <v>800</v>
      </c>
      <c r="D14524" s="15" t="s">
        <v>26735</v>
      </c>
      <c r="E14524" s="15">
        <v>13.0365</v>
      </c>
      <c r="F14524" s="42">
        <v>42661</v>
      </c>
    </row>
    <row r="14525" spans="1:6" x14ac:dyDescent="0.3">
      <c r="A14525" s="15" t="s">
        <v>35628</v>
      </c>
      <c r="B14525" s="15" t="s">
        <v>26736</v>
      </c>
      <c r="C14525" s="15" t="s">
        <v>800</v>
      </c>
      <c r="D14525" s="15" t="s">
        <v>26737</v>
      </c>
      <c r="E14525" s="15">
        <v>12.925700000000001</v>
      </c>
      <c r="F14525" s="42">
        <v>42661</v>
      </c>
    </row>
    <row r="14526" spans="1:6" x14ac:dyDescent="0.3">
      <c r="A14526" s="15" t="s">
        <v>35627</v>
      </c>
      <c r="B14526" s="15" t="s">
        <v>26738</v>
      </c>
      <c r="C14526" s="15" t="s">
        <v>800</v>
      </c>
      <c r="D14526" s="15" t="s">
        <v>26739</v>
      </c>
      <c r="E14526" s="15">
        <v>12.9521</v>
      </c>
      <c r="F14526" s="42">
        <v>42661</v>
      </c>
    </row>
    <row r="14527" spans="1:6" x14ac:dyDescent="0.3">
      <c r="A14527" s="15" t="s">
        <v>35626</v>
      </c>
      <c r="B14527" s="15" t="s">
        <v>26740</v>
      </c>
      <c r="C14527" s="15" t="s">
        <v>800</v>
      </c>
      <c r="D14527" s="15" t="s">
        <v>26741</v>
      </c>
      <c r="E14527" s="15">
        <v>12.8665</v>
      </c>
      <c r="F14527" s="42">
        <v>42661</v>
      </c>
    </row>
    <row r="14528" spans="1:6" x14ac:dyDescent="0.3">
      <c r="A14528" s="15" t="s">
        <v>35625</v>
      </c>
      <c r="B14528" s="15" t="s">
        <v>26742</v>
      </c>
      <c r="C14528" s="15" t="s">
        <v>800</v>
      </c>
      <c r="D14528" s="15" t="s">
        <v>26743</v>
      </c>
      <c r="E14528" s="15">
        <v>13.0463</v>
      </c>
      <c r="F14528" s="42">
        <v>42633</v>
      </c>
    </row>
    <row r="14529" spans="1:6" x14ac:dyDescent="0.3">
      <c r="A14529" s="15" t="s">
        <v>35624</v>
      </c>
      <c r="B14529" s="15" t="s">
        <v>26744</v>
      </c>
      <c r="C14529" s="15" t="s">
        <v>800</v>
      </c>
      <c r="D14529" s="15" t="s">
        <v>26745</v>
      </c>
      <c r="E14529" s="15">
        <v>13.1004</v>
      </c>
      <c r="F14529" s="42">
        <v>42633</v>
      </c>
    </row>
    <row r="14530" spans="1:6" x14ac:dyDescent="0.3">
      <c r="A14530" s="15" t="s">
        <v>35623</v>
      </c>
      <c r="B14530" s="15" t="s">
        <v>26746</v>
      </c>
      <c r="C14530" s="15" t="s">
        <v>800</v>
      </c>
      <c r="D14530" s="15" t="s">
        <v>26747</v>
      </c>
      <c r="E14530" s="15">
        <v>11.8376</v>
      </c>
      <c r="F14530" s="42">
        <v>42633</v>
      </c>
    </row>
    <row r="14531" spans="1:6" x14ac:dyDescent="0.3">
      <c r="A14531" s="15" t="s">
        <v>35622</v>
      </c>
      <c r="B14531" s="15" t="s">
        <v>26748</v>
      </c>
      <c r="C14531" s="15" t="s">
        <v>800</v>
      </c>
      <c r="D14531" s="15" t="s">
        <v>26749</v>
      </c>
      <c r="E14531" s="15">
        <v>12.9694</v>
      </c>
      <c r="F14531" s="42">
        <v>42661</v>
      </c>
    </row>
    <row r="14532" spans="1:6" x14ac:dyDescent="0.3">
      <c r="A14532" s="15" t="s">
        <v>35621</v>
      </c>
      <c r="B14532" s="15" t="s">
        <v>26750</v>
      </c>
      <c r="C14532" s="15" t="s">
        <v>800</v>
      </c>
      <c r="D14532" s="15" t="s">
        <v>26751</v>
      </c>
      <c r="E14532" s="15">
        <v>12.996700000000001</v>
      </c>
      <c r="F14532" s="42">
        <v>42661</v>
      </c>
    </row>
    <row r="14533" spans="1:6" x14ac:dyDescent="0.3">
      <c r="A14533" s="15" t="s">
        <v>35620</v>
      </c>
      <c r="B14533" s="15" t="s">
        <v>26752</v>
      </c>
      <c r="C14533" s="15" t="s">
        <v>800</v>
      </c>
      <c r="D14533" s="15" t="s">
        <v>26753</v>
      </c>
      <c r="E14533" s="15">
        <v>12.9091</v>
      </c>
      <c r="F14533" s="42">
        <v>42661</v>
      </c>
    </row>
    <row r="14534" spans="1:6" x14ac:dyDescent="0.3">
      <c r="A14534" s="15" t="s">
        <v>35619</v>
      </c>
      <c r="B14534" s="15" t="s">
        <v>26754</v>
      </c>
      <c r="C14534" s="15" t="s">
        <v>800</v>
      </c>
      <c r="D14534" s="15" t="s">
        <v>26755</v>
      </c>
      <c r="E14534" s="15">
        <v>14.4536</v>
      </c>
      <c r="F14534" s="42">
        <v>43291</v>
      </c>
    </row>
    <row r="14535" spans="1:6" x14ac:dyDescent="0.3">
      <c r="A14535" s="15" t="s">
        <v>35618</v>
      </c>
      <c r="B14535" s="15" t="s">
        <v>26756</v>
      </c>
      <c r="C14535" s="15" t="s">
        <v>800</v>
      </c>
      <c r="D14535" s="15" t="s">
        <v>26757</v>
      </c>
      <c r="E14535" s="15">
        <v>14.542899999999999</v>
      </c>
      <c r="F14535" s="42">
        <v>43291</v>
      </c>
    </row>
    <row r="14536" spans="1:6" x14ac:dyDescent="0.3">
      <c r="A14536" s="15" t="s">
        <v>35617</v>
      </c>
      <c r="B14536" s="15" t="s">
        <v>26758</v>
      </c>
      <c r="C14536" s="15" t="s">
        <v>800</v>
      </c>
      <c r="D14536" s="15" t="s">
        <v>26759</v>
      </c>
      <c r="E14536" s="15">
        <v>12.785600000000001</v>
      </c>
      <c r="F14536" s="42">
        <v>42676</v>
      </c>
    </row>
    <row r="14537" spans="1:6" x14ac:dyDescent="0.3">
      <c r="A14537" s="15" t="s">
        <v>35616</v>
      </c>
      <c r="B14537" s="15" t="s">
        <v>26760</v>
      </c>
      <c r="C14537" s="15" t="s">
        <v>800</v>
      </c>
      <c r="D14537" s="15" t="s">
        <v>26761</v>
      </c>
      <c r="E14537" s="15">
        <v>12.9155</v>
      </c>
      <c r="F14537" s="42">
        <v>42676</v>
      </c>
    </row>
    <row r="14538" spans="1:6" x14ac:dyDescent="0.3">
      <c r="A14538" s="15" t="s">
        <v>35615</v>
      </c>
      <c r="B14538" s="15" t="s">
        <v>26762</v>
      </c>
      <c r="C14538" s="15" t="s">
        <v>800</v>
      </c>
      <c r="D14538" s="15" t="s">
        <v>26763</v>
      </c>
      <c r="E14538" s="15">
        <v>10.810499999999999</v>
      </c>
      <c r="F14538" s="42">
        <v>42277</v>
      </c>
    </row>
    <row r="14539" spans="1:6" x14ac:dyDescent="0.3">
      <c r="A14539" s="15" t="s">
        <v>35614</v>
      </c>
      <c r="B14539" s="15" t="s">
        <v>26764</v>
      </c>
      <c r="C14539" s="15" t="s">
        <v>800</v>
      </c>
      <c r="D14539" s="15" t="s">
        <v>26765</v>
      </c>
      <c r="E14539" s="15">
        <v>11.6053</v>
      </c>
      <c r="F14539" s="42">
        <v>42676</v>
      </c>
    </row>
    <row r="14540" spans="1:6" x14ac:dyDescent="0.3">
      <c r="A14540" s="15" t="s">
        <v>35613</v>
      </c>
      <c r="B14540" s="15" t="s">
        <v>26766</v>
      </c>
      <c r="C14540" s="15" t="s">
        <v>800</v>
      </c>
      <c r="D14540" s="15" t="s">
        <v>26767</v>
      </c>
      <c r="E14540" s="15">
        <v>13.049899999999999</v>
      </c>
      <c r="F14540" s="42">
        <v>42676</v>
      </c>
    </row>
    <row r="14541" spans="1:6" x14ac:dyDescent="0.3">
      <c r="A14541" s="15" t="s">
        <v>35612</v>
      </c>
      <c r="B14541" s="15" t="s">
        <v>26768</v>
      </c>
      <c r="C14541" s="15" t="s">
        <v>800</v>
      </c>
      <c r="D14541" s="15" t="s">
        <v>26769</v>
      </c>
      <c r="E14541" s="15">
        <v>13.117599999999999</v>
      </c>
      <c r="F14541" s="42">
        <v>42676</v>
      </c>
    </row>
    <row r="14542" spans="1:6" x14ac:dyDescent="0.3">
      <c r="A14542" s="15" t="s">
        <v>35611</v>
      </c>
      <c r="B14542" s="15" t="s">
        <v>26770</v>
      </c>
      <c r="C14542" s="15" t="s">
        <v>800</v>
      </c>
      <c r="D14542" s="15" t="s">
        <v>26771</v>
      </c>
      <c r="E14542" s="15">
        <v>11.827500000000001</v>
      </c>
      <c r="F14542" s="42">
        <v>42676</v>
      </c>
    </row>
    <row r="14543" spans="1:6" x14ac:dyDescent="0.3">
      <c r="A14543" s="15" t="s">
        <v>35610</v>
      </c>
      <c r="B14543" s="15" t="s">
        <v>26772</v>
      </c>
      <c r="C14543" s="15" t="s">
        <v>800</v>
      </c>
      <c r="D14543" s="15" t="s">
        <v>26773</v>
      </c>
      <c r="E14543" s="15">
        <v>12.785600000000001</v>
      </c>
      <c r="F14543" s="42">
        <v>42684</v>
      </c>
    </row>
    <row r="14544" spans="1:6" x14ac:dyDescent="0.3">
      <c r="A14544" s="15" t="s">
        <v>35609</v>
      </c>
      <c r="B14544" s="15" t="s">
        <v>26774</v>
      </c>
      <c r="C14544" s="15" t="s">
        <v>800</v>
      </c>
      <c r="D14544" s="15" t="s">
        <v>26775</v>
      </c>
      <c r="E14544" s="15">
        <v>12.9175</v>
      </c>
      <c r="F14544" s="42">
        <v>42684</v>
      </c>
    </row>
    <row r="14545" spans="1:6" x14ac:dyDescent="0.3">
      <c r="A14545" s="15" t="s">
        <v>35608</v>
      </c>
      <c r="B14545" s="15" t="s">
        <v>26776</v>
      </c>
      <c r="C14545" s="15" t="s">
        <v>800</v>
      </c>
      <c r="D14545" s="15" t="s">
        <v>26777</v>
      </c>
      <c r="E14545" s="15">
        <v>10.876799999999999</v>
      </c>
      <c r="F14545" s="42">
        <v>42285</v>
      </c>
    </row>
    <row r="14546" spans="1:6" x14ac:dyDescent="0.3">
      <c r="A14546" s="15" t="s">
        <v>35607</v>
      </c>
      <c r="B14546" s="15" t="s">
        <v>26778</v>
      </c>
      <c r="C14546" s="15" t="s">
        <v>800</v>
      </c>
      <c r="D14546" s="15" t="s">
        <v>26779</v>
      </c>
      <c r="E14546" s="15">
        <v>11.622999999999999</v>
      </c>
      <c r="F14546" s="42">
        <v>42684</v>
      </c>
    </row>
    <row r="14547" spans="1:6" x14ac:dyDescent="0.3">
      <c r="A14547" s="15" t="s">
        <v>35606</v>
      </c>
      <c r="B14547" s="15" t="s">
        <v>26780</v>
      </c>
      <c r="C14547" s="15" t="s">
        <v>800</v>
      </c>
      <c r="D14547" s="15" t="s">
        <v>26781</v>
      </c>
      <c r="E14547" s="15">
        <v>12.812099999999999</v>
      </c>
      <c r="F14547" s="42">
        <v>42709</v>
      </c>
    </row>
    <row r="14548" spans="1:6" x14ac:dyDescent="0.3">
      <c r="A14548" s="15" t="s">
        <v>35605</v>
      </c>
      <c r="B14548" s="15" t="s">
        <v>26782</v>
      </c>
      <c r="C14548" s="15" t="s">
        <v>800</v>
      </c>
      <c r="D14548" s="15" t="s">
        <v>26783</v>
      </c>
      <c r="E14548" s="15">
        <v>12.8857</v>
      </c>
      <c r="F14548" s="42">
        <v>42709</v>
      </c>
    </row>
    <row r="14549" spans="1:6" x14ac:dyDescent="0.3">
      <c r="A14549" s="15" t="s">
        <v>35604</v>
      </c>
      <c r="B14549" s="15" t="s">
        <v>26784</v>
      </c>
      <c r="C14549" s="15" t="s">
        <v>800</v>
      </c>
      <c r="D14549" s="15" t="s">
        <v>26785</v>
      </c>
      <c r="E14549" s="15">
        <v>11.6579</v>
      </c>
      <c r="F14549" s="42">
        <v>42709</v>
      </c>
    </row>
    <row r="14550" spans="1:6" x14ac:dyDescent="0.3">
      <c r="A14550" s="15" t="s">
        <v>35603</v>
      </c>
      <c r="B14550" s="15" t="s">
        <v>26786</v>
      </c>
      <c r="C14550" s="15" t="s">
        <v>800</v>
      </c>
      <c r="D14550" s="15" t="s">
        <v>26787</v>
      </c>
      <c r="E14550" s="15">
        <v>13.1037</v>
      </c>
      <c r="F14550" s="42">
        <v>42835</v>
      </c>
    </row>
    <row r="14551" spans="1:6" x14ac:dyDescent="0.3">
      <c r="A14551" s="15" t="s">
        <v>35602</v>
      </c>
      <c r="B14551" s="15" t="s">
        <v>26788</v>
      </c>
      <c r="C14551" s="15" t="s">
        <v>800</v>
      </c>
      <c r="D14551" s="15" t="s">
        <v>26789</v>
      </c>
      <c r="E14551" s="15">
        <v>13.286099999999999</v>
      </c>
      <c r="F14551" s="42">
        <v>42835</v>
      </c>
    </row>
    <row r="14552" spans="1:6" x14ac:dyDescent="0.3">
      <c r="A14552" s="15" t="s">
        <v>35601</v>
      </c>
      <c r="B14552" s="15" t="s">
        <v>26790</v>
      </c>
      <c r="C14552" s="15" t="s">
        <v>800</v>
      </c>
      <c r="D14552" s="15" t="s">
        <v>26791</v>
      </c>
      <c r="E14552" s="15">
        <v>12.195499999999999</v>
      </c>
      <c r="F14552" s="42">
        <v>42835</v>
      </c>
    </row>
    <row r="14553" spans="1:6" x14ac:dyDescent="0.3">
      <c r="A14553" s="15" t="s">
        <v>35600</v>
      </c>
      <c r="B14553" s="15" t="s">
        <v>26792</v>
      </c>
      <c r="C14553" s="15" t="s">
        <v>800</v>
      </c>
      <c r="D14553" s="15" t="s">
        <v>26793</v>
      </c>
      <c r="E14553" s="15">
        <v>12.0815</v>
      </c>
      <c r="F14553" s="42">
        <v>42835</v>
      </c>
    </row>
    <row r="14554" spans="1:6" x14ac:dyDescent="0.3">
      <c r="A14554" s="15" t="s">
        <v>35599</v>
      </c>
      <c r="B14554" s="15" t="s">
        <v>26794</v>
      </c>
      <c r="C14554" s="15" t="s">
        <v>800</v>
      </c>
      <c r="D14554" s="15" t="s">
        <v>26795</v>
      </c>
      <c r="E14554" s="15">
        <v>12.8626</v>
      </c>
      <c r="F14554" s="42">
        <v>42717</v>
      </c>
    </row>
    <row r="14555" spans="1:6" x14ac:dyDescent="0.3">
      <c r="A14555" s="15" t="s">
        <v>35598</v>
      </c>
      <c r="B14555" s="15" t="s">
        <v>26796</v>
      </c>
      <c r="C14555" s="15" t="s">
        <v>800</v>
      </c>
      <c r="D14555" s="15" t="s">
        <v>26797</v>
      </c>
      <c r="E14555" s="15">
        <v>12.882099999999999</v>
      </c>
      <c r="F14555" s="42">
        <v>42717</v>
      </c>
    </row>
    <row r="14556" spans="1:6" x14ac:dyDescent="0.3">
      <c r="A14556" s="15" t="s">
        <v>35597</v>
      </c>
      <c r="B14556" s="15" t="s">
        <v>26798</v>
      </c>
      <c r="C14556" s="15" t="s">
        <v>800</v>
      </c>
      <c r="D14556" s="15" t="s">
        <v>26799</v>
      </c>
      <c r="E14556" s="15">
        <v>11.905200000000001</v>
      </c>
      <c r="F14556" s="42">
        <v>42717</v>
      </c>
    </row>
    <row r="14557" spans="1:6" x14ac:dyDescent="0.3">
      <c r="A14557" s="15" t="s">
        <v>35596</v>
      </c>
      <c r="B14557" s="15" t="s">
        <v>26800</v>
      </c>
      <c r="C14557" s="15" t="s">
        <v>800</v>
      </c>
      <c r="D14557" s="15" t="s">
        <v>26801</v>
      </c>
      <c r="E14557" s="15">
        <v>11.895099999999999</v>
      </c>
      <c r="F14557" s="42">
        <v>42717</v>
      </c>
    </row>
    <row r="14558" spans="1:6" x14ac:dyDescent="0.3">
      <c r="A14558" s="15" t="s">
        <v>35595</v>
      </c>
      <c r="B14558" s="15" t="s">
        <v>26802</v>
      </c>
      <c r="C14558" s="15" t="s">
        <v>800</v>
      </c>
      <c r="D14558" s="15" t="s">
        <v>26803</v>
      </c>
      <c r="E14558" s="15">
        <v>14.2209</v>
      </c>
      <c r="F14558" s="42">
        <v>43291</v>
      </c>
    </row>
    <row r="14559" spans="1:6" x14ac:dyDescent="0.3">
      <c r="A14559" s="15" t="s">
        <v>35594</v>
      </c>
      <c r="B14559" s="15" t="s">
        <v>26804</v>
      </c>
      <c r="C14559" s="15" t="s">
        <v>800</v>
      </c>
      <c r="D14559" s="15" t="s">
        <v>26805</v>
      </c>
      <c r="E14559" s="15">
        <v>14.331</v>
      </c>
      <c r="F14559" s="42">
        <v>43291</v>
      </c>
    </row>
    <row r="14560" spans="1:6" x14ac:dyDescent="0.3">
      <c r="A14560" s="15" t="s">
        <v>35593</v>
      </c>
      <c r="B14560" s="15" t="s">
        <v>26806</v>
      </c>
      <c r="C14560" s="15" t="s">
        <v>800</v>
      </c>
      <c r="D14560" s="15" t="s">
        <v>26807</v>
      </c>
      <c r="E14560" s="15">
        <v>13.176399999999999</v>
      </c>
      <c r="F14560" s="42">
        <v>43291</v>
      </c>
    </row>
    <row r="14561" spans="1:6" x14ac:dyDescent="0.3">
      <c r="A14561" s="15" t="s">
        <v>35592</v>
      </c>
      <c r="B14561" s="15" t="s">
        <v>26808</v>
      </c>
      <c r="C14561" s="15" t="s">
        <v>800</v>
      </c>
      <c r="D14561" s="15" t="s">
        <v>26809</v>
      </c>
      <c r="E14561" s="15">
        <v>13.361499999999999</v>
      </c>
      <c r="F14561" s="42">
        <v>42933</v>
      </c>
    </row>
    <row r="14562" spans="1:6" x14ac:dyDescent="0.3">
      <c r="A14562" s="15" t="s">
        <v>35591</v>
      </c>
      <c r="B14562" s="15" t="s">
        <v>26810</v>
      </c>
      <c r="C14562" s="15" t="s">
        <v>800</v>
      </c>
      <c r="D14562" s="15" t="s">
        <v>26811</v>
      </c>
      <c r="E14562" s="15">
        <v>13.4512</v>
      </c>
      <c r="F14562" s="42">
        <v>42933</v>
      </c>
    </row>
    <row r="14563" spans="1:6" x14ac:dyDescent="0.3">
      <c r="A14563" s="15" t="s">
        <v>35590</v>
      </c>
      <c r="B14563" s="15" t="s">
        <v>26812</v>
      </c>
      <c r="C14563" s="15" t="s">
        <v>800</v>
      </c>
      <c r="D14563" s="15" t="s">
        <v>26813</v>
      </c>
      <c r="E14563" s="15">
        <v>13.3917</v>
      </c>
      <c r="F14563" s="42">
        <v>42933</v>
      </c>
    </row>
    <row r="14564" spans="1:6" x14ac:dyDescent="0.3">
      <c r="A14564" s="15" t="s">
        <v>35589</v>
      </c>
      <c r="B14564" s="15" t="s">
        <v>26814</v>
      </c>
      <c r="C14564" s="15" t="s">
        <v>800</v>
      </c>
      <c r="D14564" s="15" t="s">
        <v>26815</v>
      </c>
      <c r="E14564" s="15">
        <v>13.4529</v>
      </c>
      <c r="F14564" s="42">
        <v>42933</v>
      </c>
    </row>
    <row r="14565" spans="1:6" x14ac:dyDescent="0.3">
      <c r="A14565" s="15" t="s">
        <v>35588</v>
      </c>
      <c r="B14565" s="15" t="s">
        <v>26816</v>
      </c>
      <c r="C14565" s="15" t="s">
        <v>800</v>
      </c>
      <c r="D14565" s="15" t="s">
        <v>26817</v>
      </c>
      <c r="E14565" s="15">
        <v>13.515599999999999</v>
      </c>
      <c r="F14565" s="42">
        <v>42933</v>
      </c>
    </row>
    <row r="14566" spans="1:6" x14ac:dyDescent="0.3">
      <c r="A14566" s="15" t="s">
        <v>35587</v>
      </c>
      <c r="B14566" s="15" t="s">
        <v>26818</v>
      </c>
      <c r="C14566" s="15" t="s">
        <v>800</v>
      </c>
      <c r="D14566" s="15" t="s">
        <v>26819</v>
      </c>
      <c r="E14566" s="15">
        <v>13.393599999999999</v>
      </c>
      <c r="F14566" s="42">
        <v>42933</v>
      </c>
    </row>
    <row r="14567" spans="1:6" x14ac:dyDescent="0.3">
      <c r="A14567" s="15" t="s">
        <v>35586</v>
      </c>
      <c r="B14567" s="15" t="s">
        <v>26820</v>
      </c>
      <c r="C14567" s="15" t="s">
        <v>800</v>
      </c>
      <c r="D14567" s="15" t="s">
        <v>26821</v>
      </c>
      <c r="E14567" s="15">
        <v>13.207100000000001</v>
      </c>
      <c r="F14567" s="42">
        <v>42859</v>
      </c>
    </row>
    <row r="14568" spans="1:6" x14ac:dyDescent="0.3">
      <c r="A14568" s="15" t="s">
        <v>35585</v>
      </c>
      <c r="B14568" s="15" t="s">
        <v>26822</v>
      </c>
      <c r="C14568" s="15" t="s">
        <v>800</v>
      </c>
      <c r="D14568" s="15" t="s">
        <v>26823</v>
      </c>
      <c r="E14568" s="15">
        <v>13.4207</v>
      </c>
      <c r="F14568" s="42">
        <v>42859</v>
      </c>
    </row>
    <row r="14569" spans="1:6" x14ac:dyDescent="0.3">
      <c r="A14569" s="15" t="s">
        <v>35584</v>
      </c>
      <c r="B14569" s="15" t="s">
        <v>26824</v>
      </c>
      <c r="C14569" s="15" t="s">
        <v>800</v>
      </c>
      <c r="D14569" s="15" t="s">
        <v>26825</v>
      </c>
      <c r="E14569" s="15">
        <v>12.530900000000001</v>
      </c>
      <c r="F14569" s="42">
        <v>42859</v>
      </c>
    </row>
    <row r="14570" spans="1:6" x14ac:dyDescent="0.3">
      <c r="A14570" s="15" t="s">
        <v>35583</v>
      </c>
      <c r="B14570" s="15" t="s">
        <v>26826</v>
      </c>
      <c r="C14570" s="15" t="s">
        <v>800</v>
      </c>
      <c r="D14570" s="15" t="s">
        <v>26827</v>
      </c>
      <c r="E14570" s="15">
        <v>12.3689</v>
      </c>
      <c r="F14570" s="42">
        <v>42859</v>
      </c>
    </row>
    <row r="14571" spans="1:6" x14ac:dyDescent="0.3">
      <c r="A14571" s="15" t="s">
        <v>35582</v>
      </c>
      <c r="B14571" s="15" t="s">
        <v>26828</v>
      </c>
      <c r="C14571" s="15" t="s">
        <v>800</v>
      </c>
      <c r="D14571" s="15" t="s">
        <v>26829</v>
      </c>
      <c r="E14571" s="15">
        <v>13.206300000000001</v>
      </c>
      <c r="F14571" s="42">
        <v>42857</v>
      </c>
    </row>
    <row r="14572" spans="1:6" x14ac:dyDescent="0.3">
      <c r="A14572" s="15" t="s">
        <v>35581</v>
      </c>
      <c r="B14572" s="15" t="s">
        <v>26830</v>
      </c>
      <c r="C14572" s="15" t="s">
        <v>800</v>
      </c>
      <c r="D14572" s="15" t="s">
        <v>26831</v>
      </c>
      <c r="E14572" s="15">
        <v>13.411</v>
      </c>
      <c r="F14572" s="42">
        <v>42857</v>
      </c>
    </row>
    <row r="14573" spans="1:6" x14ac:dyDescent="0.3">
      <c r="A14573" s="15" t="s">
        <v>35580</v>
      </c>
      <c r="B14573" s="15" t="s">
        <v>26832</v>
      </c>
      <c r="C14573" s="15" t="s">
        <v>800</v>
      </c>
      <c r="D14573" s="15" t="s">
        <v>26833</v>
      </c>
      <c r="E14573" s="15">
        <v>12.527699999999999</v>
      </c>
      <c r="F14573" s="42">
        <v>42857</v>
      </c>
    </row>
    <row r="14574" spans="1:6" x14ac:dyDescent="0.3">
      <c r="A14574" s="15" t="s">
        <v>35579</v>
      </c>
      <c r="B14574" s="15" t="s">
        <v>26834</v>
      </c>
      <c r="C14574" s="15" t="s">
        <v>800</v>
      </c>
      <c r="D14574" s="15" t="s">
        <v>26835</v>
      </c>
      <c r="E14574" s="15">
        <v>12.381</v>
      </c>
      <c r="F14574" s="42">
        <v>42857</v>
      </c>
    </row>
    <row r="14575" spans="1:6" x14ac:dyDescent="0.3">
      <c r="A14575" s="15" t="s">
        <v>35578</v>
      </c>
      <c r="B14575" s="15" t="s">
        <v>26836</v>
      </c>
      <c r="C14575" s="15" t="s">
        <v>800</v>
      </c>
      <c r="D14575" s="15" t="s">
        <v>26837</v>
      </c>
      <c r="E14575" s="15">
        <v>12.9933</v>
      </c>
      <c r="F14575" s="42">
        <v>42857</v>
      </c>
    </row>
    <row r="14576" spans="1:6" x14ac:dyDescent="0.3">
      <c r="A14576" s="15" t="s">
        <v>35577</v>
      </c>
      <c r="B14576" s="15" t="s">
        <v>26838</v>
      </c>
      <c r="C14576" s="15" t="s">
        <v>800</v>
      </c>
      <c r="D14576" s="15" t="s">
        <v>26839</v>
      </c>
      <c r="E14576" s="15">
        <v>13.0343</v>
      </c>
      <c r="F14576" s="42">
        <v>42857</v>
      </c>
    </row>
    <row r="14577" spans="1:6" x14ac:dyDescent="0.3">
      <c r="A14577" s="15" t="s">
        <v>35576</v>
      </c>
      <c r="B14577" s="15" t="s">
        <v>26840</v>
      </c>
      <c r="C14577" s="15" t="s">
        <v>800</v>
      </c>
      <c r="D14577" s="15" t="s">
        <v>26841</v>
      </c>
      <c r="E14577" s="15">
        <v>12.7302</v>
      </c>
      <c r="F14577" s="42">
        <v>42766</v>
      </c>
    </row>
    <row r="14578" spans="1:6" x14ac:dyDescent="0.3">
      <c r="A14578" s="15" t="s">
        <v>35575</v>
      </c>
      <c r="B14578" s="15" t="s">
        <v>26842</v>
      </c>
      <c r="C14578" s="15" t="s">
        <v>800</v>
      </c>
      <c r="D14578" s="15" t="s">
        <v>26843</v>
      </c>
      <c r="E14578" s="15">
        <v>13.084099999999999</v>
      </c>
      <c r="F14578" s="42">
        <v>42901</v>
      </c>
    </row>
    <row r="14579" spans="1:6" x14ac:dyDescent="0.3">
      <c r="A14579" s="15" t="s">
        <v>35574</v>
      </c>
      <c r="B14579" s="15" t="s">
        <v>26844</v>
      </c>
      <c r="C14579" s="15" t="s">
        <v>800</v>
      </c>
      <c r="D14579" s="15" t="s">
        <v>26845</v>
      </c>
      <c r="E14579" s="15">
        <v>13.115500000000001</v>
      </c>
      <c r="F14579" s="42">
        <v>42901</v>
      </c>
    </row>
    <row r="14580" spans="1:6" x14ac:dyDescent="0.3">
      <c r="A14580" s="15" t="s">
        <v>35573</v>
      </c>
      <c r="B14580" s="15" t="s">
        <v>26846</v>
      </c>
      <c r="C14580" s="15" t="s">
        <v>800</v>
      </c>
      <c r="D14580" s="15" t="s">
        <v>26847</v>
      </c>
      <c r="E14580" s="15">
        <v>13.0045</v>
      </c>
      <c r="F14580" s="42">
        <v>42901</v>
      </c>
    </row>
    <row r="14581" spans="1:6" x14ac:dyDescent="0.3">
      <c r="A14581" s="15" t="s">
        <v>35572</v>
      </c>
      <c r="B14581" s="15" t="s">
        <v>26848</v>
      </c>
      <c r="C14581" s="15" t="s">
        <v>800</v>
      </c>
      <c r="D14581" s="15" t="s">
        <v>26849</v>
      </c>
      <c r="E14581" s="15">
        <v>12.8651</v>
      </c>
      <c r="F14581" s="42">
        <v>42808</v>
      </c>
    </row>
    <row r="14582" spans="1:6" x14ac:dyDescent="0.3">
      <c r="A14582" s="15" t="s">
        <v>35571</v>
      </c>
      <c r="B14582" s="15" t="s">
        <v>26850</v>
      </c>
      <c r="C14582" s="15" t="s">
        <v>800</v>
      </c>
      <c r="D14582" s="15" t="s">
        <v>26851</v>
      </c>
      <c r="E14582" s="15">
        <v>12.8926</v>
      </c>
      <c r="F14582" s="42">
        <v>42808</v>
      </c>
    </row>
    <row r="14583" spans="1:6" x14ac:dyDescent="0.3">
      <c r="A14583" s="15" t="s">
        <v>35570</v>
      </c>
      <c r="B14583" s="15" t="s">
        <v>26852</v>
      </c>
      <c r="C14583" s="15" t="s">
        <v>800</v>
      </c>
      <c r="D14583" s="15" t="s">
        <v>26853</v>
      </c>
      <c r="E14583" s="15">
        <v>12.831899999999999</v>
      </c>
      <c r="F14583" s="42">
        <v>42808</v>
      </c>
    </row>
    <row r="14584" spans="1:6" x14ac:dyDescent="0.3">
      <c r="A14584" s="15" t="s">
        <v>35569</v>
      </c>
      <c r="B14584" s="15" t="s">
        <v>26854</v>
      </c>
      <c r="C14584" s="15" t="s">
        <v>800</v>
      </c>
      <c r="D14584" s="15" t="s">
        <v>26855</v>
      </c>
      <c r="E14584" s="15">
        <v>13.0787</v>
      </c>
      <c r="F14584" s="42">
        <v>42901</v>
      </c>
    </row>
    <row r="14585" spans="1:6" x14ac:dyDescent="0.3">
      <c r="A14585" s="15" t="s">
        <v>35568</v>
      </c>
      <c r="B14585" s="15" t="s">
        <v>26856</v>
      </c>
      <c r="C14585" s="15" t="s">
        <v>800</v>
      </c>
      <c r="D14585" s="15" t="s">
        <v>26857</v>
      </c>
      <c r="E14585" s="15">
        <v>13.0997</v>
      </c>
      <c r="F14585" s="42">
        <v>42901</v>
      </c>
    </row>
    <row r="14586" spans="1:6" x14ac:dyDescent="0.3">
      <c r="A14586" s="15" t="s">
        <v>35567</v>
      </c>
      <c r="B14586" s="15" t="s">
        <v>26858</v>
      </c>
      <c r="C14586" s="15" t="s">
        <v>800</v>
      </c>
      <c r="D14586" s="15" t="s">
        <v>26859</v>
      </c>
      <c r="E14586" s="15">
        <v>13.065</v>
      </c>
      <c r="F14586" s="42">
        <v>42857</v>
      </c>
    </row>
    <row r="14587" spans="1:6" x14ac:dyDescent="0.3">
      <c r="A14587" s="15" t="s">
        <v>35566</v>
      </c>
      <c r="B14587" s="15" t="s">
        <v>26860</v>
      </c>
      <c r="C14587" s="15" t="s">
        <v>800</v>
      </c>
      <c r="D14587" s="15" t="s">
        <v>26861</v>
      </c>
      <c r="E14587" s="15">
        <v>13.1092</v>
      </c>
      <c r="F14587" s="42">
        <v>42857</v>
      </c>
    </row>
    <row r="14588" spans="1:6" x14ac:dyDescent="0.3">
      <c r="A14588" s="15" t="s">
        <v>35565</v>
      </c>
      <c r="B14588" s="15" t="s">
        <v>26862</v>
      </c>
      <c r="C14588" s="15" t="s">
        <v>800</v>
      </c>
      <c r="D14588" s="15" t="s">
        <v>26863</v>
      </c>
      <c r="E14588" s="15">
        <v>12.0128</v>
      </c>
      <c r="F14588" s="42">
        <v>42754</v>
      </c>
    </row>
    <row r="14589" spans="1:6" x14ac:dyDescent="0.3">
      <c r="A14589" s="15" t="s">
        <v>35564</v>
      </c>
      <c r="B14589" s="15" t="s">
        <v>26864</v>
      </c>
      <c r="C14589" s="15" t="s">
        <v>800</v>
      </c>
      <c r="D14589" s="15" t="s">
        <v>26865</v>
      </c>
      <c r="E14589" s="15">
        <v>12.1637</v>
      </c>
      <c r="F14589" s="42">
        <v>42857</v>
      </c>
    </row>
    <row r="14590" spans="1:6" x14ac:dyDescent="0.3">
      <c r="A14590" s="15" t="s">
        <v>35563</v>
      </c>
      <c r="B14590" s="15" t="s">
        <v>26866</v>
      </c>
      <c r="C14590" s="15" t="s">
        <v>800</v>
      </c>
      <c r="D14590" s="15" t="s">
        <v>26867</v>
      </c>
      <c r="E14590" s="15">
        <v>12.993499999999999</v>
      </c>
      <c r="F14590" s="42">
        <v>42857</v>
      </c>
    </row>
    <row r="14591" spans="1:6" x14ac:dyDescent="0.3">
      <c r="A14591" s="15" t="s">
        <v>35562</v>
      </c>
      <c r="B14591" s="15" t="s">
        <v>26868</v>
      </c>
      <c r="C14591" s="15" t="s">
        <v>800</v>
      </c>
      <c r="D14591" s="15" t="s">
        <v>26869</v>
      </c>
      <c r="E14591" s="15">
        <v>13.0397</v>
      </c>
      <c r="F14591" s="42">
        <v>42857</v>
      </c>
    </row>
    <row r="14592" spans="1:6" x14ac:dyDescent="0.3">
      <c r="A14592" s="15" t="s">
        <v>35561</v>
      </c>
      <c r="B14592" s="15" t="s">
        <v>26870</v>
      </c>
      <c r="C14592" s="15" t="s">
        <v>800</v>
      </c>
      <c r="D14592" s="15" t="s">
        <v>26871</v>
      </c>
      <c r="E14592" s="15">
        <v>11.564</v>
      </c>
      <c r="F14592" s="42">
        <v>42857</v>
      </c>
    </row>
    <row r="14593" spans="1:6" x14ac:dyDescent="0.3">
      <c r="A14593" s="15" t="s">
        <v>35560</v>
      </c>
      <c r="B14593" s="15" t="s">
        <v>26872</v>
      </c>
      <c r="C14593" s="15" t="s">
        <v>800</v>
      </c>
      <c r="D14593" s="15" t="s">
        <v>26873</v>
      </c>
      <c r="E14593" s="15">
        <v>12.8531</v>
      </c>
      <c r="F14593" s="42">
        <v>42808</v>
      </c>
    </row>
    <row r="14594" spans="1:6" x14ac:dyDescent="0.3">
      <c r="A14594" s="15" t="s">
        <v>35559</v>
      </c>
      <c r="B14594" s="15" t="s">
        <v>26874</v>
      </c>
      <c r="C14594" s="15" t="s">
        <v>800</v>
      </c>
      <c r="D14594" s="15" t="s">
        <v>26875</v>
      </c>
      <c r="E14594" s="15">
        <v>12.926</v>
      </c>
      <c r="F14594" s="42">
        <v>42808</v>
      </c>
    </row>
    <row r="14595" spans="1:6" x14ac:dyDescent="0.3">
      <c r="A14595" s="15" t="s">
        <v>35558</v>
      </c>
      <c r="B14595" s="15" t="s">
        <v>26876</v>
      </c>
      <c r="C14595" s="15" t="s">
        <v>800</v>
      </c>
      <c r="D14595" s="15" t="s">
        <v>26877</v>
      </c>
      <c r="E14595" s="15">
        <v>12.1495</v>
      </c>
      <c r="F14595" s="42">
        <v>42808</v>
      </c>
    </row>
    <row r="14596" spans="1:6" x14ac:dyDescent="0.3">
      <c r="A14596" s="15" t="s">
        <v>35557</v>
      </c>
      <c r="B14596" s="15" t="s">
        <v>26878</v>
      </c>
      <c r="C14596" s="15" t="s">
        <v>800</v>
      </c>
      <c r="D14596" s="15" t="s">
        <v>26879</v>
      </c>
      <c r="E14596" s="15">
        <v>12.1142</v>
      </c>
      <c r="F14596" s="42">
        <v>42808</v>
      </c>
    </row>
    <row r="14597" spans="1:6" x14ac:dyDescent="0.3">
      <c r="A14597" s="15" t="s">
        <v>35556</v>
      </c>
      <c r="B14597" s="15" t="s">
        <v>26880</v>
      </c>
      <c r="C14597" s="15" t="s">
        <v>800</v>
      </c>
      <c r="D14597" s="15" t="s">
        <v>26881</v>
      </c>
      <c r="E14597" s="15">
        <v>13.097300000000001</v>
      </c>
      <c r="F14597" s="42">
        <v>42901</v>
      </c>
    </row>
    <row r="14598" spans="1:6" x14ac:dyDescent="0.3">
      <c r="A14598" s="15" t="s">
        <v>35555</v>
      </c>
      <c r="B14598" s="15" t="s">
        <v>26882</v>
      </c>
      <c r="C14598" s="15" t="s">
        <v>800</v>
      </c>
      <c r="D14598" s="15" t="s">
        <v>26883</v>
      </c>
      <c r="E14598" s="15">
        <v>13.124700000000001</v>
      </c>
      <c r="F14598" s="42">
        <v>42901</v>
      </c>
    </row>
    <row r="14599" spans="1:6" x14ac:dyDescent="0.3">
      <c r="A14599" s="15" t="s">
        <v>35554</v>
      </c>
      <c r="B14599" s="15" t="s">
        <v>26884</v>
      </c>
      <c r="C14599" s="15" t="s">
        <v>800</v>
      </c>
      <c r="D14599" s="15" t="s">
        <v>26885</v>
      </c>
      <c r="E14599" s="15">
        <v>12.786300000000001</v>
      </c>
      <c r="F14599" s="42">
        <v>42781</v>
      </c>
    </row>
    <row r="14600" spans="1:6" x14ac:dyDescent="0.3">
      <c r="A14600" s="15" t="s">
        <v>35553</v>
      </c>
      <c r="B14600" s="15" t="s">
        <v>26886</v>
      </c>
      <c r="C14600" s="15" t="s">
        <v>800</v>
      </c>
      <c r="D14600" s="15" t="s">
        <v>26887</v>
      </c>
      <c r="E14600" s="15">
        <v>12.7605</v>
      </c>
      <c r="F14600" s="42">
        <v>42781</v>
      </c>
    </row>
    <row r="14601" spans="1:6" x14ac:dyDescent="0.3">
      <c r="A14601" s="15" t="s">
        <v>35552</v>
      </c>
      <c r="B14601" s="15" t="s">
        <v>26888</v>
      </c>
      <c r="C14601" s="15" t="s">
        <v>800</v>
      </c>
      <c r="D14601" s="15" t="s">
        <v>26889</v>
      </c>
      <c r="E14601" s="15">
        <v>14.055400000000001</v>
      </c>
      <c r="F14601" s="42">
        <v>43244</v>
      </c>
    </row>
    <row r="14602" spans="1:6" x14ac:dyDescent="0.3">
      <c r="A14602" s="15" t="s">
        <v>35551</v>
      </c>
      <c r="B14602" s="15" t="s">
        <v>26890</v>
      </c>
      <c r="C14602" s="15" t="s">
        <v>800</v>
      </c>
      <c r="D14602" s="15" t="s">
        <v>26891</v>
      </c>
      <c r="E14602" s="15">
        <v>14.1912</v>
      </c>
      <c r="F14602" s="42">
        <v>43244</v>
      </c>
    </row>
    <row r="14603" spans="1:6" x14ac:dyDescent="0.3">
      <c r="A14603" s="15" t="s">
        <v>35550</v>
      </c>
      <c r="B14603" s="15" t="s">
        <v>26892</v>
      </c>
      <c r="C14603" s="15" t="s">
        <v>800</v>
      </c>
      <c r="D14603" s="15" t="s">
        <v>26893</v>
      </c>
      <c r="E14603" s="15">
        <v>14.1272</v>
      </c>
      <c r="F14603" s="42">
        <v>43244</v>
      </c>
    </row>
    <row r="14604" spans="1:6" x14ac:dyDescent="0.3">
      <c r="A14604" s="15" t="s">
        <v>35549</v>
      </c>
      <c r="B14604" s="15" t="s">
        <v>26894</v>
      </c>
      <c r="C14604" s="15" t="s">
        <v>800</v>
      </c>
      <c r="D14604" s="15" t="s">
        <v>26895</v>
      </c>
      <c r="E14604" s="15">
        <v>13.9899</v>
      </c>
      <c r="F14604" s="42">
        <v>43244</v>
      </c>
    </row>
    <row r="14605" spans="1:6" x14ac:dyDescent="0.3">
      <c r="A14605" s="15" t="s">
        <v>35548</v>
      </c>
      <c r="B14605" s="15" t="s">
        <v>26896</v>
      </c>
      <c r="C14605" s="15" t="s">
        <v>800</v>
      </c>
      <c r="D14605" s="15" t="s">
        <v>26897</v>
      </c>
      <c r="E14605" s="15">
        <v>14.0594</v>
      </c>
      <c r="F14605" s="42">
        <v>43291</v>
      </c>
    </row>
    <row r="14606" spans="1:6" x14ac:dyDescent="0.3">
      <c r="A14606" s="15" t="s">
        <v>35547</v>
      </c>
      <c r="B14606" s="15" t="s">
        <v>26898</v>
      </c>
      <c r="C14606" s="15" t="s">
        <v>800</v>
      </c>
      <c r="D14606" s="15" t="s">
        <v>26899</v>
      </c>
      <c r="E14606" s="15">
        <v>14.1861</v>
      </c>
      <c r="F14606" s="42">
        <v>43291</v>
      </c>
    </row>
    <row r="14607" spans="1:6" x14ac:dyDescent="0.3">
      <c r="A14607" s="15" t="s">
        <v>35546</v>
      </c>
      <c r="B14607" s="15" t="s">
        <v>26900</v>
      </c>
      <c r="C14607" s="15" t="s">
        <v>800</v>
      </c>
      <c r="D14607" s="15" t="s">
        <v>26901</v>
      </c>
      <c r="E14607" s="15">
        <v>13.213699999999999</v>
      </c>
      <c r="F14607" s="42">
        <v>43291</v>
      </c>
    </row>
    <row r="14608" spans="1:6" x14ac:dyDescent="0.3">
      <c r="A14608" s="15" t="s">
        <v>35545</v>
      </c>
      <c r="B14608" s="15" t="s">
        <v>26902</v>
      </c>
      <c r="C14608" s="15" t="s">
        <v>800</v>
      </c>
      <c r="D14608" s="15" t="s">
        <v>26903</v>
      </c>
      <c r="E14608" s="15">
        <v>14.1111</v>
      </c>
      <c r="F14608" s="42">
        <v>43291</v>
      </c>
    </row>
    <row r="14609" spans="1:6" x14ac:dyDescent="0.3">
      <c r="A14609" s="15" t="s">
        <v>35544</v>
      </c>
      <c r="B14609" s="15" t="s">
        <v>26904</v>
      </c>
      <c r="C14609" s="15" t="s">
        <v>800</v>
      </c>
      <c r="D14609" s="15" t="s">
        <v>26905</v>
      </c>
      <c r="E14609" s="15">
        <v>14.2333</v>
      </c>
      <c r="F14609" s="42">
        <v>43291</v>
      </c>
    </row>
    <row r="14610" spans="1:6" x14ac:dyDescent="0.3">
      <c r="A14610" s="15" t="s">
        <v>35543</v>
      </c>
      <c r="B14610" s="15" t="s">
        <v>26906</v>
      </c>
      <c r="C14610" s="15" t="s">
        <v>800</v>
      </c>
      <c r="D14610" s="15" t="s">
        <v>26907</v>
      </c>
      <c r="E14610" s="15">
        <v>12.3009</v>
      </c>
      <c r="F14610" s="42">
        <v>42877</v>
      </c>
    </row>
    <row r="14611" spans="1:6" x14ac:dyDescent="0.3">
      <c r="A14611" s="15" t="s">
        <v>35542</v>
      </c>
      <c r="B14611" s="15" t="s">
        <v>26908</v>
      </c>
      <c r="C14611" s="15" t="s">
        <v>800</v>
      </c>
      <c r="D14611" s="15" t="s">
        <v>26909</v>
      </c>
      <c r="E14611" s="15">
        <v>12.251300000000001</v>
      </c>
      <c r="F14611" s="42">
        <v>42877</v>
      </c>
    </row>
    <row r="14612" spans="1:6" x14ac:dyDescent="0.3">
      <c r="A14612" s="15" t="s">
        <v>35541</v>
      </c>
      <c r="B14612" s="15" t="s">
        <v>26910</v>
      </c>
      <c r="C14612" s="15" t="s">
        <v>800</v>
      </c>
      <c r="D14612" s="15" t="s">
        <v>26911</v>
      </c>
      <c r="E14612" s="15">
        <v>13.265499999999999</v>
      </c>
      <c r="F14612" s="42">
        <v>42943</v>
      </c>
    </row>
    <row r="14613" spans="1:6" x14ac:dyDescent="0.3">
      <c r="A14613" s="15" t="s">
        <v>35540</v>
      </c>
      <c r="B14613" s="15" t="s">
        <v>26912</v>
      </c>
      <c r="C14613" s="15" t="s">
        <v>800</v>
      </c>
      <c r="D14613" s="15" t="s">
        <v>26913</v>
      </c>
      <c r="E14613" s="15">
        <v>13.3782</v>
      </c>
      <c r="F14613" s="42">
        <v>42943</v>
      </c>
    </row>
    <row r="14614" spans="1:6" x14ac:dyDescent="0.3">
      <c r="A14614" s="15" t="s">
        <v>35539</v>
      </c>
      <c r="B14614" s="15" t="s">
        <v>26914</v>
      </c>
      <c r="C14614" s="15" t="s">
        <v>800</v>
      </c>
      <c r="D14614" s="15" t="s">
        <v>26915</v>
      </c>
      <c r="E14614" s="15">
        <v>11.2859</v>
      </c>
      <c r="F14614" s="42">
        <v>42152</v>
      </c>
    </row>
    <row r="14615" spans="1:6" x14ac:dyDescent="0.3">
      <c r="A14615" s="15" t="s">
        <v>35538</v>
      </c>
      <c r="B14615" s="15" t="s">
        <v>26916</v>
      </c>
      <c r="C14615" s="15" t="s">
        <v>800</v>
      </c>
      <c r="D14615" s="15" t="s">
        <v>26917</v>
      </c>
      <c r="E14615" s="15">
        <v>11.2264</v>
      </c>
      <c r="F14615" s="42">
        <v>42152</v>
      </c>
    </row>
    <row r="14616" spans="1:6" x14ac:dyDescent="0.3">
      <c r="A14616" s="15" t="s">
        <v>35537</v>
      </c>
      <c r="B14616" s="15" t="s">
        <v>26918</v>
      </c>
      <c r="C14616" s="15" t="s">
        <v>800</v>
      </c>
      <c r="D14616" s="15" t="s">
        <v>26919</v>
      </c>
      <c r="E14616" s="15">
        <v>13.2789</v>
      </c>
      <c r="F14616" s="42">
        <v>42943</v>
      </c>
    </row>
    <row r="14617" spans="1:6" x14ac:dyDescent="0.3">
      <c r="A14617" s="15" t="s">
        <v>35536</v>
      </c>
      <c r="B14617" s="15" t="s">
        <v>26920</v>
      </c>
      <c r="C14617" s="15" t="s">
        <v>800</v>
      </c>
      <c r="D14617" s="15" t="s">
        <v>26921</v>
      </c>
      <c r="E14617" s="15">
        <v>13.363899999999999</v>
      </c>
      <c r="F14617" s="42">
        <v>42943</v>
      </c>
    </row>
    <row r="14618" spans="1:6" x14ac:dyDescent="0.3">
      <c r="A14618" s="15" t="s">
        <v>35535</v>
      </c>
      <c r="B14618" s="15" t="s">
        <v>26922</v>
      </c>
      <c r="C14618" s="15" t="s">
        <v>800</v>
      </c>
      <c r="D14618" s="15" t="s">
        <v>26923</v>
      </c>
      <c r="E14618" s="15">
        <v>11.2477</v>
      </c>
      <c r="F14618" s="42">
        <v>42159</v>
      </c>
    </row>
    <row r="14619" spans="1:6" x14ac:dyDescent="0.3">
      <c r="A14619" s="15" t="s">
        <v>35534</v>
      </c>
      <c r="B14619" s="15" t="s">
        <v>26924</v>
      </c>
      <c r="C14619" s="15" t="s">
        <v>800</v>
      </c>
      <c r="D14619" s="15" t="s">
        <v>26925</v>
      </c>
      <c r="E14619" s="15">
        <v>13.1572</v>
      </c>
      <c r="F14619" s="42">
        <v>42943</v>
      </c>
    </row>
    <row r="14620" spans="1:6" x14ac:dyDescent="0.3">
      <c r="A14620" s="15" t="s">
        <v>35533</v>
      </c>
      <c r="B14620" s="15" t="s">
        <v>26926</v>
      </c>
      <c r="C14620" s="15" t="s">
        <v>800</v>
      </c>
      <c r="D14620" s="15" t="s">
        <v>26927</v>
      </c>
      <c r="E14620" s="15">
        <v>13.2765</v>
      </c>
      <c r="F14620" s="42">
        <v>42943</v>
      </c>
    </row>
    <row r="14621" spans="1:6" x14ac:dyDescent="0.3">
      <c r="A14621" s="15" t="s">
        <v>35532</v>
      </c>
      <c r="B14621" s="15" t="s">
        <v>26928</v>
      </c>
      <c r="C14621" s="15" t="s">
        <v>800</v>
      </c>
      <c r="D14621" s="15" t="s">
        <v>26929</v>
      </c>
      <c r="E14621" s="15">
        <v>13.099</v>
      </c>
      <c r="F14621" s="42">
        <v>42943</v>
      </c>
    </row>
    <row r="14622" spans="1:6" x14ac:dyDescent="0.3">
      <c r="A14622" s="15" t="s">
        <v>35531</v>
      </c>
      <c r="B14622" s="15" t="s">
        <v>26930</v>
      </c>
      <c r="C14622" s="15" t="s">
        <v>800</v>
      </c>
      <c r="D14622" s="15" t="s">
        <v>26931</v>
      </c>
      <c r="E14622" s="15">
        <v>13.065799999999999</v>
      </c>
      <c r="F14622" s="42">
        <v>42871</v>
      </c>
    </row>
    <row r="14623" spans="1:6" x14ac:dyDescent="0.3">
      <c r="A14623" s="15" t="s">
        <v>35530</v>
      </c>
      <c r="B14623" s="15" t="s">
        <v>26932</v>
      </c>
      <c r="C14623" s="15" t="s">
        <v>800</v>
      </c>
      <c r="D14623" s="15" t="s">
        <v>26933</v>
      </c>
      <c r="E14623" s="15">
        <v>13.2217</v>
      </c>
      <c r="F14623" s="42">
        <v>42871</v>
      </c>
    </row>
    <row r="14624" spans="1:6" x14ac:dyDescent="0.3">
      <c r="A14624" s="15" t="s">
        <v>35529</v>
      </c>
      <c r="B14624" s="15" t="s">
        <v>26934</v>
      </c>
      <c r="C14624" s="15" t="s">
        <v>800</v>
      </c>
      <c r="D14624" s="15" t="s">
        <v>26935</v>
      </c>
      <c r="E14624" s="15">
        <v>12.3881</v>
      </c>
      <c r="F14624" s="42">
        <v>42871</v>
      </c>
    </row>
    <row r="14625" spans="1:6" x14ac:dyDescent="0.3">
      <c r="A14625" s="15" t="s">
        <v>35528</v>
      </c>
      <c r="B14625" s="15" t="s">
        <v>26936</v>
      </c>
      <c r="C14625" s="15" t="s">
        <v>800</v>
      </c>
      <c r="D14625" s="15" t="s">
        <v>26937</v>
      </c>
      <c r="E14625" s="15">
        <v>12.2813</v>
      </c>
      <c r="F14625" s="42">
        <v>42871</v>
      </c>
    </row>
    <row r="14626" spans="1:6" x14ac:dyDescent="0.3">
      <c r="A14626" s="15" t="s">
        <v>35527</v>
      </c>
      <c r="B14626" s="15" t="s">
        <v>26938</v>
      </c>
      <c r="C14626" s="15" t="s">
        <v>800</v>
      </c>
      <c r="D14626" s="15" t="s">
        <v>26939</v>
      </c>
      <c r="E14626" s="15">
        <v>13.835100000000001</v>
      </c>
      <c r="F14626" s="42">
        <v>43011</v>
      </c>
    </row>
    <row r="14627" spans="1:6" x14ac:dyDescent="0.3">
      <c r="A14627" s="15" t="s">
        <v>35526</v>
      </c>
      <c r="B14627" s="15" t="s">
        <v>26940</v>
      </c>
      <c r="C14627" s="15" t="s">
        <v>800</v>
      </c>
      <c r="D14627" s="15" t="s">
        <v>26941</v>
      </c>
      <c r="E14627" s="15">
        <v>13.983700000000001</v>
      </c>
      <c r="F14627" s="42">
        <v>43011</v>
      </c>
    </row>
    <row r="14628" spans="1:6" x14ac:dyDescent="0.3">
      <c r="A14628" s="15" t="s">
        <v>35525</v>
      </c>
      <c r="B14628" s="15" t="s">
        <v>26942</v>
      </c>
      <c r="C14628" s="15" t="s">
        <v>800</v>
      </c>
      <c r="D14628" s="15" t="s">
        <v>26943</v>
      </c>
      <c r="E14628" s="15">
        <v>12.916</v>
      </c>
      <c r="F14628" s="42">
        <v>43011</v>
      </c>
    </row>
    <row r="14629" spans="1:6" x14ac:dyDescent="0.3">
      <c r="A14629" s="15" t="s">
        <v>35524</v>
      </c>
      <c r="B14629" s="15" t="s">
        <v>26944</v>
      </c>
      <c r="C14629" s="15" t="s">
        <v>800</v>
      </c>
      <c r="D14629" s="15" t="s">
        <v>26945</v>
      </c>
      <c r="E14629" s="15">
        <v>12.8248</v>
      </c>
      <c r="F14629" s="42">
        <v>43011</v>
      </c>
    </row>
    <row r="14630" spans="1:6" x14ac:dyDescent="0.3">
      <c r="A14630" s="15" t="s">
        <v>35523</v>
      </c>
      <c r="B14630" s="15" t="s">
        <v>26946</v>
      </c>
      <c r="C14630" s="15" t="s">
        <v>800</v>
      </c>
      <c r="D14630" s="15" t="s">
        <v>26947</v>
      </c>
      <c r="E14630" s="15">
        <v>12.993600000000001</v>
      </c>
      <c r="F14630" s="42">
        <v>42844</v>
      </c>
    </row>
    <row r="14631" spans="1:6" x14ac:dyDescent="0.3">
      <c r="A14631" s="15" t="s">
        <v>35522</v>
      </c>
      <c r="B14631" s="15" t="s">
        <v>26948</v>
      </c>
      <c r="C14631" s="15" t="s">
        <v>800</v>
      </c>
      <c r="D14631" s="15" t="s">
        <v>26949</v>
      </c>
      <c r="E14631" s="15">
        <v>13.172599999999999</v>
      </c>
      <c r="F14631" s="42">
        <v>42844</v>
      </c>
    </row>
    <row r="14632" spans="1:6" x14ac:dyDescent="0.3">
      <c r="A14632" s="15" t="s">
        <v>35521</v>
      </c>
      <c r="B14632" s="15" t="s">
        <v>26950</v>
      </c>
      <c r="C14632" s="15" t="s">
        <v>800</v>
      </c>
      <c r="D14632" s="15" t="s">
        <v>26951</v>
      </c>
      <c r="E14632" s="15">
        <v>12.889799999999999</v>
      </c>
      <c r="F14632" s="42">
        <v>42844</v>
      </c>
    </row>
    <row r="14633" spans="1:6" x14ac:dyDescent="0.3">
      <c r="A14633" s="15" t="s">
        <v>35520</v>
      </c>
      <c r="B14633" s="15" t="s">
        <v>26952</v>
      </c>
      <c r="C14633" s="15" t="s">
        <v>800</v>
      </c>
      <c r="D14633" s="15" t="s">
        <v>26953</v>
      </c>
      <c r="E14633" s="15">
        <v>12.7126</v>
      </c>
      <c r="F14633" s="42">
        <v>42844</v>
      </c>
    </row>
    <row r="14634" spans="1:6" x14ac:dyDescent="0.3">
      <c r="A14634" s="15" t="s">
        <v>35519</v>
      </c>
      <c r="B14634" s="15" t="s">
        <v>26954</v>
      </c>
      <c r="C14634" s="15" t="s">
        <v>800</v>
      </c>
      <c r="D14634" s="15" t="s">
        <v>26955</v>
      </c>
      <c r="E14634" s="15">
        <v>12.909599999999999</v>
      </c>
      <c r="F14634" s="42">
        <v>42835</v>
      </c>
    </row>
    <row r="14635" spans="1:6" x14ac:dyDescent="0.3">
      <c r="A14635" s="15" t="s">
        <v>35518</v>
      </c>
      <c r="B14635" s="15" t="s">
        <v>26956</v>
      </c>
      <c r="C14635" s="15" t="s">
        <v>800</v>
      </c>
      <c r="D14635" s="15" t="s">
        <v>26957</v>
      </c>
      <c r="E14635" s="15">
        <v>12.941599999999999</v>
      </c>
      <c r="F14635" s="42">
        <v>42835</v>
      </c>
    </row>
    <row r="14636" spans="1:6" x14ac:dyDescent="0.3">
      <c r="A14636" s="15" t="s">
        <v>35517</v>
      </c>
      <c r="B14636" s="15" t="s">
        <v>26958</v>
      </c>
      <c r="C14636" s="15" t="s">
        <v>800</v>
      </c>
      <c r="D14636" s="15" t="s">
        <v>26959</v>
      </c>
      <c r="E14636" s="15">
        <v>12.167299999999999</v>
      </c>
      <c r="F14636" s="42">
        <v>42835</v>
      </c>
    </row>
    <row r="14637" spans="1:6" x14ac:dyDescent="0.3">
      <c r="A14637" s="15" t="s">
        <v>35516</v>
      </c>
      <c r="B14637" s="15" t="s">
        <v>26960</v>
      </c>
      <c r="C14637" s="15" t="s">
        <v>800</v>
      </c>
      <c r="D14637" s="15" t="s">
        <v>26961</v>
      </c>
      <c r="E14637" s="15">
        <v>12.896599999999999</v>
      </c>
      <c r="F14637" s="42">
        <v>42835</v>
      </c>
    </row>
    <row r="14638" spans="1:6" x14ac:dyDescent="0.3">
      <c r="A14638" s="15" t="s">
        <v>35515</v>
      </c>
      <c r="B14638" s="15" t="s">
        <v>26962</v>
      </c>
      <c r="C14638" s="15" t="s">
        <v>800</v>
      </c>
      <c r="D14638" s="15" t="s">
        <v>26963</v>
      </c>
      <c r="E14638" s="15">
        <v>12.930899999999999</v>
      </c>
      <c r="F14638" s="42">
        <v>42835</v>
      </c>
    </row>
    <row r="14639" spans="1:6" x14ac:dyDescent="0.3">
      <c r="A14639" s="15" t="s">
        <v>35514</v>
      </c>
      <c r="B14639" s="15" t="s">
        <v>26964</v>
      </c>
      <c r="C14639" s="15" t="s">
        <v>800</v>
      </c>
      <c r="D14639" s="15" t="s">
        <v>26965</v>
      </c>
      <c r="E14639" s="15">
        <v>13.9201</v>
      </c>
      <c r="F14639" s="42">
        <v>43276</v>
      </c>
    </row>
    <row r="14640" spans="1:6" x14ac:dyDescent="0.3">
      <c r="A14640" s="15" t="s">
        <v>35513</v>
      </c>
      <c r="B14640" s="15" t="s">
        <v>26966</v>
      </c>
      <c r="C14640" s="15" t="s">
        <v>800</v>
      </c>
      <c r="D14640" s="15" t="s">
        <v>26967</v>
      </c>
      <c r="E14640" s="15">
        <v>13.982200000000001</v>
      </c>
      <c r="F14640" s="42">
        <v>43276</v>
      </c>
    </row>
    <row r="14641" spans="1:6" x14ac:dyDescent="0.3">
      <c r="A14641" s="15" t="s">
        <v>35512</v>
      </c>
      <c r="B14641" s="15" t="s">
        <v>26968</v>
      </c>
      <c r="C14641" s="15" t="s">
        <v>800</v>
      </c>
      <c r="D14641" s="15" t="s">
        <v>26969</v>
      </c>
      <c r="E14641" s="15">
        <v>13.8018</v>
      </c>
      <c r="F14641" s="42">
        <v>43276</v>
      </c>
    </row>
    <row r="14642" spans="1:6" x14ac:dyDescent="0.3">
      <c r="A14642" s="15" t="s">
        <v>35511</v>
      </c>
      <c r="B14642" s="15" t="s">
        <v>26970</v>
      </c>
      <c r="C14642" s="15" t="s">
        <v>800</v>
      </c>
      <c r="D14642" s="15" t="s">
        <v>26971</v>
      </c>
      <c r="E14642" s="15">
        <v>12.784599999999999</v>
      </c>
      <c r="F14642" s="42">
        <v>42830</v>
      </c>
    </row>
    <row r="14643" spans="1:6" x14ac:dyDescent="0.3">
      <c r="A14643" s="15" t="s">
        <v>35510</v>
      </c>
      <c r="B14643" s="15" t="s">
        <v>26972</v>
      </c>
      <c r="C14643" s="15" t="s">
        <v>800</v>
      </c>
      <c r="D14643" s="15" t="s">
        <v>26973</v>
      </c>
      <c r="E14643" s="15">
        <v>12.816700000000001</v>
      </c>
      <c r="F14643" s="42">
        <v>42830</v>
      </c>
    </row>
    <row r="14644" spans="1:6" x14ac:dyDescent="0.3">
      <c r="A14644" s="15" t="s">
        <v>35509</v>
      </c>
      <c r="B14644" s="15" t="s">
        <v>26974</v>
      </c>
      <c r="C14644" s="15" t="s">
        <v>800</v>
      </c>
      <c r="D14644" s="15" t="s">
        <v>26975</v>
      </c>
      <c r="E14644" s="15">
        <v>12.725899999999999</v>
      </c>
      <c r="F14644" s="42">
        <v>42830</v>
      </c>
    </row>
    <row r="14645" spans="1:6" x14ac:dyDescent="0.3">
      <c r="A14645" s="15" t="s">
        <v>35508</v>
      </c>
      <c r="B14645" s="15" t="s">
        <v>26976</v>
      </c>
      <c r="C14645" s="15" t="s">
        <v>800</v>
      </c>
      <c r="D14645" s="15" t="s">
        <v>26977</v>
      </c>
      <c r="E14645" s="15">
        <v>12.781700000000001</v>
      </c>
      <c r="F14645" s="42">
        <v>42843</v>
      </c>
    </row>
    <row r="14646" spans="1:6" x14ac:dyDescent="0.3">
      <c r="A14646" s="15" t="s">
        <v>35507</v>
      </c>
      <c r="B14646" s="15" t="s">
        <v>26978</v>
      </c>
      <c r="C14646" s="15" t="s">
        <v>800</v>
      </c>
      <c r="D14646" s="15" t="s">
        <v>26979</v>
      </c>
      <c r="E14646" s="15">
        <v>12.7963</v>
      </c>
      <c r="F14646" s="42">
        <v>42843</v>
      </c>
    </row>
    <row r="14647" spans="1:6" x14ac:dyDescent="0.3">
      <c r="A14647" s="15" t="s">
        <v>35506</v>
      </c>
      <c r="B14647" s="15" t="s">
        <v>26980</v>
      </c>
      <c r="C14647" s="15" t="s">
        <v>800</v>
      </c>
      <c r="D14647" s="15" t="s">
        <v>26981</v>
      </c>
      <c r="E14647" s="15">
        <v>12.8782</v>
      </c>
      <c r="F14647" s="42">
        <v>42842</v>
      </c>
    </row>
    <row r="14648" spans="1:6" x14ac:dyDescent="0.3">
      <c r="A14648" s="15" t="s">
        <v>35505</v>
      </c>
      <c r="B14648" s="15" t="s">
        <v>26982</v>
      </c>
      <c r="C14648" s="15" t="s">
        <v>800</v>
      </c>
      <c r="D14648" s="15" t="s">
        <v>26983</v>
      </c>
      <c r="E14648" s="15">
        <v>12.911300000000001</v>
      </c>
      <c r="F14648" s="42">
        <v>42842</v>
      </c>
    </row>
    <row r="14649" spans="1:6" x14ac:dyDescent="0.3">
      <c r="A14649" s="15" t="s">
        <v>35504</v>
      </c>
      <c r="B14649" s="15" t="s">
        <v>26984</v>
      </c>
      <c r="C14649" s="15" t="s">
        <v>800</v>
      </c>
      <c r="D14649" s="15" t="s">
        <v>26985</v>
      </c>
      <c r="E14649" s="15">
        <v>12.792999999999999</v>
      </c>
      <c r="F14649" s="42">
        <v>42843</v>
      </c>
    </row>
    <row r="14650" spans="1:6" x14ac:dyDescent="0.3">
      <c r="A14650" s="15" t="s">
        <v>35503</v>
      </c>
      <c r="B14650" s="15" t="s">
        <v>26986</v>
      </c>
      <c r="C14650" s="15" t="s">
        <v>800</v>
      </c>
      <c r="D14650" s="15" t="s">
        <v>26987</v>
      </c>
      <c r="E14650" s="15">
        <v>12.817399999999999</v>
      </c>
      <c r="F14650" s="42">
        <v>42843</v>
      </c>
    </row>
    <row r="14651" spans="1:6" x14ac:dyDescent="0.3">
      <c r="A14651" s="15" t="s">
        <v>35502</v>
      </c>
      <c r="B14651" s="15" t="s">
        <v>26988</v>
      </c>
      <c r="C14651" s="15" t="s">
        <v>800</v>
      </c>
      <c r="D14651" s="15" t="s">
        <v>26989</v>
      </c>
      <c r="E14651" s="15">
        <v>12.734299999999999</v>
      </c>
      <c r="F14651" s="42">
        <v>42843</v>
      </c>
    </row>
    <row r="14652" spans="1:6" x14ac:dyDescent="0.3">
      <c r="A14652" s="15" t="s">
        <v>35501</v>
      </c>
      <c r="B14652" s="15" t="s">
        <v>26990</v>
      </c>
      <c r="C14652" s="15" t="s">
        <v>800</v>
      </c>
      <c r="D14652" s="15" t="s">
        <v>26991</v>
      </c>
      <c r="E14652" s="15">
        <v>13.918100000000001</v>
      </c>
      <c r="F14652" s="42">
        <v>43291</v>
      </c>
    </row>
    <row r="14653" spans="1:6" x14ac:dyDescent="0.3">
      <c r="A14653" s="15" t="s">
        <v>35500</v>
      </c>
      <c r="B14653" s="15" t="s">
        <v>26992</v>
      </c>
      <c r="C14653" s="15" t="s">
        <v>800</v>
      </c>
      <c r="D14653" s="15" t="s">
        <v>26993</v>
      </c>
      <c r="E14653" s="15">
        <v>13.9741</v>
      </c>
      <c r="F14653" s="42">
        <v>43291</v>
      </c>
    </row>
    <row r="14654" spans="1:6" x14ac:dyDescent="0.3">
      <c r="A14654" s="15" t="s">
        <v>35499</v>
      </c>
      <c r="B14654" s="15" t="s">
        <v>26994</v>
      </c>
      <c r="C14654" s="15" t="s">
        <v>800</v>
      </c>
      <c r="D14654" s="15" t="s">
        <v>26995</v>
      </c>
      <c r="E14654" s="15">
        <v>12.7514</v>
      </c>
      <c r="F14654" s="42">
        <v>42850</v>
      </c>
    </row>
    <row r="14655" spans="1:6" x14ac:dyDescent="0.3">
      <c r="A14655" s="15" t="s">
        <v>35498</v>
      </c>
      <c r="B14655" s="15" t="s">
        <v>26996</v>
      </c>
      <c r="C14655" s="15" t="s">
        <v>800</v>
      </c>
      <c r="D14655" s="15" t="s">
        <v>26997</v>
      </c>
      <c r="E14655" s="15">
        <v>13.919700000000001</v>
      </c>
      <c r="F14655" s="42">
        <v>43291</v>
      </c>
    </row>
    <row r="14656" spans="1:6" x14ac:dyDescent="0.3">
      <c r="A14656" s="15" t="s">
        <v>35497</v>
      </c>
      <c r="B14656" s="15" t="s">
        <v>26998</v>
      </c>
      <c r="C14656" s="15" t="s">
        <v>800</v>
      </c>
      <c r="D14656" s="15" t="s">
        <v>26999</v>
      </c>
      <c r="E14656" s="15">
        <v>13.965</v>
      </c>
      <c r="F14656" s="42">
        <v>43291</v>
      </c>
    </row>
    <row r="14657" spans="1:6" x14ac:dyDescent="0.3">
      <c r="A14657" s="15" t="s">
        <v>35496</v>
      </c>
      <c r="B14657" s="15" t="s">
        <v>27000</v>
      </c>
      <c r="C14657" s="15" t="s">
        <v>800</v>
      </c>
      <c r="D14657" s="15" t="s">
        <v>27001</v>
      </c>
      <c r="E14657" s="15">
        <v>12.75</v>
      </c>
      <c r="F14657" s="42">
        <v>42852</v>
      </c>
    </row>
    <row r="14658" spans="1:6" x14ac:dyDescent="0.3">
      <c r="A14658" s="15" t="s">
        <v>35495</v>
      </c>
      <c r="B14658" s="15" t="s">
        <v>27002</v>
      </c>
      <c r="C14658" s="15" t="s">
        <v>800</v>
      </c>
      <c r="D14658" s="15" t="s">
        <v>27003</v>
      </c>
      <c r="E14658" s="15">
        <v>13.9185</v>
      </c>
      <c r="F14658" s="42">
        <v>43291</v>
      </c>
    </row>
    <row r="14659" spans="1:6" x14ac:dyDescent="0.3">
      <c r="A14659" s="15" t="s">
        <v>35494</v>
      </c>
      <c r="B14659" s="15" t="s">
        <v>27004</v>
      </c>
      <c r="C14659" s="15" t="s">
        <v>800</v>
      </c>
      <c r="D14659" s="15" t="s">
        <v>27005</v>
      </c>
      <c r="E14659" s="15">
        <v>13.9786</v>
      </c>
      <c r="F14659" s="42">
        <v>43291</v>
      </c>
    </row>
    <row r="14660" spans="1:6" x14ac:dyDescent="0.3">
      <c r="A14660" s="15" t="s">
        <v>35493</v>
      </c>
      <c r="B14660" s="15" t="s">
        <v>27006</v>
      </c>
      <c r="C14660" s="15" t="s">
        <v>800</v>
      </c>
      <c r="D14660" s="15" t="s">
        <v>27007</v>
      </c>
      <c r="E14660" s="15">
        <v>12.1965</v>
      </c>
      <c r="F14660" s="42">
        <v>42850</v>
      </c>
    </row>
    <row r="14661" spans="1:6" x14ac:dyDescent="0.3">
      <c r="A14661" s="15" t="s">
        <v>35492</v>
      </c>
      <c r="B14661" s="15" t="s">
        <v>27008</v>
      </c>
      <c r="C14661" s="15" t="s">
        <v>800</v>
      </c>
      <c r="D14661" s="15" t="s">
        <v>27009</v>
      </c>
      <c r="E14661" s="15">
        <v>12.7921</v>
      </c>
      <c r="F14661" s="42">
        <v>42845</v>
      </c>
    </row>
    <row r="14662" spans="1:6" x14ac:dyDescent="0.3">
      <c r="A14662" s="15" t="s">
        <v>35491</v>
      </c>
      <c r="B14662" s="15" t="s">
        <v>27010</v>
      </c>
      <c r="C14662" s="15" t="s">
        <v>800</v>
      </c>
      <c r="D14662" s="15" t="s">
        <v>27011</v>
      </c>
      <c r="E14662" s="15">
        <v>12.872299999999999</v>
      </c>
      <c r="F14662" s="42">
        <v>42845</v>
      </c>
    </row>
    <row r="14663" spans="1:6" x14ac:dyDescent="0.3">
      <c r="A14663" s="15" t="s">
        <v>35490</v>
      </c>
      <c r="B14663" s="15" t="s">
        <v>27012</v>
      </c>
      <c r="C14663" s="15" t="s">
        <v>800</v>
      </c>
      <c r="D14663" s="15" t="s">
        <v>27013</v>
      </c>
      <c r="E14663" s="15">
        <v>13.883900000000001</v>
      </c>
      <c r="F14663" s="42">
        <v>43291</v>
      </c>
    </row>
    <row r="14664" spans="1:6" x14ac:dyDescent="0.3">
      <c r="A14664" s="15" t="s">
        <v>35489</v>
      </c>
      <c r="B14664" s="15" t="s">
        <v>27014</v>
      </c>
      <c r="C14664" s="15" t="s">
        <v>800</v>
      </c>
      <c r="D14664" s="15" t="s">
        <v>27015</v>
      </c>
      <c r="E14664" s="15">
        <v>13.9663</v>
      </c>
      <c r="F14664" s="42">
        <v>43291</v>
      </c>
    </row>
    <row r="14665" spans="1:6" x14ac:dyDescent="0.3">
      <c r="A14665" s="15" t="s">
        <v>35488</v>
      </c>
      <c r="B14665" s="15" t="s">
        <v>27016</v>
      </c>
      <c r="C14665" s="15" t="s">
        <v>800</v>
      </c>
      <c r="D14665" s="15" t="s">
        <v>27017</v>
      </c>
      <c r="E14665" s="15">
        <v>12.8117</v>
      </c>
      <c r="F14665" s="42">
        <v>42850</v>
      </c>
    </row>
    <row r="14666" spans="1:6" x14ac:dyDescent="0.3">
      <c r="A14666" s="15" t="s">
        <v>35487</v>
      </c>
      <c r="B14666" s="15" t="s">
        <v>27018</v>
      </c>
      <c r="C14666" s="15" t="s">
        <v>800</v>
      </c>
      <c r="D14666" s="15" t="s">
        <v>27019</v>
      </c>
      <c r="E14666" s="15">
        <v>12.7562</v>
      </c>
      <c r="F14666" s="42">
        <v>42850</v>
      </c>
    </row>
    <row r="14667" spans="1:6" x14ac:dyDescent="0.3">
      <c r="A14667" s="15" t="s">
        <v>35486</v>
      </c>
      <c r="B14667" s="15" t="s">
        <v>27020</v>
      </c>
      <c r="C14667" s="15" t="s">
        <v>800</v>
      </c>
      <c r="D14667" s="15" t="s">
        <v>27021</v>
      </c>
      <c r="E14667" s="15">
        <v>13.970800000000001</v>
      </c>
      <c r="F14667" s="42">
        <v>43291</v>
      </c>
    </row>
    <row r="14668" spans="1:6" x14ac:dyDescent="0.3">
      <c r="A14668" s="15" t="s">
        <v>35485</v>
      </c>
      <c r="B14668" s="15" t="s">
        <v>27022</v>
      </c>
      <c r="C14668" s="15" t="s">
        <v>800</v>
      </c>
      <c r="D14668" s="15" t="s">
        <v>27023</v>
      </c>
      <c r="E14668" s="15">
        <v>14.053800000000001</v>
      </c>
      <c r="F14668" s="42">
        <v>43291</v>
      </c>
    </row>
    <row r="14669" spans="1:6" x14ac:dyDescent="0.3">
      <c r="A14669" s="15" t="s">
        <v>35484</v>
      </c>
      <c r="B14669" s="15" t="s">
        <v>27024</v>
      </c>
      <c r="C14669" s="15" t="s">
        <v>800</v>
      </c>
      <c r="D14669" s="15" t="s">
        <v>27025</v>
      </c>
      <c r="E14669" s="15">
        <v>12.7844</v>
      </c>
      <c r="F14669" s="42">
        <v>42850</v>
      </c>
    </row>
    <row r="14670" spans="1:6" x14ac:dyDescent="0.3">
      <c r="A14670" s="15" t="s">
        <v>35483</v>
      </c>
      <c r="B14670" s="15" t="s">
        <v>27026</v>
      </c>
      <c r="C14670" s="15" t="s">
        <v>800</v>
      </c>
      <c r="D14670" s="15" t="s">
        <v>27027</v>
      </c>
      <c r="E14670" s="15">
        <v>13.9537</v>
      </c>
      <c r="F14670" s="42">
        <v>43291</v>
      </c>
    </row>
    <row r="14671" spans="1:6" x14ac:dyDescent="0.3">
      <c r="A14671" s="15" t="s">
        <v>35482</v>
      </c>
      <c r="B14671" s="15" t="s">
        <v>27028</v>
      </c>
      <c r="C14671" s="15" t="s">
        <v>800</v>
      </c>
      <c r="D14671" s="15" t="s">
        <v>27029</v>
      </c>
      <c r="E14671" s="15">
        <v>14.0436</v>
      </c>
      <c r="F14671" s="42">
        <v>43291</v>
      </c>
    </row>
    <row r="14672" spans="1:6" x14ac:dyDescent="0.3">
      <c r="A14672" s="15" t="s">
        <v>35481</v>
      </c>
      <c r="B14672" s="15" t="s">
        <v>27030</v>
      </c>
      <c r="C14672" s="15" t="s">
        <v>800</v>
      </c>
      <c r="D14672" s="15" t="s">
        <v>27031</v>
      </c>
      <c r="E14672" s="15">
        <v>12.7959</v>
      </c>
      <c r="F14672" s="42">
        <v>42852</v>
      </c>
    </row>
    <row r="14673" spans="1:6" x14ac:dyDescent="0.3">
      <c r="A14673" s="15" t="s">
        <v>35480</v>
      </c>
      <c r="B14673" s="15" t="s">
        <v>27032</v>
      </c>
      <c r="C14673" s="15" t="s">
        <v>800</v>
      </c>
      <c r="D14673" s="15" t="s">
        <v>27033</v>
      </c>
      <c r="E14673" s="15">
        <v>13.846399999999999</v>
      </c>
      <c r="F14673" s="42">
        <v>43195</v>
      </c>
    </row>
    <row r="14674" spans="1:6" x14ac:dyDescent="0.3">
      <c r="A14674" s="15" t="s">
        <v>35479</v>
      </c>
      <c r="B14674" s="15" t="s">
        <v>27034</v>
      </c>
      <c r="C14674" s="15" t="s">
        <v>800</v>
      </c>
      <c r="D14674" s="15" t="s">
        <v>27035</v>
      </c>
      <c r="E14674" s="15">
        <v>13.9437</v>
      </c>
      <c r="F14674" s="42">
        <v>43195</v>
      </c>
    </row>
    <row r="14675" spans="1:6" x14ac:dyDescent="0.3">
      <c r="A14675" s="15" t="s">
        <v>35478</v>
      </c>
      <c r="B14675" s="15" t="s">
        <v>27036</v>
      </c>
      <c r="C14675" s="15" t="s">
        <v>800</v>
      </c>
      <c r="D14675" s="15" t="s">
        <v>27037</v>
      </c>
      <c r="E14675" s="15">
        <v>13.1265</v>
      </c>
      <c r="F14675" s="42">
        <v>43195</v>
      </c>
    </row>
    <row r="14676" spans="1:6" x14ac:dyDescent="0.3">
      <c r="A14676" s="15" t="s">
        <v>35477</v>
      </c>
      <c r="B14676" s="15" t="s">
        <v>27038</v>
      </c>
      <c r="C14676" s="15" t="s">
        <v>800</v>
      </c>
      <c r="D14676" s="15" t="s">
        <v>27039</v>
      </c>
      <c r="E14676" s="15">
        <v>12.888199999999999</v>
      </c>
      <c r="F14676" s="42">
        <v>42845</v>
      </c>
    </row>
    <row r="14677" spans="1:6" x14ac:dyDescent="0.3">
      <c r="A14677" s="15" t="s">
        <v>35476</v>
      </c>
      <c r="B14677" s="15" t="s">
        <v>27040</v>
      </c>
      <c r="C14677" s="15" t="s">
        <v>800</v>
      </c>
      <c r="D14677" s="15" t="s">
        <v>27041</v>
      </c>
      <c r="E14677" s="15">
        <v>12.951000000000001</v>
      </c>
      <c r="F14677" s="42">
        <v>42845</v>
      </c>
    </row>
    <row r="14678" spans="1:6" x14ac:dyDescent="0.3">
      <c r="A14678" s="15" t="s">
        <v>35475</v>
      </c>
      <c r="B14678" s="15" t="s">
        <v>27042</v>
      </c>
      <c r="C14678" s="15" t="s">
        <v>800</v>
      </c>
      <c r="D14678" s="15" t="s">
        <v>27043</v>
      </c>
      <c r="E14678" s="15">
        <v>14.0174</v>
      </c>
      <c r="F14678" s="42">
        <v>43291</v>
      </c>
    </row>
    <row r="14679" spans="1:6" x14ac:dyDescent="0.3">
      <c r="A14679" s="15" t="s">
        <v>35474</v>
      </c>
      <c r="B14679" s="15" t="s">
        <v>27044</v>
      </c>
      <c r="C14679" s="15" t="s">
        <v>800</v>
      </c>
      <c r="D14679" s="15" t="s">
        <v>27045</v>
      </c>
      <c r="E14679" s="15">
        <v>14.1305</v>
      </c>
      <c r="F14679" s="42">
        <v>43291</v>
      </c>
    </row>
    <row r="14680" spans="1:6" x14ac:dyDescent="0.3">
      <c r="A14680" s="15" t="s">
        <v>35473</v>
      </c>
      <c r="B14680" s="15" t="s">
        <v>27046</v>
      </c>
      <c r="C14680" s="15" t="s">
        <v>800</v>
      </c>
      <c r="D14680" s="15" t="s">
        <v>27047</v>
      </c>
      <c r="E14680" s="15">
        <v>12.8551</v>
      </c>
      <c r="F14680" s="42">
        <v>42852</v>
      </c>
    </row>
    <row r="14681" spans="1:6" x14ac:dyDescent="0.3">
      <c r="A14681" s="15" t="s">
        <v>35472</v>
      </c>
      <c r="B14681" s="15" t="s">
        <v>27048</v>
      </c>
      <c r="C14681" s="15" t="s">
        <v>800</v>
      </c>
      <c r="D14681" s="15" t="s">
        <v>27049</v>
      </c>
      <c r="E14681" s="15">
        <v>13.209300000000001</v>
      </c>
      <c r="F14681" s="42">
        <v>42954</v>
      </c>
    </row>
    <row r="14682" spans="1:6" x14ac:dyDescent="0.3">
      <c r="A14682" s="15" t="s">
        <v>35471</v>
      </c>
      <c r="B14682" s="15" t="s">
        <v>27050</v>
      </c>
      <c r="C14682" s="15" t="s">
        <v>800</v>
      </c>
      <c r="D14682" s="15" t="s">
        <v>27051</v>
      </c>
      <c r="E14682" s="15">
        <v>13.338800000000001</v>
      </c>
      <c r="F14682" s="42">
        <v>42954</v>
      </c>
    </row>
    <row r="14683" spans="1:6" x14ac:dyDescent="0.3">
      <c r="A14683" s="15" t="s">
        <v>35470</v>
      </c>
      <c r="B14683" s="15" t="s">
        <v>27052</v>
      </c>
      <c r="C14683" s="15" t="s">
        <v>800</v>
      </c>
      <c r="D14683" s="15" t="s">
        <v>27053</v>
      </c>
      <c r="E14683" s="15">
        <v>12.4137</v>
      </c>
      <c r="F14683" s="42">
        <v>42954</v>
      </c>
    </row>
    <row r="14684" spans="1:6" x14ac:dyDescent="0.3">
      <c r="A14684" s="15" t="s">
        <v>35469</v>
      </c>
      <c r="B14684" s="15" t="s">
        <v>27054</v>
      </c>
      <c r="C14684" s="15" t="s">
        <v>800</v>
      </c>
      <c r="D14684" s="15" t="s">
        <v>27055</v>
      </c>
      <c r="E14684" s="15">
        <v>12.3287</v>
      </c>
      <c r="F14684" s="42">
        <v>42954</v>
      </c>
    </row>
    <row r="14685" spans="1:6" x14ac:dyDescent="0.3">
      <c r="A14685" s="15" t="s">
        <v>35468</v>
      </c>
      <c r="B14685" s="15" t="s">
        <v>27056</v>
      </c>
      <c r="C14685" s="15" t="s">
        <v>800</v>
      </c>
      <c r="D14685" s="15" t="s">
        <v>27057</v>
      </c>
      <c r="E14685" s="15">
        <v>12.860099999999999</v>
      </c>
      <c r="F14685" s="42">
        <v>42943</v>
      </c>
    </row>
    <row r="14686" spans="1:6" x14ac:dyDescent="0.3">
      <c r="A14686" s="15" t="s">
        <v>35467</v>
      </c>
      <c r="B14686" s="15" t="s">
        <v>27058</v>
      </c>
      <c r="C14686" s="15" t="s">
        <v>800</v>
      </c>
      <c r="D14686" s="15" t="s">
        <v>27059</v>
      </c>
      <c r="E14686" s="15">
        <v>12.886200000000001</v>
      </c>
      <c r="F14686" s="42">
        <v>42943</v>
      </c>
    </row>
    <row r="14687" spans="1:6" x14ac:dyDescent="0.3">
      <c r="A14687" s="15" t="s">
        <v>35466</v>
      </c>
      <c r="B14687" s="15" t="s">
        <v>27060</v>
      </c>
      <c r="C14687" s="15" t="s">
        <v>800</v>
      </c>
      <c r="D14687" s="15" t="s">
        <v>27061</v>
      </c>
      <c r="E14687" s="15">
        <v>10.6233</v>
      </c>
      <c r="F14687" s="42">
        <v>42163</v>
      </c>
    </row>
    <row r="14688" spans="1:6" x14ac:dyDescent="0.3">
      <c r="A14688" s="15" t="s">
        <v>35465</v>
      </c>
      <c r="B14688" s="15" t="s">
        <v>27062</v>
      </c>
      <c r="C14688" s="15" t="s">
        <v>800</v>
      </c>
      <c r="D14688" s="15" t="s">
        <v>27063</v>
      </c>
      <c r="E14688" s="15">
        <v>12.481400000000001</v>
      </c>
      <c r="F14688" s="42">
        <v>42943</v>
      </c>
    </row>
    <row r="14689" spans="1:6" x14ac:dyDescent="0.3">
      <c r="A14689" s="15" t="s">
        <v>35464</v>
      </c>
      <c r="B14689" s="15" t="s">
        <v>27064</v>
      </c>
      <c r="C14689" s="15" t="s">
        <v>800</v>
      </c>
      <c r="D14689" s="15" t="s">
        <v>27065</v>
      </c>
      <c r="E14689" s="15">
        <v>12.859299999999999</v>
      </c>
      <c r="F14689" s="42">
        <v>42943</v>
      </c>
    </row>
    <row r="14690" spans="1:6" x14ac:dyDescent="0.3">
      <c r="A14690" s="15" t="s">
        <v>35463</v>
      </c>
      <c r="B14690" s="15" t="s">
        <v>27066</v>
      </c>
      <c r="C14690" s="15" t="s">
        <v>800</v>
      </c>
      <c r="D14690" s="15" t="s">
        <v>27067</v>
      </c>
      <c r="E14690" s="15">
        <v>12.8848</v>
      </c>
      <c r="F14690" s="42">
        <v>42943</v>
      </c>
    </row>
    <row r="14691" spans="1:6" x14ac:dyDescent="0.3">
      <c r="A14691" s="15" t="s">
        <v>35462</v>
      </c>
      <c r="B14691" s="15" t="s">
        <v>27068</v>
      </c>
      <c r="C14691" s="15" t="s">
        <v>800</v>
      </c>
      <c r="D14691" s="15" t="s">
        <v>27069</v>
      </c>
      <c r="E14691" s="15">
        <v>12.825699999999999</v>
      </c>
      <c r="F14691" s="42">
        <v>42943</v>
      </c>
    </row>
    <row r="14692" spans="1:6" x14ac:dyDescent="0.3">
      <c r="A14692" s="15" t="s">
        <v>35461</v>
      </c>
      <c r="B14692" s="15" t="s">
        <v>27070</v>
      </c>
      <c r="C14692" s="15" t="s">
        <v>800</v>
      </c>
      <c r="D14692" s="15" t="s">
        <v>27071</v>
      </c>
      <c r="E14692" s="15">
        <v>12.8002</v>
      </c>
      <c r="F14692" s="42">
        <v>42943</v>
      </c>
    </row>
    <row r="14693" spans="1:6" x14ac:dyDescent="0.3">
      <c r="A14693" s="15" t="s">
        <v>35460</v>
      </c>
      <c r="B14693" s="15" t="s">
        <v>27072</v>
      </c>
      <c r="C14693" s="15" t="s">
        <v>800</v>
      </c>
      <c r="D14693" s="15" t="s">
        <v>27073</v>
      </c>
      <c r="E14693" s="15">
        <v>13.1435</v>
      </c>
      <c r="F14693" s="42">
        <v>42940</v>
      </c>
    </row>
    <row r="14694" spans="1:6" x14ac:dyDescent="0.3">
      <c r="A14694" s="15" t="s">
        <v>35459</v>
      </c>
      <c r="B14694" s="15" t="s">
        <v>27074</v>
      </c>
      <c r="C14694" s="15" t="s">
        <v>800</v>
      </c>
      <c r="D14694" s="15" t="s">
        <v>27075</v>
      </c>
      <c r="E14694" s="15">
        <v>13.309200000000001</v>
      </c>
      <c r="F14694" s="42">
        <v>42940</v>
      </c>
    </row>
    <row r="14695" spans="1:6" x14ac:dyDescent="0.3">
      <c r="A14695" s="15" t="s">
        <v>35458</v>
      </c>
      <c r="B14695" s="15" t="s">
        <v>27076</v>
      </c>
      <c r="C14695" s="15" t="s">
        <v>800</v>
      </c>
      <c r="D14695" s="15" t="s">
        <v>27077</v>
      </c>
      <c r="E14695" s="15">
        <v>12.5647</v>
      </c>
      <c r="F14695" s="42">
        <v>42940</v>
      </c>
    </row>
    <row r="14696" spans="1:6" x14ac:dyDescent="0.3">
      <c r="A14696" s="15" t="s">
        <v>35457</v>
      </c>
      <c r="B14696" s="15" t="s">
        <v>27078</v>
      </c>
      <c r="C14696" s="15" t="s">
        <v>800</v>
      </c>
      <c r="D14696" s="15" t="s">
        <v>27079</v>
      </c>
      <c r="E14696" s="15">
        <v>12.4345</v>
      </c>
      <c r="F14696" s="42">
        <v>42940</v>
      </c>
    </row>
    <row r="14697" spans="1:6" x14ac:dyDescent="0.3">
      <c r="A14697" s="15" t="s">
        <v>35456</v>
      </c>
      <c r="B14697" s="15" t="s">
        <v>27080</v>
      </c>
      <c r="C14697" s="15" t="s">
        <v>800</v>
      </c>
      <c r="D14697" s="15" t="s">
        <v>27081</v>
      </c>
      <c r="E14697" s="15">
        <v>13.0718</v>
      </c>
      <c r="F14697" s="42">
        <v>42975</v>
      </c>
    </row>
    <row r="14698" spans="1:6" x14ac:dyDescent="0.3">
      <c r="A14698" s="15" t="s">
        <v>35455</v>
      </c>
      <c r="B14698" s="15" t="s">
        <v>27082</v>
      </c>
      <c r="C14698" s="15" t="s">
        <v>800</v>
      </c>
      <c r="D14698" s="15" t="s">
        <v>27083</v>
      </c>
      <c r="E14698" s="15">
        <v>12.4108</v>
      </c>
      <c r="F14698" s="42">
        <v>42975</v>
      </c>
    </row>
    <row r="14699" spans="1:6" x14ac:dyDescent="0.3">
      <c r="A14699" s="15" t="s">
        <v>35454</v>
      </c>
      <c r="B14699" s="15" t="s">
        <v>27084</v>
      </c>
      <c r="C14699" s="15" t="s">
        <v>800</v>
      </c>
      <c r="D14699" s="15" t="s">
        <v>27085</v>
      </c>
      <c r="E14699" s="15">
        <v>12.5101</v>
      </c>
      <c r="F14699" s="42">
        <v>42975</v>
      </c>
    </row>
    <row r="14700" spans="1:6" x14ac:dyDescent="0.3">
      <c r="A14700" s="15" t="s">
        <v>35453</v>
      </c>
      <c r="B14700" s="15" t="s">
        <v>27086</v>
      </c>
      <c r="C14700" s="15" t="s">
        <v>800</v>
      </c>
      <c r="D14700" s="15" t="s">
        <v>27087</v>
      </c>
      <c r="E14700" s="15">
        <v>13.19</v>
      </c>
      <c r="F14700" s="42">
        <v>42975</v>
      </c>
    </row>
    <row r="14701" spans="1:6" x14ac:dyDescent="0.3">
      <c r="A14701" s="15" t="s">
        <v>35452</v>
      </c>
      <c r="B14701" s="15" t="s">
        <v>27088</v>
      </c>
      <c r="C14701" s="15" t="s">
        <v>800</v>
      </c>
      <c r="D14701" s="15" t="s">
        <v>27089</v>
      </c>
      <c r="E14701" s="15">
        <v>13.798299999999999</v>
      </c>
      <c r="F14701" s="42">
        <v>43291</v>
      </c>
    </row>
    <row r="14702" spans="1:6" x14ac:dyDescent="0.3">
      <c r="A14702" s="15" t="s">
        <v>35451</v>
      </c>
      <c r="B14702" s="15" t="s">
        <v>27090</v>
      </c>
      <c r="C14702" s="15" t="s">
        <v>800</v>
      </c>
      <c r="D14702" s="15" t="s">
        <v>27091</v>
      </c>
      <c r="E14702" s="15">
        <v>13.8415</v>
      </c>
      <c r="F14702" s="42">
        <v>43291</v>
      </c>
    </row>
    <row r="14703" spans="1:6" x14ac:dyDescent="0.3">
      <c r="A14703" s="15" t="s">
        <v>35450</v>
      </c>
      <c r="B14703" s="15" t="s">
        <v>27092</v>
      </c>
      <c r="C14703" s="15" t="s">
        <v>800</v>
      </c>
      <c r="D14703" s="15" t="s">
        <v>27093</v>
      </c>
      <c r="E14703" s="15">
        <v>12.176</v>
      </c>
      <c r="F14703" s="42">
        <v>42852</v>
      </c>
    </row>
    <row r="14704" spans="1:6" x14ac:dyDescent="0.3">
      <c r="A14704" s="15" t="s">
        <v>35449</v>
      </c>
      <c r="B14704" s="15" t="s">
        <v>27094</v>
      </c>
      <c r="C14704" s="15" t="s">
        <v>800</v>
      </c>
      <c r="D14704" s="15" t="s">
        <v>27095</v>
      </c>
      <c r="E14704" s="15">
        <v>12.974</v>
      </c>
      <c r="F14704" s="42">
        <v>42933</v>
      </c>
    </row>
    <row r="14705" spans="1:6" x14ac:dyDescent="0.3">
      <c r="A14705" s="15" t="s">
        <v>35448</v>
      </c>
      <c r="B14705" s="15" t="s">
        <v>27096</v>
      </c>
      <c r="C14705" s="15" t="s">
        <v>800</v>
      </c>
      <c r="D14705" s="15" t="s">
        <v>27097</v>
      </c>
      <c r="E14705" s="15">
        <v>13.0189</v>
      </c>
      <c r="F14705" s="42">
        <v>42933</v>
      </c>
    </row>
    <row r="14706" spans="1:6" x14ac:dyDescent="0.3">
      <c r="A14706" s="15" t="s">
        <v>35447</v>
      </c>
      <c r="B14706" s="15" t="s">
        <v>27098</v>
      </c>
      <c r="C14706" s="15" t="s">
        <v>800</v>
      </c>
      <c r="D14706" s="15" t="s">
        <v>27099</v>
      </c>
      <c r="E14706" s="15">
        <v>12.4361</v>
      </c>
      <c r="F14706" s="42">
        <v>42933</v>
      </c>
    </row>
    <row r="14707" spans="1:6" x14ac:dyDescent="0.3">
      <c r="A14707" s="15" t="s">
        <v>35446</v>
      </c>
      <c r="B14707" s="15" t="s">
        <v>27100</v>
      </c>
      <c r="C14707" s="15" t="s">
        <v>800</v>
      </c>
      <c r="D14707" s="15" t="s">
        <v>27101</v>
      </c>
      <c r="E14707" s="15">
        <v>12.9674</v>
      </c>
      <c r="F14707" s="42">
        <v>42933</v>
      </c>
    </row>
    <row r="14708" spans="1:6" x14ac:dyDescent="0.3">
      <c r="A14708" s="15" t="s">
        <v>35445</v>
      </c>
      <c r="B14708" s="15" t="s">
        <v>27102</v>
      </c>
      <c r="C14708" s="15" t="s">
        <v>800</v>
      </c>
      <c r="D14708" s="15" t="s">
        <v>27103</v>
      </c>
      <c r="E14708" s="15">
        <v>12.9978</v>
      </c>
      <c r="F14708" s="42">
        <v>42933</v>
      </c>
    </row>
    <row r="14709" spans="1:6" x14ac:dyDescent="0.3">
      <c r="A14709" s="15" t="s">
        <v>35444</v>
      </c>
      <c r="B14709" s="15" t="s">
        <v>27104</v>
      </c>
      <c r="C14709" s="15" t="s">
        <v>800</v>
      </c>
      <c r="D14709" s="15" t="s">
        <v>27105</v>
      </c>
      <c r="E14709" s="15">
        <v>12.907999999999999</v>
      </c>
      <c r="F14709" s="42">
        <v>42933</v>
      </c>
    </row>
    <row r="14710" spans="1:6" x14ac:dyDescent="0.3">
      <c r="A14710" s="15" t="s">
        <v>35443</v>
      </c>
      <c r="B14710" s="15" t="s">
        <v>27106</v>
      </c>
      <c r="C14710" s="15" t="s">
        <v>800</v>
      </c>
      <c r="D14710" s="15" t="s">
        <v>27107</v>
      </c>
      <c r="E14710" s="15">
        <v>12.950200000000001</v>
      </c>
      <c r="F14710" s="42">
        <v>42940</v>
      </c>
    </row>
    <row r="14711" spans="1:6" x14ac:dyDescent="0.3">
      <c r="A14711" s="15" t="s">
        <v>35442</v>
      </c>
      <c r="B14711" s="15" t="s">
        <v>27108</v>
      </c>
      <c r="C14711" s="15" t="s">
        <v>800</v>
      </c>
      <c r="D14711" s="15" t="s">
        <v>27109</v>
      </c>
      <c r="E14711" s="15">
        <v>12.9222</v>
      </c>
      <c r="F14711" s="42">
        <v>42940</v>
      </c>
    </row>
    <row r="14712" spans="1:6" x14ac:dyDescent="0.3">
      <c r="A14712" s="15" t="s">
        <v>35441</v>
      </c>
      <c r="B14712" s="15" t="s">
        <v>27110</v>
      </c>
      <c r="C14712" s="15" t="s">
        <v>800</v>
      </c>
      <c r="D14712" s="15" t="s">
        <v>27111</v>
      </c>
      <c r="E14712" s="15">
        <v>12.9816</v>
      </c>
      <c r="F14712" s="42">
        <v>42940</v>
      </c>
    </row>
    <row r="14713" spans="1:6" x14ac:dyDescent="0.3">
      <c r="A14713" s="15" t="s">
        <v>35440</v>
      </c>
      <c r="B14713" s="15" t="s">
        <v>27112</v>
      </c>
      <c r="C14713" s="15" t="s">
        <v>800</v>
      </c>
      <c r="D14713" s="15" t="s">
        <v>27113</v>
      </c>
      <c r="E14713" s="15">
        <v>12.8908</v>
      </c>
      <c r="F14713" s="42">
        <v>42940</v>
      </c>
    </row>
    <row r="14714" spans="1:6" x14ac:dyDescent="0.3">
      <c r="A14714" s="15" t="s">
        <v>35439</v>
      </c>
      <c r="B14714" s="15" t="s">
        <v>27114</v>
      </c>
      <c r="C14714" s="15" t="s">
        <v>800</v>
      </c>
      <c r="D14714" s="15" t="s">
        <v>27115</v>
      </c>
      <c r="E14714" s="15">
        <v>13.8978</v>
      </c>
      <c r="F14714" s="42">
        <v>43291</v>
      </c>
    </row>
    <row r="14715" spans="1:6" x14ac:dyDescent="0.3">
      <c r="A14715" s="15" t="s">
        <v>35438</v>
      </c>
      <c r="B14715" s="15" t="s">
        <v>27116</v>
      </c>
      <c r="C14715" s="15" t="s">
        <v>800</v>
      </c>
      <c r="D14715" s="15" t="s">
        <v>27117</v>
      </c>
      <c r="E14715" s="15">
        <v>13.961600000000001</v>
      </c>
      <c r="F14715" s="42">
        <v>43291</v>
      </c>
    </row>
    <row r="14716" spans="1:6" x14ac:dyDescent="0.3">
      <c r="A14716" s="15" t="s">
        <v>35437</v>
      </c>
      <c r="B14716" s="15" t="s">
        <v>27118</v>
      </c>
      <c r="C14716" s="15" t="s">
        <v>800</v>
      </c>
      <c r="D14716" s="15" t="s">
        <v>27119</v>
      </c>
      <c r="E14716" s="15">
        <v>13.8436</v>
      </c>
      <c r="F14716" s="42">
        <v>43291</v>
      </c>
    </row>
    <row r="14717" spans="1:6" x14ac:dyDescent="0.3">
      <c r="A14717" s="15" t="s">
        <v>35436</v>
      </c>
      <c r="B14717" s="15" t="s">
        <v>27120</v>
      </c>
      <c r="C14717" s="15" t="s">
        <v>800</v>
      </c>
      <c r="D14717" s="15" t="s">
        <v>27121</v>
      </c>
      <c r="E14717" s="15">
        <v>13.780099999999999</v>
      </c>
      <c r="F14717" s="42">
        <v>43291</v>
      </c>
    </row>
    <row r="14718" spans="1:6" x14ac:dyDescent="0.3">
      <c r="A14718" s="15" t="s">
        <v>35435</v>
      </c>
      <c r="B14718" s="15" t="s">
        <v>27122</v>
      </c>
      <c r="C14718" s="15" t="s">
        <v>800</v>
      </c>
      <c r="D14718" s="15" t="s">
        <v>27123</v>
      </c>
      <c r="E14718" s="15">
        <v>13.8231</v>
      </c>
      <c r="F14718" s="42">
        <v>43291</v>
      </c>
    </row>
    <row r="14719" spans="1:6" x14ac:dyDescent="0.3">
      <c r="A14719" s="15" t="s">
        <v>35434</v>
      </c>
      <c r="B14719" s="15" t="s">
        <v>27124</v>
      </c>
      <c r="C14719" s="15" t="s">
        <v>800</v>
      </c>
      <c r="D14719" s="15" t="s">
        <v>27125</v>
      </c>
      <c r="E14719" s="15">
        <v>13.871700000000001</v>
      </c>
      <c r="F14719" s="42">
        <v>43291</v>
      </c>
    </row>
    <row r="14720" spans="1:6" x14ac:dyDescent="0.3">
      <c r="A14720" s="15" t="s">
        <v>35433</v>
      </c>
      <c r="B14720" s="15" t="s">
        <v>27126</v>
      </c>
      <c r="C14720" s="15" t="s">
        <v>800</v>
      </c>
      <c r="D14720" s="15" t="s">
        <v>27127</v>
      </c>
      <c r="E14720" s="15">
        <v>12.9887</v>
      </c>
      <c r="F14720" s="42">
        <v>42940</v>
      </c>
    </row>
    <row r="14721" spans="1:6" x14ac:dyDescent="0.3">
      <c r="A14721" s="15" t="s">
        <v>35432</v>
      </c>
      <c r="B14721" s="15" t="s">
        <v>27128</v>
      </c>
      <c r="C14721" s="15" t="s">
        <v>800</v>
      </c>
      <c r="D14721" s="15" t="s">
        <v>27129</v>
      </c>
      <c r="E14721" s="15">
        <v>10.930199999999999</v>
      </c>
      <c r="F14721" s="42">
        <v>42136</v>
      </c>
    </row>
    <row r="14722" spans="1:6" x14ac:dyDescent="0.3">
      <c r="A14722" s="15" t="s">
        <v>35431</v>
      </c>
      <c r="B14722" s="15" t="s">
        <v>27130</v>
      </c>
      <c r="C14722" s="15" t="s">
        <v>800</v>
      </c>
      <c r="D14722" s="15" t="s">
        <v>27131</v>
      </c>
      <c r="E14722" s="15">
        <v>12.9655</v>
      </c>
      <c r="F14722" s="42">
        <v>42940</v>
      </c>
    </row>
    <row r="14723" spans="1:6" x14ac:dyDescent="0.3">
      <c r="A14723" s="15" t="s">
        <v>35430</v>
      </c>
      <c r="B14723" s="15" t="s">
        <v>27132</v>
      </c>
      <c r="C14723" s="15" t="s">
        <v>800</v>
      </c>
      <c r="D14723" s="15" t="s">
        <v>27133</v>
      </c>
      <c r="E14723" s="15">
        <v>13.0251</v>
      </c>
      <c r="F14723" s="42">
        <v>42940</v>
      </c>
    </row>
    <row r="14724" spans="1:6" x14ac:dyDescent="0.3">
      <c r="A14724" s="15" t="s">
        <v>35429</v>
      </c>
      <c r="B14724" s="15" t="s">
        <v>27134</v>
      </c>
      <c r="C14724" s="15" t="s">
        <v>800</v>
      </c>
      <c r="D14724" s="15" t="s">
        <v>27135</v>
      </c>
      <c r="E14724" s="15">
        <v>12.9072</v>
      </c>
      <c r="F14724" s="42">
        <v>42943</v>
      </c>
    </row>
    <row r="14725" spans="1:6" x14ac:dyDescent="0.3">
      <c r="A14725" s="15" t="s">
        <v>35428</v>
      </c>
      <c r="B14725" s="15" t="s">
        <v>27136</v>
      </c>
      <c r="C14725" s="15" t="s">
        <v>800</v>
      </c>
      <c r="D14725" s="15" t="s">
        <v>27137</v>
      </c>
      <c r="E14725" s="15">
        <v>10.9092</v>
      </c>
      <c r="F14725" s="42">
        <v>42150</v>
      </c>
    </row>
    <row r="14726" spans="1:6" x14ac:dyDescent="0.3">
      <c r="A14726" s="15" t="s">
        <v>35427</v>
      </c>
      <c r="B14726" s="15" t="s">
        <v>27138</v>
      </c>
      <c r="C14726" s="15" t="s">
        <v>800</v>
      </c>
      <c r="D14726" s="15" t="s">
        <v>27139</v>
      </c>
      <c r="E14726" s="15">
        <v>12.848000000000001</v>
      </c>
      <c r="F14726" s="42">
        <v>42943</v>
      </c>
    </row>
    <row r="14727" spans="1:6" x14ac:dyDescent="0.3">
      <c r="A14727" s="15" t="s">
        <v>35426</v>
      </c>
      <c r="B14727" s="15" t="s">
        <v>27140</v>
      </c>
      <c r="C14727" s="15" t="s">
        <v>800</v>
      </c>
      <c r="D14727" s="15" t="s">
        <v>27141</v>
      </c>
      <c r="E14727" s="15">
        <v>12.938700000000001</v>
      </c>
      <c r="F14727" s="42">
        <v>42943</v>
      </c>
    </row>
    <row r="14728" spans="1:6" x14ac:dyDescent="0.3">
      <c r="A14728" s="15" t="s">
        <v>35425</v>
      </c>
      <c r="B14728" s="15" t="s">
        <v>27142</v>
      </c>
      <c r="C14728" s="15" t="s">
        <v>800</v>
      </c>
      <c r="D14728" s="15" t="s">
        <v>27143</v>
      </c>
      <c r="E14728" s="15">
        <v>12.8812</v>
      </c>
      <c r="F14728" s="42">
        <v>42943</v>
      </c>
    </row>
    <row r="14729" spans="1:6" x14ac:dyDescent="0.3">
      <c r="A14729" s="15" t="s">
        <v>35424</v>
      </c>
      <c r="B14729" s="15" t="s">
        <v>27144</v>
      </c>
      <c r="C14729" s="15" t="s">
        <v>800</v>
      </c>
      <c r="D14729" s="15" t="s">
        <v>27145</v>
      </c>
      <c r="E14729" s="15">
        <v>12.8233</v>
      </c>
      <c r="F14729" s="42">
        <v>42943</v>
      </c>
    </row>
    <row r="14730" spans="1:6" x14ac:dyDescent="0.3">
      <c r="A14730" s="15" t="s">
        <v>35423</v>
      </c>
      <c r="B14730" s="15" t="s">
        <v>27146</v>
      </c>
      <c r="C14730" s="15" t="s">
        <v>800</v>
      </c>
      <c r="D14730" s="15" t="s">
        <v>27147</v>
      </c>
      <c r="E14730" s="15">
        <v>12.904299999999999</v>
      </c>
      <c r="F14730" s="42">
        <v>42943</v>
      </c>
    </row>
    <row r="14731" spans="1:6" x14ac:dyDescent="0.3">
      <c r="A14731" s="15" t="s">
        <v>35422</v>
      </c>
      <c r="B14731" s="15" t="s">
        <v>27148</v>
      </c>
      <c r="C14731" s="15" t="s">
        <v>800</v>
      </c>
      <c r="D14731" s="15" t="s">
        <v>27149</v>
      </c>
      <c r="E14731" s="15">
        <v>10.9025</v>
      </c>
      <c r="F14731" s="42">
        <v>42156</v>
      </c>
    </row>
    <row r="14732" spans="1:6" x14ac:dyDescent="0.3">
      <c r="A14732" s="15" t="s">
        <v>35421</v>
      </c>
      <c r="B14732" s="15" t="s">
        <v>27150</v>
      </c>
      <c r="C14732" s="15" t="s">
        <v>800</v>
      </c>
      <c r="D14732" s="15" t="s">
        <v>27151</v>
      </c>
      <c r="E14732" s="15">
        <v>13.866199999999999</v>
      </c>
      <c r="F14732" s="42">
        <v>43291</v>
      </c>
    </row>
    <row r="14733" spans="1:6" x14ac:dyDescent="0.3">
      <c r="A14733" s="15" t="s">
        <v>35420</v>
      </c>
      <c r="B14733" s="15" t="s">
        <v>27152</v>
      </c>
      <c r="C14733" s="15" t="s">
        <v>800</v>
      </c>
      <c r="D14733" s="15" t="s">
        <v>27153</v>
      </c>
      <c r="E14733" s="15">
        <v>13.900399999999999</v>
      </c>
      <c r="F14733" s="42">
        <v>43291</v>
      </c>
    </row>
    <row r="14734" spans="1:6" x14ac:dyDescent="0.3">
      <c r="A14734" s="15" t="s">
        <v>35419</v>
      </c>
      <c r="B14734" s="15" t="s">
        <v>27154</v>
      </c>
      <c r="C14734" s="15" t="s">
        <v>800</v>
      </c>
      <c r="D14734" s="15" t="s">
        <v>27155</v>
      </c>
      <c r="E14734" s="15">
        <v>12.738799999999999</v>
      </c>
      <c r="F14734" s="42">
        <v>42852</v>
      </c>
    </row>
    <row r="14735" spans="1:6" x14ac:dyDescent="0.3">
      <c r="A14735" s="15" t="s">
        <v>35418</v>
      </c>
      <c r="B14735" s="15" t="s">
        <v>27156</v>
      </c>
      <c r="C14735" s="15" t="s">
        <v>800</v>
      </c>
      <c r="D14735" s="15" t="s">
        <v>27157</v>
      </c>
      <c r="E14735" s="15">
        <v>12.703900000000001</v>
      </c>
      <c r="F14735" s="42">
        <v>42852</v>
      </c>
    </row>
    <row r="14736" spans="1:6" x14ac:dyDescent="0.3">
      <c r="A14736" s="15" t="s">
        <v>35417</v>
      </c>
      <c r="B14736" s="15" t="s">
        <v>27158</v>
      </c>
      <c r="C14736" s="15" t="s">
        <v>800</v>
      </c>
      <c r="D14736" s="15" t="s">
        <v>27159</v>
      </c>
      <c r="E14736" s="15">
        <v>12.783300000000001</v>
      </c>
      <c r="F14736" s="42">
        <v>42943</v>
      </c>
    </row>
    <row r="14737" spans="1:6" x14ac:dyDescent="0.3">
      <c r="A14737" s="15" t="s">
        <v>35416</v>
      </c>
      <c r="B14737" s="15" t="s">
        <v>27160</v>
      </c>
      <c r="C14737" s="15" t="s">
        <v>800</v>
      </c>
      <c r="D14737" s="15" t="s">
        <v>27161</v>
      </c>
      <c r="E14737" s="15">
        <v>12.8002</v>
      </c>
      <c r="F14737" s="42">
        <v>42943</v>
      </c>
    </row>
    <row r="14738" spans="1:6" x14ac:dyDescent="0.3">
      <c r="A14738" s="15" t="s">
        <v>35415</v>
      </c>
      <c r="B14738" s="15" t="s">
        <v>27162</v>
      </c>
      <c r="C14738" s="15" t="s">
        <v>800</v>
      </c>
      <c r="D14738" s="15" t="s">
        <v>27163</v>
      </c>
      <c r="E14738" s="15">
        <v>12.4505</v>
      </c>
      <c r="F14738" s="42">
        <v>42943</v>
      </c>
    </row>
    <row r="14739" spans="1:6" x14ac:dyDescent="0.3">
      <c r="A14739" s="15" t="s">
        <v>35414</v>
      </c>
      <c r="B14739" s="15" t="s">
        <v>27164</v>
      </c>
      <c r="C14739" s="15" t="s">
        <v>800</v>
      </c>
      <c r="D14739" s="15" t="s">
        <v>27165</v>
      </c>
      <c r="E14739" s="15">
        <v>12.4358</v>
      </c>
      <c r="F14739" s="42">
        <v>42943</v>
      </c>
    </row>
    <row r="14740" spans="1:6" x14ac:dyDescent="0.3">
      <c r="A14740" s="15" t="s">
        <v>35413</v>
      </c>
      <c r="B14740" s="15" t="s">
        <v>27166</v>
      </c>
      <c r="C14740" s="15" t="s">
        <v>800</v>
      </c>
      <c r="D14740" s="15" t="s">
        <v>27167</v>
      </c>
      <c r="E14740" s="15">
        <v>13.89</v>
      </c>
      <c r="F14740" s="42">
        <v>44120</v>
      </c>
    </row>
    <row r="14741" spans="1:6" x14ac:dyDescent="0.3">
      <c r="A14741" s="15" t="s">
        <v>35412</v>
      </c>
      <c r="B14741" s="15" t="s">
        <v>27168</v>
      </c>
      <c r="C14741" s="15" t="s">
        <v>800</v>
      </c>
      <c r="D14741" s="15" t="s">
        <v>27169</v>
      </c>
      <c r="E14741" s="15">
        <v>14.2742</v>
      </c>
      <c r="F14741" s="42">
        <v>44120</v>
      </c>
    </row>
    <row r="14742" spans="1:6" x14ac:dyDescent="0.3">
      <c r="A14742" s="15" t="s">
        <v>35411</v>
      </c>
      <c r="B14742" s="15" t="s">
        <v>27170</v>
      </c>
      <c r="C14742" s="15" t="s">
        <v>800</v>
      </c>
      <c r="D14742" s="15" t="s">
        <v>27171</v>
      </c>
      <c r="E14742" s="15">
        <v>14.2742</v>
      </c>
      <c r="F14742" s="42">
        <v>44120</v>
      </c>
    </row>
    <row r="14743" spans="1:6" x14ac:dyDescent="0.3">
      <c r="A14743" s="15" t="s">
        <v>35410</v>
      </c>
      <c r="B14743" s="15" t="s">
        <v>27172</v>
      </c>
      <c r="C14743" s="15" t="s">
        <v>800</v>
      </c>
      <c r="D14743" s="15" t="s">
        <v>27173</v>
      </c>
      <c r="E14743" s="15">
        <v>13.89</v>
      </c>
      <c r="F14743" s="42">
        <v>44120</v>
      </c>
    </row>
    <row r="14744" spans="1:6" x14ac:dyDescent="0.3">
      <c r="A14744" s="15" t="s">
        <v>35409</v>
      </c>
      <c r="B14744" s="15" t="s">
        <v>27174</v>
      </c>
      <c r="C14744" s="15" t="s">
        <v>800</v>
      </c>
      <c r="D14744" s="15" t="s">
        <v>27175</v>
      </c>
      <c r="E14744" s="15">
        <v>14.2247</v>
      </c>
      <c r="F14744" s="42">
        <v>44207</v>
      </c>
    </row>
    <row r="14745" spans="1:6" x14ac:dyDescent="0.3">
      <c r="A14745" s="15" t="s">
        <v>35408</v>
      </c>
      <c r="B14745" s="15" t="s">
        <v>27176</v>
      </c>
      <c r="C14745" s="15" t="s">
        <v>800</v>
      </c>
      <c r="D14745" s="15" t="s">
        <v>27177</v>
      </c>
      <c r="E14745" s="15">
        <v>15.0573</v>
      </c>
      <c r="F14745" s="42">
        <v>44207</v>
      </c>
    </row>
    <row r="14746" spans="1:6" x14ac:dyDescent="0.3">
      <c r="A14746" s="15" t="s">
        <v>35407</v>
      </c>
      <c r="B14746" s="15" t="s">
        <v>27178</v>
      </c>
      <c r="C14746" s="15" t="s">
        <v>800</v>
      </c>
      <c r="D14746" s="15" t="s">
        <v>27179</v>
      </c>
      <c r="E14746" s="15">
        <v>15.0573</v>
      </c>
      <c r="F14746" s="42">
        <v>44207</v>
      </c>
    </row>
    <row r="14747" spans="1:6" x14ac:dyDescent="0.3">
      <c r="A14747" s="15" t="s">
        <v>35406</v>
      </c>
      <c r="B14747" s="15" t="s">
        <v>27180</v>
      </c>
      <c r="C14747" s="15" t="s">
        <v>800</v>
      </c>
      <c r="D14747" s="15" t="s">
        <v>27181</v>
      </c>
      <c r="E14747" s="15">
        <v>14.2247</v>
      </c>
      <c r="F14747" s="42">
        <v>44207</v>
      </c>
    </row>
    <row r="14748" spans="1:6" x14ac:dyDescent="0.3">
      <c r="A14748" s="15" t="s">
        <v>35405</v>
      </c>
      <c r="B14748" s="15" t="s">
        <v>27182</v>
      </c>
      <c r="C14748" s="15" t="s">
        <v>800</v>
      </c>
      <c r="D14748" s="15" t="s">
        <v>27183</v>
      </c>
      <c r="E14748" s="15">
        <v>12.926299999999999</v>
      </c>
      <c r="F14748" s="42">
        <v>44013</v>
      </c>
    </row>
    <row r="14749" spans="1:6" x14ac:dyDescent="0.3">
      <c r="A14749" s="15" t="s">
        <v>35404</v>
      </c>
      <c r="B14749" s="15" t="s">
        <v>27184</v>
      </c>
      <c r="C14749" s="15" t="s">
        <v>800</v>
      </c>
      <c r="D14749" s="15" t="s">
        <v>27185</v>
      </c>
      <c r="E14749" s="15">
        <v>13.4892</v>
      </c>
      <c r="F14749" s="42">
        <v>44013</v>
      </c>
    </row>
    <row r="14750" spans="1:6" x14ac:dyDescent="0.3">
      <c r="A14750" s="15" t="s">
        <v>35403</v>
      </c>
      <c r="B14750" s="15" t="s">
        <v>27186</v>
      </c>
      <c r="C14750" s="15" t="s">
        <v>800</v>
      </c>
      <c r="D14750" s="15" t="s">
        <v>27187</v>
      </c>
      <c r="E14750" s="15">
        <v>13.4892</v>
      </c>
      <c r="F14750" s="42">
        <v>44013</v>
      </c>
    </row>
    <row r="14751" spans="1:6" x14ac:dyDescent="0.3">
      <c r="A14751" s="15" t="s">
        <v>35402</v>
      </c>
      <c r="B14751" s="15" t="s">
        <v>27188</v>
      </c>
      <c r="C14751" s="15" t="s">
        <v>800</v>
      </c>
      <c r="D14751" s="15" t="s">
        <v>27189</v>
      </c>
      <c r="E14751" s="15">
        <v>12.926299999999999</v>
      </c>
      <c r="F14751" s="42">
        <v>44013</v>
      </c>
    </row>
    <row r="14752" spans="1:6" x14ac:dyDescent="0.3">
      <c r="A14752" s="15" t="s">
        <v>35401</v>
      </c>
      <c r="B14752" s="15" t="s">
        <v>27190</v>
      </c>
      <c r="C14752" s="15" t="s">
        <v>800</v>
      </c>
      <c r="D14752" s="15" t="s">
        <v>27191</v>
      </c>
      <c r="E14752" s="15">
        <v>12.576499999999999</v>
      </c>
      <c r="F14752" s="42">
        <v>44015</v>
      </c>
    </row>
    <row r="14753" spans="1:6" x14ac:dyDescent="0.3">
      <c r="A14753" s="15" t="s">
        <v>35400</v>
      </c>
      <c r="B14753" s="15" t="s">
        <v>27192</v>
      </c>
      <c r="C14753" s="15" t="s">
        <v>800</v>
      </c>
      <c r="D14753" s="15" t="s">
        <v>27193</v>
      </c>
      <c r="E14753" s="15">
        <v>13.029</v>
      </c>
      <c r="F14753" s="42">
        <v>44015</v>
      </c>
    </row>
    <row r="14754" spans="1:6" x14ac:dyDescent="0.3">
      <c r="A14754" s="15" t="s">
        <v>35399</v>
      </c>
      <c r="B14754" s="15" t="s">
        <v>27194</v>
      </c>
      <c r="C14754" s="15" t="s">
        <v>800</v>
      </c>
      <c r="D14754" s="15" t="s">
        <v>27195</v>
      </c>
      <c r="E14754" s="15">
        <v>13.029</v>
      </c>
      <c r="F14754" s="42">
        <v>44015</v>
      </c>
    </row>
    <row r="14755" spans="1:6" x14ac:dyDescent="0.3">
      <c r="A14755" s="15" t="s">
        <v>35398</v>
      </c>
      <c r="B14755" s="15" t="s">
        <v>27196</v>
      </c>
      <c r="C14755" s="15" t="s">
        <v>800</v>
      </c>
      <c r="D14755" s="15" t="s">
        <v>27197</v>
      </c>
      <c r="E14755" s="15">
        <v>12.576499999999999</v>
      </c>
      <c r="F14755" s="42">
        <v>44015</v>
      </c>
    </row>
    <row r="14756" spans="1:6" x14ac:dyDescent="0.3">
      <c r="A14756" s="15" t="s">
        <v>35397</v>
      </c>
      <c r="B14756" s="15" t="s">
        <v>27198</v>
      </c>
      <c r="C14756" s="15" t="s">
        <v>800</v>
      </c>
      <c r="D14756" s="15" t="s">
        <v>27199</v>
      </c>
      <c r="E14756" s="15">
        <v>12.209099999999999</v>
      </c>
      <c r="F14756" s="42">
        <v>44046</v>
      </c>
    </row>
    <row r="14757" spans="1:6" x14ac:dyDescent="0.3">
      <c r="A14757" s="15" t="s">
        <v>35396</v>
      </c>
      <c r="B14757" s="15" t="s">
        <v>27200</v>
      </c>
      <c r="C14757" s="15" t="s">
        <v>800</v>
      </c>
      <c r="D14757" s="15" t="s">
        <v>27201</v>
      </c>
      <c r="E14757" s="15">
        <v>12.6591</v>
      </c>
      <c r="F14757" s="42">
        <v>44046</v>
      </c>
    </row>
    <row r="14758" spans="1:6" x14ac:dyDescent="0.3">
      <c r="A14758" s="15" t="s">
        <v>35395</v>
      </c>
      <c r="B14758" s="15" t="s">
        <v>27202</v>
      </c>
      <c r="C14758" s="15" t="s">
        <v>800</v>
      </c>
      <c r="D14758" s="15" t="s">
        <v>27203</v>
      </c>
      <c r="E14758" s="15">
        <v>12.6591</v>
      </c>
      <c r="F14758" s="42">
        <v>44046</v>
      </c>
    </row>
    <row r="14759" spans="1:6" x14ac:dyDescent="0.3">
      <c r="A14759" s="15" t="s">
        <v>35394</v>
      </c>
      <c r="B14759" s="15" t="s">
        <v>27204</v>
      </c>
      <c r="C14759" s="15" t="s">
        <v>800</v>
      </c>
      <c r="D14759" s="15" t="s">
        <v>27205</v>
      </c>
      <c r="E14759" s="15">
        <v>12.209099999999999</v>
      </c>
      <c r="F14759" s="42">
        <v>44046</v>
      </c>
    </row>
    <row r="14760" spans="1:6" x14ac:dyDescent="0.3">
      <c r="A14760" s="15" t="s">
        <v>35393</v>
      </c>
      <c r="B14760" s="15" t="s">
        <v>27206</v>
      </c>
      <c r="C14760" s="15" t="s">
        <v>800</v>
      </c>
      <c r="D14760" s="15" t="s">
        <v>27207</v>
      </c>
      <c r="E14760" s="15">
        <v>12.269500000000001</v>
      </c>
      <c r="F14760" s="42">
        <v>44042</v>
      </c>
    </row>
    <row r="14761" spans="1:6" x14ac:dyDescent="0.3">
      <c r="A14761" s="15" t="s">
        <v>35392</v>
      </c>
      <c r="B14761" s="15" t="s">
        <v>27208</v>
      </c>
      <c r="C14761" s="15" t="s">
        <v>800</v>
      </c>
      <c r="D14761" s="15" t="s">
        <v>27209</v>
      </c>
      <c r="E14761" s="15">
        <v>12.736599999999999</v>
      </c>
      <c r="F14761" s="42">
        <v>44042</v>
      </c>
    </row>
    <row r="14762" spans="1:6" x14ac:dyDescent="0.3">
      <c r="A14762" s="15" t="s">
        <v>35391</v>
      </c>
      <c r="B14762" s="15" t="s">
        <v>27210</v>
      </c>
      <c r="C14762" s="15" t="s">
        <v>800</v>
      </c>
      <c r="D14762" s="15" t="s">
        <v>27211</v>
      </c>
      <c r="E14762" s="15">
        <v>12.736599999999999</v>
      </c>
      <c r="F14762" s="42">
        <v>44042</v>
      </c>
    </row>
    <row r="14763" spans="1:6" x14ac:dyDescent="0.3">
      <c r="A14763" s="15" t="s">
        <v>35390</v>
      </c>
      <c r="B14763" s="15" t="s">
        <v>27212</v>
      </c>
      <c r="C14763" s="15" t="s">
        <v>800</v>
      </c>
      <c r="D14763" s="15" t="s">
        <v>27213</v>
      </c>
      <c r="E14763" s="15">
        <v>12.269500000000001</v>
      </c>
      <c r="F14763" s="42">
        <v>44042</v>
      </c>
    </row>
    <row r="14764" spans="1:6" x14ac:dyDescent="0.3">
      <c r="A14764" s="15" t="s">
        <v>35389</v>
      </c>
      <c r="B14764" s="15" t="s">
        <v>27214</v>
      </c>
      <c r="C14764" s="15" t="s">
        <v>800</v>
      </c>
      <c r="D14764" s="15" t="s">
        <v>27215</v>
      </c>
      <c r="E14764" s="15">
        <v>12.6723</v>
      </c>
      <c r="F14764" s="42">
        <v>44379</v>
      </c>
    </row>
    <row r="14765" spans="1:6" x14ac:dyDescent="0.3">
      <c r="A14765" s="15" t="s">
        <v>35388</v>
      </c>
      <c r="B14765" s="15" t="s">
        <v>27216</v>
      </c>
      <c r="C14765" s="15" t="s">
        <v>800</v>
      </c>
      <c r="D14765" s="15" t="s">
        <v>27217</v>
      </c>
      <c r="E14765" s="15">
        <v>12.9582</v>
      </c>
      <c r="F14765" s="42">
        <v>44379</v>
      </c>
    </row>
    <row r="14766" spans="1:6" x14ac:dyDescent="0.3">
      <c r="A14766" s="15" t="s">
        <v>35387</v>
      </c>
      <c r="B14766" s="15" t="s">
        <v>27218</v>
      </c>
      <c r="C14766" s="15" t="s">
        <v>800</v>
      </c>
      <c r="D14766" s="15" t="s">
        <v>27219</v>
      </c>
      <c r="E14766" s="15">
        <v>12.9582</v>
      </c>
      <c r="F14766" s="42">
        <v>44379</v>
      </c>
    </row>
    <row r="14767" spans="1:6" x14ac:dyDescent="0.3">
      <c r="A14767" s="15" t="s">
        <v>35386</v>
      </c>
      <c r="B14767" s="15" t="s">
        <v>27220</v>
      </c>
      <c r="C14767" s="15" t="s">
        <v>800</v>
      </c>
      <c r="D14767" s="15" t="s">
        <v>27221</v>
      </c>
      <c r="E14767" s="15">
        <v>12.6723</v>
      </c>
      <c r="F14767" s="42">
        <v>44379</v>
      </c>
    </row>
    <row r="14768" spans="1:6" x14ac:dyDescent="0.3">
      <c r="A14768" s="15" t="s">
        <v>35385</v>
      </c>
      <c r="B14768" s="15" t="s">
        <v>27222</v>
      </c>
      <c r="C14768" s="15" t="s">
        <v>800</v>
      </c>
      <c r="D14768" s="15" t="s">
        <v>27223</v>
      </c>
      <c r="E14768" s="15">
        <v>13.679500000000001</v>
      </c>
      <c r="F14768" s="42">
        <v>42460</v>
      </c>
    </row>
    <row r="14769" spans="1:6" x14ac:dyDescent="0.3">
      <c r="A14769" s="15" t="s">
        <v>35384</v>
      </c>
      <c r="B14769" s="15" t="s">
        <v>27224</v>
      </c>
      <c r="C14769" s="15" t="s">
        <v>800</v>
      </c>
      <c r="D14769" s="15" t="s">
        <v>27225</v>
      </c>
      <c r="E14769" s="15">
        <v>14.149100000000001</v>
      </c>
      <c r="F14769" s="42">
        <v>42460</v>
      </c>
    </row>
    <row r="14770" spans="1:6" x14ac:dyDescent="0.3">
      <c r="A14770" s="15" t="s">
        <v>35383</v>
      </c>
      <c r="B14770" s="15" t="s">
        <v>27226</v>
      </c>
      <c r="C14770" s="15" t="s">
        <v>800</v>
      </c>
      <c r="D14770" s="15" t="s">
        <v>27227</v>
      </c>
      <c r="E14770" s="15">
        <v>12.162699999999999</v>
      </c>
      <c r="F14770" s="42">
        <v>42460</v>
      </c>
    </row>
    <row r="14771" spans="1:6" x14ac:dyDescent="0.3">
      <c r="A14771" s="15" t="s">
        <v>35382</v>
      </c>
      <c r="B14771" s="15" t="s">
        <v>27228</v>
      </c>
      <c r="C14771" s="15" t="s">
        <v>800</v>
      </c>
      <c r="D14771" s="15" t="s">
        <v>27229</v>
      </c>
      <c r="E14771" s="15">
        <v>11.9359</v>
      </c>
      <c r="F14771" s="42">
        <v>42460</v>
      </c>
    </row>
    <row r="14772" spans="1:6" x14ac:dyDescent="0.3">
      <c r="A14772" s="15" t="s">
        <v>35381</v>
      </c>
      <c r="B14772" s="15" t="s">
        <v>27230</v>
      </c>
      <c r="C14772" s="15" t="s">
        <v>800</v>
      </c>
      <c r="D14772" s="15" t="s">
        <v>27231</v>
      </c>
      <c r="E14772" s="15">
        <v>13.441800000000001</v>
      </c>
      <c r="F14772" s="42">
        <v>42499</v>
      </c>
    </row>
    <row r="14773" spans="1:6" x14ac:dyDescent="0.3">
      <c r="A14773" s="15" t="s">
        <v>35380</v>
      </c>
      <c r="B14773" s="15" t="s">
        <v>27232</v>
      </c>
      <c r="C14773" s="15" t="s">
        <v>800</v>
      </c>
      <c r="D14773" s="15" t="s">
        <v>27233</v>
      </c>
      <c r="E14773" s="15">
        <v>13.9543</v>
      </c>
      <c r="F14773" s="42">
        <v>42499</v>
      </c>
    </row>
    <row r="14774" spans="1:6" x14ac:dyDescent="0.3">
      <c r="A14774" s="15" t="s">
        <v>35379</v>
      </c>
      <c r="B14774" s="15" t="s">
        <v>27234</v>
      </c>
      <c r="C14774" s="15" t="s">
        <v>800</v>
      </c>
      <c r="D14774" s="15" t="s">
        <v>27235</v>
      </c>
      <c r="E14774" s="15">
        <v>12.2117</v>
      </c>
      <c r="F14774" s="42">
        <v>42499</v>
      </c>
    </row>
    <row r="14775" spans="1:6" x14ac:dyDescent="0.3">
      <c r="A14775" s="15" t="s">
        <v>35378</v>
      </c>
      <c r="B14775" s="15" t="s">
        <v>27236</v>
      </c>
      <c r="C14775" s="15" t="s">
        <v>800</v>
      </c>
      <c r="D14775" s="15" t="s">
        <v>27237</v>
      </c>
      <c r="E14775" s="15">
        <v>11.941599999999999</v>
      </c>
      <c r="F14775" s="42">
        <v>42499</v>
      </c>
    </row>
    <row r="14776" spans="1:6" x14ac:dyDescent="0.3">
      <c r="A14776" s="15" t="s">
        <v>35377</v>
      </c>
      <c r="B14776" s="15" t="s">
        <v>27238</v>
      </c>
      <c r="C14776" s="15" t="s">
        <v>800</v>
      </c>
      <c r="D14776" s="15" t="s">
        <v>27239</v>
      </c>
      <c r="E14776" s="15">
        <v>15.568</v>
      </c>
      <c r="F14776" s="42">
        <v>43570</v>
      </c>
    </row>
    <row r="14777" spans="1:6" x14ac:dyDescent="0.3">
      <c r="A14777" s="15" t="s">
        <v>35376</v>
      </c>
      <c r="B14777" s="15" t="s">
        <v>27240</v>
      </c>
      <c r="C14777" s="15" t="s">
        <v>800</v>
      </c>
      <c r="D14777" s="15" t="s">
        <v>27241</v>
      </c>
      <c r="E14777" s="15">
        <v>16.613499999999998</v>
      </c>
      <c r="F14777" s="42">
        <v>43570</v>
      </c>
    </row>
    <row r="14778" spans="1:6" x14ac:dyDescent="0.3">
      <c r="A14778" s="15" t="s">
        <v>35375</v>
      </c>
      <c r="B14778" s="15" t="s">
        <v>27242</v>
      </c>
      <c r="C14778" s="15" t="s">
        <v>800</v>
      </c>
      <c r="D14778" s="15" t="s">
        <v>27243</v>
      </c>
      <c r="E14778" s="15">
        <v>11.970599999999999</v>
      </c>
      <c r="F14778" s="42">
        <v>42514</v>
      </c>
    </row>
    <row r="14779" spans="1:6" x14ac:dyDescent="0.3">
      <c r="A14779" s="15" t="s">
        <v>35374</v>
      </c>
      <c r="B14779" s="15" t="s">
        <v>27244</v>
      </c>
      <c r="C14779" s="15" t="s">
        <v>800</v>
      </c>
      <c r="D14779" s="15" t="s">
        <v>27245</v>
      </c>
      <c r="E14779" s="15">
        <v>11.726000000000001</v>
      </c>
      <c r="F14779" s="42">
        <v>42514</v>
      </c>
    </row>
    <row r="14780" spans="1:6" x14ac:dyDescent="0.3">
      <c r="A14780" s="15" t="s">
        <v>35373</v>
      </c>
      <c r="B14780" s="15" t="s">
        <v>27246</v>
      </c>
      <c r="C14780" s="15" t="s">
        <v>800</v>
      </c>
      <c r="D14780" s="15" t="s">
        <v>27247</v>
      </c>
      <c r="E14780" s="15">
        <v>15.6067</v>
      </c>
      <c r="F14780" s="42">
        <v>43570</v>
      </c>
    </row>
    <row r="14781" spans="1:6" x14ac:dyDescent="0.3">
      <c r="A14781" s="15" t="s">
        <v>35372</v>
      </c>
      <c r="B14781" s="15" t="s">
        <v>27248</v>
      </c>
      <c r="C14781" s="15" t="s">
        <v>800</v>
      </c>
      <c r="D14781" s="15" t="s">
        <v>27249</v>
      </c>
      <c r="E14781" s="15">
        <v>16.587599999999998</v>
      </c>
      <c r="F14781" s="42">
        <v>43570</v>
      </c>
    </row>
    <row r="14782" spans="1:6" x14ac:dyDescent="0.3">
      <c r="A14782" s="15" t="s">
        <v>35371</v>
      </c>
      <c r="B14782" s="15" t="s">
        <v>27250</v>
      </c>
      <c r="C14782" s="15" t="s">
        <v>800</v>
      </c>
      <c r="D14782" s="15" t="s">
        <v>27251</v>
      </c>
      <c r="E14782" s="15">
        <v>14.3827</v>
      </c>
      <c r="F14782" s="42">
        <v>43570</v>
      </c>
    </row>
    <row r="14783" spans="1:6" x14ac:dyDescent="0.3">
      <c r="A14783" s="15" t="s">
        <v>35370</v>
      </c>
      <c r="B14783" s="15" t="s">
        <v>27252</v>
      </c>
      <c r="C14783" s="15" t="s">
        <v>800</v>
      </c>
      <c r="D14783" s="15" t="s">
        <v>27253</v>
      </c>
      <c r="E14783" s="15">
        <v>13.737500000000001</v>
      </c>
      <c r="F14783" s="42">
        <v>43570</v>
      </c>
    </row>
    <row r="14784" spans="1:6" x14ac:dyDescent="0.3">
      <c r="A14784" s="15" t="s">
        <v>35369</v>
      </c>
      <c r="B14784" s="15" t="s">
        <v>27254</v>
      </c>
      <c r="C14784" s="15" t="s">
        <v>800</v>
      </c>
      <c r="D14784" s="15" t="s">
        <v>27255</v>
      </c>
      <c r="E14784" s="15">
        <v>13.5471</v>
      </c>
      <c r="F14784" s="42">
        <v>42558</v>
      </c>
    </row>
    <row r="14785" spans="1:6" x14ac:dyDescent="0.3">
      <c r="A14785" s="15" t="s">
        <v>35368</v>
      </c>
      <c r="B14785" s="15" t="s">
        <v>27256</v>
      </c>
      <c r="C14785" s="15" t="s">
        <v>800</v>
      </c>
      <c r="D14785" s="15" t="s">
        <v>27257</v>
      </c>
      <c r="E14785" s="15">
        <v>14.0558</v>
      </c>
      <c r="F14785" s="42">
        <v>42558</v>
      </c>
    </row>
    <row r="14786" spans="1:6" x14ac:dyDescent="0.3">
      <c r="A14786" s="15" t="s">
        <v>35367</v>
      </c>
      <c r="B14786" s="15" t="s">
        <v>27258</v>
      </c>
      <c r="C14786" s="15" t="s">
        <v>800</v>
      </c>
      <c r="D14786" s="15" t="s">
        <v>27259</v>
      </c>
      <c r="E14786" s="15">
        <v>12.178900000000001</v>
      </c>
      <c r="F14786" s="42">
        <v>42558</v>
      </c>
    </row>
    <row r="14787" spans="1:6" x14ac:dyDescent="0.3">
      <c r="A14787" s="15" t="s">
        <v>35366</v>
      </c>
      <c r="B14787" s="15" t="s">
        <v>27260</v>
      </c>
      <c r="C14787" s="15" t="s">
        <v>800</v>
      </c>
      <c r="D14787" s="15" t="s">
        <v>27261</v>
      </c>
      <c r="E14787" s="15">
        <v>11.904299999999999</v>
      </c>
      <c r="F14787" s="42">
        <v>42558</v>
      </c>
    </row>
    <row r="14788" spans="1:6" x14ac:dyDescent="0.3">
      <c r="A14788" s="15" t="s">
        <v>35365</v>
      </c>
      <c r="B14788" s="15" t="s">
        <v>27262</v>
      </c>
      <c r="C14788" s="15" t="s">
        <v>800</v>
      </c>
      <c r="D14788" s="15" t="s">
        <v>27263</v>
      </c>
      <c r="E14788" s="15">
        <v>13.868</v>
      </c>
      <c r="F14788" s="42">
        <v>42579</v>
      </c>
    </row>
    <row r="14789" spans="1:6" x14ac:dyDescent="0.3">
      <c r="A14789" s="15" t="s">
        <v>35364</v>
      </c>
      <c r="B14789" s="15" t="s">
        <v>27264</v>
      </c>
      <c r="C14789" s="15" t="s">
        <v>800</v>
      </c>
      <c r="D14789" s="15" t="s">
        <v>27265</v>
      </c>
      <c r="E14789" s="15">
        <v>14.349399999999999</v>
      </c>
      <c r="F14789" s="42">
        <v>42579</v>
      </c>
    </row>
    <row r="14790" spans="1:6" x14ac:dyDescent="0.3">
      <c r="A14790" s="15" t="s">
        <v>35363</v>
      </c>
      <c r="B14790" s="15" t="s">
        <v>27266</v>
      </c>
      <c r="C14790" s="15" t="s">
        <v>800</v>
      </c>
      <c r="D14790" s="15" t="s">
        <v>27267</v>
      </c>
      <c r="E14790" s="15">
        <v>12.521800000000001</v>
      </c>
      <c r="F14790" s="42">
        <v>42579</v>
      </c>
    </row>
    <row r="14791" spans="1:6" x14ac:dyDescent="0.3">
      <c r="A14791" s="15" t="s">
        <v>35362</v>
      </c>
      <c r="B14791" s="15" t="s">
        <v>27268</v>
      </c>
      <c r="C14791" s="15" t="s">
        <v>800</v>
      </c>
      <c r="D14791" s="15" t="s">
        <v>27269</v>
      </c>
      <c r="E14791" s="15">
        <v>12.2607</v>
      </c>
      <c r="F14791" s="42">
        <v>42579</v>
      </c>
    </row>
    <row r="14792" spans="1:6" x14ac:dyDescent="0.3">
      <c r="A14792" s="15" t="s">
        <v>35361</v>
      </c>
      <c r="B14792" s="15" t="s">
        <v>27270</v>
      </c>
      <c r="C14792" s="15" t="s">
        <v>800</v>
      </c>
      <c r="D14792" s="15" t="s">
        <v>27271</v>
      </c>
      <c r="E14792" s="15">
        <v>17.396699999999999</v>
      </c>
      <c r="F14792" s="42">
        <v>43255</v>
      </c>
    </row>
    <row r="14793" spans="1:6" x14ac:dyDescent="0.3">
      <c r="A14793" s="15" t="s">
        <v>35360</v>
      </c>
      <c r="B14793" s="15" t="s">
        <v>27272</v>
      </c>
      <c r="C14793" s="15" t="s">
        <v>800</v>
      </c>
      <c r="D14793" s="15" t="s">
        <v>27273</v>
      </c>
      <c r="E14793" s="15">
        <v>14.5419</v>
      </c>
      <c r="F14793" s="42">
        <v>43255</v>
      </c>
    </row>
    <row r="14794" spans="1:6" x14ac:dyDescent="0.3">
      <c r="A14794" s="15" t="s">
        <v>35359</v>
      </c>
      <c r="B14794" s="15" t="s">
        <v>27274</v>
      </c>
      <c r="C14794" s="15" t="s">
        <v>800</v>
      </c>
      <c r="D14794" s="15" t="s">
        <v>27275</v>
      </c>
      <c r="E14794" s="15">
        <v>14.061999999999999</v>
      </c>
      <c r="F14794" s="42">
        <v>43255</v>
      </c>
    </row>
    <row r="14795" spans="1:6" x14ac:dyDescent="0.3">
      <c r="A14795" s="15" t="s">
        <v>35358</v>
      </c>
      <c r="B14795" s="15" t="s">
        <v>27276</v>
      </c>
      <c r="C14795" s="15" t="s">
        <v>800</v>
      </c>
      <c r="D14795" s="15" t="s">
        <v>27277</v>
      </c>
      <c r="E14795" s="15">
        <v>16.5747</v>
      </c>
      <c r="F14795" s="42">
        <v>43255</v>
      </c>
    </row>
    <row r="14796" spans="1:6" x14ac:dyDescent="0.3">
      <c r="A14796" s="15" t="s">
        <v>35357</v>
      </c>
      <c r="B14796" s="15" t="s">
        <v>27278</v>
      </c>
      <c r="C14796" s="15" t="s">
        <v>800</v>
      </c>
      <c r="D14796" s="15" t="s">
        <v>27279</v>
      </c>
      <c r="E14796" s="15">
        <v>16.557700000000001</v>
      </c>
      <c r="F14796" s="42">
        <v>43283</v>
      </c>
    </row>
    <row r="14797" spans="1:6" x14ac:dyDescent="0.3">
      <c r="A14797" s="15" t="s">
        <v>35356</v>
      </c>
      <c r="B14797" s="15" t="s">
        <v>27280</v>
      </c>
      <c r="C14797" s="15" t="s">
        <v>800</v>
      </c>
      <c r="D14797" s="15" t="s">
        <v>27281</v>
      </c>
      <c r="E14797" s="15">
        <v>17.5395</v>
      </c>
      <c r="F14797" s="42">
        <v>43283</v>
      </c>
    </row>
    <row r="14798" spans="1:6" x14ac:dyDescent="0.3">
      <c r="A14798" s="15" t="s">
        <v>35355</v>
      </c>
      <c r="B14798" s="15" t="s">
        <v>27282</v>
      </c>
      <c r="C14798" s="15" t="s">
        <v>800</v>
      </c>
      <c r="D14798" s="15" t="s">
        <v>27283</v>
      </c>
      <c r="E14798" s="15">
        <v>14.687200000000001</v>
      </c>
      <c r="F14798" s="42">
        <v>43283</v>
      </c>
    </row>
    <row r="14799" spans="1:6" x14ac:dyDescent="0.3">
      <c r="A14799" s="15" t="s">
        <v>35354</v>
      </c>
      <c r="B14799" s="15" t="s">
        <v>27284</v>
      </c>
      <c r="C14799" s="15" t="s">
        <v>800</v>
      </c>
      <c r="D14799" s="15" t="s">
        <v>27285</v>
      </c>
      <c r="E14799" s="15">
        <v>14.0745</v>
      </c>
      <c r="F14799" s="42">
        <v>43283</v>
      </c>
    </row>
    <row r="14800" spans="1:6" x14ac:dyDescent="0.3">
      <c r="A14800" s="15" t="s">
        <v>35353</v>
      </c>
      <c r="B14800" s="15" t="s">
        <v>27286</v>
      </c>
      <c r="C14800" s="15" t="s">
        <v>800</v>
      </c>
      <c r="D14800" s="15" t="s">
        <v>27287</v>
      </c>
      <c r="E14800" s="15">
        <v>16.455300000000001</v>
      </c>
      <c r="F14800" s="42">
        <v>43284</v>
      </c>
    </row>
    <row r="14801" spans="1:6" x14ac:dyDescent="0.3">
      <c r="A14801" s="15" t="s">
        <v>35352</v>
      </c>
      <c r="B14801" s="15" t="s">
        <v>27288</v>
      </c>
      <c r="C14801" s="15" t="s">
        <v>800</v>
      </c>
      <c r="D14801" s="15" t="s">
        <v>27289</v>
      </c>
      <c r="E14801" s="15">
        <v>17.279199999999999</v>
      </c>
      <c r="F14801" s="42">
        <v>43284</v>
      </c>
    </row>
    <row r="14802" spans="1:6" x14ac:dyDescent="0.3">
      <c r="A14802" s="15" t="s">
        <v>35351</v>
      </c>
      <c r="B14802" s="15" t="s">
        <v>27290</v>
      </c>
      <c r="C14802" s="15" t="s">
        <v>800</v>
      </c>
      <c r="D14802" s="15" t="s">
        <v>27291</v>
      </c>
      <c r="E14802" s="15">
        <v>14.3576</v>
      </c>
      <c r="F14802" s="42">
        <v>43284</v>
      </c>
    </row>
    <row r="14803" spans="1:6" x14ac:dyDescent="0.3">
      <c r="A14803" s="15" t="s">
        <v>35350</v>
      </c>
      <c r="B14803" s="15" t="s">
        <v>27292</v>
      </c>
      <c r="C14803" s="15" t="s">
        <v>800</v>
      </c>
      <c r="D14803" s="15" t="s">
        <v>27293</v>
      </c>
      <c r="E14803" s="15">
        <v>13.882999999999999</v>
      </c>
      <c r="F14803" s="42">
        <v>43284</v>
      </c>
    </row>
    <row r="14804" spans="1:6" x14ac:dyDescent="0.3">
      <c r="A14804" s="15" t="s">
        <v>35349</v>
      </c>
      <c r="B14804" s="15" t="s">
        <v>27294</v>
      </c>
      <c r="C14804" s="15" t="s">
        <v>800</v>
      </c>
      <c r="D14804" s="15" t="s">
        <v>27295</v>
      </c>
      <c r="E14804" s="15">
        <v>14.102399999999999</v>
      </c>
      <c r="F14804" s="42">
        <v>42640</v>
      </c>
    </row>
    <row r="14805" spans="1:6" x14ac:dyDescent="0.3">
      <c r="A14805" s="15" t="s">
        <v>35348</v>
      </c>
      <c r="B14805" s="15" t="s">
        <v>27296</v>
      </c>
      <c r="C14805" s="15" t="s">
        <v>800</v>
      </c>
      <c r="D14805" s="15" t="s">
        <v>27297</v>
      </c>
      <c r="E14805" s="15">
        <v>14.7044</v>
      </c>
      <c r="F14805" s="42">
        <v>42640</v>
      </c>
    </row>
    <row r="14806" spans="1:6" x14ac:dyDescent="0.3">
      <c r="A14806" s="15" t="s">
        <v>35347</v>
      </c>
      <c r="B14806" s="15" t="s">
        <v>27298</v>
      </c>
      <c r="C14806" s="15" t="s">
        <v>800</v>
      </c>
      <c r="D14806" s="15" t="s">
        <v>27299</v>
      </c>
      <c r="E14806" s="15">
        <v>12.885199999999999</v>
      </c>
      <c r="F14806" s="42">
        <v>42640</v>
      </c>
    </row>
    <row r="14807" spans="1:6" x14ac:dyDescent="0.3">
      <c r="A14807" s="15" t="s">
        <v>35346</v>
      </c>
      <c r="B14807" s="15" t="s">
        <v>27300</v>
      </c>
      <c r="C14807" s="15" t="s">
        <v>800</v>
      </c>
      <c r="D14807" s="15" t="s">
        <v>27301</v>
      </c>
      <c r="E14807" s="15">
        <v>12.5433</v>
      </c>
      <c r="F14807" s="42">
        <v>42640</v>
      </c>
    </row>
    <row r="14808" spans="1:6" x14ac:dyDescent="0.3">
      <c r="A14808" s="15" t="s">
        <v>35345</v>
      </c>
      <c r="B14808" s="15" t="s">
        <v>27302</v>
      </c>
      <c r="C14808" s="15" t="s">
        <v>800</v>
      </c>
      <c r="D14808" s="15" t="s">
        <v>27303</v>
      </c>
      <c r="E14808" s="15">
        <v>13.7804</v>
      </c>
      <c r="F14808" s="42">
        <v>42711</v>
      </c>
    </row>
    <row r="14809" spans="1:6" x14ac:dyDescent="0.3">
      <c r="A14809" s="15" t="s">
        <v>35344</v>
      </c>
      <c r="B14809" s="15" t="s">
        <v>27304</v>
      </c>
      <c r="C14809" s="15" t="s">
        <v>800</v>
      </c>
      <c r="D14809" s="15" t="s">
        <v>27305</v>
      </c>
      <c r="E14809" s="15">
        <v>12.521599999999999</v>
      </c>
      <c r="F14809" s="42">
        <v>42711</v>
      </c>
    </row>
    <row r="14810" spans="1:6" x14ac:dyDescent="0.3">
      <c r="A14810" s="15" t="s">
        <v>35343</v>
      </c>
      <c r="B14810" s="15" t="s">
        <v>27306</v>
      </c>
      <c r="C14810" s="15" t="s">
        <v>800</v>
      </c>
      <c r="D14810" s="15" t="s">
        <v>27307</v>
      </c>
      <c r="E14810" s="15">
        <v>12.1846</v>
      </c>
      <c r="F14810" s="42">
        <v>42711</v>
      </c>
    </row>
    <row r="14811" spans="1:6" x14ac:dyDescent="0.3">
      <c r="A14811" s="15" t="s">
        <v>35342</v>
      </c>
      <c r="B14811" s="15" t="s">
        <v>27308</v>
      </c>
      <c r="C14811" s="15" t="s">
        <v>800</v>
      </c>
      <c r="D14811" s="15" t="s">
        <v>27309</v>
      </c>
      <c r="E14811" s="15">
        <v>13.2516</v>
      </c>
      <c r="F14811" s="42">
        <v>42711</v>
      </c>
    </row>
    <row r="14812" spans="1:6" x14ac:dyDescent="0.3">
      <c r="A14812" s="15" t="s">
        <v>35341</v>
      </c>
      <c r="B14812" s="15" t="s">
        <v>27310</v>
      </c>
      <c r="C14812" s="15" t="s">
        <v>800</v>
      </c>
      <c r="D14812" s="15" t="s">
        <v>27311</v>
      </c>
      <c r="E14812" s="15">
        <v>14.0847</v>
      </c>
      <c r="F14812" s="42">
        <v>42767</v>
      </c>
    </row>
    <row r="14813" spans="1:6" x14ac:dyDescent="0.3">
      <c r="A14813" s="15" t="s">
        <v>35340</v>
      </c>
      <c r="B14813" s="15" t="s">
        <v>27312</v>
      </c>
      <c r="C14813" s="15" t="s">
        <v>800</v>
      </c>
      <c r="D14813" s="15" t="s">
        <v>27313</v>
      </c>
      <c r="E14813" s="15">
        <v>12.826000000000001</v>
      </c>
      <c r="F14813" s="42">
        <v>42767</v>
      </c>
    </row>
    <row r="14814" spans="1:6" x14ac:dyDescent="0.3">
      <c r="A14814" s="15" t="s">
        <v>35339</v>
      </c>
      <c r="B14814" s="15" t="s">
        <v>27314</v>
      </c>
      <c r="C14814" s="15" t="s">
        <v>800</v>
      </c>
      <c r="D14814" s="15" t="s">
        <v>27315</v>
      </c>
      <c r="E14814" s="15">
        <v>13.4961</v>
      </c>
      <c r="F14814" s="42">
        <v>42767</v>
      </c>
    </row>
    <row r="14815" spans="1:6" x14ac:dyDescent="0.3">
      <c r="A14815" s="15" t="s">
        <v>35338</v>
      </c>
      <c r="B14815" s="15" t="s">
        <v>27316</v>
      </c>
      <c r="C14815" s="15" t="s">
        <v>800</v>
      </c>
      <c r="D14815" s="15" t="s">
        <v>27317</v>
      </c>
      <c r="E14815" s="15">
        <v>12.410399999999999</v>
      </c>
      <c r="F14815" s="42">
        <v>42767</v>
      </c>
    </row>
    <row r="14816" spans="1:6" x14ac:dyDescent="0.3">
      <c r="A14816" s="15" t="s">
        <v>35337</v>
      </c>
      <c r="B14816" s="15" t="s">
        <v>27318</v>
      </c>
      <c r="C14816" s="15" t="s">
        <v>800</v>
      </c>
      <c r="D14816" s="15" t="s">
        <v>27319</v>
      </c>
      <c r="E14816" s="15">
        <v>15.541</v>
      </c>
      <c r="F14816" s="42">
        <v>43472</v>
      </c>
    </row>
    <row r="14817" spans="1:6" x14ac:dyDescent="0.3">
      <c r="A14817" s="15" t="s">
        <v>35336</v>
      </c>
      <c r="B14817" s="15" t="s">
        <v>27320</v>
      </c>
      <c r="C14817" s="15" t="s">
        <v>800</v>
      </c>
      <c r="D14817" s="15" t="s">
        <v>27321</v>
      </c>
      <c r="E14817" s="15">
        <v>16.551300000000001</v>
      </c>
      <c r="F14817" s="42">
        <v>43472</v>
      </c>
    </row>
    <row r="14818" spans="1:6" x14ac:dyDescent="0.3">
      <c r="A14818" s="15" t="s">
        <v>35335</v>
      </c>
      <c r="B14818" s="15" t="s">
        <v>27322</v>
      </c>
      <c r="C14818" s="15" t="s">
        <v>800</v>
      </c>
      <c r="D14818" s="15" t="s">
        <v>27323</v>
      </c>
      <c r="E14818" s="15">
        <v>13.8636</v>
      </c>
      <c r="F14818" s="42">
        <v>43472</v>
      </c>
    </row>
    <row r="14819" spans="1:6" x14ac:dyDescent="0.3">
      <c r="A14819" s="15" t="s">
        <v>35334</v>
      </c>
      <c r="B14819" s="15" t="s">
        <v>27324</v>
      </c>
      <c r="C14819" s="15" t="s">
        <v>800</v>
      </c>
      <c r="D14819" s="15" t="s">
        <v>27325</v>
      </c>
      <c r="E14819" s="15">
        <v>13.914300000000001</v>
      </c>
      <c r="F14819" s="42">
        <v>42794</v>
      </c>
    </row>
    <row r="14820" spans="1:6" x14ac:dyDescent="0.3">
      <c r="A14820" s="15" t="s">
        <v>35333</v>
      </c>
      <c r="B14820" s="15" t="s">
        <v>27326</v>
      </c>
      <c r="C14820" s="15" t="s">
        <v>800</v>
      </c>
      <c r="D14820" s="15" t="s">
        <v>27327</v>
      </c>
      <c r="E14820" s="15">
        <v>13.356</v>
      </c>
      <c r="F14820" s="42">
        <v>42794</v>
      </c>
    </row>
    <row r="14821" spans="1:6" x14ac:dyDescent="0.3">
      <c r="A14821" s="15" t="s">
        <v>35332</v>
      </c>
      <c r="B14821" s="15" t="s">
        <v>27328</v>
      </c>
      <c r="C14821" s="15" t="s">
        <v>800</v>
      </c>
      <c r="D14821" s="15" t="s">
        <v>27329</v>
      </c>
      <c r="E14821" s="15">
        <v>12.3592</v>
      </c>
      <c r="F14821" s="42">
        <v>42794</v>
      </c>
    </row>
    <row r="14822" spans="1:6" x14ac:dyDescent="0.3">
      <c r="A14822" s="15" t="s">
        <v>35331</v>
      </c>
      <c r="B14822" s="15" t="s">
        <v>27330</v>
      </c>
      <c r="C14822" s="15" t="s">
        <v>800</v>
      </c>
      <c r="D14822" s="15" t="s">
        <v>27331</v>
      </c>
      <c r="E14822" s="15">
        <v>13.5358</v>
      </c>
      <c r="F14822" s="42">
        <v>42857</v>
      </c>
    </row>
    <row r="14823" spans="1:6" x14ac:dyDescent="0.3">
      <c r="A14823" s="15" t="s">
        <v>35330</v>
      </c>
      <c r="B14823" s="15" t="s">
        <v>27332</v>
      </c>
      <c r="C14823" s="15" t="s">
        <v>800</v>
      </c>
      <c r="D14823" s="15" t="s">
        <v>27333</v>
      </c>
      <c r="E14823" s="15">
        <v>12.686400000000001</v>
      </c>
      <c r="F14823" s="42">
        <v>42857</v>
      </c>
    </row>
    <row r="14824" spans="1:6" x14ac:dyDescent="0.3">
      <c r="A14824" s="15" t="s">
        <v>35329</v>
      </c>
      <c r="B14824" s="15" t="s">
        <v>27334</v>
      </c>
      <c r="C14824" s="15" t="s">
        <v>800</v>
      </c>
      <c r="D14824" s="15" t="s">
        <v>27335</v>
      </c>
      <c r="E14824" s="15">
        <v>12.974600000000001</v>
      </c>
      <c r="F14824" s="42">
        <v>42857</v>
      </c>
    </row>
    <row r="14825" spans="1:6" x14ac:dyDescent="0.3">
      <c r="A14825" s="15" t="s">
        <v>35328</v>
      </c>
      <c r="B14825" s="15" t="s">
        <v>27336</v>
      </c>
      <c r="C14825" s="15" t="s">
        <v>800</v>
      </c>
      <c r="D14825" s="15" t="s">
        <v>27337</v>
      </c>
      <c r="E14825" s="15">
        <v>12.2433</v>
      </c>
      <c r="F14825" s="42">
        <v>42857</v>
      </c>
    </row>
    <row r="14826" spans="1:6" x14ac:dyDescent="0.3">
      <c r="A14826" s="15" t="s">
        <v>35327</v>
      </c>
      <c r="B14826" s="15" t="s">
        <v>27338</v>
      </c>
      <c r="C14826" s="15" t="s">
        <v>800</v>
      </c>
      <c r="D14826" s="15" t="s">
        <v>27339</v>
      </c>
      <c r="E14826" s="15">
        <v>13.159599999999999</v>
      </c>
      <c r="F14826" s="42">
        <v>42849</v>
      </c>
    </row>
    <row r="14827" spans="1:6" x14ac:dyDescent="0.3">
      <c r="A14827" s="15" t="s">
        <v>35326</v>
      </c>
      <c r="B14827" s="15" t="s">
        <v>27340</v>
      </c>
      <c r="C14827" s="15" t="s">
        <v>800</v>
      </c>
      <c r="D14827" s="15" t="s">
        <v>27341</v>
      </c>
      <c r="E14827" s="15">
        <v>13.7037</v>
      </c>
      <c r="F14827" s="42">
        <v>42849</v>
      </c>
    </row>
    <row r="14828" spans="1:6" x14ac:dyDescent="0.3">
      <c r="A14828" s="15" t="s">
        <v>35325</v>
      </c>
      <c r="B14828" s="15" t="s">
        <v>27342</v>
      </c>
      <c r="C14828" s="15" t="s">
        <v>800</v>
      </c>
      <c r="D14828" s="15" t="s">
        <v>27343</v>
      </c>
      <c r="E14828" s="15">
        <v>12.791700000000001</v>
      </c>
      <c r="F14828" s="42">
        <v>42849</v>
      </c>
    </row>
    <row r="14829" spans="1:6" x14ac:dyDescent="0.3">
      <c r="A14829" s="15" t="s">
        <v>35324</v>
      </c>
      <c r="B14829" s="15" t="s">
        <v>27344</v>
      </c>
      <c r="C14829" s="15" t="s">
        <v>800</v>
      </c>
      <c r="D14829" s="15" t="s">
        <v>27345</v>
      </c>
      <c r="E14829" s="15">
        <v>12.3721</v>
      </c>
      <c r="F14829" s="42">
        <v>42849</v>
      </c>
    </row>
    <row r="14830" spans="1:6" x14ac:dyDescent="0.3">
      <c r="A14830" s="15" t="s">
        <v>35323</v>
      </c>
      <c r="B14830" s="15" t="s">
        <v>27346</v>
      </c>
      <c r="C14830" s="15" t="s">
        <v>800</v>
      </c>
      <c r="D14830" s="15" t="s">
        <v>27347</v>
      </c>
      <c r="E14830" s="15">
        <v>15.206</v>
      </c>
      <c r="F14830" s="42">
        <v>43560</v>
      </c>
    </row>
    <row r="14831" spans="1:6" x14ac:dyDescent="0.3">
      <c r="A14831" s="15" t="s">
        <v>35322</v>
      </c>
      <c r="B14831" s="15" t="s">
        <v>27348</v>
      </c>
      <c r="C14831" s="15" t="s">
        <v>800</v>
      </c>
      <c r="D14831" s="15" t="s">
        <v>27349</v>
      </c>
      <c r="E14831" s="15">
        <v>16.261199999999999</v>
      </c>
      <c r="F14831" s="42">
        <v>43560</v>
      </c>
    </row>
    <row r="14832" spans="1:6" x14ac:dyDescent="0.3">
      <c r="A14832" s="15" t="s">
        <v>35321</v>
      </c>
      <c r="B14832" s="15" t="s">
        <v>27350</v>
      </c>
      <c r="C14832" s="15" t="s">
        <v>800</v>
      </c>
      <c r="D14832" s="15" t="s">
        <v>27351</v>
      </c>
      <c r="E14832" s="15">
        <v>14.8062</v>
      </c>
      <c r="F14832" s="42">
        <v>43560</v>
      </c>
    </row>
    <row r="14833" spans="1:6" x14ac:dyDescent="0.3">
      <c r="A14833" s="15" t="s">
        <v>35320</v>
      </c>
      <c r="B14833" s="15" t="s">
        <v>27352</v>
      </c>
      <c r="C14833" s="15" t="s">
        <v>800</v>
      </c>
      <c r="D14833" s="15" t="s">
        <v>27353</v>
      </c>
      <c r="E14833" s="15">
        <v>13.949299999999999</v>
      </c>
      <c r="F14833" s="42">
        <v>43560</v>
      </c>
    </row>
    <row r="14834" spans="1:6" x14ac:dyDescent="0.3">
      <c r="A14834" s="15" t="s">
        <v>35319</v>
      </c>
      <c r="B14834" s="15" t="s">
        <v>27354</v>
      </c>
      <c r="C14834" s="15" t="s">
        <v>800</v>
      </c>
      <c r="D14834" s="15" t="s">
        <v>27355</v>
      </c>
      <c r="E14834" s="15">
        <v>14.9292</v>
      </c>
      <c r="F14834" s="42">
        <v>43591</v>
      </c>
    </row>
    <row r="14835" spans="1:6" x14ac:dyDescent="0.3">
      <c r="A14835" s="15" t="s">
        <v>35318</v>
      </c>
      <c r="B14835" s="15" t="s">
        <v>27356</v>
      </c>
      <c r="C14835" s="15" t="s">
        <v>800</v>
      </c>
      <c r="D14835" s="15" t="s">
        <v>27357</v>
      </c>
      <c r="E14835" s="15">
        <v>15.8208</v>
      </c>
      <c r="F14835" s="42">
        <v>43591</v>
      </c>
    </row>
    <row r="14836" spans="1:6" x14ac:dyDescent="0.3">
      <c r="A14836" s="15" t="s">
        <v>35317</v>
      </c>
      <c r="B14836" s="15" t="s">
        <v>27358</v>
      </c>
      <c r="C14836" s="15" t="s">
        <v>800</v>
      </c>
      <c r="D14836" s="15" t="s">
        <v>27359</v>
      </c>
      <c r="E14836" s="15">
        <v>14.737500000000001</v>
      </c>
      <c r="F14836" s="42">
        <v>43591</v>
      </c>
    </row>
    <row r="14837" spans="1:6" x14ac:dyDescent="0.3">
      <c r="A14837" s="15" t="s">
        <v>35316</v>
      </c>
      <c r="B14837" s="15" t="s">
        <v>27360</v>
      </c>
      <c r="C14837" s="15" t="s">
        <v>800</v>
      </c>
      <c r="D14837" s="15" t="s">
        <v>27361</v>
      </c>
      <c r="E14837" s="15">
        <v>13.994300000000001</v>
      </c>
      <c r="F14837" s="42">
        <v>43591</v>
      </c>
    </row>
    <row r="14838" spans="1:6" x14ac:dyDescent="0.3">
      <c r="A14838" s="15" t="s">
        <v>35315</v>
      </c>
      <c r="B14838" s="15" t="s">
        <v>27362</v>
      </c>
      <c r="C14838" s="15" t="s">
        <v>800</v>
      </c>
      <c r="D14838" s="15" t="s">
        <v>27363</v>
      </c>
      <c r="E14838" s="15">
        <v>12.2797</v>
      </c>
      <c r="F14838" s="42">
        <v>43020</v>
      </c>
    </row>
    <row r="14839" spans="1:6" x14ac:dyDescent="0.3">
      <c r="A14839" s="15" t="s">
        <v>35314</v>
      </c>
      <c r="B14839" s="15" t="s">
        <v>27364</v>
      </c>
      <c r="C14839" s="15" t="s">
        <v>800</v>
      </c>
      <c r="D14839" s="15" t="s">
        <v>27365</v>
      </c>
      <c r="E14839" s="15">
        <v>12.7499</v>
      </c>
      <c r="F14839" s="42">
        <v>43020</v>
      </c>
    </row>
    <row r="14840" spans="1:6" x14ac:dyDescent="0.3">
      <c r="A14840" s="15" t="s">
        <v>35313</v>
      </c>
      <c r="B14840" s="15" t="s">
        <v>27366</v>
      </c>
      <c r="C14840" s="15" t="s">
        <v>800</v>
      </c>
      <c r="D14840" s="15" t="s">
        <v>27367</v>
      </c>
      <c r="E14840" s="15">
        <v>12.7499</v>
      </c>
      <c r="F14840" s="42">
        <v>43020</v>
      </c>
    </row>
    <row r="14841" spans="1:6" x14ac:dyDescent="0.3">
      <c r="A14841" s="15" t="s">
        <v>35312</v>
      </c>
      <c r="B14841" s="15" t="s">
        <v>27368</v>
      </c>
      <c r="C14841" s="15" t="s">
        <v>800</v>
      </c>
      <c r="D14841" s="15" t="s">
        <v>27369</v>
      </c>
      <c r="E14841" s="15">
        <v>12.2797</v>
      </c>
      <c r="F14841" s="42">
        <v>43020</v>
      </c>
    </row>
    <row r="14842" spans="1:6" x14ac:dyDescent="0.3">
      <c r="A14842" s="15" t="s">
        <v>35311</v>
      </c>
      <c r="B14842" s="15" t="s">
        <v>27370</v>
      </c>
      <c r="C14842" s="15" t="s">
        <v>800</v>
      </c>
      <c r="D14842" s="15" t="s">
        <v>27371</v>
      </c>
      <c r="E14842" s="15">
        <v>12.718999999999999</v>
      </c>
      <c r="F14842" s="42">
        <v>43249</v>
      </c>
    </row>
    <row r="14843" spans="1:6" x14ac:dyDescent="0.3">
      <c r="A14843" s="15" t="s">
        <v>35310</v>
      </c>
      <c r="B14843" s="15" t="s">
        <v>27372</v>
      </c>
      <c r="C14843" s="15" t="s">
        <v>800</v>
      </c>
      <c r="D14843" s="15" t="s">
        <v>27373</v>
      </c>
      <c r="E14843" s="15">
        <v>12.718999999999999</v>
      </c>
      <c r="F14843" s="42">
        <v>43249</v>
      </c>
    </row>
    <row r="14844" spans="1:6" x14ac:dyDescent="0.3">
      <c r="A14844" s="15" t="s">
        <v>35309</v>
      </c>
      <c r="B14844" s="15" t="s">
        <v>27374</v>
      </c>
      <c r="C14844" s="15" t="s">
        <v>800</v>
      </c>
      <c r="D14844" s="15" t="s">
        <v>27375</v>
      </c>
      <c r="E14844" s="15">
        <v>13.2675</v>
      </c>
      <c r="F14844" s="42">
        <v>43249</v>
      </c>
    </row>
    <row r="14845" spans="1:6" x14ac:dyDescent="0.3">
      <c r="A14845" s="15" t="s">
        <v>35308</v>
      </c>
      <c r="B14845" s="15" t="s">
        <v>27376</v>
      </c>
      <c r="C14845" s="15" t="s">
        <v>800</v>
      </c>
      <c r="D14845" s="15" t="s">
        <v>27377</v>
      </c>
      <c r="E14845" s="15">
        <v>13.2675</v>
      </c>
      <c r="F14845" s="42">
        <v>43249</v>
      </c>
    </row>
    <row r="14846" spans="1:6" x14ac:dyDescent="0.3">
      <c r="A14846" s="15" t="s">
        <v>35307</v>
      </c>
      <c r="B14846" s="15" t="s">
        <v>27378</v>
      </c>
      <c r="C14846" s="15" t="s">
        <v>800</v>
      </c>
      <c r="D14846" s="15" t="s">
        <v>27379</v>
      </c>
      <c r="E14846" s="15">
        <v>14.3276</v>
      </c>
      <c r="F14846" s="42">
        <v>43668</v>
      </c>
    </row>
    <row r="14847" spans="1:6" x14ac:dyDescent="0.3">
      <c r="A14847" s="15" t="s">
        <v>35306</v>
      </c>
      <c r="B14847" s="15" t="s">
        <v>27380</v>
      </c>
      <c r="C14847" s="15" t="s">
        <v>800</v>
      </c>
      <c r="D14847" s="15" t="s">
        <v>27381</v>
      </c>
      <c r="E14847" s="15">
        <v>15.1065</v>
      </c>
      <c r="F14847" s="42">
        <v>43668</v>
      </c>
    </row>
    <row r="14848" spans="1:6" x14ac:dyDescent="0.3">
      <c r="A14848" s="15" t="s">
        <v>35305</v>
      </c>
      <c r="B14848" s="15" t="s">
        <v>27382</v>
      </c>
      <c r="C14848" s="15" t="s">
        <v>800</v>
      </c>
      <c r="D14848" s="15" t="s">
        <v>27383</v>
      </c>
      <c r="E14848" s="15">
        <v>15.1065</v>
      </c>
      <c r="F14848" s="42">
        <v>43668</v>
      </c>
    </row>
    <row r="14849" spans="1:6" x14ac:dyDescent="0.3">
      <c r="A14849" s="15" t="s">
        <v>35304</v>
      </c>
      <c r="B14849" s="15" t="s">
        <v>27384</v>
      </c>
      <c r="C14849" s="15" t="s">
        <v>800</v>
      </c>
      <c r="D14849" s="15" t="s">
        <v>27385</v>
      </c>
      <c r="E14849" s="15">
        <v>14.3276</v>
      </c>
      <c r="F14849" s="42">
        <v>43668</v>
      </c>
    </row>
    <row r="14850" spans="1:6" x14ac:dyDescent="0.3">
      <c r="A14850" s="15" t="s">
        <v>35303</v>
      </c>
      <c r="B14850" s="15" t="s">
        <v>27386</v>
      </c>
      <c r="C14850" s="15" t="s">
        <v>800</v>
      </c>
      <c r="D14850" s="15" t="s">
        <v>27387</v>
      </c>
      <c r="E14850" s="15">
        <v>13.9758</v>
      </c>
      <c r="F14850" s="42">
        <v>43711</v>
      </c>
    </row>
    <row r="14851" spans="1:6" x14ac:dyDescent="0.3">
      <c r="A14851" s="15" t="s">
        <v>35302</v>
      </c>
      <c r="B14851" s="15" t="s">
        <v>27388</v>
      </c>
      <c r="C14851" s="15" t="s">
        <v>800</v>
      </c>
      <c r="D14851" s="15" t="s">
        <v>27389</v>
      </c>
      <c r="E14851" s="15">
        <v>14.723100000000001</v>
      </c>
      <c r="F14851" s="42">
        <v>43711</v>
      </c>
    </row>
    <row r="14852" spans="1:6" x14ac:dyDescent="0.3">
      <c r="A14852" s="15" t="s">
        <v>35301</v>
      </c>
      <c r="B14852" s="15" t="s">
        <v>27390</v>
      </c>
      <c r="C14852" s="15" t="s">
        <v>800</v>
      </c>
      <c r="D14852" s="15" t="s">
        <v>27391</v>
      </c>
      <c r="E14852" s="15">
        <v>14.723100000000001</v>
      </c>
      <c r="F14852" s="42">
        <v>43711</v>
      </c>
    </row>
    <row r="14853" spans="1:6" x14ac:dyDescent="0.3">
      <c r="A14853" s="15" t="s">
        <v>35300</v>
      </c>
      <c r="B14853" s="15" t="s">
        <v>27392</v>
      </c>
      <c r="C14853" s="15" t="s">
        <v>800</v>
      </c>
      <c r="D14853" s="15" t="s">
        <v>27393</v>
      </c>
      <c r="E14853" s="15">
        <v>13.9758</v>
      </c>
      <c r="F14853" s="42">
        <v>43711</v>
      </c>
    </row>
    <row r="14854" spans="1:6" x14ac:dyDescent="0.3">
      <c r="A14854" s="15" t="s">
        <v>35299</v>
      </c>
      <c r="B14854" s="15" t="s">
        <v>27394</v>
      </c>
      <c r="C14854" s="15" t="s">
        <v>800</v>
      </c>
      <c r="D14854" s="15" t="s">
        <v>27395</v>
      </c>
      <c r="E14854" s="15">
        <v>13.8672</v>
      </c>
      <c r="F14854" s="42">
        <v>43745</v>
      </c>
    </row>
    <row r="14855" spans="1:6" x14ac:dyDescent="0.3">
      <c r="A14855" s="15" t="s">
        <v>35298</v>
      </c>
      <c r="B14855" s="15" t="s">
        <v>27396</v>
      </c>
      <c r="C14855" s="15" t="s">
        <v>800</v>
      </c>
      <c r="D14855" s="15" t="s">
        <v>27397</v>
      </c>
      <c r="E14855" s="15">
        <v>14.618</v>
      </c>
      <c r="F14855" s="42">
        <v>43745</v>
      </c>
    </row>
    <row r="14856" spans="1:6" x14ac:dyDescent="0.3">
      <c r="A14856" s="15" t="s">
        <v>35297</v>
      </c>
      <c r="B14856" s="15" t="s">
        <v>27398</v>
      </c>
      <c r="C14856" s="15" t="s">
        <v>800</v>
      </c>
      <c r="D14856" s="15" t="s">
        <v>27399</v>
      </c>
      <c r="E14856" s="15">
        <v>14.618</v>
      </c>
      <c r="F14856" s="42">
        <v>43745</v>
      </c>
    </row>
    <row r="14857" spans="1:6" x14ac:dyDescent="0.3">
      <c r="A14857" s="15" t="s">
        <v>35296</v>
      </c>
      <c r="B14857" s="15" t="s">
        <v>27400</v>
      </c>
      <c r="C14857" s="15" t="s">
        <v>800</v>
      </c>
      <c r="D14857" s="15" t="s">
        <v>27401</v>
      </c>
      <c r="E14857" s="15">
        <v>13.8672</v>
      </c>
      <c r="F14857" s="42">
        <v>43745</v>
      </c>
    </row>
    <row r="14858" spans="1:6" x14ac:dyDescent="0.3">
      <c r="A14858" s="15" t="s">
        <v>35295</v>
      </c>
      <c r="B14858" s="15" t="s">
        <v>27402</v>
      </c>
      <c r="C14858" s="15" t="s">
        <v>800</v>
      </c>
      <c r="D14858" s="15" t="s">
        <v>27403</v>
      </c>
      <c r="E14858" s="15">
        <v>12.0937</v>
      </c>
      <c r="F14858" s="42">
        <v>43095</v>
      </c>
    </row>
    <row r="14859" spans="1:6" x14ac:dyDescent="0.3">
      <c r="A14859" s="15" t="s">
        <v>35294</v>
      </c>
      <c r="B14859" s="15" t="s">
        <v>27404</v>
      </c>
      <c r="C14859" s="15" t="s">
        <v>800</v>
      </c>
      <c r="D14859" s="15" t="s">
        <v>27405</v>
      </c>
      <c r="E14859" s="15">
        <v>12.6249</v>
      </c>
      <c r="F14859" s="42">
        <v>43095</v>
      </c>
    </row>
    <row r="14860" spans="1:6" x14ac:dyDescent="0.3">
      <c r="A14860" s="15" t="s">
        <v>35293</v>
      </c>
      <c r="B14860" s="15" t="s">
        <v>27406</v>
      </c>
      <c r="C14860" s="15" t="s">
        <v>800</v>
      </c>
      <c r="D14860" s="15" t="s">
        <v>27407</v>
      </c>
      <c r="E14860" s="15">
        <v>12.0937</v>
      </c>
      <c r="F14860" s="42">
        <v>43095</v>
      </c>
    </row>
    <row r="14861" spans="1:6" x14ac:dyDescent="0.3">
      <c r="A14861" s="15" t="s">
        <v>35292</v>
      </c>
      <c r="B14861" s="15" t="s">
        <v>27408</v>
      </c>
      <c r="C14861" s="15" t="s">
        <v>800</v>
      </c>
      <c r="D14861" s="15" t="s">
        <v>27409</v>
      </c>
      <c r="E14861" s="15">
        <v>12.024800000000001</v>
      </c>
      <c r="F14861" s="42">
        <v>43073</v>
      </c>
    </row>
    <row r="14862" spans="1:6" x14ac:dyDescent="0.3">
      <c r="A14862" s="15" t="s">
        <v>35291</v>
      </c>
      <c r="B14862" s="15" t="s">
        <v>27410</v>
      </c>
      <c r="C14862" s="15" t="s">
        <v>800</v>
      </c>
      <c r="D14862" s="15" t="s">
        <v>27411</v>
      </c>
      <c r="E14862" s="15">
        <v>12.57</v>
      </c>
      <c r="F14862" s="42">
        <v>43073</v>
      </c>
    </row>
    <row r="14863" spans="1:6" x14ac:dyDescent="0.3">
      <c r="A14863" s="15" t="s">
        <v>35290</v>
      </c>
      <c r="B14863" s="15" t="s">
        <v>27412</v>
      </c>
      <c r="C14863" s="15" t="s">
        <v>800</v>
      </c>
      <c r="D14863" s="15" t="s">
        <v>27413</v>
      </c>
      <c r="E14863" s="15">
        <v>12.57</v>
      </c>
      <c r="F14863" s="42">
        <v>43073</v>
      </c>
    </row>
    <row r="14864" spans="1:6" x14ac:dyDescent="0.3">
      <c r="A14864" s="15" t="s">
        <v>35289</v>
      </c>
      <c r="B14864" s="15" t="s">
        <v>27414</v>
      </c>
      <c r="C14864" s="15" t="s">
        <v>800</v>
      </c>
      <c r="D14864" s="15" t="s">
        <v>27415</v>
      </c>
      <c r="E14864" s="15">
        <v>12.024800000000001</v>
      </c>
      <c r="F14864" s="42">
        <v>43073</v>
      </c>
    </row>
    <row r="14865" spans="1:6" x14ac:dyDescent="0.3">
      <c r="A14865" s="15" t="s">
        <v>35288</v>
      </c>
      <c r="B14865" s="15" t="s">
        <v>27416</v>
      </c>
      <c r="C14865" s="15" t="s">
        <v>800</v>
      </c>
      <c r="D14865" s="15" t="s">
        <v>27417</v>
      </c>
      <c r="E14865" s="15">
        <v>11.7925</v>
      </c>
      <c r="F14865" s="42">
        <v>43151</v>
      </c>
    </row>
    <row r="14866" spans="1:6" x14ac:dyDescent="0.3">
      <c r="A14866" s="15" t="s">
        <v>35287</v>
      </c>
      <c r="B14866" s="15" t="s">
        <v>27418</v>
      </c>
      <c r="C14866" s="15" t="s">
        <v>800</v>
      </c>
      <c r="D14866" s="15" t="s">
        <v>27419</v>
      </c>
      <c r="E14866" s="15">
        <v>12.3399</v>
      </c>
      <c r="F14866" s="42">
        <v>43151</v>
      </c>
    </row>
    <row r="14867" spans="1:6" x14ac:dyDescent="0.3">
      <c r="A14867" s="15" t="s">
        <v>35286</v>
      </c>
      <c r="B14867" s="15" t="s">
        <v>27420</v>
      </c>
      <c r="C14867" s="15" t="s">
        <v>800</v>
      </c>
      <c r="D14867" s="15" t="s">
        <v>27421</v>
      </c>
      <c r="E14867" s="15">
        <v>12.3399</v>
      </c>
      <c r="F14867" s="42">
        <v>43151</v>
      </c>
    </row>
    <row r="14868" spans="1:6" x14ac:dyDescent="0.3">
      <c r="A14868" s="15" t="s">
        <v>35285</v>
      </c>
      <c r="B14868" s="15" t="s">
        <v>27422</v>
      </c>
      <c r="C14868" s="15" t="s">
        <v>800</v>
      </c>
      <c r="D14868" s="15" t="s">
        <v>27423</v>
      </c>
      <c r="E14868" s="15">
        <v>11.7925</v>
      </c>
      <c r="F14868" s="42">
        <v>43151</v>
      </c>
    </row>
    <row r="14869" spans="1:6" x14ac:dyDescent="0.3">
      <c r="A14869" s="15" t="s">
        <v>35284</v>
      </c>
      <c r="B14869" s="15" t="s">
        <v>27424</v>
      </c>
      <c r="C14869" s="15" t="s">
        <v>800</v>
      </c>
      <c r="D14869" s="15" t="s">
        <v>27425</v>
      </c>
      <c r="E14869" s="15">
        <v>13.599500000000001</v>
      </c>
      <c r="F14869" s="42">
        <v>43811</v>
      </c>
    </row>
    <row r="14870" spans="1:6" x14ac:dyDescent="0.3">
      <c r="A14870" s="15" t="s">
        <v>35283</v>
      </c>
      <c r="B14870" s="15" t="s">
        <v>27426</v>
      </c>
      <c r="C14870" s="15" t="s">
        <v>800</v>
      </c>
      <c r="D14870" s="15" t="s">
        <v>27427</v>
      </c>
      <c r="E14870" s="15">
        <v>14.3826</v>
      </c>
      <c r="F14870" s="42">
        <v>43811</v>
      </c>
    </row>
    <row r="14871" spans="1:6" x14ac:dyDescent="0.3">
      <c r="A14871" s="15" t="s">
        <v>35282</v>
      </c>
      <c r="B14871" s="15" t="s">
        <v>27428</v>
      </c>
      <c r="C14871" s="15" t="s">
        <v>800</v>
      </c>
      <c r="D14871" s="15" t="s">
        <v>27429</v>
      </c>
      <c r="E14871" s="15">
        <v>14.3826</v>
      </c>
      <c r="F14871" s="42">
        <v>43811</v>
      </c>
    </row>
    <row r="14872" spans="1:6" x14ac:dyDescent="0.3">
      <c r="A14872" s="15" t="s">
        <v>35281</v>
      </c>
      <c r="B14872" s="15" t="s">
        <v>27430</v>
      </c>
      <c r="C14872" s="15" t="s">
        <v>800</v>
      </c>
      <c r="D14872" s="15" t="s">
        <v>27431</v>
      </c>
      <c r="E14872" s="15">
        <v>13.599500000000001</v>
      </c>
      <c r="F14872" s="42">
        <v>43811</v>
      </c>
    </row>
    <row r="14873" spans="1:6" x14ac:dyDescent="0.3">
      <c r="A14873" s="15" t="s">
        <v>35280</v>
      </c>
      <c r="B14873" s="15" t="s">
        <v>27432</v>
      </c>
      <c r="C14873" s="15" t="s">
        <v>800</v>
      </c>
      <c r="D14873" s="15" t="s">
        <v>27433</v>
      </c>
      <c r="E14873" s="15">
        <v>13.476000000000001</v>
      </c>
      <c r="F14873" s="42">
        <v>43776</v>
      </c>
    </row>
    <row r="14874" spans="1:6" x14ac:dyDescent="0.3">
      <c r="A14874" s="15" t="s">
        <v>35279</v>
      </c>
      <c r="B14874" s="15" t="s">
        <v>27434</v>
      </c>
      <c r="C14874" s="15" t="s">
        <v>800</v>
      </c>
      <c r="D14874" s="15" t="s">
        <v>27435</v>
      </c>
      <c r="E14874" s="15">
        <v>14.258900000000001</v>
      </c>
      <c r="F14874" s="42">
        <v>43776</v>
      </c>
    </row>
    <row r="14875" spans="1:6" x14ac:dyDescent="0.3">
      <c r="A14875" s="15" t="s">
        <v>35278</v>
      </c>
      <c r="B14875" s="15" t="s">
        <v>27436</v>
      </c>
      <c r="C14875" s="15" t="s">
        <v>800</v>
      </c>
      <c r="D14875" s="15" t="s">
        <v>27437</v>
      </c>
      <c r="E14875" s="15">
        <v>14.258900000000001</v>
      </c>
      <c r="F14875" s="42">
        <v>43776</v>
      </c>
    </row>
    <row r="14876" spans="1:6" x14ac:dyDescent="0.3">
      <c r="A14876" s="15" t="s">
        <v>35277</v>
      </c>
      <c r="B14876" s="15" t="s">
        <v>27438</v>
      </c>
      <c r="C14876" s="15" t="s">
        <v>800</v>
      </c>
      <c r="D14876" s="15" t="s">
        <v>27439</v>
      </c>
      <c r="E14876" s="15">
        <v>13.476000000000001</v>
      </c>
      <c r="F14876" s="42">
        <v>43776</v>
      </c>
    </row>
    <row r="14877" spans="1:6" x14ac:dyDescent="0.3">
      <c r="A14877" s="15" t="s">
        <v>35276</v>
      </c>
      <c r="B14877" s="15" t="s">
        <v>27440</v>
      </c>
      <c r="C14877" s="15" t="s">
        <v>800</v>
      </c>
      <c r="D14877" s="15" t="s">
        <v>27441</v>
      </c>
      <c r="E14877" s="15">
        <v>11.2828</v>
      </c>
      <c r="F14877" s="42">
        <v>43242</v>
      </c>
    </row>
    <row r="14878" spans="1:6" x14ac:dyDescent="0.3">
      <c r="A14878" s="15" t="s">
        <v>35275</v>
      </c>
      <c r="B14878" s="15" t="s">
        <v>27442</v>
      </c>
      <c r="C14878" s="15" t="s">
        <v>800</v>
      </c>
      <c r="D14878" s="15" t="s">
        <v>27443</v>
      </c>
      <c r="E14878" s="15">
        <v>11.7593</v>
      </c>
      <c r="F14878" s="42">
        <v>43242</v>
      </c>
    </row>
    <row r="14879" spans="1:6" x14ac:dyDescent="0.3">
      <c r="A14879" s="15" t="s">
        <v>35274</v>
      </c>
      <c r="B14879" s="15" t="s">
        <v>27444</v>
      </c>
      <c r="C14879" s="15" t="s">
        <v>800</v>
      </c>
      <c r="D14879" s="15" t="s">
        <v>27445</v>
      </c>
      <c r="E14879" s="15">
        <v>11.7593</v>
      </c>
      <c r="F14879" s="42">
        <v>43242</v>
      </c>
    </row>
    <row r="14880" spans="1:6" x14ac:dyDescent="0.3">
      <c r="A14880" s="15" t="s">
        <v>35273</v>
      </c>
      <c r="B14880" s="15" t="s">
        <v>27446</v>
      </c>
      <c r="C14880" s="15" t="s">
        <v>800</v>
      </c>
      <c r="D14880" s="15" t="s">
        <v>27447</v>
      </c>
      <c r="E14880" s="15">
        <v>11.2828</v>
      </c>
      <c r="F14880" s="42">
        <v>43242</v>
      </c>
    </row>
    <row r="14881" spans="1:6" x14ac:dyDescent="0.3">
      <c r="A14881" s="15" t="s">
        <v>35272</v>
      </c>
      <c r="B14881" s="15" t="s">
        <v>27448</v>
      </c>
      <c r="C14881" s="15" t="s">
        <v>800</v>
      </c>
      <c r="D14881" s="15" t="s">
        <v>27449</v>
      </c>
      <c r="E14881" s="15">
        <v>12.898199999999999</v>
      </c>
      <c r="F14881" s="42">
        <v>42887</v>
      </c>
    </row>
    <row r="14882" spans="1:6" x14ac:dyDescent="0.3">
      <c r="A14882" s="15" t="s">
        <v>35271</v>
      </c>
      <c r="B14882" s="15" t="s">
        <v>27450</v>
      </c>
      <c r="C14882" s="15" t="s">
        <v>800</v>
      </c>
      <c r="D14882" s="15" t="s">
        <v>27451</v>
      </c>
      <c r="E14882" s="15">
        <v>13.450799999999999</v>
      </c>
      <c r="F14882" s="42">
        <v>42887</v>
      </c>
    </row>
    <row r="14883" spans="1:6" x14ac:dyDescent="0.3">
      <c r="A14883" s="15" t="s">
        <v>35270</v>
      </c>
      <c r="B14883" s="15" t="s">
        <v>27452</v>
      </c>
      <c r="C14883" s="15" t="s">
        <v>800</v>
      </c>
      <c r="D14883" s="15" t="s">
        <v>27453</v>
      </c>
      <c r="E14883" s="15">
        <v>12.6492</v>
      </c>
      <c r="F14883" s="42">
        <v>42887</v>
      </c>
    </row>
    <row r="14884" spans="1:6" x14ac:dyDescent="0.3">
      <c r="A14884" s="15" t="s">
        <v>35269</v>
      </c>
      <c r="B14884" s="15" t="s">
        <v>27454</v>
      </c>
      <c r="C14884" s="15" t="s">
        <v>800</v>
      </c>
      <c r="D14884" s="15" t="s">
        <v>27455</v>
      </c>
      <c r="E14884" s="15">
        <v>12.194900000000001</v>
      </c>
      <c r="F14884" s="42">
        <v>42887</v>
      </c>
    </row>
    <row r="14885" spans="1:6" x14ac:dyDescent="0.3">
      <c r="A14885" s="15" t="s">
        <v>35268</v>
      </c>
      <c r="B14885" s="15" t="s">
        <v>27456</v>
      </c>
      <c r="C14885" s="15" t="s">
        <v>800</v>
      </c>
      <c r="D14885" s="15" t="s">
        <v>27457</v>
      </c>
      <c r="E14885" s="15">
        <v>12.434200000000001</v>
      </c>
      <c r="F14885" s="42">
        <v>42914</v>
      </c>
    </row>
    <row r="14886" spans="1:6" x14ac:dyDescent="0.3">
      <c r="A14886" s="15" t="s">
        <v>35267</v>
      </c>
      <c r="B14886" s="15" t="s">
        <v>27458</v>
      </c>
      <c r="C14886" s="15" t="s">
        <v>800</v>
      </c>
      <c r="D14886" s="15" t="s">
        <v>27459</v>
      </c>
      <c r="E14886" s="15">
        <v>12.9747</v>
      </c>
      <c r="F14886" s="42">
        <v>42914</v>
      </c>
    </row>
    <row r="14887" spans="1:6" x14ac:dyDescent="0.3">
      <c r="A14887" s="15" t="s">
        <v>35266</v>
      </c>
      <c r="B14887" s="15" t="s">
        <v>27460</v>
      </c>
      <c r="C14887" s="15" t="s">
        <v>800</v>
      </c>
      <c r="D14887" s="15" t="s">
        <v>27461</v>
      </c>
      <c r="E14887" s="15">
        <v>12.6366</v>
      </c>
      <c r="F14887" s="42">
        <v>42914</v>
      </c>
    </row>
    <row r="14888" spans="1:6" x14ac:dyDescent="0.3">
      <c r="A14888" s="15" t="s">
        <v>35265</v>
      </c>
      <c r="B14888" s="15" t="s">
        <v>27462</v>
      </c>
      <c r="C14888" s="15" t="s">
        <v>800</v>
      </c>
      <c r="D14888" s="15" t="s">
        <v>27463</v>
      </c>
      <c r="E14888" s="15">
        <v>12.167999999999999</v>
      </c>
      <c r="F14888" s="42">
        <v>42914</v>
      </c>
    </row>
    <row r="14889" spans="1:6" x14ac:dyDescent="0.3">
      <c r="A14889" s="15" t="s">
        <v>33499</v>
      </c>
      <c r="B14889" s="15" t="s">
        <v>795</v>
      </c>
      <c r="C14889" s="15" t="s">
        <v>795</v>
      </c>
      <c r="D14889" s="15" t="s">
        <v>795</v>
      </c>
      <c r="F14889" s="42"/>
    </row>
    <row r="14890" spans="1:6" x14ac:dyDescent="0.3">
      <c r="A14890" s="15" t="s">
        <v>35264</v>
      </c>
      <c r="B14890" s="15" t="s">
        <v>795</v>
      </c>
      <c r="C14890" s="15" t="s">
        <v>795</v>
      </c>
      <c r="D14890" s="15" t="s">
        <v>795</v>
      </c>
      <c r="F14890" s="42"/>
    </row>
    <row r="14891" spans="1:6" x14ac:dyDescent="0.3">
      <c r="A14891" s="15" t="s">
        <v>33499</v>
      </c>
      <c r="B14891" s="15" t="s">
        <v>795</v>
      </c>
      <c r="C14891" s="15" t="s">
        <v>795</v>
      </c>
      <c r="D14891" s="15" t="s">
        <v>795</v>
      </c>
      <c r="F14891" s="42"/>
    </row>
    <row r="14892" spans="1:6" x14ac:dyDescent="0.3">
      <c r="A14892" s="15" t="s">
        <v>35263</v>
      </c>
      <c r="B14892" s="15" t="s">
        <v>27464</v>
      </c>
      <c r="C14892" s="15" t="s">
        <v>27465</v>
      </c>
      <c r="D14892" s="15" t="s">
        <v>27466</v>
      </c>
      <c r="E14892" s="15">
        <v>1680494.0463</v>
      </c>
      <c r="F14892" s="42">
        <v>43465</v>
      </c>
    </row>
    <row r="14893" spans="1:6" x14ac:dyDescent="0.3">
      <c r="A14893" s="15" t="s">
        <v>35262</v>
      </c>
      <c r="B14893" s="15" t="s">
        <v>27467</v>
      </c>
      <c r="C14893" s="15" t="s">
        <v>27465</v>
      </c>
      <c r="D14893" s="15" t="s">
        <v>27468</v>
      </c>
      <c r="E14893" s="15">
        <v>1680494.0463</v>
      </c>
      <c r="F14893" s="42">
        <v>43465</v>
      </c>
    </row>
    <row r="14894" spans="1:6" x14ac:dyDescent="0.3">
      <c r="A14894" s="15" t="s">
        <v>35261</v>
      </c>
      <c r="B14894" s="15" t="s">
        <v>27469</v>
      </c>
      <c r="C14894" s="15" t="s">
        <v>27465</v>
      </c>
      <c r="D14894" s="15" t="s">
        <v>27470</v>
      </c>
      <c r="E14894" s="15">
        <v>2185944.3802999998</v>
      </c>
      <c r="F14894" s="42">
        <v>45382</v>
      </c>
    </row>
    <row r="14895" spans="1:6" x14ac:dyDescent="0.3">
      <c r="A14895" s="15" t="s">
        <v>35260</v>
      </c>
      <c r="B14895" s="15" t="s">
        <v>27471</v>
      </c>
      <c r="C14895" s="15" t="s">
        <v>27465</v>
      </c>
      <c r="D14895" s="15" t="s">
        <v>27472</v>
      </c>
      <c r="E14895" s="15">
        <v>2185944.3903000001</v>
      </c>
      <c r="F14895" s="42">
        <v>45382</v>
      </c>
    </row>
    <row r="14896" spans="1:6" x14ac:dyDescent="0.3">
      <c r="A14896" s="15" t="s">
        <v>35259</v>
      </c>
      <c r="B14896" s="15" t="s">
        <v>27473</v>
      </c>
      <c r="C14896" s="15" t="s">
        <v>800</v>
      </c>
      <c r="D14896" s="15" t="s">
        <v>27474</v>
      </c>
      <c r="E14896" s="15">
        <v>1903364.173</v>
      </c>
      <c r="F14896" s="42">
        <v>46112</v>
      </c>
    </row>
    <row r="14897" spans="1:6" x14ac:dyDescent="0.3">
      <c r="A14897" s="15" t="s">
        <v>35258</v>
      </c>
      <c r="B14897" s="15" t="s">
        <v>27475</v>
      </c>
      <c r="C14897" s="15" t="s">
        <v>800</v>
      </c>
      <c r="D14897" s="15" t="s">
        <v>27476</v>
      </c>
      <c r="E14897" s="15">
        <v>2458145.8232999998</v>
      </c>
      <c r="F14897" s="42">
        <v>46112</v>
      </c>
    </row>
    <row r="14898" spans="1:6" x14ac:dyDescent="0.3">
      <c r="A14898" s="15" t="s">
        <v>35257</v>
      </c>
      <c r="B14898" s="15" t="s">
        <v>27477</v>
      </c>
      <c r="C14898" s="15" t="s">
        <v>800</v>
      </c>
      <c r="D14898" s="15" t="s">
        <v>27478</v>
      </c>
      <c r="E14898" s="15">
        <v>2424610.7894000001</v>
      </c>
      <c r="F14898" s="42">
        <v>46112</v>
      </c>
    </row>
    <row r="14899" spans="1:6" x14ac:dyDescent="0.3">
      <c r="A14899" s="15" t="s">
        <v>35256</v>
      </c>
      <c r="B14899" s="15" t="s">
        <v>27479</v>
      </c>
      <c r="C14899" s="15" t="s">
        <v>27465</v>
      </c>
      <c r="D14899" s="15" t="s">
        <v>27480</v>
      </c>
      <c r="E14899" s="15">
        <v>1213044.969</v>
      </c>
      <c r="F14899" s="42">
        <v>44926</v>
      </c>
    </row>
    <row r="14900" spans="1:6" x14ac:dyDescent="0.3">
      <c r="A14900" s="15" t="s">
        <v>35255</v>
      </c>
      <c r="B14900" s="15" t="s">
        <v>27481</v>
      </c>
      <c r="C14900" s="15" t="s">
        <v>27465</v>
      </c>
      <c r="D14900" s="15" t="s">
        <v>27482</v>
      </c>
      <c r="E14900" s="15">
        <v>1213045.0145</v>
      </c>
      <c r="F14900" s="42">
        <v>44926</v>
      </c>
    </row>
    <row r="14901" spans="1:6" x14ac:dyDescent="0.3">
      <c r="A14901" s="15" t="s">
        <v>35254</v>
      </c>
      <c r="B14901" s="15" t="s">
        <v>27483</v>
      </c>
      <c r="C14901" s="15" t="s">
        <v>27465</v>
      </c>
      <c r="D14901" s="15" t="s">
        <v>27484</v>
      </c>
      <c r="E14901" s="15">
        <v>1211636.7662</v>
      </c>
      <c r="F14901" s="42">
        <v>44926</v>
      </c>
    </row>
    <row r="14902" spans="1:6" x14ac:dyDescent="0.3">
      <c r="A14902" s="15" t="s">
        <v>35253</v>
      </c>
      <c r="B14902" s="15" t="s">
        <v>27485</v>
      </c>
      <c r="C14902" s="15" t="s">
        <v>27465</v>
      </c>
      <c r="D14902" s="15" t="s">
        <v>27486</v>
      </c>
      <c r="E14902" s="15">
        <v>1456756.8966000001</v>
      </c>
      <c r="F14902" s="42">
        <v>44286</v>
      </c>
    </row>
    <row r="14903" spans="1:6" x14ac:dyDescent="0.3">
      <c r="A14903" s="15" t="s">
        <v>35252</v>
      </c>
      <c r="B14903" s="15" t="s">
        <v>27487</v>
      </c>
      <c r="C14903" s="15" t="s">
        <v>27465</v>
      </c>
      <c r="D14903" s="15" t="s">
        <v>27488</v>
      </c>
      <c r="E14903" s="15">
        <v>1456756.8970999999</v>
      </c>
      <c r="F14903" s="42">
        <v>44286</v>
      </c>
    </row>
    <row r="14904" spans="1:6" x14ac:dyDescent="0.3">
      <c r="A14904" s="15" t="s">
        <v>33499</v>
      </c>
      <c r="B14904" s="15" t="s">
        <v>795</v>
      </c>
      <c r="C14904" s="15" t="s">
        <v>795</v>
      </c>
      <c r="D14904" s="15" t="s">
        <v>795</v>
      </c>
      <c r="F14904" s="42"/>
    </row>
    <row r="14905" spans="1:6" x14ac:dyDescent="0.3">
      <c r="A14905" s="15" t="s">
        <v>139</v>
      </c>
      <c r="B14905" s="15" t="s">
        <v>795</v>
      </c>
      <c r="C14905" s="15" t="s">
        <v>795</v>
      </c>
      <c r="D14905" s="15" t="s">
        <v>795</v>
      </c>
      <c r="F14905" s="42"/>
    </row>
    <row r="14906" spans="1:6" x14ac:dyDescent="0.3">
      <c r="A14906" s="15" t="s">
        <v>33499</v>
      </c>
      <c r="B14906" s="15" t="s">
        <v>795</v>
      </c>
      <c r="C14906" s="15" t="s">
        <v>795</v>
      </c>
      <c r="D14906" s="15" t="s">
        <v>795</v>
      </c>
      <c r="F14906" s="42"/>
    </row>
    <row r="14907" spans="1:6" x14ac:dyDescent="0.3">
      <c r="A14907" s="15" t="s">
        <v>35251</v>
      </c>
      <c r="B14907" s="15" t="s">
        <v>27489</v>
      </c>
      <c r="C14907" s="15" t="s">
        <v>800</v>
      </c>
      <c r="D14907" s="15" t="s">
        <v>27490</v>
      </c>
      <c r="E14907" s="15">
        <v>10.000002</v>
      </c>
      <c r="F14907" s="42">
        <v>43376</v>
      </c>
    </row>
    <row r="14908" spans="1:6" x14ac:dyDescent="0.3">
      <c r="A14908" s="15" t="s">
        <v>35250</v>
      </c>
      <c r="B14908" s="15" t="s">
        <v>27491</v>
      </c>
      <c r="C14908" s="15" t="s">
        <v>800</v>
      </c>
      <c r="D14908" s="15" t="s">
        <v>27492</v>
      </c>
      <c r="E14908" s="15">
        <v>12.141466660000001</v>
      </c>
      <c r="F14908" s="42">
        <v>43376</v>
      </c>
    </row>
    <row r="14909" spans="1:6" x14ac:dyDescent="0.3">
      <c r="A14909" s="15" t="s">
        <v>35249</v>
      </c>
      <c r="B14909" s="15" t="s">
        <v>27493</v>
      </c>
      <c r="C14909" s="15" t="s">
        <v>800</v>
      </c>
      <c r="D14909" s="15" t="s">
        <v>27494</v>
      </c>
      <c r="E14909" s="15">
        <v>10.000016710000001</v>
      </c>
      <c r="F14909" s="42">
        <v>43376</v>
      </c>
    </row>
    <row r="14910" spans="1:6" x14ac:dyDescent="0.3">
      <c r="A14910" s="15" t="s">
        <v>35248</v>
      </c>
      <c r="B14910" s="15" t="s">
        <v>27495</v>
      </c>
      <c r="C14910" s="15" t="s">
        <v>800</v>
      </c>
      <c r="D14910" s="15" t="s">
        <v>27496</v>
      </c>
      <c r="E14910" s="15">
        <v>11.9437053</v>
      </c>
      <c r="F14910" s="42">
        <v>43376</v>
      </c>
    </row>
    <row r="14911" spans="1:6" x14ac:dyDescent="0.3">
      <c r="A14911" s="15" t="s">
        <v>35247</v>
      </c>
      <c r="B14911" s="15" t="s">
        <v>27497</v>
      </c>
      <c r="C14911" s="15" t="s">
        <v>800</v>
      </c>
      <c r="D14911" s="15" t="s">
        <v>27498</v>
      </c>
      <c r="E14911" s="15">
        <v>10.000014</v>
      </c>
      <c r="F14911" s="42">
        <v>43445</v>
      </c>
    </row>
    <row r="14912" spans="1:6" x14ac:dyDescent="0.3">
      <c r="A14912" s="15" t="s">
        <v>35246</v>
      </c>
      <c r="B14912" s="15" t="s">
        <v>27499</v>
      </c>
      <c r="C14912" s="15" t="s">
        <v>800</v>
      </c>
      <c r="D14912" s="15" t="s">
        <v>27500</v>
      </c>
      <c r="E14912" s="15">
        <v>12.24230938</v>
      </c>
      <c r="F14912" s="42">
        <v>43445</v>
      </c>
    </row>
    <row r="14913" spans="1:6" x14ac:dyDescent="0.3">
      <c r="A14913" s="15" t="s">
        <v>35245</v>
      </c>
      <c r="B14913" s="15" t="s">
        <v>27501</v>
      </c>
      <c r="C14913" s="15" t="s">
        <v>800</v>
      </c>
      <c r="D14913" s="15" t="s">
        <v>27502</v>
      </c>
      <c r="E14913" s="15">
        <v>10.00000026</v>
      </c>
      <c r="F14913" s="42">
        <v>43445</v>
      </c>
    </row>
    <row r="14914" spans="1:6" x14ac:dyDescent="0.3">
      <c r="A14914" s="15" t="s">
        <v>35244</v>
      </c>
      <c r="B14914" s="15" t="s">
        <v>27503</v>
      </c>
      <c r="C14914" s="15" t="s">
        <v>800</v>
      </c>
      <c r="D14914" s="15" t="s">
        <v>27504</v>
      </c>
      <c r="E14914" s="15">
        <v>12.048264659999999</v>
      </c>
      <c r="F14914" s="42">
        <v>43445</v>
      </c>
    </row>
    <row r="14915" spans="1:6" x14ac:dyDescent="0.3">
      <c r="A14915" s="15" t="s">
        <v>35243</v>
      </c>
      <c r="B14915" s="15" t="s">
        <v>27505</v>
      </c>
      <c r="C14915" s="15" t="s">
        <v>800</v>
      </c>
      <c r="D14915" s="15" t="s">
        <v>27506</v>
      </c>
      <c r="E14915" s="15">
        <v>12.01316151</v>
      </c>
      <c r="F14915" s="42">
        <v>43580</v>
      </c>
    </row>
    <row r="14916" spans="1:6" x14ac:dyDescent="0.3">
      <c r="A14916" s="15" t="s">
        <v>35242</v>
      </c>
      <c r="B14916" s="15" t="s">
        <v>27507</v>
      </c>
      <c r="C14916" s="15" t="s">
        <v>800</v>
      </c>
      <c r="D14916" s="15" t="s">
        <v>27508</v>
      </c>
      <c r="E14916" s="15">
        <v>10.00000414</v>
      </c>
      <c r="F14916" s="42">
        <v>43580</v>
      </c>
    </row>
    <row r="14917" spans="1:6" x14ac:dyDescent="0.3">
      <c r="A14917" s="15" t="s">
        <v>35241</v>
      </c>
      <c r="B14917" s="15" t="s">
        <v>27509</v>
      </c>
      <c r="C14917" s="15" t="s">
        <v>800</v>
      </c>
      <c r="D14917" s="15" t="s">
        <v>27510</v>
      </c>
      <c r="E14917" s="15">
        <v>11.796539149999999</v>
      </c>
      <c r="F14917" s="42">
        <v>43580</v>
      </c>
    </row>
    <row r="14918" spans="1:6" x14ac:dyDescent="0.3">
      <c r="A14918" s="15" t="s">
        <v>35240</v>
      </c>
      <c r="B14918" s="15" t="s">
        <v>27511</v>
      </c>
      <c r="C14918" s="15" t="s">
        <v>800</v>
      </c>
      <c r="D14918" s="15" t="s">
        <v>27512</v>
      </c>
      <c r="E14918" s="15">
        <v>10.000003</v>
      </c>
      <c r="F14918" s="42">
        <v>43626</v>
      </c>
    </row>
    <row r="14919" spans="1:6" x14ac:dyDescent="0.3">
      <c r="A14919" s="15" t="s">
        <v>35239</v>
      </c>
      <c r="B14919" s="15" t="s">
        <v>27513</v>
      </c>
      <c r="C14919" s="15" t="s">
        <v>800</v>
      </c>
      <c r="D14919" s="15" t="s">
        <v>27514</v>
      </c>
      <c r="E14919" s="15">
        <v>11.912271519999999</v>
      </c>
      <c r="F14919" s="42">
        <v>43626</v>
      </c>
    </row>
    <row r="14920" spans="1:6" x14ac:dyDescent="0.3">
      <c r="A14920" s="15" t="s">
        <v>35238</v>
      </c>
      <c r="B14920" s="15" t="s">
        <v>27515</v>
      </c>
      <c r="C14920" s="15" t="s">
        <v>800</v>
      </c>
      <c r="D14920" s="15" t="s">
        <v>27516</v>
      </c>
      <c r="E14920" s="15">
        <v>10.00000281</v>
      </c>
      <c r="F14920" s="42">
        <v>43626</v>
      </c>
    </row>
    <row r="14921" spans="1:6" x14ac:dyDescent="0.3">
      <c r="A14921" s="15" t="s">
        <v>35237</v>
      </c>
      <c r="B14921" s="15" t="s">
        <v>27517</v>
      </c>
      <c r="C14921" s="15" t="s">
        <v>800</v>
      </c>
      <c r="D14921" s="15" t="s">
        <v>27518</v>
      </c>
      <c r="E14921" s="15">
        <v>11.724089360000001</v>
      </c>
      <c r="F14921" s="42">
        <v>43626</v>
      </c>
    </row>
    <row r="14922" spans="1:6" x14ac:dyDescent="0.3">
      <c r="A14922" s="15" t="s">
        <v>35236</v>
      </c>
      <c r="B14922" s="15" t="s">
        <v>27519</v>
      </c>
      <c r="C14922" s="15" t="s">
        <v>800</v>
      </c>
      <c r="D14922" s="15" t="s">
        <v>27520</v>
      </c>
      <c r="E14922" s="15">
        <v>10.19907795</v>
      </c>
      <c r="F14922" s="42">
        <v>45428</v>
      </c>
    </row>
    <row r="14923" spans="1:6" x14ac:dyDescent="0.3">
      <c r="A14923" s="15" t="s">
        <v>35235</v>
      </c>
      <c r="B14923" s="15" t="s">
        <v>27521</v>
      </c>
      <c r="C14923" s="15" t="s">
        <v>800</v>
      </c>
      <c r="D14923" s="15" t="s">
        <v>27522</v>
      </c>
      <c r="E14923" s="15">
        <v>10.199023909999999</v>
      </c>
      <c r="F14923" s="42">
        <v>45428</v>
      </c>
    </row>
    <row r="14924" spans="1:6" x14ac:dyDescent="0.3">
      <c r="A14924" s="15" t="s">
        <v>35234</v>
      </c>
      <c r="B14924" s="15" t="s">
        <v>27523</v>
      </c>
      <c r="C14924" s="15" t="s">
        <v>800</v>
      </c>
      <c r="D14924" s="15" t="s">
        <v>27524</v>
      </c>
      <c r="E14924" s="15">
        <v>10.195182020000001</v>
      </c>
      <c r="F14924" s="42">
        <v>45428</v>
      </c>
    </row>
    <row r="14925" spans="1:6" x14ac:dyDescent="0.3">
      <c r="A14925" s="15" t="s">
        <v>35233</v>
      </c>
      <c r="B14925" s="15" t="s">
        <v>27525</v>
      </c>
      <c r="C14925" s="15" t="s">
        <v>800</v>
      </c>
      <c r="D14925" s="15" t="s">
        <v>27526</v>
      </c>
      <c r="E14925" s="15">
        <v>10.19518122</v>
      </c>
      <c r="F14925" s="42">
        <v>45428</v>
      </c>
    </row>
    <row r="14926" spans="1:6" x14ac:dyDescent="0.3">
      <c r="A14926" s="15" t="s">
        <v>35232</v>
      </c>
      <c r="B14926" s="15" t="s">
        <v>27527</v>
      </c>
      <c r="C14926" s="15" t="s">
        <v>800</v>
      </c>
      <c r="D14926" s="15" t="s">
        <v>27528</v>
      </c>
      <c r="E14926" s="15">
        <v>10.18968203</v>
      </c>
      <c r="F14926" s="42">
        <v>45462</v>
      </c>
    </row>
    <row r="14927" spans="1:6" x14ac:dyDescent="0.3">
      <c r="A14927" s="15" t="s">
        <v>35231</v>
      </c>
      <c r="B14927" s="15" t="s">
        <v>27529</v>
      </c>
      <c r="C14927" s="15" t="s">
        <v>800</v>
      </c>
      <c r="D14927" s="15" t="s">
        <v>27530</v>
      </c>
      <c r="E14927" s="15">
        <v>10.189593609999999</v>
      </c>
      <c r="F14927" s="42">
        <v>45462</v>
      </c>
    </row>
    <row r="14928" spans="1:6" x14ac:dyDescent="0.3">
      <c r="A14928" s="15" t="s">
        <v>35230</v>
      </c>
      <c r="B14928" s="15" t="s">
        <v>27531</v>
      </c>
      <c r="C14928" s="15" t="s">
        <v>800</v>
      </c>
      <c r="D14928" s="15" t="s">
        <v>27532</v>
      </c>
      <c r="E14928" s="15">
        <v>10.18584049</v>
      </c>
      <c r="F14928" s="42">
        <v>45462</v>
      </c>
    </row>
    <row r="14929" spans="1:6" x14ac:dyDescent="0.3">
      <c r="A14929" s="15" t="s">
        <v>35229</v>
      </c>
      <c r="B14929" s="15" t="s">
        <v>27533</v>
      </c>
      <c r="C14929" s="15" t="s">
        <v>800</v>
      </c>
      <c r="D14929" s="15" t="s">
        <v>27534</v>
      </c>
      <c r="E14929" s="15">
        <v>10.18583696</v>
      </c>
      <c r="F14929" s="42">
        <v>45462</v>
      </c>
    </row>
    <row r="14930" spans="1:6" x14ac:dyDescent="0.3">
      <c r="A14930" s="15" t="s">
        <v>35228</v>
      </c>
      <c r="B14930" s="15" t="s">
        <v>27535</v>
      </c>
      <c r="C14930" s="15" t="s">
        <v>800</v>
      </c>
      <c r="D14930" s="15" t="s">
        <v>27536</v>
      </c>
      <c r="E14930" s="15">
        <v>12.75752</v>
      </c>
      <c r="F14930" s="42">
        <v>42955</v>
      </c>
    </row>
    <row r="14931" spans="1:6" x14ac:dyDescent="0.3">
      <c r="A14931" s="15" t="s">
        <v>35227</v>
      </c>
      <c r="B14931" s="15" t="s">
        <v>27537</v>
      </c>
      <c r="C14931" s="15" t="s">
        <v>800</v>
      </c>
      <c r="D14931" s="15" t="s">
        <v>27538</v>
      </c>
      <c r="E14931" s="15">
        <v>14.060825299999999</v>
      </c>
      <c r="F14931" s="42">
        <v>42955</v>
      </c>
    </row>
    <row r="14932" spans="1:6" x14ac:dyDescent="0.3">
      <c r="A14932" s="15" t="s">
        <v>35226</v>
      </c>
      <c r="B14932" s="15" t="s">
        <v>27539</v>
      </c>
      <c r="C14932" s="15" t="s">
        <v>800</v>
      </c>
      <c r="D14932" s="15" t="s">
        <v>27540</v>
      </c>
      <c r="E14932" s="15">
        <v>10.000052719999999</v>
      </c>
      <c r="F14932" s="42">
        <v>41855</v>
      </c>
    </row>
    <row r="14933" spans="1:6" x14ac:dyDescent="0.3">
      <c r="A14933" s="15" t="s">
        <v>35225</v>
      </c>
      <c r="B14933" s="15" t="s">
        <v>27541</v>
      </c>
      <c r="C14933" s="15" t="s">
        <v>800</v>
      </c>
      <c r="D14933" s="15" t="s">
        <v>27542</v>
      </c>
      <c r="E14933" s="15">
        <v>14.01012529</v>
      </c>
      <c r="F14933" s="42">
        <v>42955</v>
      </c>
    </row>
    <row r="14934" spans="1:6" x14ac:dyDescent="0.3">
      <c r="A14934" s="15" t="s">
        <v>35224</v>
      </c>
      <c r="B14934" s="15" t="s">
        <v>800</v>
      </c>
      <c r="C14934" s="15" t="s">
        <v>800</v>
      </c>
      <c r="D14934" s="15" t="s">
        <v>27543</v>
      </c>
      <c r="E14934" s="15">
        <v>10.00000021</v>
      </c>
      <c r="F14934" s="42">
        <v>41856</v>
      </c>
    </row>
    <row r="14935" spans="1:6" x14ac:dyDescent="0.3">
      <c r="A14935" s="15" t="s">
        <v>35223</v>
      </c>
      <c r="B14935" s="15" t="s">
        <v>27544</v>
      </c>
      <c r="C14935" s="15" t="s">
        <v>800</v>
      </c>
      <c r="D14935" s="15" t="s">
        <v>27545</v>
      </c>
      <c r="E14935" s="15">
        <v>14.0569223</v>
      </c>
      <c r="F14935" s="42">
        <v>42956</v>
      </c>
    </row>
    <row r="14936" spans="1:6" x14ac:dyDescent="0.3">
      <c r="A14936" s="15" t="s">
        <v>35222</v>
      </c>
      <c r="B14936" s="15" t="s">
        <v>800</v>
      </c>
      <c r="C14936" s="15" t="s">
        <v>800</v>
      </c>
      <c r="D14936" s="15" t="s">
        <v>27546</v>
      </c>
      <c r="E14936" s="15">
        <v>10.0000024</v>
      </c>
      <c r="F14936" s="42">
        <v>41856</v>
      </c>
    </row>
    <row r="14937" spans="1:6" x14ac:dyDescent="0.3">
      <c r="A14937" s="15" t="s">
        <v>35221</v>
      </c>
      <c r="B14937" s="15" t="s">
        <v>27547</v>
      </c>
      <c r="C14937" s="15" t="s">
        <v>800</v>
      </c>
      <c r="D14937" s="15" t="s">
        <v>27548</v>
      </c>
      <c r="E14937" s="15">
        <v>14.01230223</v>
      </c>
      <c r="F14937" s="42">
        <v>42956</v>
      </c>
    </row>
    <row r="14938" spans="1:6" x14ac:dyDescent="0.3">
      <c r="A14938" s="15" t="s">
        <v>35220</v>
      </c>
      <c r="B14938" s="15" t="s">
        <v>27549</v>
      </c>
      <c r="C14938" s="15" t="s">
        <v>800</v>
      </c>
      <c r="D14938" s="15" t="s">
        <v>27550</v>
      </c>
      <c r="E14938" s="15">
        <v>11.895659</v>
      </c>
      <c r="F14938" s="42">
        <v>42590</v>
      </c>
    </row>
    <row r="14939" spans="1:6" x14ac:dyDescent="0.3">
      <c r="A14939" s="15" t="s">
        <v>35219</v>
      </c>
      <c r="B14939" s="15" t="s">
        <v>27551</v>
      </c>
      <c r="C14939" s="15" t="s">
        <v>800</v>
      </c>
      <c r="D14939" s="15" t="s">
        <v>27552</v>
      </c>
      <c r="E14939" s="15">
        <v>13.86302882</v>
      </c>
      <c r="F14939" s="42">
        <v>42968</v>
      </c>
    </row>
    <row r="14940" spans="1:6" x14ac:dyDescent="0.3">
      <c r="A14940" s="15" t="s">
        <v>35218</v>
      </c>
      <c r="B14940" s="15" t="s">
        <v>27553</v>
      </c>
      <c r="C14940" s="15" t="s">
        <v>800</v>
      </c>
      <c r="D14940" s="15" t="s">
        <v>27554</v>
      </c>
      <c r="E14940" s="15">
        <v>12.603973999999999</v>
      </c>
      <c r="F14940" s="42">
        <v>42968</v>
      </c>
    </row>
    <row r="14941" spans="1:6" x14ac:dyDescent="0.3">
      <c r="A14941" s="15" t="s">
        <v>35217</v>
      </c>
      <c r="B14941" s="15" t="s">
        <v>27555</v>
      </c>
      <c r="C14941" s="15" t="s">
        <v>800</v>
      </c>
      <c r="D14941" s="15" t="s">
        <v>27556</v>
      </c>
      <c r="E14941" s="15">
        <v>13.826000000000001</v>
      </c>
      <c r="F14941" s="42">
        <v>42969</v>
      </c>
    </row>
    <row r="14942" spans="1:6" x14ac:dyDescent="0.3">
      <c r="A14942" s="15" t="s">
        <v>35216</v>
      </c>
      <c r="B14942" s="15" t="s">
        <v>27557</v>
      </c>
      <c r="C14942" s="15" t="s">
        <v>800</v>
      </c>
      <c r="D14942" s="15" t="s">
        <v>27558</v>
      </c>
      <c r="E14942" s="15">
        <v>15.286099999999999</v>
      </c>
      <c r="F14942" s="42">
        <v>43325</v>
      </c>
    </row>
    <row r="14943" spans="1:6" x14ac:dyDescent="0.3">
      <c r="A14943" s="15" t="s">
        <v>35215</v>
      </c>
      <c r="B14943" s="15" t="s">
        <v>27559</v>
      </c>
      <c r="C14943" s="15" t="s">
        <v>800</v>
      </c>
      <c r="D14943" s="15" t="s">
        <v>27560</v>
      </c>
      <c r="E14943" s="15">
        <v>15.143599999999999</v>
      </c>
      <c r="F14943" s="42">
        <v>43325</v>
      </c>
    </row>
    <row r="14944" spans="1:6" x14ac:dyDescent="0.3">
      <c r="A14944" s="15" t="s">
        <v>35214</v>
      </c>
      <c r="B14944" s="15" t="s">
        <v>27561</v>
      </c>
      <c r="C14944" s="15" t="s">
        <v>800</v>
      </c>
      <c r="D14944" s="15" t="s">
        <v>27562</v>
      </c>
      <c r="E14944" s="15">
        <v>15.143599999999999</v>
      </c>
      <c r="F14944" s="42">
        <v>43325</v>
      </c>
    </row>
    <row r="14945" spans="1:6" x14ac:dyDescent="0.3">
      <c r="A14945" s="15" t="s">
        <v>35213</v>
      </c>
      <c r="B14945" s="15" t="s">
        <v>27563</v>
      </c>
      <c r="C14945" s="15" t="s">
        <v>800</v>
      </c>
      <c r="D14945" s="15" t="s">
        <v>27564</v>
      </c>
      <c r="E14945" s="15">
        <v>14.12405644</v>
      </c>
      <c r="F14945" s="42">
        <v>43020</v>
      </c>
    </row>
    <row r="14946" spans="1:6" x14ac:dyDescent="0.3">
      <c r="A14946" s="15" t="s">
        <v>35212</v>
      </c>
      <c r="B14946" s="15" t="s">
        <v>27565</v>
      </c>
      <c r="C14946" s="15" t="s">
        <v>800</v>
      </c>
      <c r="D14946" s="15" t="s">
        <v>27566</v>
      </c>
      <c r="E14946" s="15">
        <v>14.124066900000001</v>
      </c>
      <c r="F14946" s="42">
        <v>43020</v>
      </c>
    </row>
    <row r="14947" spans="1:6" x14ac:dyDescent="0.3">
      <c r="A14947" s="15" t="s">
        <v>35211</v>
      </c>
      <c r="B14947" s="15" t="s">
        <v>27567</v>
      </c>
      <c r="C14947" s="15" t="s">
        <v>800</v>
      </c>
      <c r="D14947" s="15" t="s">
        <v>27568</v>
      </c>
      <c r="E14947" s="15">
        <v>13.12598706</v>
      </c>
      <c r="F14947" s="42">
        <v>42620</v>
      </c>
    </row>
    <row r="14948" spans="1:6" x14ac:dyDescent="0.3">
      <c r="A14948" s="15" t="s">
        <v>35210</v>
      </c>
      <c r="B14948" s="15" t="s">
        <v>27569</v>
      </c>
      <c r="C14948" s="15" t="s">
        <v>800</v>
      </c>
      <c r="D14948" s="15" t="s">
        <v>27570</v>
      </c>
      <c r="E14948" s="15">
        <v>13.928975919999999</v>
      </c>
      <c r="F14948" s="42">
        <v>43020</v>
      </c>
    </row>
    <row r="14949" spans="1:6" x14ac:dyDescent="0.3">
      <c r="A14949" s="15" t="s">
        <v>35209</v>
      </c>
      <c r="B14949" s="15" t="s">
        <v>27571</v>
      </c>
      <c r="C14949" s="15" t="s">
        <v>800</v>
      </c>
      <c r="D14949" s="15" t="s">
        <v>27572</v>
      </c>
      <c r="E14949" s="15">
        <v>13.9816854</v>
      </c>
      <c r="F14949" s="42">
        <v>43020</v>
      </c>
    </row>
    <row r="14950" spans="1:6" x14ac:dyDescent="0.3">
      <c r="A14950" s="15" t="s">
        <v>35208</v>
      </c>
      <c r="B14950" s="15" t="s">
        <v>27573</v>
      </c>
      <c r="C14950" s="15" t="s">
        <v>800</v>
      </c>
      <c r="D14950" s="15" t="s">
        <v>27574</v>
      </c>
      <c r="E14950" s="15">
        <v>13.98165446</v>
      </c>
      <c r="F14950" s="42">
        <v>43020</v>
      </c>
    </row>
    <row r="14951" spans="1:6" x14ac:dyDescent="0.3">
      <c r="A14951" s="15" t="s">
        <v>35207</v>
      </c>
      <c r="B14951" s="15" t="s">
        <v>800</v>
      </c>
      <c r="C14951" s="15" t="s">
        <v>800</v>
      </c>
      <c r="D14951" s="15" t="s">
        <v>27575</v>
      </c>
      <c r="E14951" s="15">
        <v>11.05176745</v>
      </c>
      <c r="F14951" s="42">
        <v>41890</v>
      </c>
    </row>
    <row r="14952" spans="1:6" x14ac:dyDescent="0.3">
      <c r="A14952" s="15" t="s">
        <v>35206</v>
      </c>
      <c r="B14952" s="15" t="s">
        <v>27576</v>
      </c>
      <c r="C14952" s="15" t="s">
        <v>800</v>
      </c>
      <c r="D14952" s="15" t="s">
        <v>27577</v>
      </c>
      <c r="E14952" s="15">
        <v>13.906873620000001</v>
      </c>
      <c r="F14952" s="42">
        <v>43020</v>
      </c>
    </row>
    <row r="14953" spans="1:6" x14ac:dyDescent="0.3">
      <c r="A14953" s="15" t="s">
        <v>35205</v>
      </c>
      <c r="B14953" s="15" t="s">
        <v>27578</v>
      </c>
      <c r="C14953" s="15" t="s">
        <v>800</v>
      </c>
      <c r="D14953" s="15" t="s">
        <v>27579</v>
      </c>
      <c r="E14953" s="15">
        <v>11.091900000000001</v>
      </c>
      <c r="F14953" s="42">
        <v>41891</v>
      </c>
    </row>
    <row r="14954" spans="1:6" x14ac:dyDescent="0.3">
      <c r="A14954" s="15" t="s">
        <v>35204</v>
      </c>
      <c r="B14954" s="15" t="s">
        <v>27580</v>
      </c>
      <c r="C14954" s="15" t="s">
        <v>800</v>
      </c>
      <c r="D14954" s="15" t="s">
        <v>27581</v>
      </c>
      <c r="E14954" s="15">
        <v>14.0495</v>
      </c>
      <c r="F14954" s="42">
        <v>43020</v>
      </c>
    </row>
    <row r="14955" spans="1:6" x14ac:dyDescent="0.3">
      <c r="A14955" s="15" t="s">
        <v>35203</v>
      </c>
      <c r="B14955" s="15" t="s">
        <v>27582</v>
      </c>
      <c r="C14955" s="15" t="s">
        <v>800</v>
      </c>
      <c r="D14955" s="15" t="s">
        <v>27583</v>
      </c>
      <c r="E14955" s="15">
        <v>14.01739046</v>
      </c>
      <c r="F14955" s="42">
        <v>43020</v>
      </c>
    </row>
    <row r="14956" spans="1:6" x14ac:dyDescent="0.3">
      <c r="A14956" s="15" t="s">
        <v>35202</v>
      </c>
      <c r="B14956" s="15" t="s">
        <v>27584</v>
      </c>
      <c r="C14956" s="15" t="s">
        <v>800</v>
      </c>
      <c r="D14956" s="15" t="s">
        <v>27585</v>
      </c>
      <c r="E14956" s="15">
        <v>11.08650939</v>
      </c>
      <c r="F14956" s="42">
        <v>41891</v>
      </c>
    </row>
    <row r="14957" spans="1:6" x14ac:dyDescent="0.3">
      <c r="A14957" s="15" t="s">
        <v>35201</v>
      </c>
      <c r="B14957" s="15" t="s">
        <v>27586</v>
      </c>
      <c r="C14957" s="15" t="s">
        <v>800</v>
      </c>
      <c r="D14957" s="15" t="s">
        <v>27587</v>
      </c>
      <c r="E14957" s="15">
        <v>13.403971520000001</v>
      </c>
      <c r="F14957" s="42">
        <v>42695</v>
      </c>
    </row>
    <row r="14958" spans="1:6" x14ac:dyDescent="0.3">
      <c r="A14958" s="15" t="s">
        <v>35200</v>
      </c>
      <c r="B14958" s="15" t="s">
        <v>27588</v>
      </c>
      <c r="C14958" s="15" t="s">
        <v>800</v>
      </c>
      <c r="D14958" s="15" t="s">
        <v>27589</v>
      </c>
      <c r="E14958" s="15">
        <v>13.30711876</v>
      </c>
      <c r="F14958" s="42">
        <v>42695</v>
      </c>
    </row>
    <row r="14959" spans="1:6" x14ac:dyDescent="0.3">
      <c r="A14959" s="15" t="s">
        <v>35199</v>
      </c>
      <c r="B14959" s="15" t="s">
        <v>27590</v>
      </c>
      <c r="C14959" s="15" t="s">
        <v>800</v>
      </c>
      <c r="D14959" s="15" t="s">
        <v>27591</v>
      </c>
      <c r="E14959" s="15">
        <v>13.635167859999999</v>
      </c>
      <c r="F14959" s="42">
        <v>42842</v>
      </c>
    </row>
    <row r="14960" spans="1:6" x14ac:dyDescent="0.3">
      <c r="A14960" s="15" t="s">
        <v>35198</v>
      </c>
      <c r="B14960" s="15" t="s">
        <v>27592</v>
      </c>
      <c r="C14960" s="15" t="s">
        <v>800</v>
      </c>
      <c r="D14960" s="15" t="s">
        <v>27593</v>
      </c>
      <c r="E14960" s="15">
        <v>11.436448</v>
      </c>
      <c r="F14960" s="42">
        <v>42193</v>
      </c>
    </row>
    <row r="14961" spans="1:6" x14ac:dyDescent="0.3">
      <c r="A14961" s="15" t="s">
        <v>35197</v>
      </c>
      <c r="B14961" s="15" t="s">
        <v>27594</v>
      </c>
      <c r="C14961" s="15" t="s">
        <v>800</v>
      </c>
      <c r="D14961" s="15" t="s">
        <v>27595</v>
      </c>
      <c r="E14961" s="15">
        <v>13.1022</v>
      </c>
      <c r="F14961" s="42">
        <v>42831</v>
      </c>
    </row>
    <row r="14962" spans="1:6" x14ac:dyDescent="0.3">
      <c r="A14962" s="15" t="s">
        <v>35196</v>
      </c>
      <c r="B14962" s="15" t="s">
        <v>27596</v>
      </c>
      <c r="C14962" s="15" t="s">
        <v>800</v>
      </c>
      <c r="D14962" s="15" t="s">
        <v>27597</v>
      </c>
      <c r="E14962" s="15">
        <v>12.982116850000001</v>
      </c>
      <c r="F14962" s="42">
        <v>42830</v>
      </c>
    </row>
    <row r="14963" spans="1:6" x14ac:dyDescent="0.3">
      <c r="A14963" s="15" t="s">
        <v>35195</v>
      </c>
      <c r="B14963" s="15" t="s">
        <v>27598</v>
      </c>
      <c r="C14963" s="15" t="s">
        <v>800</v>
      </c>
      <c r="D14963" s="15" t="s">
        <v>27599</v>
      </c>
      <c r="E14963" s="15">
        <v>12.98210634</v>
      </c>
      <c r="F14963" s="42">
        <v>42830</v>
      </c>
    </row>
    <row r="14964" spans="1:6" x14ac:dyDescent="0.3">
      <c r="A14964" s="15" t="s">
        <v>35194</v>
      </c>
      <c r="B14964" s="15" t="s">
        <v>27600</v>
      </c>
      <c r="C14964" s="15" t="s">
        <v>800</v>
      </c>
      <c r="D14964" s="15" t="s">
        <v>27601</v>
      </c>
      <c r="E14964" s="15">
        <v>13.0411</v>
      </c>
      <c r="F14964" s="42">
        <v>42831</v>
      </c>
    </row>
    <row r="14965" spans="1:6" x14ac:dyDescent="0.3">
      <c r="A14965" s="15" t="s">
        <v>35193</v>
      </c>
      <c r="B14965" s="15" t="s">
        <v>27602</v>
      </c>
      <c r="C14965" s="15" t="s">
        <v>800</v>
      </c>
      <c r="D14965" s="15" t="s">
        <v>27603</v>
      </c>
      <c r="E14965" s="15">
        <v>12.94254112</v>
      </c>
      <c r="F14965" s="42">
        <v>42830</v>
      </c>
    </row>
    <row r="14966" spans="1:6" x14ac:dyDescent="0.3">
      <c r="A14966" s="15" t="s">
        <v>35192</v>
      </c>
      <c r="B14966" s="15" t="s">
        <v>27604</v>
      </c>
      <c r="C14966" s="15" t="s">
        <v>800</v>
      </c>
      <c r="D14966" s="15" t="s">
        <v>27605</v>
      </c>
      <c r="E14966" s="15">
        <v>13.02230964</v>
      </c>
      <c r="F14966" s="42">
        <v>42773</v>
      </c>
    </row>
    <row r="14967" spans="1:6" x14ac:dyDescent="0.3">
      <c r="A14967" s="15" t="s">
        <v>35191</v>
      </c>
      <c r="B14967" s="15" t="s">
        <v>27606</v>
      </c>
      <c r="C14967" s="15" t="s">
        <v>800</v>
      </c>
      <c r="D14967" s="15" t="s">
        <v>27607</v>
      </c>
      <c r="E14967" s="15">
        <v>12.944979330000001</v>
      </c>
      <c r="F14967" s="42">
        <v>42773</v>
      </c>
    </row>
    <row r="14968" spans="1:6" x14ac:dyDescent="0.3">
      <c r="A14968" s="15" t="s">
        <v>35190</v>
      </c>
      <c r="B14968" s="15" t="s">
        <v>27608</v>
      </c>
      <c r="C14968" s="15" t="s">
        <v>800</v>
      </c>
      <c r="D14968" s="15" t="s">
        <v>27609</v>
      </c>
      <c r="E14968" s="15">
        <v>13.1268279</v>
      </c>
      <c r="F14968" s="42">
        <v>42872</v>
      </c>
    </row>
    <row r="14969" spans="1:6" x14ac:dyDescent="0.3">
      <c r="A14969" s="15" t="s">
        <v>35189</v>
      </c>
      <c r="B14969" s="15" t="s">
        <v>27610</v>
      </c>
      <c r="C14969" s="15" t="s">
        <v>800</v>
      </c>
      <c r="D14969" s="15" t="s">
        <v>27611</v>
      </c>
      <c r="E14969" s="15">
        <v>10.985590220000001</v>
      </c>
      <c r="F14969" s="42">
        <v>42058</v>
      </c>
    </row>
    <row r="14970" spans="1:6" x14ac:dyDescent="0.3">
      <c r="A14970" s="15" t="s">
        <v>35188</v>
      </c>
      <c r="B14970" s="15" t="s">
        <v>27612</v>
      </c>
      <c r="C14970" s="15" t="s">
        <v>800</v>
      </c>
      <c r="D14970" s="15" t="s">
        <v>27613</v>
      </c>
      <c r="E14970" s="15">
        <v>13.074167839999999</v>
      </c>
      <c r="F14970" s="42">
        <v>42872</v>
      </c>
    </row>
    <row r="14971" spans="1:6" x14ac:dyDescent="0.3">
      <c r="A14971" s="15" t="s">
        <v>35187</v>
      </c>
      <c r="B14971" s="15" t="s">
        <v>27614</v>
      </c>
      <c r="C14971" s="15" t="s">
        <v>800</v>
      </c>
      <c r="D14971" s="15" t="s">
        <v>27615</v>
      </c>
      <c r="E14971" s="15">
        <v>12.919112070000001</v>
      </c>
      <c r="F14971" s="42">
        <v>42788</v>
      </c>
    </row>
    <row r="14972" spans="1:6" x14ac:dyDescent="0.3">
      <c r="A14972" s="15" t="s">
        <v>35186</v>
      </c>
      <c r="B14972" s="15" t="s">
        <v>800</v>
      </c>
      <c r="C14972" s="15" t="s">
        <v>800</v>
      </c>
      <c r="D14972" s="15" t="s">
        <v>27616</v>
      </c>
      <c r="E14972" s="15">
        <v>10.987690199999999</v>
      </c>
      <c r="F14972" s="42">
        <v>42058</v>
      </c>
    </row>
    <row r="14973" spans="1:6" x14ac:dyDescent="0.3">
      <c r="A14973" s="15" t="s">
        <v>35185</v>
      </c>
      <c r="B14973" s="15" t="s">
        <v>800</v>
      </c>
      <c r="C14973" s="15" t="s">
        <v>800</v>
      </c>
      <c r="D14973" s="15" t="s">
        <v>27617</v>
      </c>
      <c r="E14973" s="15">
        <v>11.008229999999999</v>
      </c>
      <c r="F14973" s="42">
        <v>42058</v>
      </c>
    </row>
    <row r="14974" spans="1:6" x14ac:dyDescent="0.3">
      <c r="A14974" s="15" t="s">
        <v>35184</v>
      </c>
      <c r="B14974" s="15" t="s">
        <v>27618</v>
      </c>
      <c r="C14974" s="15" t="s">
        <v>800</v>
      </c>
      <c r="D14974" s="15" t="s">
        <v>27619</v>
      </c>
      <c r="E14974" s="15">
        <v>12.892825480000001</v>
      </c>
      <c r="F14974" s="42">
        <v>42788</v>
      </c>
    </row>
    <row r="14975" spans="1:6" x14ac:dyDescent="0.3">
      <c r="A14975" s="15" t="s">
        <v>35183</v>
      </c>
      <c r="B14975" s="15" t="s">
        <v>27620</v>
      </c>
      <c r="C14975" s="15" t="s">
        <v>800</v>
      </c>
      <c r="D14975" s="15" t="s">
        <v>27621</v>
      </c>
      <c r="E14975" s="15">
        <v>13.259387439999999</v>
      </c>
      <c r="F14975" s="42">
        <v>42793</v>
      </c>
    </row>
    <row r="14976" spans="1:6" x14ac:dyDescent="0.3">
      <c r="A14976" s="15" t="s">
        <v>35182</v>
      </c>
      <c r="B14976" s="15" t="s">
        <v>27622</v>
      </c>
      <c r="C14976" s="15" t="s">
        <v>800</v>
      </c>
      <c r="D14976" s="15" t="s">
        <v>27623</v>
      </c>
      <c r="E14976" s="15">
        <v>13.46592974</v>
      </c>
      <c r="F14976" s="42">
        <v>42884</v>
      </c>
    </row>
    <row r="14977" spans="1:6" x14ac:dyDescent="0.3">
      <c r="A14977" s="15" t="s">
        <v>35181</v>
      </c>
      <c r="B14977" s="15" t="s">
        <v>27624</v>
      </c>
      <c r="C14977" s="15" t="s">
        <v>800</v>
      </c>
      <c r="D14977" s="15" t="s">
        <v>27625</v>
      </c>
      <c r="E14977" s="15">
        <v>13.04108916</v>
      </c>
      <c r="F14977" s="42">
        <v>42793</v>
      </c>
    </row>
    <row r="14978" spans="1:6" x14ac:dyDescent="0.3">
      <c r="A14978" s="15" t="s">
        <v>35180</v>
      </c>
      <c r="B14978" s="15" t="s">
        <v>27626</v>
      </c>
      <c r="C14978" s="15" t="s">
        <v>800</v>
      </c>
      <c r="D14978" s="15" t="s">
        <v>27627</v>
      </c>
      <c r="E14978" s="15">
        <v>13.24117348</v>
      </c>
      <c r="F14978" s="42">
        <v>42884</v>
      </c>
    </row>
    <row r="14979" spans="1:6" x14ac:dyDescent="0.3">
      <c r="A14979" s="15" t="s">
        <v>35179</v>
      </c>
      <c r="B14979" s="15" t="s">
        <v>800</v>
      </c>
      <c r="C14979" s="15" t="s">
        <v>800</v>
      </c>
      <c r="D14979" s="15" t="s">
        <v>27628</v>
      </c>
      <c r="E14979" s="15">
        <v>11.22644472</v>
      </c>
      <c r="F14979" s="42">
        <v>42144</v>
      </c>
    </row>
    <row r="14980" spans="1:6" x14ac:dyDescent="0.3">
      <c r="A14980" s="15" t="s">
        <v>35178</v>
      </c>
      <c r="B14980" s="15" t="s">
        <v>27629</v>
      </c>
      <c r="C14980" s="15" t="s">
        <v>800</v>
      </c>
      <c r="D14980" s="15" t="s">
        <v>27630</v>
      </c>
      <c r="E14980" s="15">
        <v>13.10564654</v>
      </c>
      <c r="F14980" s="42">
        <v>42885</v>
      </c>
    </row>
    <row r="14981" spans="1:6" x14ac:dyDescent="0.3">
      <c r="A14981" s="15" t="s">
        <v>35177</v>
      </c>
      <c r="B14981" s="15" t="s">
        <v>27631</v>
      </c>
      <c r="C14981" s="15" t="s">
        <v>800</v>
      </c>
      <c r="D14981" s="15" t="s">
        <v>27632</v>
      </c>
      <c r="E14981" s="15">
        <v>12.745592</v>
      </c>
      <c r="F14981" s="42">
        <v>42793</v>
      </c>
    </row>
    <row r="14982" spans="1:6" x14ac:dyDescent="0.3">
      <c r="A14982" s="15" t="s">
        <v>35176</v>
      </c>
      <c r="B14982" s="15" t="s">
        <v>27633</v>
      </c>
      <c r="C14982" s="15" t="s">
        <v>800</v>
      </c>
      <c r="D14982" s="15" t="s">
        <v>27634</v>
      </c>
      <c r="E14982" s="15">
        <v>12.943296549999999</v>
      </c>
      <c r="F14982" s="42">
        <v>42885</v>
      </c>
    </row>
    <row r="14983" spans="1:6" x14ac:dyDescent="0.3">
      <c r="A14983" s="15" t="s">
        <v>35175</v>
      </c>
      <c r="B14983" s="15" t="s">
        <v>27635</v>
      </c>
      <c r="C14983" s="15" t="s">
        <v>800</v>
      </c>
      <c r="D14983" s="15" t="s">
        <v>27636</v>
      </c>
      <c r="E14983" s="15">
        <v>12.93659605</v>
      </c>
      <c r="F14983" s="42">
        <v>42830</v>
      </c>
    </row>
    <row r="14984" spans="1:6" x14ac:dyDescent="0.3">
      <c r="A14984" s="15" t="s">
        <v>35174</v>
      </c>
      <c r="B14984" s="15" t="s">
        <v>800</v>
      </c>
      <c r="C14984" s="15" t="s">
        <v>800</v>
      </c>
      <c r="D14984" s="15" t="s">
        <v>27637</v>
      </c>
      <c r="E14984" s="15">
        <v>11.0881154</v>
      </c>
      <c r="F14984" s="42">
        <v>42121</v>
      </c>
    </row>
    <row r="14985" spans="1:6" x14ac:dyDescent="0.3">
      <c r="A14985" s="15" t="s">
        <v>35173</v>
      </c>
      <c r="B14985" s="15" t="s">
        <v>27638</v>
      </c>
      <c r="C14985" s="15" t="s">
        <v>800</v>
      </c>
      <c r="D14985" s="15" t="s">
        <v>27639</v>
      </c>
      <c r="E14985" s="15">
        <v>12.85510725</v>
      </c>
      <c r="F14985" s="42">
        <v>42830</v>
      </c>
    </row>
    <row r="14986" spans="1:6" x14ac:dyDescent="0.3">
      <c r="A14986" s="15" t="s">
        <v>35172</v>
      </c>
      <c r="B14986" s="15" t="s">
        <v>27640</v>
      </c>
      <c r="C14986" s="15" t="s">
        <v>800</v>
      </c>
      <c r="D14986" s="15" t="s">
        <v>27641</v>
      </c>
      <c r="E14986" s="15">
        <v>12.869228830000001</v>
      </c>
      <c r="F14986" s="42">
        <v>42803</v>
      </c>
    </row>
    <row r="14987" spans="1:6" x14ac:dyDescent="0.3">
      <c r="A14987" s="15" t="s">
        <v>35171</v>
      </c>
      <c r="B14987" s="15" t="s">
        <v>27642</v>
      </c>
      <c r="C14987" s="15" t="s">
        <v>800</v>
      </c>
      <c r="D14987" s="15" t="s">
        <v>27643</v>
      </c>
      <c r="E14987" s="15">
        <v>12.83623775</v>
      </c>
      <c r="F14987" s="42">
        <v>42803</v>
      </c>
    </row>
    <row r="14988" spans="1:6" x14ac:dyDescent="0.3">
      <c r="A14988" s="15" t="s">
        <v>35170</v>
      </c>
      <c r="B14988" s="15" t="s">
        <v>27644</v>
      </c>
      <c r="C14988" s="15" t="s">
        <v>800</v>
      </c>
      <c r="D14988" s="15" t="s">
        <v>27645</v>
      </c>
      <c r="E14988" s="15">
        <v>12.836237949999999</v>
      </c>
      <c r="F14988" s="42">
        <v>42803</v>
      </c>
    </row>
    <row r="14989" spans="1:6" x14ac:dyDescent="0.3">
      <c r="A14989" s="15" t="s">
        <v>35169</v>
      </c>
      <c r="B14989" s="15" t="s">
        <v>800</v>
      </c>
      <c r="C14989" s="15" t="s">
        <v>800</v>
      </c>
      <c r="D14989" s="15" t="s">
        <v>27646</v>
      </c>
      <c r="E14989" s="15">
        <v>11.030900000000001</v>
      </c>
      <c r="F14989" s="42">
        <v>42100</v>
      </c>
    </row>
    <row r="14990" spans="1:6" x14ac:dyDescent="0.3">
      <c r="A14990" s="15" t="s">
        <v>35168</v>
      </c>
      <c r="B14990" s="15" t="s">
        <v>27647</v>
      </c>
      <c r="C14990" s="15" t="s">
        <v>800</v>
      </c>
      <c r="D14990" s="15" t="s">
        <v>27648</v>
      </c>
      <c r="E14990" s="15">
        <v>13.998054399999999</v>
      </c>
      <c r="F14990" s="42">
        <v>43200</v>
      </c>
    </row>
    <row r="14991" spans="1:6" x14ac:dyDescent="0.3">
      <c r="A14991" s="15" t="s">
        <v>35167</v>
      </c>
      <c r="B14991" s="15" t="s">
        <v>27649</v>
      </c>
      <c r="C14991" s="15" t="s">
        <v>800</v>
      </c>
      <c r="D14991" s="15" t="s">
        <v>27650</v>
      </c>
      <c r="E14991" s="15">
        <v>13.926788</v>
      </c>
      <c r="F14991" s="42">
        <v>43200</v>
      </c>
    </row>
    <row r="14992" spans="1:6" x14ac:dyDescent="0.3">
      <c r="A14992" s="15" t="s">
        <v>35166</v>
      </c>
      <c r="B14992" s="15" t="s">
        <v>27651</v>
      </c>
      <c r="C14992" s="15" t="s">
        <v>800</v>
      </c>
      <c r="D14992" s="15" t="s">
        <v>27652</v>
      </c>
      <c r="E14992" s="15">
        <v>13.92670727</v>
      </c>
      <c r="F14992" s="42">
        <v>43200</v>
      </c>
    </row>
    <row r="14993" spans="1:6" x14ac:dyDescent="0.3">
      <c r="A14993" s="15" t="s">
        <v>35165</v>
      </c>
      <c r="B14993" s="15" t="s">
        <v>27653</v>
      </c>
      <c r="C14993" s="15" t="s">
        <v>800</v>
      </c>
      <c r="D14993" s="15" t="s">
        <v>27654</v>
      </c>
      <c r="E14993" s="15">
        <v>13.97907359</v>
      </c>
      <c r="F14993" s="42">
        <v>43200</v>
      </c>
    </row>
    <row r="14994" spans="1:6" x14ac:dyDescent="0.3">
      <c r="A14994" s="15" t="s">
        <v>35164</v>
      </c>
      <c r="B14994" s="15" t="s">
        <v>800</v>
      </c>
      <c r="C14994" s="15" t="s">
        <v>800</v>
      </c>
      <c r="D14994" s="15" t="s">
        <v>27655</v>
      </c>
      <c r="E14994" s="15">
        <v>10.991794000000001</v>
      </c>
      <c r="F14994" s="42">
        <v>42100</v>
      </c>
    </row>
    <row r="14995" spans="1:6" x14ac:dyDescent="0.3">
      <c r="A14995" s="15" t="s">
        <v>35163</v>
      </c>
      <c r="B14995" s="15" t="s">
        <v>27656</v>
      </c>
      <c r="C14995" s="15" t="s">
        <v>800</v>
      </c>
      <c r="D14995" s="15" t="s">
        <v>27657</v>
      </c>
      <c r="E14995" s="15">
        <v>13.91344572</v>
      </c>
      <c r="F14995" s="42">
        <v>43200</v>
      </c>
    </row>
    <row r="14996" spans="1:6" x14ac:dyDescent="0.3">
      <c r="A14996" s="15" t="s">
        <v>35162</v>
      </c>
      <c r="B14996" s="15" t="s">
        <v>27658</v>
      </c>
      <c r="C14996" s="15" t="s">
        <v>800</v>
      </c>
      <c r="D14996" s="15" t="s">
        <v>27659</v>
      </c>
      <c r="E14996" s="15">
        <v>13.94105794</v>
      </c>
      <c r="F14996" s="42">
        <v>43202</v>
      </c>
    </row>
    <row r="14997" spans="1:6" x14ac:dyDescent="0.3">
      <c r="A14997" s="15" t="s">
        <v>35161</v>
      </c>
      <c r="B14997" s="15" t="s">
        <v>800</v>
      </c>
      <c r="C14997" s="15" t="s">
        <v>800</v>
      </c>
      <c r="D14997" s="15" t="s">
        <v>27660</v>
      </c>
      <c r="E14997" s="15">
        <v>10.975490499999999</v>
      </c>
      <c r="F14997" s="42">
        <v>42102</v>
      </c>
    </row>
    <row r="14998" spans="1:6" x14ac:dyDescent="0.3">
      <c r="A14998" s="15" t="s">
        <v>35160</v>
      </c>
      <c r="B14998" s="15" t="s">
        <v>27661</v>
      </c>
      <c r="C14998" s="15" t="s">
        <v>800</v>
      </c>
      <c r="D14998" s="15" t="s">
        <v>27662</v>
      </c>
      <c r="E14998" s="15">
        <v>13.81277193</v>
      </c>
      <c r="F14998" s="42">
        <v>43202</v>
      </c>
    </row>
    <row r="14999" spans="1:6" x14ac:dyDescent="0.3">
      <c r="A14999" s="15" t="s">
        <v>35159</v>
      </c>
      <c r="B14999" s="15" t="s">
        <v>27663</v>
      </c>
      <c r="C14999" s="15" t="s">
        <v>800</v>
      </c>
      <c r="D14999" s="15" t="s">
        <v>27664</v>
      </c>
      <c r="E14999" s="15">
        <v>12.801181270000001</v>
      </c>
      <c r="F14999" s="42">
        <v>42830</v>
      </c>
    </row>
    <row r="15000" spans="1:6" x14ac:dyDescent="0.3">
      <c r="A15000" s="15" t="s">
        <v>35158</v>
      </c>
      <c r="B15000" s="15" t="s">
        <v>800</v>
      </c>
      <c r="C15000" s="15" t="s">
        <v>800</v>
      </c>
      <c r="D15000" s="15" t="s">
        <v>27665</v>
      </c>
      <c r="E15000" s="15">
        <v>10.972088319999999</v>
      </c>
      <c r="F15000" s="42">
        <v>42110</v>
      </c>
    </row>
    <row r="15001" spans="1:6" x14ac:dyDescent="0.3">
      <c r="A15001" s="15" t="s">
        <v>35157</v>
      </c>
      <c r="B15001" s="15" t="s">
        <v>27666</v>
      </c>
      <c r="C15001" s="15" t="s">
        <v>800</v>
      </c>
      <c r="D15001" s="15" t="s">
        <v>27667</v>
      </c>
      <c r="E15001" s="15">
        <v>12.75601298</v>
      </c>
      <c r="F15001" s="42">
        <v>42830</v>
      </c>
    </row>
    <row r="15002" spans="1:6" x14ac:dyDescent="0.3">
      <c r="A15002" s="15" t="s">
        <v>35156</v>
      </c>
      <c r="B15002" s="15" t="s">
        <v>27668</v>
      </c>
      <c r="C15002" s="15" t="s">
        <v>800</v>
      </c>
      <c r="D15002" s="15" t="s">
        <v>27669</v>
      </c>
      <c r="E15002" s="15">
        <v>12.804</v>
      </c>
      <c r="F15002" s="42">
        <v>42831</v>
      </c>
    </row>
    <row r="15003" spans="1:6" x14ac:dyDescent="0.3">
      <c r="A15003" s="15" t="s">
        <v>35155</v>
      </c>
      <c r="B15003" s="15" t="s">
        <v>800</v>
      </c>
      <c r="C15003" s="15" t="s">
        <v>800</v>
      </c>
      <c r="D15003" s="15" t="s">
        <v>27670</v>
      </c>
      <c r="E15003" s="15">
        <v>10.954179119999999</v>
      </c>
      <c r="F15003" s="42">
        <v>42110</v>
      </c>
    </row>
    <row r="15004" spans="1:6" x14ac:dyDescent="0.3">
      <c r="A15004" s="15" t="s">
        <v>35154</v>
      </c>
      <c r="B15004" s="15" t="s">
        <v>27671</v>
      </c>
      <c r="C15004" s="15" t="s">
        <v>800</v>
      </c>
      <c r="D15004" s="15" t="s">
        <v>27672</v>
      </c>
      <c r="E15004" s="15">
        <v>12.74600336</v>
      </c>
      <c r="F15004" s="42">
        <v>42830</v>
      </c>
    </row>
    <row r="15005" spans="1:6" x14ac:dyDescent="0.3">
      <c r="A15005" s="15" t="s">
        <v>35153</v>
      </c>
      <c r="B15005" s="15" t="s">
        <v>27673</v>
      </c>
      <c r="C15005" s="15" t="s">
        <v>800</v>
      </c>
      <c r="D15005" s="15" t="s">
        <v>27674</v>
      </c>
      <c r="E15005" s="15">
        <v>13.127451990000001</v>
      </c>
      <c r="F15005" s="42">
        <v>42831</v>
      </c>
    </row>
    <row r="15006" spans="1:6" x14ac:dyDescent="0.3">
      <c r="A15006" s="15" t="s">
        <v>35152</v>
      </c>
      <c r="B15006" s="15" t="s">
        <v>27675</v>
      </c>
      <c r="C15006" s="15" t="s">
        <v>800</v>
      </c>
      <c r="D15006" s="15" t="s">
        <v>27676</v>
      </c>
      <c r="E15006" s="15">
        <v>13.127452099999999</v>
      </c>
      <c r="F15006" s="42">
        <v>42831</v>
      </c>
    </row>
    <row r="15007" spans="1:6" x14ac:dyDescent="0.3">
      <c r="A15007" s="15" t="s">
        <v>35151</v>
      </c>
      <c r="B15007" s="15" t="s">
        <v>27677</v>
      </c>
      <c r="C15007" s="15" t="s">
        <v>800</v>
      </c>
      <c r="D15007" s="15" t="s">
        <v>27678</v>
      </c>
      <c r="E15007" s="15">
        <v>13.040401040000001</v>
      </c>
      <c r="F15007" s="42">
        <v>42831</v>
      </c>
    </row>
    <row r="15008" spans="1:6" x14ac:dyDescent="0.3">
      <c r="A15008" s="15" t="s">
        <v>35150</v>
      </c>
      <c r="B15008" s="15" t="s">
        <v>27679</v>
      </c>
      <c r="C15008" s="15" t="s">
        <v>800</v>
      </c>
      <c r="D15008" s="15" t="s">
        <v>27680</v>
      </c>
      <c r="E15008" s="15">
        <v>13.040401040000001</v>
      </c>
      <c r="F15008" s="42">
        <v>42831</v>
      </c>
    </row>
    <row r="15009" spans="1:6" x14ac:dyDescent="0.3">
      <c r="A15009" s="15" t="s">
        <v>35149</v>
      </c>
      <c r="B15009" s="15" t="s">
        <v>27681</v>
      </c>
      <c r="C15009" s="15" t="s">
        <v>800</v>
      </c>
      <c r="D15009" s="15" t="s">
        <v>27682</v>
      </c>
      <c r="E15009" s="15">
        <v>12.793841670000001</v>
      </c>
      <c r="F15009" s="42">
        <v>42830</v>
      </c>
    </row>
    <row r="15010" spans="1:6" x14ac:dyDescent="0.3">
      <c r="A15010" s="15" t="s">
        <v>35148</v>
      </c>
      <c r="B15010" s="15" t="s">
        <v>27683</v>
      </c>
      <c r="C15010" s="15" t="s">
        <v>800</v>
      </c>
      <c r="D15010" s="15" t="s">
        <v>27684</v>
      </c>
      <c r="E15010" s="15">
        <v>12.7396344</v>
      </c>
      <c r="F15010" s="42">
        <v>42830</v>
      </c>
    </row>
    <row r="15011" spans="1:6" x14ac:dyDescent="0.3">
      <c r="A15011" s="15" t="s">
        <v>35147</v>
      </c>
      <c r="B15011" s="15" t="s">
        <v>27685</v>
      </c>
      <c r="C15011" s="15" t="s">
        <v>800</v>
      </c>
      <c r="D15011" s="15" t="s">
        <v>27686</v>
      </c>
      <c r="E15011" s="15">
        <v>12.73963475</v>
      </c>
      <c r="F15011" s="42">
        <v>42830</v>
      </c>
    </row>
    <row r="15012" spans="1:6" x14ac:dyDescent="0.3">
      <c r="A15012" s="15" t="s">
        <v>35146</v>
      </c>
      <c r="B15012" s="15" t="s">
        <v>27687</v>
      </c>
      <c r="C15012" s="15" t="s">
        <v>800</v>
      </c>
      <c r="D15012" s="15" t="s">
        <v>27688</v>
      </c>
      <c r="E15012" s="15">
        <v>13.16340155</v>
      </c>
      <c r="F15012" s="42">
        <v>42884</v>
      </c>
    </row>
    <row r="15013" spans="1:6" x14ac:dyDescent="0.3">
      <c r="A15013" s="15" t="s">
        <v>35145</v>
      </c>
      <c r="B15013" s="15" t="s">
        <v>27689</v>
      </c>
      <c r="C15013" s="15" t="s">
        <v>800</v>
      </c>
      <c r="D15013" s="15" t="s">
        <v>27690</v>
      </c>
      <c r="E15013" s="15">
        <v>13.007522</v>
      </c>
      <c r="F15013" s="42">
        <v>42884</v>
      </c>
    </row>
    <row r="15014" spans="1:6" x14ac:dyDescent="0.3">
      <c r="A15014" s="15" t="s">
        <v>35144</v>
      </c>
      <c r="B15014" s="15" t="s">
        <v>27691</v>
      </c>
      <c r="C15014" s="15" t="s">
        <v>800</v>
      </c>
      <c r="D15014" s="15" t="s">
        <v>27692</v>
      </c>
      <c r="E15014" s="15">
        <v>13.007521880000001</v>
      </c>
      <c r="F15014" s="42">
        <v>42884</v>
      </c>
    </row>
    <row r="15015" spans="1:6" x14ac:dyDescent="0.3">
      <c r="A15015" s="15" t="s">
        <v>35143</v>
      </c>
      <c r="B15015" s="15" t="s">
        <v>800</v>
      </c>
      <c r="C15015" s="15" t="s">
        <v>800</v>
      </c>
      <c r="D15015" s="15" t="s">
        <v>27693</v>
      </c>
      <c r="E15015" s="15">
        <v>11.101645850000001</v>
      </c>
      <c r="F15015" s="42">
        <v>42117</v>
      </c>
    </row>
    <row r="15016" spans="1:6" x14ac:dyDescent="0.3">
      <c r="A15016" s="15" t="s">
        <v>35142</v>
      </c>
      <c r="B15016" s="15" t="s">
        <v>27694</v>
      </c>
      <c r="C15016" s="15" t="s">
        <v>800</v>
      </c>
      <c r="D15016" s="15" t="s">
        <v>27695</v>
      </c>
      <c r="E15016" s="15">
        <v>12.969799999999999</v>
      </c>
      <c r="F15016" s="42">
        <v>42831</v>
      </c>
    </row>
    <row r="15017" spans="1:6" x14ac:dyDescent="0.3">
      <c r="A15017" s="15" t="s">
        <v>35141</v>
      </c>
      <c r="B15017" s="15" t="s">
        <v>27696</v>
      </c>
      <c r="C15017" s="15" t="s">
        <v>800</v>
      </c>
      <c r="D15017" s="15" t="s">
        <v>27697</v>
      </c>
      <c r="E15017" s="15">
        <v>12.8355</v>
      </c>
      <c r="F15017" s="42">
        <v>42831</v>
      </c>
    </row>
    <row r="15018" spans="1:6" x14ac:dyDescent="0.3">
      <c r="A15018" s="15" t="s">
        <v>35140</v>
      </c>
      <c r="B15018" s="15" t="s">
        <v>27698</v>
      </c>
      <c r="C15018" s="15" t="s">
        <v>800</v>
      </c>
      <c r="D15018" s="15" t="s">
        <v>27699</v>
      </c>
      <c r="E15018" s="15">
        <v>12.824400000000001</v>
      </c>
      <c r="F15018" s="42">
        <v>42831</v>
      </c>
    </row>
    <row r="15019" spans="1:6" x14ac:dyDescent="0.3">
      <c r="A15019" s="15" t="s">
        <v>35139</v>
      </c>
      <c r="B15019" s="15" t="s">
        <v>27700</v>
      </c>
      <c r="C15019" s="15" t="s">
        <v>800</v>
      </c>
      <c r="D15019" s="15" t="s">
        <v>27701</v>
      </c>
      <c r="E15019" s="15">
        <v>12.79361175</v>
      </c>
      <c r="F15019" s="42">
        <v>42843</v>
      </c>
    </row>
    <row r="15020" spans="1:6" x14ac:dyDescent="0.3">
      <c r="A15020" s="15" t="s">
        <v>35138</v>
      </c>
      <c r="B15020" s="15" t="s">
        <v>27702</v>
      </c>
      <c r="C15020" s="15" t="s">
        <v>800</v>
      </c>
      <c r="D15020" s="15" t="s">
        <v>27703</v>
      </c>
      <c r="E15020" s="15">
        <v>12.793611090000001</v>
      </c>
      <c r="F15020" s="42">
        <v>42843</v>
      </c>
    </row>
    <row r="15021" spans="1:6" x14ac:dyDescent="0.3">
      <c r="A15021" s="15" t="s">
        <v>35137</v>
      </c>
      <c r="B15021" s="15" t="s">
        <v>27704</v>
      </c>
      <c r="C15021" s="15" t="s">
        <v>800</v>
      </c>
      <c r="D15021" s="15" t="s">
        <v>27705</v>
      </c>
      <c r="E15021" s="15">
        <v>12.74601114</v>
      </c>
      <c r="F15021" s="42">
        <v>42843</v>
      </c>
    </row>
    <row r="15022" spans="1:6" x14ac:dyDescent="0.3">
      <c r="A15022" s="15" t="s">
        <v>35136</v>
      </c>
      <c r="B15022" s="15" t="s">
        <v>27706</v>
      </c>
      <c r="C15022" s="15" t="s">
        <v>800</v>
      </c>
      <c r="D15022" s="15" t="s">
        <v>27707</v>
      </c>
      <c r="E15022" s="15">
        <v>12.74601112</v>
      </c>
      <c r="F15022" s="42">
        <v>42843</v>
      </c>
    </row>
    <row r="15023" spans="1:6" x14ac:dyDescent="0.3">
      <c r="A15023" s="15" t="s">
        <v>35135</v>
      </c>
      <c r="B15023" s="15" t="s">
        <v>27708</v>
      </c>
      <c r="C15023" s="15" t="s">
        <v>800</v>
      </c>
      <c r="D15023" s="15" t="s">
        <v>27709</v>
      </c>
      <c r="E15023" s="15">
        <v>12.789876100000001</v>
      </c>
      <c r="F15023" s="42">
        <v>42849</v>
      </c>
    </row>
    <row r="15024" spans="1:6" x14ac:dyDescent="0.3">
      <c r="A15024" s="15" t="s">
        <v>35134</v>
      </c>
      <c r="B15024" s="15" t="s">
        <v>800</v>
      </c>
      <c r="C15024" s="15" t="s">
        <v>800</v>
      </c>
      <c r="D15024" s="15" t="s">
        <v>27710</v>
      </c>
      <c r="E15024" s="15">
        <v>10.923768770000001</v>
      </c>
      <c r="F15024" s="42">
        <v>42116</v>
      </c>
    </row>
    <row r="15025" spans="1:6" x14ac:dyDescent="0.3">
      <c r="A15025" s="15" t="s">
        <v>35133</v>
      </c>
      <c r="B15025" s="15" t="s">
        <v>27711</v>
      </c>
      <c r="C15025" s="15" t="s">
        <v>800</v>
      </c>
      <c r="D15025" s="15" t="s">
        <v>27712</v>
      </c>
      <c r="E15025" s="15">
        <v>12.759103400000001</v>
      </c>
      <c r="F15025" s="42">
        <v>42849</v>
      </c>
    </row>
    <row r="15026" spans="1:6" x14ac:dyDescent="0.3">
      <c r="A15026" s="15" t="s">
        <v>35132</v>
      </c>
      <c r="B15026" s="15" t="s">
        <v>800</v>
      </c>
      <c r="C15026" s="15" t="s">
        <v>800</v>
      </c>
      <c r="D15026" s="15" t="s">
        <v>27713</v>
      </c>
      <c r="E15026" s="15">
        <v>10.961835199999999</v>
      </c>
      <c r="F15026" s="42">
        <v>42129</v>
      </c>
    </row>
    <row r="15027" spans="1:6" x14ac:dyDescent="0.3">
      <c r="A15027" s="15" t="s">
        <v>35131</v>
      </c>
      <c r="B15027" s="15" t="s">
        <v>27714</v>
      </c>
      <c r="C15027" s="15" t="s">
        <v>800</v>
      </c>
      <c r="D15027" s="15" t="s">
        <v>27715</v>
      </c>
      <c r="E15027" s="15">
        <v>12.814780389999999</v>
      </c>
      <c r="F15027" s="42">
        <v>42857</v>
      </c>
    </row>
    <row r="15028" spans="1:6" x14ac:dyDescent="0.3">
      <c r="A15028" s="15" t="s">
        <v>35130</v>
      </c>
      <c r="B15028" s="15" t="s">
        <v>27716</v>
      </c>
      <c r="C15028" s="15" t="s">
        <v>800</v>
      </c>
      <c r="D15028" s="15" t="s">
        <v>27717</v>
      </c>
      <c r="E15028" s="15">
        <v>12.7821113</v>
      </c>
      <c r="F15028" s="42">
        <v>42857</v>
      </c>
    </row>
    <row r="15029" spans="1:6" x14ac:dyDescent="0.3">
      <c r="A15029" s="15" t="s">
        <v>35129</v>
      </c>
      <c r="B15029" s="15" t="s">
        <v>27718</v>
      </c>
      <c r="C15029" s="15" t="s">
        <v>800</v>
      </c>
      <c r="D15029" s="15" t="s">
        <v>27719</v>
      </c>
      <c r="E15029" s="15">
        <v>12.782110830000001</v>
      </c>
      <c r="F15029" s="42">
        <v>42857</v>
      </c>
    </row>
    <row r="15030" spans="1:6" x14ac:dyDescent="0.3">
      <c r="A15030" s="15" t="s">
        <v>35128</v>
      </c>
      <c r="B15030" s="15" t="s">
        <v>27720</v>
      </c>
      <c r="C15030" s="15" t="s">
        <v>800</v>
      </c>
      <c r="D15030" s="15" t="s">
        <v>27721</v>
      </c>
      <c r="E15030" s="15">
        <v>12.798834510000001</v>
      </c>
      <c r="F15030" s="42">
        <v>42859</v>
      </c>
    </row>
    <row r="15031" spans="1:6" x14ac:dyDescent="0.3">
      <c r="A15031" s="15" t="s">
        <v>35127</v>
      </c>
      <c r="B15031" s="15" t="s">
        <v>27722</v>
      </c>
      <c r="C15031" s="15" t="s">
        <v>800</v>
      </c>
      <c r="D15031" s="15" t="s">
        <v>27723</v>
      </c>
      <c r="E15031" s="15">
        <v>12.769111199999999</v>
      </c>
      <c r="F15031" s="42">
        <v>42859</v>
      </c>
    </row>
    <row r="15032" spans="1:6" x14ac:dyDescent="0.3">
      <c r="A15032" s="15" t="s">
        <v>35126</v>
      </c>
      <c r="B15032" s="15" t="s">
        <v>27724</v>
      </c>
      <c r="C15032" s="15" t="s">
        <v>800</v>
      </c>
      <c r="D15032" s="15" t="s">
        <v>27725</v>
      </c>
      <c r="E15032" s="15">
        <v>12.769111110000001</v>
      </c>
      <c r="F15032" s="42">
        <v>42859</v>
      </c>
    </row>
    <row r="15033" spans="1:6" x14ac:dyDescent="0.3">
      <c r="A15033" s="15" t="s">
        <v>35125</v>
      </c>
      <c r="B15033" s="15" t="s">
        <v>27726</v>
      </c>
      <c r="C15033" s="15" t="s">
        <v>800</v>
      </c>
      <c r="D15033" s="15" t="s">
        <v>27727</v>
      </c>
      <c r="E15033" s="15">
        <v>12.817912</v>
      </c>
      <c r="F15033" s="42">
        <v>42814</v>
      </c>
    </row>
    <row r="15034" spans="1:6" x14ac:dyDescent="0.3">
      <c r="A15034" s="15" t="s">
        <v>35124</v>
      </c>
      <c r="B15034" s="15" t="s">
        <v>27728</v>
      </c>
      <c r="C15034" s="15" t="s">
        <v>800</v>
      </c>
      <c r="D15034" s="15" t="s">
        <v>27729</v>
      </c>
      <c r="E15034" s="15">
        <v>13.020648100000001</v>
      </c>
      <c r="F15034" s="42">
        <v>42907</v>
      </c>
    </row>
    <row r="15035" spans="1:6" x14ac:dyDescent="0.3">
      <c r="A15035" s="15" t="s">
        <v>35123</v>
      </c>
      <c r="B15035" s="15" t="s">
        <v>27730</v>
      </c>
      <c r="C15035" s="15" t="s">
        <v>800</v>
      </c>
      <c r="D15035" s="15" t="s">
        <v>27731</v>
      </c>
      <c r="E15035" s="15">
        <v>12.883147960000001</v>
      </c>
      <c r="F15035" s="42">
        <v>42907</v>
      </c>
    </row>
    <row r="15036" spans="1:6" x14ac:dyDescent="0.3">
      <c r="A15036" s="15" t="s">
        <v>35122</v>
      </c>
      <c r="B15036" s="15" t="s">
        <v>27732</v>
      </c>
      <c r="C15036" s="15" t="s">
        <v>800</v>
      </c>
      <c r="D15036" s="15" t="s">
        <v>27733</v>
      </c>
      <c r="E15036" s="15">
        <v>12.883147960000001</v>
      </c>
      <c r="F15036" s="42">
        <v>42907</v>
      </c>
    </row>
    <row r="15037" spans="1:6" x14ac:dyDescent="0.3">
      <c r="A15037" s="15" t="s">
        <v>35121</v>
      </c>
      <c r="B15037" s="15" t="s">
        <v>27734</v>
      </c>
      <c r="C15037" s="15" t="s">
        <v>800</v>
      </c>
      <c r="D15037" s="15" t="s">
        <v>27735</v>
      </c>
      <c r="E15037" s="15">
        <v>12.700968</v>
      </c>
      <c r="F15037" s="42">
        <v>42877</v>
      </c>
    </row>
    <row r="15038" spans="1:6" x14ac:dyDescent="0.3">
      <c r="A15038" s="15" t="s">
        <v>35120</v>
      </c>
      <c r="B15038" s="15" t="s">
        <v>27736</v>
      </c>
      <c r="C15038" s="15" t="s">
        <v>800</v>
      </c>
      <c r="D15038" s="15" t="s">
        <v>27737</v>
      </c>
      <c r="E15038" s="15">
        <v>12.70096773</v>
      </c>
      <c r="F15038" s="42">
        <v>42877</v>
      </c>
    </row>
    <row r="15039" spans="1:6" x14ac:dyDescent="0.3">
      <c r="A15039" s="15" t="s">
        <v>35119</v>
      </c>
      <c r="B15039" s="15" t="s">
        <v>27738</v>
      </c>
      <c r="C15039" s="15" t="s">
        <v>800</v>
      </c>
      <c r="D15039" s="15" t="s">
        <v>27739</v>
      </c>
      <c r="E15039" s="15">
        <v>12.698665999999999</v>
      </c>
      <c r="F15039" s="42">
        <v>42877</v>
      </c>
    </row>
    <row r="15040" spans="1:6" x14ac:dyDescent="0.3">
      <c r="A15040" s="15" t="s">
        <v>35118</v>
      </c>
      <c r="B15040" s="15" t="s">
        <v>27740</v>
      </c>
      <c r="C15040" s="15" t="s">
        <v>800</v>
      </c>
      <c r="D15040" s="15" t="s">
        <v>27741</v>
      </c>
      <c r="E15040" s="15">
        <v>12.698660609999999</v>
      </c>
      <c r="F15040" s="42">
        <v>42877</v>
      </c>
    </row>
    <row r="15041" spans="1:6" x14ac:dyDescent="0.3">
      <c r="A15041" s="15" t="s">
        <v>35117</v>
      </c>
      <c r="B15041" s="15" t="s">
        <v>27742</v>
      </c>
      <c r="C15041" s="15" t="s">
        <v>800</v>
      </c>
      <c r="D15041" s="15" t="s">
        <v>27743</v>
      </c>
      <c r="E15041" s="15">
        <v>10.938333</v>
      </c>
      <c r="F15041" s="42">
        <v>42157</v>
      </c>
    </row>
    <row r="15042" spans="1:6" x14ac:dyDescent="0.3">
      <c r="A15042" s="15" t="s">
        <v>35116</v>
      </c>
      <c r="B15042" s="15" t="s">
        <v>27744</v>
      </c>
      <c r="C15042" s="15" t="s">
        <v>800</v>
      </c>
      <c r="D15042" s="15" t="s">
        <v>27745</v>
      </c>
      <c r="E15042" s="15">
        <v>12.80531107</v>
      </c>
      <c r="F15042" s="42">
        <v>42887</v>
      </c>
    </row>
    <row r="15043" spans="1:6" x14ac:dyDescent="0.3">
      <c r="A15043" s="15" t="s">
        <v>35115</v>
      </c>
      <c r="B15043" s="15" t="s">
        <v>27746</v>
      </c>
      <c r="C15043" s="15" t="s">
        <v>800</v>
      </c>
      <c r="D15043" s="15" t="s">
        <v>27747</v>
      </c>
      <c r="E15043" s="15">
        <v>12.734132539999999</v>
      </c>
      <c r="F15043" s="42">
        <v>42887</v>
      </c>
    </row>
    <row r="15044" spans="1:6" x14ac:dyDescent="0.3">
      <c r="A15044" s="15" t="s">
        <v>35114</v>
      </c>
      <c r="B15044" s="15" t="s">
        <v>27748</v>
      </c>
      <c r="C15044" s="15" t="s">
        <v>800</v>
      </c>
      <c r="D15044" s="15" t="s">
        <v>27749</v>
      </c>
      <c r="E15044" s="15">
        <v>12.73413246</v>
      </c>
      <c r="F15044" s="42">
        <v>42887</v>
      </c>
    </row>
    <row r="15045" spans="1:6" x14ac:dyDescent="0.3">
      <c r="A15045" s="15" t="s">
        <v>35113</v>
      </c>
      <c r="B15045" s="15" t="s">
        <v>27750</v>
      </c>
      <c r="C15045" s="15" t="s">
        <v>800</v>
      </c>
      <c r="D15045" s="15" t="s">
        <v>27751</v>
      </c>
      <c r="E15045" s="15">
        <v>12.98012475</v>
      </c>
      <c r="F15045" s="42">
        <v>42983</v>
      </c>
    </row>
    <row r="15046" spans="1:6" x14ac:dyDescent="0.3">
      <c r="A15046" s="15" t="s">
        <v>35112</v>
      </c>
      <c r="B15046" s="15" t="s">
        <v>27752</v>
      </c>
      <c r="C15046" s="15" t="s">
        <v>800</v>
      </c>
      <c r="D15046" s="15" t="s">
        <v>27753</v>
      </c>
      <c r="E15046" s="15">
        <v>12.908113800000001</v>
      </c>
      <c r="F15046" s="42">
        <v>42983</v>
      </c>
    </row>
    <row r="15047" spans="1:6" x14ac:dyDescent="0.3">
      <c r="A15047" s="15" t="s">
        <v>35111</v>
      </c>
      <c r="B15047" s="15" t="s">
        <v>27754</v>
      </c>
      <c r="C15047" s="15" t="s">
        <v>800</v>
      </c>
      <c r="D15047" s="15" t="s">
        <v>27755</v>
      </c>
      <c r="E15047" s="15">
        <v>12.90811405</v>
      </c>
      <c r="F15047" s="42">
        <v>42983</v>
      </c>
    </row>
    <row r="15048" spans="1:6" x14ac:dyDescent="0.3">
      <c r="A15048" s="15" t="s">
        <v>35110</v>
      </c>
      <c r="B15048" s="15" t="s">
        <v>27756</v>
      </c>
      <c r="C15048" s="15" t="s">
        <v>800</v>
      </c>
      <c r="D15048" s="15" t="s">
        <v>27757</v>
      </c>
      <c r="E15048" s="15">
        <v>12.719152100000001</v>
      </c>
      <c r="F15048" s="42">
        <v>43138</v>
      </c>
    </row>
    <row r="15049" spans="1:6" x14ac:dyDescent="0.3">
      <c r="A15049" s="15" t="s">
        <v>35109</v>
      </c>
      <c r="B15049" s="15" t="s">
        <v>27758</v>
      </c>
      <c r="C15049" s="15" t="s">
        <v>800</v>
      </c>
      <c r="D15049" s="15" t="s">
        <v>27759</v>
      </c>
      <c r="E15049" s="15">
        <v>12.6141521</v>
      </c>
      <c r="F15049" s="42">
        <v>43138</v>
      </c>
    </row>
    <row r="15050" spans="1:6" x14ac:dyDescent="0.3">
      <c r="A15050" s="15" t="s">
        <v>35108</v>
      </c>
      <c r="B15050" s="15" t="s">
        <v>27760</v>
      </c>
      <c r="C15050" s="15" t="s">
        <v>800</v>
      </c>
      <c r="D15050" s="15" t="s">
        <v>27761</v>
      </c>
      <c r="E15050" s="15">
        <v>13.320754000000001</v>
      </c>
      <c r="F15050" s="42">
        <v>43216</v>
      </c>
    </row>
    <row r="15051" spans="1:6" x14ac:dyDescent="0.3">
      <c r="A15051" s="15" t="s">
        <v>35107</v>
      </c>
      <c r="B15051" s="15" t="s">
        <v>27762</v>
      </c>
      <c r="C15051" s="15" t="s">
        <v>800</v>
      </c>
      <c r="D15051" s="15" t="s">
        <v>27763</v>
      </c>
      <c r="E15051" s="15">
        <v>13.31714521</v>
      </c>
      <c r="F15051" s="42">
        <v>43216</v>
      </c>
    </row>
    <row r="15052" spans="1:6" x14ac:dyDescent="0.3">
      <c r="A15052" s="15" t="s">
        <v>35106</v>
      </c>
      <c r="B15052" s="15" t="s">
        <v>27764</v>
      </c>
      <c r="C15052" s="15" t="s">
        <v>800</v>
      </c>
      <c r="D15052" s="15" t="s">
        <v>27765</v>
      </c>
      <c r="E15052" s="15">
        <v>13.20244224</v>
      </c>
      <c r="F15052" s="42">
        <v>43216</v>
      </c>
    </row>
    <row r="15053" spans="1:6" x14ac:dyDescent="0.3">
      <c r="A15053" s="15" t="s">
        <v>35105</v>
      </c>
      <c r="B15053" s="15" t="s">
        <v>27766</v>
      </c>
      <c r="C15053" s="15" t="s">
        <v>800</v>
      </c>
      <c r="D15053" s="15" t="s">
        <v>27767</v>
      </c>
      <c r="E15053" s="15">
        <v>13.2024393</v>
      </c>
      <c r="F15053" s="42">
        <v>43216</v>
      </c>
    </row>
    <row r="15054" spans="1:6" x14ac:dyDescent="0.3">
      <c r="A15054" s="15" t="s">
        <v>35104</v>
      </c>
      <c r="B15054" s="15" t="s">
        <v>27768</v>
      </c>
      <c r="C15054" s="15" t="s">
        <v>800</v>
      </c>
      <c r="D15054" s="15" t="s">
        <v>27769</v>
      </c>
      <c r="E15054" s="15">
        <v>12.755078989999999</v>
      </c>
      <c r="F15054" s="42">
        <v>43277</v>
      </c>
    </row>
    <row r="15055" spans="1:6" x14ac:dyDescent="0.3">
      <c r="A15055" s="15" t="s">
        <v>35103</v>
      </c>
      <c r="B15055" s="15" t="s">
        <v>27770</v>
      </c>
      <c r="C15055" s="15" t="s">
        <v>800</v>
      </c>
      <c r="D15055" s="15" t="s">
        <v>27771</v>
      </c>
      <c r="E15055" s="15">
        <v>12.744988770000001</v>
      </c>
      <c r="F15055" s="42">
        <v>43277</v>
      </c>
    </row>
    <row r="15056" spans="1:6" x14ac:dyDescent="0.3">
      <c r="A15056" s="15" t="s">
        <v>35102</v>
      </c>
      <c r="B15056" s="15" t="s">
        <v>27772</v>
      </c>
      <c r="C15056" s="15" t="s">
        <v>800</v>
      </c>
      <c r="D15056" s="15" t="s">
        <v>27773</v>
      </c>
      <c r="E15056" s="15">
        <v>12.744975849999999</v>
      </c>
      <c r="F15056" s="42">
        <v>43277</v>
      </c>
    </row>
    <row r="15057" spans="1:6" x14ac:dyDescent="0.3">
      <c r="A15057" s="15" t="s">
        <v>35101</v>
      </c>
      <c r="B15057" s="15" t="s">
        <v>27774</v>
      </c>
      <c r="C15057" s="15" t="s">
        <v>800</v>
      </c>
      <c r="D15057" s="15" t="s">
        <v>27775</v>
      </c>
      <c r="E15057" s="15">
        <v>12.745211019999999</v>
      </c>
      <c r="F15057" s="42">
        <v>43300</v>
      </c>
    </row>
    <row r="15058" spans="1:6" x14ac:dyDescent="0.3">
      <c r="A15058" s="15" t="s">
        <v>35100</v>
      </c>
      <c r="B15058" s="15" t="s">
        <v>27776</v>
      </c>
      <c r="C15058" s="15" t="s">
        <v>800</v>
      </c>
      <c r="D15058" s="15" t="s">
        <v>27777</v>
      </c>
      <c r="E15058" s="15">
        <v>12.65420885</v>
      </c>
      <c r="F15058" s="42">
        <v>43300</v>
      </c>
    </row>
    <row r="15059" spans="1:6" x14ac:dyDescent="0.3">
      <c r="A15059" s="15" t="s">
        <v>35099</v>
      </c>
      <c r="B15059" s="15" t="s">
        <v>27778</v>
      </c>
      <c r="C15059" s="15" t="s">
        <v>800</v>
      </c>
      <c r="D15059" s="15" t="s">
        <v>27779</v>
      </c>
      <c r="E15059" s="15">
        <v>12.65420847</v>
      </c>
      <c r="F15059" s="42">
        <v>43300</v>
      </c>
    </row>
    <row r="15060" spans="1:6" x14ac:dyDescent="0.3">
      <c r="A15060" s="15" t="s">
        <v>35098</v>
      </c>
      <c r="B15060" s="15" t="s">
        <v>27780</v>
      </c>
      <c r="C15060" s="15" t="s">
        <v>800</v>
      </c>
      <c r="D15060" s="15" t="s">
        <v>27781</v>
      </c>
      <c r="E15060" s="15">
        <v>12.7289622</v>
      </c>
      <c r="F15060" s="42">
        <v>43335</v>
      </c>
    </row>
    <row r="15061" spans="1:6" x14ac:dyDescent="0.3">
      <c r="A15061" s="15" t="s">
        <v>35097</v>
      </c>
      <c r="B15061" s="15" t="s">
        <v>27782</v>
      </c>
      <c r="C15061" s="15" t="s">
        <v>800</v>
      </c>
      <c r="D15061" s="15" t="s">
        <v>27783</v>
      </c>
      <c r="E15061" s="15">
        <v>12.65628768</v>
      </c>
      <c r="F15061" s="42">
        <v>43335</v>
      </c>
    </row>
    <row r="15062" spans="1:6" x14ac:dyDescent="0.3">
      <c r="A15062" s="15" t="s">
        <v>35096</v>
      </c>
      <c r="B15062" s="15" t="s">
        <v>27784</v>
      </c>
      <c r="C15062" s="15" t="s">
        <v>800</v>
      </c>
      <c r="D15062" s="15" t="s">
        <v>27785</v>
      </c>
      <c r="E15062" s="15">
        <v>12.65628705</v>
      </c>
      <c r="F15062" s="42">
        <v>43335</v>
      </c>
    </row>
    <row r="15063" spans="1:6" x14ac:dyDescent="0.3">
      <c r="A15063" s="15" t="s">
        <v>35095</v>
      </c>
      <c r="B15063" s="15" t="s">
        <v>27786</v>
      </c>
      <c r="C15063" s="15" t="s">
        <v>800</v>
      </c>
      <c r="D15063" s="15" t="s">
        <v>27787</v>
      </c>
      <c r="E15063" s="15">
        <v>10.000000330000001</v>
      </c>
      <c r="F15063" s="42">
        <v>43369</v>
      </c>
    </row>
    <row r="15064" spans="1:6" x14ac:dyDescent="0.3">
      <c r="A15064" s="15" t="s">
        <v>35094</v>
      </c>
      <c r="B15064" s="15" t="s">
        <v>27788</v>
      </c>
      <c r="C15064" s="15" t="s">
        <v>800</v>
      </c>
      <c r="D15064" s="15" t="s">
        <v>27789</v>
      </c>
      <c r="E15064" s="15">
        <v>12.67559415</v>
      </c>
      <c r="F15064" s="42">
        <v>43369</v>
      </c>
    </row>
    <row r="15065" spans="1:6" x14ac:dyDescent="0.3">
      <c r="A15065" s="15" t="s">
        <v>35093</v>
      </c>
      <c r="B15065" s="15" t="s">
        <v>27790</v>
      </c>
      <c r="C15065" s="15" t="s">
        <v>800</v>
      </c>
      <c r="D15065" s="15" t="s">
        <v>27791</v>
      </c>
      <c r="E15065" s="15">
        <v>10.000000030000001</v>
      </c>
      <c r="F15065" s="42">
        <v>43369</v>
      </c>
    </row>
    <row r="15066" spans="1:6" x14ac:dyDescent="0.3">
      <c r="A15066" s="15" t="s">
        <v>35092</v>
      </c>
      <c r="B15066" s="15" t="s">
        <v>27792</v>
      </c>
      <c r="C15066" s="15" t="s">
        <v>800</v>
      </c>
      <c r="D15066" s="15" t="s">
        <v>27793</v>
      </c>
      <c r="E15066" s="15">
        <v>12.60614788</v>
      </c>
      <c r="F15066" s="42">
        <v>43369</v>
      </c>
    </row>
    <row r="15067" spans="1:6" x14ac:dyDescent="0.3">
      <c r="A15067" s="15" t="s">
        <v>35091</v>
      </c>
      <c r="B15067" s="15" t="s">
        <v>27794</v>
      </c>
      <c r="C15067" s="15" t="s">
        <v>800</v>
      </c>
      <c r="D15067" s="15" t="s">
        <v>27795</v>
      </c>
      <c r="E15067" s="15">
        <v>12.62908974</v>
      </c>
      <c r="F15067" s="42">
        <v>43388</v>
      </c>
    </row>
    <row r="15068" spans="1:6" x14ac:dyDescent="0.3">
      <c r="A15068" s="15" t="s">
        <v>35090</v>
      </c>
      <c r="B15068" s="15" t="s">
        <v>27796</v>
      </c>
      <c r="C15068" s="15" t="s">
        <v>800</v>
      </c>
      <c r="D15068" s="15" t="s">
        <v>27797</v>
      </c>
      <c r="E15068" s="15">
        <v>10.00001292</v>
      </c>
      <c r="F15068" s="42">
        <v>43388</v>
      </c>
    </row>
    <row r="15069" spans="1:6" x14ac:dyDescent="0.3">
      <c r="A15069" s="15" t="s">
        <v>35089</v>
      </c>
      <c r="B15069" s="15" t="s">
        <v>27798</v>
      </c>
      <c r="C15069" s="15" t="s">
        <v>800</v>
      </c>
      <c r="D15069" s="15" t="s">
        <v>27799</v>
      </c>
      <c r="E15069" s="15">
        <v>12.561527590000001</v>
      </c>
      <c r="F15069" s="42">
        <v>43388</v>
      </c>
    </row>
    <row r="15070" spans="1:6" x14ac:dyDescent="0.3">
      <c r="A15070" s="15" t="s">
        <v>35088</v>
      </c>
      <c r="B15070" s="15" t="s">
        <v>27800</v>
      </c>
      <c r="C15070" s="15" t="s">
        <v>800</v>
      </c>
      <c r="D15070" s="15" t="s">
        <v>27801</v>
      </c>
      <c r="E15070" s="15">
        <v>10</v>
      </c>
      <c r="F15070" s="42">
        <v>43559</v>
      </c>
    </row>
    <row r="15071" spans="1:6" x14ac:dyDescent="0.3">
      <c r="A15071" s="15" t="s">
        <v>35087</v>
      </c>
      <c r="B15071" s="15" t="s">
        <v>27802</v>
      </c>
      <c r="C15071" s="15" t="s">
        <v>800</v>
      </c>
      <c r="D15071" s="15" t="s">
        <v>27803</v>
      </c>
      <c r="E15071" s="15">
        <v>12.9575</v>
      </c>
      <c r="F15071" s="42">
        <v>43559</v>
      </c>
    </row>
    <row r="15072" spans="1:6" x14ac:dyDescent="0.3">
      <c r="A15072" s="15" t="s">
        <v>35086</v>
      </c>
      <c r="B15072" s="15" t="s">
        <v>27804</v>
      </c>
      <c r="C15072" s="15" t="s">
        <v>800</v>
      </c>
      <c r="D15072" s="15" t="s">
        <v>27805</v>
      </c>
      <c r="E15072" s="15">
        <v>10</v>
      </c>
      <c r="F15072" s="42">
        <v>43559</v>
      </c>
    </row>
    <row r="15073" spans="1:6" x14ac:dyDescent="0.3">
      <c r="A15073" s="15" t="s">
        <v>35085</v>
      </c>
      <c r="B15073" s="15" t="s">
        <v>27806</v>
      </c>
      <c r="C15073" s="15" t="s">
        <v>800</v>
      </c>
      <c r="D15073" s="15" t="s">
        <v>27807</v>
      </c>
      <c r="E15073" s="15">
        <v>12.867000000000001</v>
      </c>
      <c r="F15073" s="42">
        <v>43559</v>
      </c>
    </row>
    <row r="15074" spans="1:6" x14ac:dyDescent="0.3">
      <c r="A15074" s="15" t="s">
        <v>35084</v>
      </c>
      <c r="B15074" s="15" t="s">
        <v>27808</v>
      </c>
      <c r="C15074" s="15" t="s">
        <v>800</v>
      </c>
      <c r="D15074" s="15" t="s">
        <v>27809</v>
      </c>
      <c r="E15074" s="15">
        <v>10.000022</v>
      </c>
      <c r="F15074" s="42">
        <v>43437</v>
      </c>
    </row>
    <row r="15075" spans="1:6" x14ac:dyDescent="0.3">
      <c r="A15075" s="15" t="s">
        <v>35083</v>
      </c>
      <c r="B15075" s="15" t="s">
        <v>27810</v>
      </c>
      <c r="C15075" s="15" t="s">
        <v>800</v>
      </c>
      <c r="D15075" s="15" t="s">
        <v>27811</v>
      </c>
      <c r="E15075" s="15">
        <v>12.60854245</v>
      </c>
      <c r="F15075" s="42">
        <v>43437</v>
      </c>
    </row>
    <row r="15076" spans="1:6" x14ac:dyDescent="0.3">
      <c r="A15076" s="15" t="s">
        <v>35082</v>
      </c>
      <c r="B15076" s="15" t="s">
        <v>27812</v>
      </c>
      <c r="C15076" s="15" t="s">
        <v>800</v>
      </c>
      <c r="D15076" s="15" t="s">
        <v>27813</v>
      </c>
      <c r="E15076" s="15">
        <v>10.00000067</v>
      </c>
      <c r="F15076" s="42">
        <v>43437</v>
      </c>
    </row>
    <row r="15077" spans="1:6" x14ac:dyDescent="0.3">
      <c r="A15077" s="15" t="s">
        <v>35081</v>
      </c>
      <c r="B15077" s="15" t="s">
        <v>27814</v>
      </c>
      <c r="C15077" s="15" t="s">
        <v>800</v>
      </c>
      <c r="D15077" s="15" t="s">
        <v>27815</v>
      </c>
      <c r="E15077" s="15">
        <v>12.51956111</v>
      </c>
      <c r="F15077" s="42">
        <v>43437</v>
      </c>
    </row>
    <row r="15078" spans="1:6" x14ac:dyDescent="0.3">
      <c r="A15078" s="15" t="s">
        <v>35080</v>
      </c>
      <c r="B15078" s="15" t="s">
        <v>27816</v>
      </c>
      <c r="C15078" s="15" t="s">
        <v>800</v>
      </c>
      <c r="D15078" s="15" t="s">
        <v>27817</v>
      </c>
      <c r="E15078" s="15">
        <v>12.8591</v>
      </c>
      <c r="F15078" s="42">
        <v>43564</v>
      </c>
    </row>
    <row r="15079" spans="1:6" x14ac:dyDescent="0.3">
      <c r="A15079" s="15" t="s">
        <v>35079</v>
      </c>
      <c r="B15079" s="15" t="s">
        <v>27818</v>
      </c>
      <c r="C15079" s="15" t="s">
        <v>800</v>
      </c>
      <c r="D15079" s="15" t="s">
        <v>27819</v>
      </c>
      <c r="E15079" s="15">
        <v>10</v>
      </c>
      <c r="F15079" s="42">
        <v>43564</v>
      </c>
    </row>
    <row r="15080" spans="1:6" x14ac:dyDescent="0.3">
      <c r="A15080" s="15" t="s">
        <v>35078</v>
      </c>
      <c r="B15080" s="15" t="s">
        <v>27820</v>
      </c>
      <c r="C15080" s="15" t="s">
        <v>800</v>
      </c>
      <c r="D15080" s="15" t="s">
        <v>27821</v>
      </c>
      <c r="E15080" s="15">
        <v>12.7644</v>
      </c>
      <c r="F15080" s="42">
        <v>43564</v>
      </c>
    </row>
    <row r="15081" spans="1:6" x14ac:dyDescent="0.3">
      <c r="A15081" s="15" t="s">
        <v>35077</v>
      </c>
      <c r="B15081" s="15" t="s">
        <v>27822</v>
      </c>
      <c r="C15081" s="15" t="s">
        <v>800</v>
      </c>
      <c r="D15081" s="15" t="s">
        <v>27823</v>
      </c>
      <c r="E15081" s="15">
        <v>13.540800000000001</v>
      </c>
      <c r="F15081" s="42">
        <v>43580</v>
      </c>
    </row>
    <row r="15082" spans="1:6" x14ac:dyDescent="0.3">
      <c r="A15082" s="15" t="s">
        <v>35076</v>
      </c>
      <c r="B15082" s="15" t="s">
        <v>27824</v>
      </c>
      <c r="C15082" s="15" t="s">
        <v>800</v>
      </c>
      <c r="D15082" s="15" t="s">
        <v>27825</v>
      </c>
      <c r="E15082" s="15">
        <v>13.514243199999999</v>
      </c>
      <c r="F15082" s="42">
        <v>43578</v>
      </c>
    </row>
    <row r="15083" spans="1:6" x14ac:dyDescent="0.3">
      <c r="A15083" s="15" t="s">
        <v>35075</v>
      </c>
      <c r="B15083" s="15" t="s">
        <v>27826</v>
      </c>
      <c r="C15083" s="15" t="s">
        <v>800</v>
      </c>
      <c r="D15083" s="15" t="s">
        <v>27827</v>
      </c>
      <c r="E15083" s="15">
        <v>13.5184</v>
      </c>
      <c r="F15083" s="42">
        <v>43580</v>
      </c>
    </row>
    <row r="15084" spans="1:6" x14ac:dyDescent="0.3">
      <c r="A15084" s="15" t="s">
        <v>35074</v>
      </c>
      <c r="B15084" s="15" t="s">
        <v>27828</v>
      </c>
      <c r="C15084" s="15" t="s">
        <v>800</v>
      </c>
      <c r="D15084" s="15" t="s">
        <v>27829</v>
      </c>
      <c r="E15084" s="15">
        <v>12.83786031</v>
      </c>
      <c r="F15084" s="42">
        <v>43572</v>
      </c>
    </row>
    <row r="15085" spans="1:6" x14ac:dyDescent="0.3">
      <c r="A15085" s="15" t="s">
        <v>35073</v>
      </c>
      <c r="B15085" s="15" t="s">
        <v>27830</v>
      </c>
      <c r="C15085" s="15" t="s">
        <v>800</v>
      </c>
      <c r="D15085" s="15" t="s">
        <v>27831</v>
      </c>
      <c r="E15085" s="15">
        <v>12.83786022</v>
      </c>
      <c r="F15085" s="42">
        <v>43572</v>
      </c>
    </row>
    <row r="15086" spans="1:6" x14ac:dyDescent="0.3">
      <c r="A15086" s="15" t="s">
        <v>35072</v>
      </c>
      <c r="B15086" s="15" t="s">
        <v>27832</v>
      </c>
      <c r="C15086" s="15" t="s">
        <v>800</v>
      </c>
      <c r="D15086" s="15" t="s">
        <v>27833</v>
      </c>
      <c r="E15086" s="15">
        <v>10.0000026</v>
      </c>
      <c r="F15086" s="42">
        <v>43572</v>
      </c>
    </row>
    <row r="15087" spans="1:6" x14ac:dyDescent="0.3">
      <c r="A15087" s="15" t="s">
        <v>35071</v>
      </c>
      <c r="B15087" s="15" t="s">
        <v>27834</v>
      </c>
      <c r="C15087" s="15" t="s">
        <v>800</v>
      </c>
      <c r="D15087" s="15" t="s">
        <v>27835</v>
      </c>
      <c r="E15087" s="15">
        <v>12.748255500000001</v>
      </c>
      <c r="F15087" s="42">
        <v>43572</v>
      </c>
    </row>
    <row r="15088" spans="1:6" x14ac:dyDescent="0.3">
      <c r="A15088" s="15" t="s">
        <v>35070</v>
      </c>
      <c r="B15088" s="15" t="s">
        <v>27836</v>
      </c>
      <c r="C15088" s="15" t="s">
        <v>800</v>
      </c>
      <c r="D15088" s="15" t="s">
        <v>27837</v>
      </c>
      <c r="E15088" s="15">
        <v>12.696377549999999</v>
      </c>
      <c r="F15088" s="42">
        <v>43577</v>
      </c>
    </row>
    <row r="15089" spans="1:6" x14ac:dyDescent="0.3">
      <c r="A15089" s="15" t="s">
        <v>35069</v>
      </c>
      <c r="B15089" s="15" t="s">
        <v>27838</v>
      </c>
      <c r="C15089" s="15" t="s">
        <v>800</v>
      </c>
      <c r="D15089" s="15" t="s">
        <v>27839</v>
      </c>
      <c r="E15089" s="15">
        <v>10.000014</v>
      </c>
      <c r="F15089" s="42">
        <v>43577</v>
      </c>
    </row>
    <row r="15090" spans="1:6" x14ac:dyDescent="0.3">
      <c r="A15090" s="15" t="s">
        <v>35068</v>
      </c>
      <c r="B15090" s="15" t="s">
        <v>27840</v>
      </c>
      <c r="C15090" s="15" t="s">
        <v>800</v>
      </c>
      <c r="D15090" s="15" t="s">
        <v>27841</v>
      </c>
      <c r="E15090" s="15">
        <v>12.62255773</v>
      </c>
      <c r="F15090" s="42">
        <v>43577</v>
      </c>
    </row>
    <row r="15091" spans="1:6" x14ac:dyDescent="0.3">
      <c r="A15091" s="15" t="s">
        <v>35067</v>
      </c>
      <c r="B15091" s="15" t="s">
        <v>27842</v>
      </c>
      <c r="C15091" s="15" t="s">
        <v>800</v>
      </c>
      <c r="D15091" s="15" t="s">
        <v>27843</v>
      </c>
      <c r="E15091" s="15">
        <v>12.6723</v>
      </c>
      <c r="F15091" s="42">
        <v>43559</v>
      </c>
    </row>
    <row r="15092" spans="1:6" x14ac:dyDescent="0.3">
      <c r="A15092" s="15" t="s">
        <v>35066</v>
      </c>
      <c r="B15092" s="15" t="s">
        <v>27844</v>
      </c>
      <c r="C15092" s="15" t="s">
        <v>800</v>
      </c>
      <c r="D15092" s="15" t="s">
        <v>27845</v>
      </c>
      <c r="E15092" s="15">
        <v>10</v>
      </c>
      <c r="F15092" s="42">
        <v>43559</v>
      </c>
    </row>
    <row r="15093" spans="1:6" x14ac:dyDescent="0.3">
      <c r="A15093" s="15" t="s">
        <v>35065</v>
      </c>
      <c r="B15093" s="15" t="s">
        <v>27846</v>
      </c>
      <c r="C15093" s="15" t="s">
        <v>800</v>
      </c>
      <c r="D15093" s="15" t="s">
        <v>27847</v>
      </c>
      <c r="E15093" s="15">
        <v>12.598599999999999</v>
      </c>
      <c r="F15093" s="42">
        <v>43559</v>
      </c>
    </row>
    <row r="15094" spans="1:6" x14ac:dyDescent="0.3">
      <c r="A15094" s="15" t="s">
        <v>35064</v>
      </c>
      <c r="B15094" s="15" t="s">
        <v>27848</v>
      </c>
      <c r="C15094" s="15" t="s">
        <v>800</v>
      </c>
      <c r="D15094" s="15" t="s">
        <v>27849</v>
      </c>
      <c r="E15094" s="15">
        <v>12.261043600000001</v>
      </c>
      <c r="F15094" s="42">
        <v>43587</v>
      </c>
    </row>
    <row r="15095" spans="1:6" x14ac:dyDescent="0.3">
      <c r="A15095" s="15" t="s">
        <v>35063</v>
      </c>
      <c r="B15095" s="15" t="s">
        <v>27850</v>
      </c>
      <c r="C15095" s="15" t="s">
        <v>800</v>
      </c>
      <c r="D15095" s="15" t="s">
        <v>27851</v>
      </c>
      <c r="E15095" s="15">
        <v>11.29704707</v>
      </c>
      <c r="F15095" s="42">
        <v>43587</v>
      </c>
    </row>
    <row r="15096" spans="1:6" x14ac:dyDescent="0.3">
      <c r="A15096" s="15" t="s">
        <v>35062</v>
      </c>
      <c r="B15096" s="15" t="s">
        <v>27852</v>
      </c>
      <c r="C15096" s="15" t="s">
        <v>800</v>
      </c>
      <c r="D15096" s="15" t="s">
        <v>27853</v>
      </c>
      <c r="E15096" s="15">
        <v>12.12913505</v>
      </c>
      <c r="F15096" s="42">
        <v>43587</v>
      </c>
    </row>
    <row r="15097" spans="1:6" x14ac:dyDescent="0.3">
      <c r="A15097" s="15" t="s">
        <v>35061</v>
      </c>
      <c r="B15097" s="15" t="s">
        <v>27854</v>
      </c>
      <c r="C15097" s="15" t="s">
        <v>800</v>
      </c>
      <c r="D15097" s="15" t="s">
        <v>27855</v>
      </c>
      <c r="E15097" s="15">
        <v>11.783292879999999</v>
      </c>
      <c r="F15097" s="42">
        <v>43600</v>
      </c>
    </row>
    <row r="15098" spans="1:6" x14ac:dyDescent="0.3">
      <c r="A15098" s="15" t="s">
        <v>35060</v>
      </c>
      <c r="B15098" s="15" t="s">
        <v>27856</v>
      </c>
      <c r="C15098" s="15" t="s">
        <v>800</v>
      </c>
      <c r="D15098" s="15" t="s">
        <v>27857</v>
      </c>
      <c r="E15098" s="15">
        <v>11.323420820000001</v>
      </c>
      <c r="F15098" s="42">
        <v>43600</v>
      </c>
    </row>
    <row r="15099" spans="1:6" x14ac:dyDescent="0.3">
      <c r="A15099" s="15" t="s">
        <v>35059</v>
      </c>
      <c r="B15099" s="15" t="s">
        <v>27858</v>
      </c>
      <c r="C15099" s="15" t="s">
        <v>800</v>
      </c>
      <c r="D15099" s="15" t="s">
        <v>27859</v>
      </c>
      <c r="E15099" s="15">
        <v>11.679361159999999</v>
      </c>
      <c r="F15099" s="42">
        <v>43600</v>
      </c>
    </row>
    <row r="15100" spans="1:6" x14ac:dyDescent="0.3">
      <c r="A15100" s="15" t="s">
        <v>35058</v>
      </c>
      <c r="B15100" s="15" t="s">
        <v>27860</v>
      </c>
      <c r="C15100" s="15" t="s">
        <v>800</v>
      </c>
      <c r="D15100" s="15" t="s">
        <v>27861</v>
      </c>
      <c r="E15100" s="15">
        <v>12.48885213</v>
      </c>
      <c r="F15100" s="42">
        <v>43675</v>
      </c>
    </row>
    <row r="15101" spans="1:6" x14ac:dyDescent="0.3">
      <c r="A15101" s="15" t="s">
        <v>35057</v>
      </c>
      <c r="B15101" s="15" t="s">
        <v>27862</v>
      </c>
      <c r="C15101" s="15" t="s">
        <v>800</v>
      </c>
      <c r="D15101" s="15" t="s">
        <v>27863</v>
      </c>
      <c r="E15101" s="15">
        <v>10.000006409999999</v>
      </c>
      <c r="F15101" s="42">
        <v>43675</v>
      </c>
    </row>
    <row r="15102" spans="1:6" x14ac:dyDescent="0.3">
      <c r="A15102" s="15" t="s">
        <v>35056</v>
      </c>
      <c r="B15102" s="15" t="s">
        <v>27864</v>
      </c>
      <c r="C15102" s="15" t="s">
        <v>800</v>
      </c>
      <c r="D15102" s="15" t="s">
        <v>27865</v>
      </c>
      <c r="E15102" s="15">
        <v>12.42780569</v>
      </c>
      <c r="F15102" s="42">
        <v>43675</v>
      </c>
    </row>
    <row r="15103" spans="1:6" x14ac:dyDescent="0.3">
      <c r="A15103" s="15" t="s">
        <v>35055</v>
      </c>
      <c r="B15103" s="15" t="s">
        <v>27866</v>
      </c>
      <c r="C15103" s="15" t="s">
        <v>800</v>
      </c>
      <c r="D15103" s="15" t="s">
        <v>27867</v>
      </c>
      <c r="E15103" s="15">
        <v>12.42189729</v>
      </c>
      <c r="F15103" s="42">
        <v>43927</v>
      </c>
    </row>
    <row r="15104" spans="1:6" x14ac:dyDescent="0.3">
      <c r="A15104" s="15" t="s">
        <v>35054</v>
      </c>
      <c r="B15104" s="15" t="s">
        <v>27868</v>
      </c>
      <c r="C15104" s="15" t="s">
        <v>800</v>
      </c>
      <c r="D15104" s="15" t="s">
        <v>27869</v>
      </c>
      <c r="E15104" s="15">
        <v>12.31038055</v>
      </c>
      <c r="F15104" s="42">
        <v>43927</v>
      </c>
    </row>
    <row r="15105" spans="1:6" x14ac:dyDescent="0.3">
      <c r="A15105" s="15" t="s">
        <v>35053</v>
      </c>
      <c r="B15105" s="15" t="s">
        <v>27870</v>
      </c>
      <c r="C15105" s="15" t="s">
        <v>800</v>
      </c>
      <c r="D15105" s="15" t="s">
        <v>27871</v>
      </c>
      <c r="E15105" s="15">
        <v>12.31038068</v>
      </c>
      <c r="F15105" s="42">
        <v>43927</v>
      </c>
    </row>
    <row r="15106" spans="1:6" x14ac:dyDescent="0.3">
      <c r="A15106" s="15" t="s">
        <v>35052</v>
      </c>
      <c r="B15106" s="15" t="s">
        <v>27872</v>
      </c>
      <c r="C15106" s="15" t="s">
        <v>800</v>
      </c>
      <c r="D15106" s="15" t="s">
        <v>27873</v>
      </c>
      <c r="E15106" s="15">
        <v>12.46957982</v>
      </c>
      <c r="F15106" s="42">
        <v>43962</v>
      </c>
    </row>
    <row r="15107" spans="1:6" x14ac:dyDescent="0.3">
      <c r="A15107" s="15" t="s">
        <v>35051</v>
      </c>
      <c r="B15107" s="15" t="s">
        <v>27874</v>
      </c>
      <c r="C15107" s="15" t="s">
        <v>800</v>
      </c>
      <c r="D15107" s="15" t="s">
        <v>27875</v>
      </c>
      <c r="E15107" s="15">
        <v>12.469588570000001</v>
      </c>
      <c r="F15107" s="42">
        <v>43962</v>
      </c>
    </row>
    <row r="15108" spans="1:6" x14ac:dyDescent="0.3">
      <c r="A15108" s="15" t="s">
        <v>35050</v>
      </c>
      <c r="B15108" s="15" t="s">
        <v>27876</v>
      </c>
      <c r="C15108" s="15" t="s">
        <v>800</v>
      </c>
      <c r="D15108" s="15" t="s">
        <v>27877</v>
      </c>
      <c r="E15108" s="15">
        <v>12.3123377</v>
      </c>
      <c r="F15108" s="42">
        <v>43962</v>
      </c>
    </row>
    <row r="15109" spans="1:6" x14ac:dyDescent="0.3">
      <c r="A15109" s="15" t="s">
        <v>35049</v>
      </c>
      <c r="B15109" s="15" t="s">
        <v>27878</v>
      </c>
      <c r="C15109" s="15" t="s">
        <v>800</v>
      </c>
      <c r="D15109" s="15" t="s">
        <v>27879</v>
      </c>
      <c r="E15109" s="15">
        <v>12.31234551</v>
      </c>
      <c r="F15109" s="42">
        <v>43962</v>
      </c>
    </row>
    <row r="15110" spans="1:6" x14ac:dyDescent="0.3">
      <c r="A15110" s="15" t="s">
        <v>35048</v>
      </c>
      <c r="B15110" s="15" t="s">
        <v>27880</v>
      </c>
      <c r="C15110" s="15" t="s">
        <v>800</v>
      </c>
      <c r="D15110" s="15" t="s">
        <v>27881</v>
      </c>
      <c r="E15110" s="15">
        <v>12.425711870000001</v>
      </c>
      <c r="F15110" s="42">
        <v>43965</v>
      </c>
    </row>
    <row r="15111" spans="1:6" x14ac:dyDescent="0.3">
      <c r="A15111" s="15" t="s">
        <v>35047</v>
      </c>
      <c r="B15111" s="15" t="s">
        <v>27882</v>
      </c>
      <c r="C15111" s="15" t="s">
        <v>800</v>
      </c>
      <c r="D15111" s="15" t="s">
        <v>27883</v>
      </c>
      <c r="E15111" s="15">
        <v>12.42569613</v>
      </c>
      <c r="F15111" s="42">
        <v>43965</v>
      </c>
    </row>
    <row r="15112" spans="1:6" x14ac:dyDescent="0.3">
      <c r="A15112" s="15" t="s">
        <v>35046</v>
      </c>
      <c r="B15112" s="15" t="s">
        <v>27884</v>
      </c>
      <c r="C15112" s="15" t="s">
        <v>800</v>
      </c>
      <c r="D15112" s="15" t="s">
        <v>27885</v>
      </c>
      <c r="E15112" s="15">
        <v>12.301102</v>
      </c>
      <c r="F15112" s="42">
        <v>43965</v>
      </c>
    </row>
    <row r="15113" spans="1:6" x14ac:dyDescent="0.3">
      <c r="A15113" s="15" t="s">
        <v>35045</v>
      </c>
      <c r="B15113" s="15" t="s">
        <v>27886</v>
      </c>
      <c r="C15113" s="15" t="s">
        <v>800</v>
      </c>
      <c r="D15113" s="15" t="s">
        <v>27887</v>
      </c>
      <c r="E15113" s="15">
        <v>12.301245590000001</v>
      </c>
      <c r="F15113" s="42">
        <v>43965</v>
      </c>
    </row>
    <row r="15114" spans="1:6" x14ac:dyDescent="0.3">
      <c r="A15114" s="15" t="s">
        <v>35044</v>
      </c>
      <c r="B15114" s="15" t="s">
        <v>27888</v>
      </c>
      <c r="C15114" s="15" t="s">
        <v>800</v>
      </c>
      <c r="D15114" s="15" t="s">
        <v>27889</v>
      </c>
      <c r="E15114" s="15">
        <v>12.318490000000001</v>
      </c>
      <c r="F15114" s="42">
        <v>43958</v>
      </c>
    </row>
    <row r="15115" spans="1:6" x14ac:dyDescent="0.3">
      <c r="A15115" s="15" t="s">
        <v>35043</v>
      </c>
      <c r="B15115" s="15" t="s">
        <v>27890</v>
      </c>
      <c r="C15115" s="15" t="s">
        <v>800</v>
      </c>
      <c r="D15115" s="15" t="s">
        <v>27891</v>
      </c>
      <c r="E15115" s="15">
        <v>12.189241620000001</v>
      </c>
      <c r="F15115" s="42">
        <v>43958</v>
      </c>
    </row>
    <row r="15116" spans="1:6" x14ac:dyDescent="0.3">
      <c r="A15116" s="15" t="s">
        <v>35042</v>
      </c>
      <c r="B15116" s="15" t="s">
        <v>27892</v>
      </c>
      <c r="C15116" s="15" t="s">
        <v>800</v>
      </c>
      <c r="D15116" s="15" t="s">
        <v>27893</v>
      </c>
      <c r="E15116" s="15">
        <v>12.318477400000001</v>
      </c>
      <c r="F15116" s="42">
        <v>43958</v>
      </c>
    </row>
    <row r="15117" spans="1:6" x14ac:dyDescent="0.3">
      <c r="A15117" s="15" t="s">
        <v>35041</v>
      </c>
      <c r="B15117" s="15" t="s">
        <v>27894</v>
      </c>
      <c r="C15117" s="15" t="s">
        <v>800</v>
      </c>
      <c r="D15117" s="15" t="s">
        <v>27895</v>
      </c>
      <c r="E15117" s="15">
        <v>12.18923917</v>
      </c>
      <c r="F15117" s="42">
        <v>43958</v>
      </c>
    </row>
    <row r="15118" spans="1:6" x14ac:dyDescent="0.3">
      <c r="A15118" s="15" t="s">
        <v>35040</v>
      </c>
      <c r="B15118" s="15" t="s">
        <v>27896</v>
      </c>
      <c r="C15118" s="15" t="s">
        <v>800</v>
      </c>
      <c r="D15118" s="15" t="s">
        <v>27897</v>
      </c>
      <c r="E15118" s="15">
        <v>12.412253140000001</v>
      </c>
      <c r="F15118" s="42">
        <v>44018</v>
      </c>
    </row>
    <row r="15119" spans="1:6" x14ac:dyDescent="0.3">
      <c r="A15119" s="15" t="s">
        <v>35039</v>
      </c>
      <c r="B15119" s="15" t="s">
        <v>27898</v>
      </c>
      <c r="C15119" s="15" t="s">
        <v>800</v>
      </c>
      <c r="D15119" s="15" t="s">
        <v>27899</v>
      </c>
      <c r="E15119" s="15">
        <v>12.41235067</v>
      </c>
      <c r="F15119" s="42">
        <v>44018</v>
      </c>
    </row>
    <row r="15120" spans="1:6" x14ac:dyDescent="0.3">
      <c r="A15120" s="15" t="s">
        <v>35038</v>
      </c>
      <c r="B15120" s="15" t="s">
        <v>27900</v>
      </c>
      <c r="C15120" s="15" t="s">
        <v>800</v>
      </c>
      <c r="D15120" s="15" t="s">
        <v>27901</v>
      </c>
      <c r="E15120" s="15">
        <v>12.35582924</v>
      </c>
      <c r="F15120" s="42">
        <v>44018</v>
      </c>
    </row>
    <row r="15121" spans="1:6" x14ac:dyDescent="0.3">
      <c r="A15121" s="15" t="s">
        <v>35037</v>
      </c>
      <c r="B15121" s="15" t="s">
        <v>27902</v>
      </c>
      <c r="C15121" s="15" t="s">
        <v>800</v>
      </c>
      <c r="D15121" s="15" t="s">
        <v>27903</v>
      </c>
      <c r="E15121" s="15">
        <v>12.35582851</v>
      </c>
      <c r="F15121" s="42">
        <v>44018</v>
      </c>
    </row>
    <row r="15122" spans="1:6" x14ac:dyDescent="0.3">
      <c r="A15122" s="15" t="s">
        <v>35036</v>
      </c>
      <c r="B15122" s="15" t="s">
        <v>27904</v>
      </c>
      <c r="C15122" s="15" t="s">
        <v>800</v>
      </c>
      <c r="D15122" s="15" t="s">
        <v>27905</v>
      </c>
      <c r="E15122" s="15">
        <v>12.290966020000001</v>
      </c>
      <c r="F15122" s="42">
        <v>44126</v>
      </c>
    </row>
    <row r="15123" spans="1:6" x14ac:dyDescent="0.3">
      <c r="A15123" s="15" t="s">
        <v>35035</v>
      </c>
      <c r="B15123" s="15" t="s">
        <v>27906</v>
      </c>
      <c r="C15123" s="15" t="s">
        <v>800</v>
      </c>
      <c r="D15123" s="15" t="s">
        <v>27907</v>
      </c>
      <c r="E15123" s="15">
        <v>12.290962329999999</v>
      </c>
      <c r="F15123" s="42">
        <v>44126</v>
      </c>
    </row>
    <row r="15124" spans="1:6" x14ac:dyDescent="0.3">
      <c r="A15124" s="15" t="s">
        <v>35034</v>
      </c>
      <c r="B15124" s="15" t="s">
        <v>27908</v>
      </c>
      <c r="C15124" s="15" t="s">
        <v>800</v>
      </c>
      <c r="D15124" s="15" t="s">
        <v>27909</v>
      </c>
      <c r="E15124" s="15">
        <v>12.1964524</v>
      </c>
      <c r="F15124" s="42">
        <v>44126</v>
      </c>
    </row>
    <row r="15125" spans="1:6" x14ac:dyDescent="0.3">
      <c r="A15125" s="15" t="s">
        <v>35033</v>
      </c>
      <c r="B15125" s="15" t="s">
        <v>27910</v>
      </c>
      <c r="C15125" s="15" t="s">
        <v>800</v>
      </c>
      <c r="D15125" s="15" t="s">
        <v>27911</v>
      </c>
      <c r="E15125" s="15">
        <v>12.196452000000001</v>
      </c>
      <c r="F15125" s="42">
        <v>44126</v>
      </c>
    </row>
    <row r="15126" spans="1:6" x14ac:dyDescent="0.3">
      <c r="A15126" s="15" t="s">
        <v>35032</v>
      </c>
      <c r="B15126" s="15" t="s">
        <v>27912</v>
      </c>
      <c r="C15126" s="15" t="s">
        <v>800</v>
      </c>
      <c r="D15126" s="15" t="s">
        <v>27913</v>
      </c>
      <c r="E15126" s="15">
        <v>12.249910059999999</v>
      </c>
      <c r="F15126" s="42">
        <v>44126</v>
      </c>
    </row>
    <row r="15127" spans="1:6" x14ac:dyDescent="0.3">
      <c r="A15127" s="15" t="s">
        <v>35031</v>
      </c>
      <c r="B15127" s="15" t="s">
        <v>27914</v>
      </c>
      <c r="C15127" s="15" t="s">
        <v>800</v>
      </c>
      <c r="D15127" s="15" t="s">
        <v>27915</v>
      </c>
      <c r="E15127" s="15">
        <v>12.2499135</v>
      </c>
      <c r="F15127" s="42">
        <v>44126</v>
      </c>
    </row>
    <row r="15128" spans="1:6" x14ac:dyDescent="0.3">
      <c r="A15128" s="15" t="s">
        <v>35030</v>
      </c>
      <c r="B15128" s="15" t="s">
        <v>27916</v>
      </c>
      <c r="C15128" s="15" t="s">
        <v>800</v>
      </c>
      <c r="D15128" s="15" t="s">
        <v>27917</v>
      </c>
      <c r="E15128" s="15">
        <v>12.153342110000001</v>
      </c>
      <c r="F15128" s="42">
        <v>44126</v>
      </c>
    </row>
    <row r="15129" spans="1:6" x14ac:dyDescent="0.3">
      <c r="A15129" s="15" t="s">
        <v>35029</v>
      </c>
      <c r="B15129" s="15" t="s">
        <v>27918</v>
      </c>
      <c r="C15129" s="15" t="s">
        <v>800</v>
      </c>
      <c r="D15129" s="15" t="s">
        <v>27919</v>
      </c>
      <c r="E15129" s="15">
        <v>12.153340529999999</v>
      </c>
      <c r="F15129" s="42">
        <v>44126</v>
      </c>
    </row>
    <row r="15130" spans="1:6" x14ac:dyDescent="0.3">
      <c r="A15130" s="15" t="s">
        <v>35028</v>
      </c>
      <c r="B15130" s="15" t="s">
        <v>27920</v>
      </c>
      <c r="C15130" s="15" t="s">
        <v>800</v>
      </c>
      <c r="D15130" s="15" t="s">
        <v>27921</v>
      </c>
      <c r="E15130" s="15">
        <v>12.67795851</v>
      </c>
      <c r="F15130" s="42">
        <v>44318</v>
      </c>
    </row>
    <row r="15131" spans="1:6" x14ac:dyDescent="0.3">
      <c r="A15131" s="15" t="s">
        <v>35027</v>
      </c>
      <c r="B15131" s="15" t="s">
        <v>27922</v>
      </c>
      <c r="C15131" s="15" t="s">
        <v>800</v>
      </c>
      <c r="D15131" s="15" t="s">
        <v>27923</v>
      </c>
      <c r="E15131" s="15">
        <v>12.547341510000001</v>
      </c>
      <c r="F15131" s="42">
        <v>44318</v>
      </c>
    </row>
    <row r="15132" spans="1:6" x14ac:dyDescent="0.3">
      <c r="A15132" s="15" t="s">
        <v>35026</v>
      </c>
      <c r="B15132" s="15" t="s">
        <v>27924</v>
      </c>
      <c r="C15132" s="15" t="s">
        <v>800</v>
      </c>
      <c r="D15132" s="15" t="s">
        <v>27925</v>
      </c>
      <c r="E15132" s="15">
        <v>12.54734186</v>
      </c>
      <c r="F15132" s="42">
        <v>44318</v>
      </c>
    </row>
    <row r="15133" spans="1:6" x14ac:dyDescent="0.3">
      <c r="A15133" s="15" t="s">
        <v>35025</v>
      </c>
      <c r="B15133" s="15" t="s">
        <v>27926</v>
      </c>
      <c r="C15133" s="15" t="s">
        <v>800</v>
      </c>
      <c r="D15133" s="15" t="s">
        <v>27927</v>
      </c>
      <c r="E15133" s="15">
        <v>12.677952879999999</v>
      </c>
      <c r="F15133" s="42">
        <v>44318</v>
      </c>
    </row>
    <row r="15134" spans="1:6" x14ac:dyDescent="0.3">
      <c r="A15134" s="15" t="s">
        <v>35024</v>
      </c>
      <c r="B15134" s="15" t="s">
        <v>27928</v>
      </c>
      <c r="C15134" s="15" t="s">
        <v>800</v>
      </c>
      <c r="D15134" s="15" t="s">
        <v>27929</v>
      </c>
      <c r="E15134" s="15">
        <v>12.682885710000001</v>
      </c>
      <c r="F15134" s="42">
        <v>44314</v>
      </c>
    </row>
    <row r="15135" spans="1:6" x14ac:dyDescent="0.3">
      <c r="A15135" s="15" t="s">
        <v>35023</v>
      </c>
      <c r="B15135" s="15" t="s">
        <v>27930</v>
      </c>
      <c r="C15135" s="15" t="s">
        <v>800</v>
      </c>
      <c r="D15135" s="15" t="s">
        <v>27931</v>
      </c>
      <c r="E15135" s="15">
        <v>12.682847819999999</v>
      </c>
      <c r="F15135" s="42">
        <v>44314</v>
      </c>
    </row>
    <row r="15136" spans="1:6" x14ac:dyDescent="0.3">
      <c r="A15136" s="15" t="s">
        <v>35022</v>
      </c>
      <c r="B15136" s="15" t="s">
        <v>27932</v>
      </c>
      <c r="C15136" s="15" t="s">
        <v>800</v>
      </c>
      <c r="D15136" s="15" t="s">
        <v>27933</v>
      </c>
      <c r="E15136" s="15">
        <v>12.55527623</v>
      </c>
      <c r="F15136" s="42">
        <v>44314</v>
      </c>
    </row>
    <row r="15137" spans="1:6" x14ac:dyDescent="0.3">
      <c r="A15137" s="15" t="s">
        <v>35021</v>
      </c>
      <c r="B15137" s="15" t="s">
        <v>27934</v>
      </c>
      <c r="C15137" s="15" t="s">
        <v>800</v>
      </c>
      <c r="D15137" s="15" t="s">
        <v>27935</v>
      </c>
      <c r="E15137" s="15">
        <v>12.5552762</v>
      </c>
      <c r="F15137" s="42">
        <v>44314</v>
      </c>
    </row>
    <row r="15138" spans="1:6" x14ac:dyDescent="0.3">
      <c r="A15138" s="15" t="s">
        <v>35020</v>
      </c>
      <c r="B15138" s="15" t="s">
        <v>27936</v>
      </c>
      <c r="C15138" s="15" t="s">
        <v>800</v>
      </c>
      <c r="D15138" s="15" t="s">
        <v>27937</v>
      </c>
      <c r="E15138" s="15">
        <v>12.74466728</v>
      </c>
      <c r="F15138" s="42">
        <v>44350</v>
      </c>
    </row>
    <row r="15139" spans="1:6" x14ac:dyDescent="0.3">
      <c r="A15139" s="15" t="s">
        <v>35019</v>
      </c>
      <c r="B15139" s="15" t="s">
        <v>27938</v>
      </c>
      <c r="C15139" s="15" t="s">
        <v>800</v>
      </c>
      <c r="D15139" s="15" t="s">
        <v>27939</v>
      </c>
      <c r="E15139" s="15">
        <v>12.7447792</v>
      </c>
      <c r="F15139" s="42">
        <v>44350</v>
      </c>
    </row>
    <row r="15140" spans="1:6" x14ac:dyDescent="0.3">
      <c r="A15140" s="15" t="s">
        <v>35018</v>
      </c>
      <c r="B15140" s="15" t="s">
        <v>27940</v>
      </c>
      <c r="C15140" s="15" t="s">
        <v>800</v>
      </c>
      <c r="D15140" s="15" t="s">
        <v>27941</v>
      </c>
      <c r="E15140" s="15">
        <v>12.60047267</v>
      </c>
      <c r="F15140" s="42">
        <v>44350</v>
      </c>
    </row>
    <row r="15141" spans="1:6" x14ac:dyDescent="0.3">
      <c r="A15141" s="15" t="s">
        <v>35017</v>
      </c>
      <c r="B15141" s="15" t="s">
        <v>27942</v>
      </c>
      <c r="C15141" s="15" t="s">
        <v>800</v>
      </c>
      <c r="D15141" s="15" t="s">
        <v>27943</v>
      </c>
      <c r="E15141" s="15">
        <v>12.60047327</v>
      </c>
      <c r="F15141" s="42">
        <v>44350</v>
      </c>
    </row>
    <row r="15142" spans="1:6" x14ac:dyDescent="0.3">
      <c r="A15142" s="15" t="s">
        <v>35016</v>
      </c>
      <c r="B15142" s="15" t="s">
        <v>27944</v>
      </c>
      <c r="C15142" s="15" t="s">
        <v>800</v>
      </c>
      <c r="D15142" s="15" t="s">
        <v>27945</v>
      </c>
      <c r="E15142" s="15">
        <v>12.79483364</v>
      </c>
      <c r="F15142" s="42">
        <v>44364</v>
      </c>
    </row>
    <row r="15143" spans="1:6" x14ac:dyDescent="0.3">
      <c r="A15143" s="15" t="s">
        <v>35015</v>
      </c>
      <c r="B15143" s="15" t="s">
        <v>27946</v>
      </c>
      <c r="C15143" s="15" t="s">
        <v>800</v>
      </c>
      <c r="D15143" s="15" t="s">
        <v>27947</v>
      </c>
      <c r="E15143" s="15">
        <v>12.7949605</v>
      </c>
      <c r="F15143" s="42">
        <v>44364</v>
      </c>
    </row>
    <row r="15144" spans="1:6" x14ac:dyDescent="0.3">
      <c r="A15144" s="15" t="s">
        <v>35014</v>
      </c>
      <c r="B15144" s="15" t="s">
        <v>27948</v>
      </c>
      <c r="C15144" s="15" t="s">
        <v>800</v>
      </c>
      <c r="D15144" s="15" t="s">
        <v>27949</v>
      </c>
      <c r="E15144" s="15">
        <v>12.73132</v>
      </c>
      <c r="F15144" s="42">
        <v>44364</v>
      </c>
    </row>
    <row r="15145" spans="1:6" x14ac:dyDescent="0.3">
      <c r="A15145" s="15" t="s">
        <v>35013</v>
      </c>
      <c r="B15145" s="15" t="s">
        <v>27950</v>
      </c>
      <c r="C15145" s="15" t="s">
        <v>800</v>
      </c>
      <c r="D15145" s="15" t="s">
        <v>27951</v>
      </c>
      <c r="E15145" s="15">
        <v>12.731319450000001</v>
      </c>
      <c r="F15145" s="42">
        <v>44364</v>
      </c>
    </row>
    <row r="15146" spans="1:6" x14ac:dyDescent="0.3">
      <c r="A15146" s="15" t="s">
        <v>35012</v>
      </c>
      <c r="B15146" s="15" t="s">
        <v>27952</v>
      </c>
      <c r="C15146" s="15" t="s">
        <v>800</v>
      </c>
      <c r="D15146" s="15" t="s">
        <v>27953</v>
      </c>
      <c r="E15146" s="15">
        <v>12.876422</v>
      </c>
      <c r="F15146" s="42">
        <v>44383</v>
      </c>
    </row>
    <row r="15147" spans="1:6" x14ac:dyDescent="0.3">
      <c r="A15147" s="15" t="s">
        <v>35011</v>
      </c>
      <c r="B15147" s="15" t="s">
        <v>27954</v>
      </c>
      <c r="C15147" s="15" t="s">
        <v>800</v>
      </c>
      <c r="D15147" s="15" t="s">
        <v>27955</v>
      </c>
      <c r="E15147" s="15">
        <v>12.876261059999999</v>
      </c>
      <c r="F15147" s="42">
        <v>44383</v>
      </c>
    </row>
    <row r="15148" spans="1:6" x14ac:dyDescent="0.3">
      <c r="A15148" s="15" t="s">
        <v>35010</v>
      </c>
      <c r="B15148" s="15" t="s">
        <v>27956</v>
      </c>
      <c r="C15148" s="15" t="s">
        <v>800</v>
      </c>
      <c r="D15148" s="15" t="s">
        <v>27957</v>
      </c>
      <c r="E15148" s="15">
        <v>12.80911307</v>
      </c>
      <c r="F15148" s="42">
        <v>44383</v>
      </c>
    </row>
    <row r="15149" spans="1:6" x14ac:dyDescent="0.3">
      <c r="A15149" s="15" t="s">
        <v>35009</v>
      </c>
      <c r="B15149" s="15" t="s">
        <v>27958</v>
      </c>
      <c r="C15149" s="15" t="s">
        <v>800</v>
      </c>
      <c r="D15149" s="15" t="s">
        <v>27959</v>
      </c>
      <c r="E15149" s="15">
        <v>12.80896244</v>
      </c>
      <c r="F15149" s="42">
        <v>44383</v>
      </c>
    </row>
    <row r="15150" spans="1:6" x14ac:dyDescent="0.3">
      <c r="A15150" s="15" t="s">
        <v>35008</v>
      </c>
      <c r="B15150" s="15" t="s">
        <v>27960</v>
      </c>
      <c r="C15150" s="15" t="s">
        <v>800</v>
      </c>
      <c r="D15150" s="15" t="s">
        <v>27961</v>
      </c>
      <c r="E15150" s="15">
        <v>12.860432380000001</v>
      </c>
      <c r="F15150" s="42">
        <v>44392</v>
      </c>
    </row>
    <row r="15151" spans="1:6" x14ac:dyDescent="0.3">
      <c r="A15151" s="15" t="s">
        <v>35007</v>
      </c>
      <c r="B15151" s="15" t="s">
        <v>27962</v>
      </c>
      <c r="C15151" s="15" t="s">
        <v>800</v>
      </c>
      <c r="D15151" s="15" t="s">
        <v>27963</v>
      </c>
      <c r="E15151" s="15">
        <v>12.863454000000001</v>
      </c>
      <c r="F15151" s="42">
        <v>44392</v>
      </c>
    </row>
    <row r="15152" spans="1:6" x14ac:dyDescent="0.3">
      <c r="A15152" s="15" t="s">
        <v>35006</v>
      </c>
      <c r="B15152" s="15" t="s">
        <v>27964</v>
      </c>
      <c r="C15152" s="15" t="s">
        <v>800</v>
      </c>
      <c r="D15152" s="15" t="s">
        <v>27965</v>
      </c>
      <c r="E15152" s="15">
        <v>12.797349840000001</v>
      </c>
      <c r="F15152" s="42">
        <v>44392</v>
      </c>
    </row>
    <row r="15153" spans="1:6" x14ac:dyDescent="0.3">
      <c r="A15153" s="15" t="s">
        <v>35005</v>
      </c>
      <c r="B15153" s="15" t="s">
        <v>27966</v>
      </c>
      <c r="C15153" s="15" t="s">
        <v>800</v>
      </c>
      <c r="D15153" s="15" t="s">
        <v>27967</v>
      </c>
      <c r="E15153" s="15">
        <v>12.797345249999999</v>
      </c>
      <c r="F15153" s="42">
        <v>44392</v>
      </c>
    </row>
    <row r="15154" spans="1:6" x14ac:dyDescent="0.3">
      <c r="A15154" s="15" t="s">
        <v>35004</v>
      </c>
      <c r="B15154" s="15" t="s">
        <v>27968</v>
      </c>
      <c r="C15154" s="15" t="s">
        <v>800</v>
      </c>
      <c r="D15154" s="15" t="s">
        <v>27969</v>
      </c>
      <c r="E15154" s="15">
        <v>10.2001709</v>
      </c>
      <c r="F15154" s="42">
        <v>43256</v>
      </c>
    </row>
    <row r="15155" spans="1:6" x14ac:dyDescent="0.3">
      <c r="A15155" s="15" t="s">
        <v>35003</v>
      </c>
      <c r="B15155" s="15" t="s">
        <v>27970</v>
      </c>
      <c r="C15155" s="15" t="s">
        <v>800</v>
      </c>
      <c r="D15155" s="15" t="s">
        <v>27971</v>
      </c>
      <c r="E15155" s="15">
        <v>10.200170910000001</v>
      </c>
      <c r="F15155" s="42">
        <v>43256</v>
      </c>
    </row>
    <row r="15156" spans="1:6" x14ac:dyDescent="0.3">
      <c r="A15156" s="15" t="s">
        <v>35002</v>
      </c>
      <c r="B15156" s="15" t="s">
        <v>27972</v>
      </c>
      <c r="C15156" s="15" t="s">
        <v>800</v>
      </c>
      <c r="D15156" s="15" t="s">
        <v>27973</v>
      </c>
      <c r="E15156" s="15">
        <v>10.19497438</v>
      </c>
      <c r="F15156" s="42">
        <v>43256</v>
      </c>
    </row>
    <row r="15157" spans="1:6" x14ac:dyDescent="0.3">
      <c r="A15157" s="15" t="s">
        <v>35001</v>
      </c>
      <c r="B15157" s="15" t="s">
        <v>27974</v>
      </c>
      <c r="C15157" s="15" t="s">
        <v>800</v>
      </c>
      <c r="D15157" s="15" t="s">
        <v>27975</v>
      </c>
      <c r="E15157" s="15">
        <v>10.19497438</v>
      </c>
      <c r="F15157" s="42">
        <v>43256</v>
      </c>
    </row>
    <row r="15158" spans="1:6" x14ac:dyDescent="0.3">
      <c r="A15158" s="15" t="s">
        <v>35000</v>
      </c>
      <c r="B15158" s="15" t="s">
        <v>27976</v>
      </c>
      <c r="C15158" s="15" t="s">
        <v>800</v>
      </c>
      <c r="D15158" s="15" t="s">
        <v>27977</v>
      </c>
      <c r="E15158" s="15">
        <v>12.636284679999999</v>
      </c>
      <c r="F15158" s="42">
        <v>44342</v>
      </c>
    </row>
    <row r="15159" spans="1:6" x14ac:dyDescent="0.3">
      <c r="A15159" s="15" t="s">
        <v>34999</v>
      </c>
      <c r="B15159" s="15" t="s">
        <v>27978</v>
      </c>
      <c r="C15159" s="15" t="s">
        <v>800</v>
      </c>
      <c r="D15159" s="15" t="s">
        <v>27979</v>
      </c>
      <c r="E15159" s="15">
        <v>12.5373055</v>
      </c>
      <c r="F15159" s="42">
        <v>44342</v>
      </c>
    </row>
    <row r="15160" spans="1:6" x14ac:dyDescent="0.3">
      <c r="A15160" s="15" t="s">
        <v>34998</v>
      </c>
      <c r="B15160" s="15" t="s">
        <v>27980</v>
      </c>
      <c r="C15160" s="15" t="s">
        <v>800</v>
      </c>
      <c r="D15160" s="15" t="s">
        <v>27981</v>
      </c>
      <c r="E15160" s="15">
        <v>12.537311819999999</v>
      </c>
      <c r="F15160" s="42">
        <v>44342</v>
      </c>
    </row>
    <row r="15161" spans="1:6" x14ac:dyDescent="0.3">
      <c r="A15161" s="15" t="s">
        <v>34997</v>
      </c>
      <c r="B15161" s="15" t="s">
        <v>27982</v>
      </c>
      <c r="C15161" s="15" t="s">
        <v>800</v>
      </c>
      <c r="D15161" s="15" t="s">
        <v>27983</v>
      </c>
      <c r="E15161" s="15">
        <v>12.636326459999999</v>
      </c>
      <c r="F15161" s="42">
        <v>44342</v>
      </c>
    </row>
    <row r="15162" spans="1:6" x14ac:dyDescent="0.3">
      <c r="A15162" s="15" t="s">
        <v>34996</v>
      </c>
      <c r="B15162" s="15" t="s">
        <v>27984</v>
      </c>
      <c r="C15162" s="15" t="s">
        <v>800</v>
      </c>
      <c r="D15162" s="15" t="s">
        <v>27985</v>
      </c>
      <c r="E15162" s="15">
        <v>12.825353870000001</v>
      </c>
      <c r="F15162" s="42">
        <v>44335</v>
      </c>
    </row>
    <row r="15163" spans="1:6" x14ac:dyDescent="0.3">
      <c r="A15163" s="15" t="s">
        <v>34995</v>
      </c>
      <c r="B15163" s="15" t="s">
        <v>27986</v>
      </c>
      <c r="C15163" s="15" t="s">
        <v>800</v>
      </c>
      <c r="D15163" s="15" t="s">
        <v>27987</v>
      </c>
      <c r="E15163" s="15">
        <v>12.8255464</v>
      </c>
      <c r="F15163" s="42">
        <v>44335</v>
      </c>
    </row>
    <row r="15164" spans="1:6" x14ac:dyDescent="0.3">
      <c r="A15164" s="15" t="s">
        <v>34994</v>
      </c>
      <c r="B15164" s="15" t="s">
        <v>27988</v>
      </c>
      <c r="C15164" s="15" t="s">
        <v>800</v>
      </c>
      <c r="D15164" s="15" t="s">
        <v>27989</v>
      </c>
      <c r="E15164" s="15">
        <v>12.731138919999999</v>
      </c>
      <c r="F15164" s="42">
        <v>44335</v>
      </c>
    </row>
    <row r="15165" spans="1:6" x14ac:dyDescent="0.3">
      <c r="A15165" s="15" t="s">
        <v>34993</v>
      </c>
      <c r="B15165" s="15" t="s">
        <v>27990</v>
      </c>
      <c r="C15165" s="15" t="s">
        <v>800</v>
      </c>
      <c r="D15165" s="15" t="s">
        <v>27991</v>
      </c>
      <c r="E15165" s="15">
        <v>12.73113049</v>
      </c>
      <c r="F15165" s="42">
        <v>44335</v>
      </c>
    </row>
    <row r="15166" spans="1:6" x14ac:dyDescent="0.3">
      <c r="A15166" s="15" t="s">
        <v>34992</v>
      </c>
      <c r="B15166" s="15" t="s">
        <v>27992</v>
      </c>
      <c r="C15166" s="15" t="s">
        <v>800</v>
      </c>
      <c r="D15166" s="15" t="s">
        <v>27993</v>
      </c>
      <c r="E15166" s="15">
        <v>12.53119294</v>
      </c>
      <c r="F15166" s="42">
        <v>44322</v>
      </c>
    </row>
    <row r="15167" spans="1:6" x14ac:dyDescent="0.3">
      <c r="A15167" s="15" t="s">
        <v>34991</v>
      </c>
      <c r="B15167" s="15" t="s">
        <v>27994</v>
      </c>
      <c r="C15167" s="15" t="s">
        <v>800</v>
      </c>
      <c r="D15167" s="15" t="s">
        <v>27995</v>
      </c>
      <c r="E15167" s="15">
        <v>12.43591539</v>
      </c>
      <c r="F15167" s="42">
        <v>44322</v>
      </c>
    </row>
    <row r="15168" spans="1:6" x14ac:dyDescent="0.3">
      <c r="A15168" s="15" t="s">
        <v>34990</v>
      </c>
      <c r="B15168" s="15" t="s">
        <v>27996</v>
      </c>
      <c r="C15168" s="15" t="s">
        <v>800</v>
      </c>
      <c r="D15168" s="15" t="s">
        <v>27997</v>
      </c>
      <c r="E15168" s="15">
        <v>12.435923750000001</v>
      </c>
      <c r="F15168" s="42">
        <v>44322</v>
      </c>
    </row>
    <row r="15169" spans="1:6" x14ac:dyDescent="0.3">
      <c r="A15169" s="15" t="s">
        <v>34989</v>
      </c>
      <c r="B15169" s="15" t="s">
        <v>27998</v>
      </c>
      <c r="C15169" s="15" t="s">
        <v>800</v>
      </c>
      <c r="D15169" s="15" t="s">
        <v>27999</v>
      </c>
      <c r="E15169" s="15">
        <v>12.77917038</v>
      </c>
      <c r="F15169" s="42">
        <v>44343</v>
      </c>
    </row>
    <row r="15170" spans="1:6" x14ac:dyDescent="0.3">
      <c r="A15170" s="15" t="s">
        <v>34988</v>
      </c>
      <c r="B15170" s="15" t="s">
        <v>28000</v>
      </c>
      <c r="C15170" s="15" t="s">
        <v>800</v>
      </c>
      <c r="D15170" s="15" t="s">
        <v>28001</v>
      </c>
      <c r="E15170" s="15">
        <v>12.779170390000001</v>
      </c>
      <c r="F15170" s="42">
        <v>44343</v>
      </c>
    </row>
    <row r="15171" spans="1:6" x14ac:dyDescent="0.3">
      <c r="A15171" s="15" t="s">
        <v>34987</v>
      </c>
      <c r="B15171" s="15" t="s">
        <v>28002</v>
      </c>
      <c r="C15171" s="15" t="s">
        <v>800</v>
      </c>
      <c r="D15171" s="15" t="s">
        <v>28003</v>
      </c>
      <c r="E15171" s="15">
        <v>12.645096519999999</v>
      </c>
      <c r="F15171" s="42">
        <v>44343</v>
      </c>
    </row>
    <row r="15172" spans="1:6" x14ac:dyDescent="0.3">
      <c r="A15172" s="15" t="s">
        <v>34986</v>
      </c>
      <c r="B15172" s="15" t="s">
        <v>28004</v>
      </c>
      <c r="C15172" s="15" t="s">
        <v>800</v>
      </c>
      <c r="D15172" s="15" t="s">
        <v>28005</v>
      </c>
      <c r="E15172" s="15">
        <v>12.6450827</v>
      </c>
      <c r="F15172" s="42">
        <v>44343</v>
      </c>
    </row>
    <row r="15173" spans="1:6" x14ac:dyDescent="0.3">
      <c r="A15173" s="15" t="s">
        <v>34985</v>
      </c>
      <c r="B15173" s="15" t="s">
        <v>28006</v>
      </c>
      <c r="C15173" s="15" t="s">
        <v>800</v>
      </c>
      <c r="D15173" s="15" t="s">
        <v>28007</v>
      </c>
      <c r="E15173" s="15">
        <v>12.47440668</v>
      </c>
      <c r="F15173" s="42">
        <v>44336</v>
      </c>
    </row>
    <row r="15174" spans="1:6" x14ac:dyDescent="0.3">
      <c r="A15174" s="15" t="s">
        <v>34984</v>
      </c>
      <c r="B15174" s="15" t="s">
        <v>28008</v>
      </c>
      <c r="C15174" s="15" t="s">
        <v>800</v>
      </c>
      <c r="D15174" s="15" t="s">
        <v>28009</v>
      </c>
      <c r="E15174" s="15">
        <v>12.57066655</v>
      </c>
      <c r="F15174" s="42">
        <v>44336</v>
      </c>
    </row>
    <row r="15175" spans="1:6" x14ac:dyDescent="0.3">
      <c r="A15175" s="15" t="s">
        <v>34983</v>
      </c>
      <c r="B15175" s="15" t="s">
        <v>28010</v>
      </c>
      <c r="C15175" s="15" t="s">
        <v>800</v>
      </c>
      <c r="D15175" s="15" t="s">
        <v>28011</v>
      </c>
      <c r="E15175" s="15">
        <v>12.47439853</v>
      </c>
      <c r="F15175" s="42">
        <v>44336</v>
      </c>
    </row>
    <row r="15176" spans="1:6" x14ac:dyDescent="0.3">
      <c r="A15176" s="15" t="s">
        <v>34982</v>
      </c>
      <c r="B15176" s="15" t="s">
        <v>28012</v>
      </c>
      <c r="C15176" s="15" t="s">
        <v>800</v>
      </c>
      <c r="D15176" s="15" t="s">
        <v>28013</v>
      </c>
      <c r="E15176" s="15">
        <v>12.46310596</v>
      </c>
      <c r="F15176" s="42">
        <v>44334</v>
      </c>
    </row>
    <row r="15177" spans="1:6" x14ac:dyDescent="0.3">
      <c r="A15177" s="15" t="s">
        <v>34981</v>
      </c>
      <c r="B15177" s="15" t="s">
        <v>28014</v>
      </c>
      <c r="C15177" s="15" t="s">
        <v>800</v>
      </c>
      <c r="D15177" s="15" t="s">
        <v>28015</v>
      </c>
      <c r="E15177" s="15">
        <v>12.46328857</v>
      </c>
      <c r="F15177" s="42">
        <v>44334</v>
      </c>
    </row>
    <row r="15178" spans="1:6" x14ac:dyDescent="0.3">
      <c r="A15178" s="15" t="s">
        <v>34980</v>
      </c>
      <c r="B15178" s="15" t="s">
        <v>28016</v>
      </c>
      <c r="C15178" s="15" t="s">
        <v>800</v>
      </c>
      <c r="D15178" s="15" t="s">
        <v>28017</v>
      </c>
      <c r="E15178" s="15">
        <v>12.36985067</v>
      </c>
      <c r="F15178" s="42">
        <v>44334</v>
      </c>
    </row>
    <row r="15179" spans="1:6" x14ac:dyDescent="0.3">
      <c r="A15179" s="15" t="s">
        <v>34979</v>
      </c>
      <c r="B15179" s="15" t="s">
        <v>28018</v>
      </c>
      <c r="C15179" s="15" t="s">
        <v>800</v>
      </c>
      <c r="D15179" s="15" t="s">
        <v>28019</v>
      </c>
      <c r="E15179" s="15">
        <v>12.36985</v>
      </c>
      <c r="F15179" s="42">
        <v>44334</v>
      </c>
    </row>
    <row r="15180" spans="1:6" x14ac:dyDescent="0.3">
      <c r="A15180" s="15" t="s">
        <v>34978</v>
      </c>
      <c r="B15180" s="15" t="s">
        <v>28020</v>
      </c>
      <c r="C15180" s="15" t="s">
        <v>800</v>
      </c>
      <c r="D15180" s="15" t="s">
        <v>28021</v>
      </c>
      <c r="E15180" s="15">
        <v>13.74506401</v>
      </c>
      <c r="F15180" s="42">
        <v>44706</v>
      </c>
    </row>
    <row r="15181" spans="1:6" x14ac:dyDescent="0.3">
      <c r="A15181" s="15" t="s">
        <v>34977</v>
      </c>
      <c r="B15181" s="15" t="s">
        <v>28022</v>
      </c>
      <c r="C15181" s="15" t="s">
        <v>800</v>
      </c>
      <c r="D15181" s="15" t="s">
        <v>28023</v>
      </c>
      <c r="E15181" s="15">
        <v>13.74502878</v>
      </c>
      <c r="F15181" s="42">
        <v>44706</v>
      </c>
    </row>
    <row r="15182" spans="1:6" x14ac:dyDescent="0.3">
      <c r="A15182" s="15" t="s">
        <v>34976</v>
      </c>
      <c r="B15182" s="15" t="s">
        <v>28024</v>
      </c>
      <c r="C15182" s="15" t="s">
        <v>800</v>
      </c>
      <c r="D15182" s="15" t="s">
        <v>28025</v>
      </c>
      <c r="E15182" s="15">
        <v>13.641072169999999</v>
      </c>
      <c r="F15182" s="42">
        <v>44706</v>
      </c>
    </row>
    <row r="15183" spans="1:6" x14ac:dyDescent="0.3">
      <c r="A15183" s="15" t="s">
        <v>34975</v>
      </c>
      <c r="B15183" s="15" t="s">
        <v>28026</v>
      </c>
      <c r="C15183" s="15" t="s">
        <v>800</v>
      </c>
      <c r="D15183" s="15" t="s">
        <v>28027</v>
      </c>
      <c r="E15183" s="15">
        <v>13.64107272</v>
      </c>
      <c r="F15183" s="42">
        <v>44706</v>
      </c>
    </row>
    <row r="15184" spans="1:6" x14ac:dyDescent="0.3">
      <c r="A15184" s="15" t="s">
        <v>34974</v>
      </c>
      <c r="B15184" s="15" t="s">
        <v>28028</v>
      </c>
      <c r="C15184" s="15" t="s">
        <v>800</v>
      </c>
      <c r="D15184" s="15" t="s">
        <v>28029</v>
      </c>
      <c r="E15184" s="15">
        <v>10.21444515</v>
      </c>
      <c r="F15184" s="42">
        <v>43339</v>
      </c>
    </row>
    <row r="15185" spans="1:6" x14ac:dyDescent="0.3">
      <c r="A15185" s="15" t="s">
        <v>34973</v>
      </c>
      <c r="B15185" s="15" t="s">
        <v>28030</v>
      </c>
      <c r="C15185" s="15" t="s">
        <v>800</v>
      </c>
      <c r="D15185" s="15" t="s">
        <v>28031</v>
      </c>
      <c r="E15185" s="15">
        <v>10.20907352</v>
      </c>
      <c r="F15185" s="42">
        <v>43339</v>
      </c>
    </row>
    <row r="15186" spans="1:6" x14ac:dyDescent="0.3">
      <c r="A15186" s="15" t="s">
        <v>34972</v>
      </c>
      <c r="B15186" s="15" t="s">
        <v>28032</v>
      </c>
      <c r="C15186" s="15" t="s">
        <v>800</v>
      </c>
      <c r="D15186" s="15" t="s">
        <v>28033</v>
      </c>
      <c r="E15186" s="15">
        <v>10.20907352</v>
      </c>
      <c r="F15186" s="42">
        <v>43339</v>
      </c>
    </row>
    <row r="15187" spans="1:6" x14ac:dyDescent="0.3">
      <c r="A15187" s="15" t="s">
        <v>34971</v>
      </c>
      <c r="B15187" s="15" t="s">
        <v>28034</v>
      </c>
      <c r="C15187" s="15" t="s">
        <v>800</v>
      </c>
      <c r="D15187" s="15" t="s">
        <v>28035</v>
      </c>
      <c r="E15187" s="15">
        <v>10.21444515</v>
      </c>
      <c r="F15187" s="42">
        <v>43339</v>
      </c>
    </row>
    <row r="15188" spans="1:6" x14ac:dyDescent="0.3">
      <c r="A15188" s="15" t="s">
        <v>34970</v>
      </c>
      <c r="B15188" s="15" t="s">
        <v>28036</v>
      </c>
      <c r="C15188" s="15" t="s">
        <v>800</v>
      </c>
      <c r="D15188" s="15" t="s">
        <v>28037</v>
      </c>
      <c r="E15188" s="15">
        <v>12.70956588</v>
      </c>
      <c r="F15188" s="42">
        <v>44396</v>
      </c>
    </row>
    <row r="15189" spans="1:6" x14ac:dyDescent="0.3">
      <c r="A15189" s="15" t="s">
        <v>34969</v>
      </c>
      <c r="B15189" s="15" t="s">
        <v>28038</v>
      </c>
      <c r="C15189" s="15" t="s">
        <v>800</v>
      </c>
      <c r="D15189" s="15" t="s">
        <v>28039</v>
      </c>
      <c r="E15189" s="15">
        <v>12.70956421</v>
      </c>
      <c r="F15189" s="42">
        <v>44396</v>
      </c>
    </row>
    <row r="15190" spans="1:6" x14ac:dyDescent="0.3">
      <c r="A15190" s="15" t="s">
        <v>34968</v>
      </c>
      <c r="B15190" s="15" t="s">
        <v>28040</v>
      </c>
      <c r="C15190" s="15" t="s">
        <v>800</v>
      </c>
      <c r="D15190" s="15" t="s">
        <v>28041</v>
      </c>
      <c r="E15190" s="15">
        <v>12.78522894</v>
      </c>
      <c r="F15190" s="42">
        <v>44396</v>
      </c>
    </row>
    <row r="15191" spans="1:6" x14ac:dyDescent="0.3">
      <c r="A15191" s="15" t="s">
        <v>34967</v>
      </c>
      <c r="B15191" s="15" t="s">
        <v>28042</v>
      </c>
      <c r="C15191" s="15" t="s">
        <v>800</v>
      </c>
      <c r="D15191" s="15" t="s">
        <v>28043</v>
      </c>
      <c r="E15191" s="15">
        <v>10.20746304</v>
      </c>
      <c r="F15191" s="42">
        <v>43353</v>
      </c>
    </row>
    <row r="15192" spans="1:6" x14ac:dyDescent="0.3">
      <c r="A15192" s="15" t="s">
        <v>34966</v>
      </c>
      <c r="B15192" s="15" t="s">
        <v>28044</v>
      </c>
      <c r="C15192" s="15" t="s">
        <v>800</v>
      </c>
      <c r="D15192" s="15" t="s">
        <v>28045</v>
      </c>
      <c r="E15192" s="15">
        <v>10.20746304</v>
      </c>
      <c r="F15192" s="42">
        <v>43353</v>
      </c>
    </row>
    <row r="15193" spans="1:6" x14ac:dyDescent="0.3">
      <c r="A15193" s="15" t="s">
        <v>34965</v>
      </c>
      <c r="B15193" s="15" t="s">
        <v>28046</v>
      </c>
      <c r="C15193" s="15" t="s">
        <v>800</v>
      </c>
      <c r="D15193" s="15" t="s">
        <v>28047</v>
      </c>
      <c r="E15193" s="15">
        <v>10.20209509</v>
      </c>
      <c r="F15193" s="42">
        <v>43353</v>
      </c>
    </row>
    <row r="15194" spans="1:6" x14ac:dyDescent="0.3">
      <c r="A15194" s="15" t="s">
        <v>34964</v>
      </c>
      <c r="B15194" s="15" t="s">
        <v>28048</v>
      </c>
      <c r="C15194" s="15" t="s">
        <v>800</v>
      </c>
      <c r="D15194" s="15" t="s">
        <v>28049</v>
      </c>
      <c r="E15194" s="15">
        <v>10.20209509</v>
      </c>
      <c r="F15194" s="42">
        <v>43353</v>
      </c>
    </row>
    <row r="15195" spans="1:6" x14ac:dyDescent="0.3">
      <c r="A15195" s="15" t="s">
        <v>34963</v>
      </c>
      <c r="B15195" s="15" t="s">
        <v>28050</v>
      </c>
      <c r="C15195" s="15" t="s">
        <v>800</v>
      </c>
      <c r="D15195" s="15" t="s">
        <v>28051</v>
      </c>
      <c r="E15195" s="15">
        <v>12.76020815</v>
      </c>
      <c r="F15195" s="42">
        <v>44405</v>
      </c>
    </row>
    <row r="15196" spans="1:6" x14ac:dyDescent="0.3">
      <c r="A15196" s="15" t="s">
        <v>34962</v>
      </c>
      <c r="B15196" s="15" t="s">
        <v>28052</v>
      </c>
      <c r="C15196" s="15" t="s">
        <v>800</v>
      </c>
      <c r="D15196" s="15" t="s">
        <v>28053</v>
      </c>
      <c r="E15196" s="15">
        <v>12.760194869999999</v>
      </c>
      <c r="F15196" s="42">
        <v>44405</v>
      </c>
    </row>
    <row r="15197" spans="1:6" x14ac:dyDescent="0.3">
      <c r="A15197" s="15" t="s">
        <v>34961</v>
      </c>
      <c r="B15197" s="15" t="s">
        <v>28054</v>
      </c>
      <c r="C15197" s="15" t="s">
        <v>800</v>
      </c>
      <c r="D15197" s="15" t="s">
        <v>28055</v>
      </c>
      <c r="E15197" s="15">
        <v>12.665205070000001</v>
      </c>
      <c r="F15197" s="42">
        <v>44405</v>
      </c>
    </row>
    <row r="15198" spans="1:6" x14ac:dyDescent="0.3">
      <c r="A15198" s="15" t="s">
        <v>34960</v>
      </c>
      <c r="B15198" s="15" t="s">
        <v>28056</v>
      </c>
      <c r="C15198" s="15" t="s">
        <v>800</v>
      </c>
      <c r="D15198" s="15" t="s">
        <v>28057</v>
      </c>
      <c r="E15198" s="15">
        <v>12.68978959</v>
      </c>
      <c r="F15198" s="42">
        <v>44413</v>
      </c>
    </row>
    <row r="15199" spans="1:6" x14ac:dyDescent="0.3">
      <c r="A15199" s="15" t="s">
        <v>34959</v>
      </c>
      <c r="B15199" s="15" t="s">
        <v>28058</v>
      </c>
      <c r="C15199" s="15" t="s">
        <v>800</v>
      </c>
      <c r="D15199" s="15" t="s">
        <v>28059</v>
      </c>
      <c r="E15199" s="15">
        <v>12.800151939999999</v>
      </c>
      <c r="F15199" s="42">
        <v>44413</v>
      </c>
    </row>
    <row r="15200" spans="1:6" x14ac:dyDescent="0.3">
      <c r="A15200" s="15" t="s">
        <v>34958</v>
      </c>
      <c r="B15200" s="15" t="s">
        <v>28060</v>
      </c>
      <c r="C15200" s="15" t="s">
        <v>800</v>
      </c>
      <c r="D15200" s="15" t="s">
        <v>28061</v>
      </c>
      <c r="E15200" s="15">
        <v>12.689791899999999</v>
      </c>
      <c r="F15200" s="42">
        <v>44413</v>
      </c>
    </row>
    <row r="15201" spans="1:6" x14ac:dyDescent="0.3">
      <c r="A15201" s="15" t="s">
        <v>34957</v>
      </c>
      <c r="B15201" s="15" t="s">
        <v>28062</v>
      </c>
      <c r="C15201" s="15" t="s">
        <v>800</v>
      </c>
      <c r="D15201" s="15" t="s">
        <v>28063</v>
      </c>
      <c r="E15201" s="15">
        <v>12.68434581</v>
      </c>
      <c r="F15201" s="42">
        <v>44419</v>
      </c>
    </row>
    <row r="15202" spans="1:6" x14ac:dyDescent="0.3">
      <c r="A15202" s="15" t="s">
        <v>34956</v>
      </c>
      <c r="B15202" s="15" t="s">
        <v>28064</v>
      </c>
      <c r="C15202" s="15" t="s">
        <v>800</v>
      </c>
      <c r="D15202" s="15" t="s">
        <v>28065</v>
      </c>
      <c r="E15202" s="15">
        <v>12.686633</v>
      </c>
      <c r="F15202" s="42">
        <v>44419</v>
      </c>
    </row>
    <row r="15203" spans="1:6" x14ac:dyDescent="0.3">
      <c r="A15203" s="15" t="s">
        <v>34955</v>
      </c>
      <c r="B15203" s="15" t="s">
        <v>28066</v>
      </c>
      <c r="C15203" s="15" t="s">
        <v>800</v>
      </c>
      <c r="D15203" s="15" t="s">
        <v>28067</v>
      </c>
      <c r="E15203" s="15">
        <v>12.57059862</v>
      </c>
      <c r="F15203" s="42">
        <v>44419</v>
      </c>
    </row>
    <row r="15204" spans="1:6" x14ac:dyDescent="0.3">
      <c r="A15204" s="15" t="s">
        <v>34954</v>
      </c>
      <c r="B15204" s="15" t="s">
        <v>28068</v>
      </c>
      <c r="C15204" s="15" t="s">
        <v>800</v>
      </c>
      <c r="D15204" s="15" t="s">
        <v>28069</v>
      </c>
      <c r="E15204" s="15">
        <v>13.00887157</v>
      </c>
      <c r="F15204" s="42">
        <v>44459</v>
      </c>
    </row>
    <row r="15205" spans="1:6" x14ac:dyDescent="0.3">
      <c r="A15205" s="15" t="s">
        <v>34953</v>
      </c>
      <c r="B15205" s="15" t="s">
        <v>28070</v>
      </c>
      <c r="C15205" s="15" t="s">
        <v>800</v>
      </c>
      <c r="D15205" s="15" t="s">
        <v>28071</v>
      </c>
      <c r="E15205" s="15">
        <v>12.91098148</v>
      </c>
      <c r="F15205" s="42">
        <v>44459</v>
      </c>
    </row>
    <row r="15206" spans="1:6" x14ac:dyDescent="0.3">
      <c r="A15206" s="15" t="s">
        <v>34952</v>
      </c>
      <c r="B15206" s="15" t="s">
        <v>28072</v>
      </c>
      <c r="C15206" s="15" t="s">
        <v>800</v>
      </c>
      <c r="D15206" s="15" t="s">
        <v>28073</v>
      </c>
      <c r="E15206" s="15">
        <v>12.911025240000001</v>
      </c>
      <c r="F15206" s="42">
        <v>44459</v>
      </c>
    </row>
    <row r="15207" spans="1:6" x14ac:dyDescent="0.3">
      <c r="A15207" s="15" t="s">
        <v>34951</v>
      </c>
      <c r="B15207" s="15" t="s">
        <v>28074</v>
      </c>
      <c r="C15207" s="15" t="s">
        <v>800</v>
      </c>
      <c r="D15207" s="15" t="s">
        <v>28075</v>
      </c>
      <c r="E15207" s="15">
        <v>12.734418959999999</v>
      </c>
      <c r="F15207" s="42">
        <v>44434</v>
      </c>
    </row>
    <row r="15208" spans="1:6" x14ac:dyDescent="0.3">
      <c r="A15208" s="15" t="s">
        <v>34950</v>
      </c>
      <c r="B15208" s="15" t="s">
        <v>28076</v>
      </c>
      <c r="C15208" s="15" t="s">
        <v>800</v>
      </c>
      <c r="D15208" s="15" t="s">
        <v>28077</v>
      </c>
      <c r="E15208" s="15">
        <v>12.640487630000001</v>
      </c>
      <c r="F15208" s="42">
        <v>44434</v>
      </c>
    </row>
    <row r="15209" spans="1:6" x14ac:dyDescent="0.3">
      <c r="A15209" s="15" t="s">
        <v>34949</v>
      </c>
      <c r="B15209" s="15" t="s">
        <v>28078</v>
      </c>
      <c r="C15209" s="15" t="s">
        <v>800</v>
      </c>
      <c r="D15209" s="15" t="s">
        <v>28079</v>
      </c>
      <c r="E15209" s="15">
        <v>12.64101</v>
      </c>
      <c r="F15209" s="42">
        <v>44434</v>
      </c>
    </row>
    <row r="15210" spans="1:6" x14ac:dyDescent="0.3">
      <c r="A15210" s="15" t="s">
        <v>34948</v>
      </c>
      <c r="B15210" s="15" t="s">
        <v>28080</v>
      </c>
      <c r="C15210" s="15" t="s">
        <v>800</v>
      </c>
      <c r="D15210" s="15" t="s">
        <v>28081</v>
      </c>
      <c r="E15210" s="15">
        <v>12.839515670000001</v>
      </c>
      <c r="F15210" s="42">
        <v>44494</v>
      </c>
    </row>
    <row r="15211" spans="1:6" x14ac:dyDescent="0.3">
      <c r="A15211" s="15" t="s">
        <v>34947</v>
      </c>
      <c r="B15211" s="15" t="s">
        <v>28082</v>
      </c>
      <c r="C15211" s="15" t="s">
        <v>800</v>
      </c>
      <c r="D15211" s="15" t="s">
        <v>28083</v>
      </c>
      <c r="E15211" s="15">
        <v>12.742445</v>
      </c>
      <c r="F15211" s="42">
        <v>44494</v>
      </c>
    </row>
    <row r="15212" spans="1:6" x14ac:dyDescent="0.3">
      <c r="A15212" s="15" t="s">
        <v>34946</v>
      </c>
      <c r="B15212" s="15" t="s">
        <v>28084</v>
      </c>
      <c r="C15212" s="15" t="s">
        <v>800</v>
      </c>
      <c r="D15212" s="15" t="s">
        <v>28085</v>
      </c>
      <c r="E15212" s="15">
        <v>12.74127942</v>
      </c>
      <c r="F15212" s="42">
        <v>44494</v>
      </c>
    </row>
    <row r="15213" spans="1:6" x14ac:dyDescent="0.3">
      <c r="A15213" s="15" t="s">
        <v>34945</v>
      </c>
      <c r="B15213" s="15" t="s">
        <v>28086</v>
      </c>
      <c r="C15213" s="15" t="s">
        <v>800</v>
      </c>
      <c r="D15213" s="15" t="s">
        <v>28087</v>
      </c>
      <c r="E15213" s="15">
        <v>13.562952129999999</v>
      </c>
      <c r="F15213" s="42">
        <v>44662</v>
      </c>
    </row>
    <row r="15214" spans="1:6" x14ac:dyDescent="0.3">
      <c r="A15214" s="15" t="s">
        <v>34944</v>
      </c>
      <c r="B15214" s="15" t="s">
        <v>28088</v>
      </c>
      <c r="C15214" s="15" t="s">
        <v>800</v>
      </c>
      <c r="D15214" s="15" t="s">
        <v>28089</v>
      </c>
      <c r="E15214" s="15">
        <v>13.563117500000001</v>
      </c>
      <c r="F15214" s="42">
        <v>44662</v>
      </c>
    </row>
    <row r="15215" spans="1:6" x14ac:dyDescent="0.3">
      <c r="A15215" s="15" t="s">
        <v>34943</v>
      </c>
      <c r="B15215" s="15" t="s">
        <v>28090</v>
      </c>
      <c r="C15215" s="15" t="s">
        <v>800</v>
      </c>
      <c r="D15215" s="15" t="s">
        <v>28091</v>
      </c>
      <c r="E15215" s="15">
        <v>13.52129461</v>
      </c>
      <c r="F15215" s="42">
        <v>44662</v>
      </c>
    </row>
    <row r="15216" spans="1:6" x14ac:dyDescent="0.3">
      <c r="A15216" s="15" t="s">
        <v>34942</v>
      </c>
      <c r="B15216" s="15" t="s">
        <v>28092</v>
      </c>
      <c r="C15216" s="15" t="s">
        <v>800</v>
      </c>
      <c r="D15216" s="15" t="s">
        <v>28093</v>
      </c>
      <c r="E15216" s="15">
        <v>13.521266000000001</v>
      </c>
      <c r="F15216" s="42">
        <v>44662</v>
      </c>
    </row>
    <row r="15217" spans="1:6" x14ac:dyDescent="0.3">
      <c r="A15217" s="15" t="s">
        <v>34941</v>
      </c>
      <c r="B15217" s="15" t="s">
        <v>28094</v>
      </c>
      <c r="C15217" s="15" t="s">
        <v>800</v>
      </c>
      <c r="D15217" s="15" t="s">
        <v>28095</v>
      </c>
      <c r="E15217" s="15">
        <v>12.79040526</v>
      </c>
      <c r="F15217" s="42">
        <v>44482</v>
      </c>
    </row>
    <row r="15218" spans="1:6" x14ac:dyDescent="0.3">
      <c r="A15218" s="15" t="s">
        <v>34940</v>
      </c>
      <c r="B15218" s="15" t="s">
        <v>28096</v>
      </c>
      <c r="C15218" s="15" t="s">
        <v>800</v>
      </c>
      <c r="D15218" s="15" t="s">
        <v>28097</v>
      </c>
      <c r="E15218" s="15">
        <v>12.694965270000001</v>
      </c>
      <c r="F15218" s="42">
        <v>44482</v>
      </c>
    </row>
    <row r="15219" spans="1:6" x14ac:dyDescent="0.3">
      <c r="A15219" s="15" t="s">
        <v>34939</v>
      </c>
      <c r="B15219" s="15" t="s">
        <v>28098</v>
      </c>
      <c r="C15219" s="15" t="s">
        <v>800</v>
      </c>
      <c r="D15219" s="15" t="s">
        <v>28099</v>
      </c>
      <c r="E15219" s="15">
        <v>12.69409067</v>
      </c>
      <c r="F15219" s="42">
        <v>44482</v>
      </c>
    </row>
    <row r="15220" spans="1:6" x14ac:dyDescent="0.3">
      <c r="A15220" s="15" t="s">
        <v>34938</v>
      </c>
      <c r="B15220" s="15" t="s">
        <v>28100</v>
      </c>
      <c r="C15220" s="15" t="s">
        <v>800</v>
      </c>
      <c r="D15220" s="15" t="s">
        <v>28101</v>
      </c>
      <c r="E15220" s="15">
        <v>12.770571070000001</v>
      </c>
      <c r="F15220" s="42">
        <v>44487</v>
      </c>
    </row>
    <row r="15221" spans="1:6" x14ac:dyDescent="0.3">
      <c r="A15221" s="15" t="s">
        <v>34937</v>
      </c>
      <c r="B15221" s="15" t="s">
        <v>28102</v>
      </c>
      <c r="C15221" s="15" t="s">
        <v>800</v>
      </c>
      <c r="D15221" s="15" t="s">
        <v>28103</v>
      </c>
      <c r="E15221" s="15">
        <v>12.7704892</v>
      </c>
      <c r="F15221" s="42">
        <v>44487</v>
      </c>
    </row>
    <row r="15222" spans="1:6" x14ac:dyDescent="0.3">
      <c r="A15222" s="15" t="s">
        <v>34936</v>
      </c>
      <c r="B15222" s="15" t="s">
        <v>28104</v>
      </c>
      <c r="C15222" s="15" t="s">
        <v>800</v>
      </c>
      <c r="D15222" s="15" t="s">
        <v>28105</v>
      </c>
      <c r="E15222" s="15">
        <v>12.676234060000001</v>
      </c>
      <c r="F15222" s="42">
        <v>44487</v>
      </c>
    </row>
    <row r="15223" spans="1:6" x14ac:dyDescent="0.3">
      <c r="A15223" s="15" t="s">
        <v>34935</v>
      </c>
      <c r="B15223" s="15" t="s">
        <v>28106</v>
      </c>
      <c r="C15223" s="15" t="s">
        <v>800</v>
      </c>
      <c r="D15223" s="15" t="s">
        <v>28107</v>
      </c>
      <c r="E15223" s="15">
        <v>12.676227369999999</v>
      </c>
      <c r="F15223" s="42">
        <v>44487</v>
      </c>
    </row>
    <row r="15224" spans="1:6" x14ac:dyDescent="0.3">
      <c r="A15224" s="15" t="s">
        <v>34934</v>
      </c>
      <c r="B15224" s="15" t="s">
        <v>28108</v>
      </c>
      <c r="C15224" s="15" t="s">
        <v>800</v>
      </c>
      <c r="D15224" s="15" t="s">
        <v>28109</v>
      </c>
      <c r="E15224" s="15">
        <v>13.30003773</v>
      </c>
      <c r="F15224" s="42">
        <v>44662</v>
      </c>
    </row>
    <row r="15225" spans="1:6" x14ac:dyDescent="0.3">
      <c r="A15225" s="15" t="s">
        <v>34933</v>
      </c>
      <c r="B15225" s="15" t="s">
        <v>28110</v>
      </c>
      <c r="C15225" s="15" t="s">
        <v>800</v>
      </c>
      <c r="D15225" s="15" t="s">
        <v>28111</v>
      </c>
      <c r="E15225" s="15">
        <v>13.437063330000001</v>
      </c>
      <c r="F15225" s="42">
        <v>44662</v>
      </c>
    </row>
    <row r="15226" spans="1:6" x14ac:dyDescent="0.3">
      <c r="A15226" s="15" t="s">
        <v>34932</v>
      </c>
      <c r="B15226" s="15" t="s">
        <v>28112</v>
      </c>
      <c r="C15226" s="15" t="s">
        <v>800</v>
      </c>
      <c r="D15226" s="15" t="s">
        <v>28113</v>
      </c>
      <c r="E15226" s="15">
        <v>13.43717344</v>
      </c>
      <c r="F15226" s="42">
        <v>44662</v>
      </c>
    </row>
    <row r="15227" spans="1:6" x14ac:dyDescent="0.3">
      <c r="A15227" s="15" t="s">
        <v>34931</v>
      </c>
      <c r="B15227" s="15" t="s">
        <v>28114</v>
      </c>
      <c r="C15227" s="15" t="s">
        <v>800</v>
      </c>
      <c r="D15227" s="15" t="s">
        <v>28115</v>
      </c>
      <c r="E15227" s="15">
        <v>13.30003554</v>
      </c>
      <c r="F15227" s="42">
        <v>44662</v>
      </c>
    </row>
    <row r="15228" spans="1:6" x14ac:dyDescent="0.3">
      <c r="A15228" s="15" t="s">
        <v>34930</v>
      </c>
      <c r="B15228" s="15" t="s">
        <v>28116</v>
      </c>
      <c r="C15228" s="15" t="s">
        <v>800</v>
      </c>
      <c r="D15228" s="15" t="s">
        <v>28117</v>
      </c>
      <c r="E15228" s="15">
        <v>12.59072787</v>
      </c>
      <c r="F15228" s="42">
        <v>44508</v>
      </c>
    </row>
    <row r="15229" spans="1:6" x14ac:dyDescent="0.3">
      <c r="A15229" s="15" t="s">
        <v>34929</v>
      </c>
      <c r="B15229" s="15" t="s">
        <v>28118</v>
      </c>
      <c r="C15229" s="15" t="s">
        <v>800</v>
      </c>
      <c r="D15229" s="15" t="s">
        <v>28119</v>
      </c>
      <c r="E15229" s="15">
        <v>12.702981769999999</v>
      </c>
      <c r="F15229" s="42">
        <v>44508</v>
      </c>
    </row>
    <row r="15230" spans="1:6" x14ac:dyDescent="0.3">
      <c r="A15230" s="15" t="s">
        <v>34928</v>
      </c>
      <c r="B15230" s="15" t="s">
        <v>28120</v>
      </c>
      <c r="C15230" s="15" t="s">
        <v>800</v>
      </c>
      <c r="D15230" s="15" t="s">
        <v>28121</v>
      </c>
      <c r="E15230" s="15">
        <v>12.702957059999999</v>
      </c>
      <c r="F15230" s="42">
        <v>44508</v>
      </c>
    </row>
    <row r="15231" spans="1:6" x14ac:dyDescent="0.3">
      <c r="A15231" s="15" t="s">
        <v>34927</v>
      </c>
      <c r="B15231" s="15" t="s">
        <v>28122</v>
      </c>
      <c r="C15231" s="15" t="s">
        <v>800</v>
      </c>
      <c r="D15231" s="15" t="s">
        <v>28123</v>
      </c>
      <c r="E15231" s="15">
        <v>12.590734489999999</v>
      </c>
      <c r="F15231" s="42">
        <v>44508</v>
      </c>
    </row>
    <row r="15232" spans="1:6" x14ac:dyDescent="0.3">
      <c r="A15232" s="15" t="s">
        <v>34926</v>
      </c>
      <c r="B15232" s="15" t="s">
        <v>28124</v>
      </c>
      <c r="C15232" s="15" t="s">
        <v>800</v>
      </c>
      <c r="D15232" s="15" t="s">
        <v>28125</v>
      </c>
      <c r="E15232" s="15">
        <v>12.902733120000001</v>
      </c>
      <c r="F15232" s="42">
        <v>44522</v>
      </c>
    </row>
    <row r="15233" spans="1:6" x14ac:dyDescent="0.3">
      <c r="A15233" s="15" t="s">
        <v>34925</v>
      </c>
      <c r="B15233" s="15" t="s">
        <v>28126</v>
      </c>
      <c r="C15233" s="15" t="s">
        <v>800</v>
      </c>
      <c r="D15233" s="15" t="s">
        <v>28127</v>
      </c>
      <c r="E15233" s="15">
        <v>12.72832775</v>
      </c>
      <c r="F15233" s="42">
        <v>44522</v>
      </c>
    </row>
    <row r="15234" spans="1:6" x14ac:dyDescent="0.3">
      <c r="A15234" s="15" t="s">
        <v>34924</v>
      </c>
      <c r="B15234" s="15" t="s">
        <v>28128</v>
      </c>
      <c r="C15234" s="15" t="s">
        <v>800</v>
      </c>
      <c r="D15234" s="15" t="s">
        <v>28129</v>
      </c>
      <c r="E15234" s="15">
        <v>12.90274338</v>
      </c>
      <c r="F15234" s="42">
        <v>44522</v>
      </c>
    </row>
    <row r="15235" spans="1:6" x14ac:dyDescent="0.3">
      <c r="A15235" s="15" t="s">
        <v>34923</v>
      </c>
      <c r="B15235" s="15" t="s">
        <v>28130</v>
      </c>
      <c r="C15235" s="15" t="s">
        <v>800</v>
      </c>
      <c r="D15235" s="15" t="s">
        <v>28131</v>
      </c>
      <c r="E15235" s="15">
        <v>12.728330100000001</v>
      </c>
      <c r="F15235" s="42">
        <v>44522</v>
      </c>
    </row>
    <row r="15236" spans="1:6" x14ac:dyDescent="0.3">
      <c r="A15236" s="15" t="s">
        <v>34922</v>
      </c>
      <c r="B15236" s="15" t="s">
        <v>28132</v>
      </c>
      <c r="C15236" s="15" t="s">
        <v>800</v>
      </c>
      <c r="D15236" s="15" t="s">
        <v>28133</v>
      </c>
      <c r="E15236" s="15">
        <v>13.31228831</v>
      </c>
      <c r="F15236" s="42">
        <v>44679</v>
      </c>
    </row>
    <row r="15237" spans="1:6" x14ac:dyDescent="0.3">
      <c r="A15237" s="15" t="s">
        <v>34921</v>
      </c>
      <c r="B15237" s="15" t="s">
        <v>28134</v>
      </c>
      <c r="C15237" s="15" t="s">
        <v>800</v>
      </c>
      <c r="D15237" s="15" t="s">
        <v>28135</v>
      </c>
      <c r="E15237" s="15">
        <v>13.44935518</v>
      </c>
      <c r="F15237" s="42">
        <v>44679</v>
      </c>
    </row>
    <row r="15238" spans="1:6" x14ac:dyDescent="0.3">
      <c r="A15238" s="15" t="s">
        <v>34920</v>
      </c>
      <c r="B15238" s="15" t="s">
        <v>28136</v>
      </c>
      <c r="C15238" s="15" t="s">
        <v>800</v>
      </c>
      <c r="D15238" s="15" t="s">
        <v>28137</v>
      </c>
      <c r="E15238" s="15">
        <v>13.312289910000001</v>
      </c>
      <c r="F15238" s="42">
        <v>44679</v>
      </c>
    </row>
    <row r="15239" spans="1:6" x14ac:dyDescent="0.3">
      <c r="A15239" s="15" t="s">
        <v>34919</v>
      </c>
      <c r="B15239" s="15" t="s">
        <v>28138</v>
      </c>
      <c r="C15239" s="15" t="s">
        <v>800</v>
      </c>
      <c r="D15239" s="15" t="s">
        <v>28139</v>
      </c>
      <c r="E15239" s="15">
        <v>13.38646144</v>
      </c>
      <c r="F15239" s="42">
        <v>44685</v>
      </c>
    </row>
    <row r="15240" spans="1:6" x14ac:dyDescent="0.3">
      <c r="A15240" s="15" t="s">
        <v>34918</v>
      </c>
      <c r="B15240" s="15" t="s">
        <v>28140</v>
      </c>
      <c r="C15240" s="15" t="s">
        <v>800</v>
      </c>
      <c r="D15240" s="15" t="s">
        <v>28141</v>
      </c>
      <c r="E15240" s="15">
        <v>13.38586533</v>
      </c>
      <c r="F15240" s="42">
        <v>44685</v>
      </c>
    </row>
    <row r="15241" spans="1:6" x14ac:dyDescent="0.3">
      <c r="A15241" s="15" t="s">
        <v>34917</v>
      </c>
      <c r="B15241" s="15" t="s">
        <v>28142</v>
      </c>
      <c r="C15241" s="15" t="s">
        <v>800</v>
      </c>
      <c r="D15241" s="15" t="s">
        <v>28143</v>
      </c>
      <c r="E15241" s="15">
        <v>13.22926017</v>
      </c>
      <c r="F15241" s="42">
        <v>44685</v>
      </c>
    </row>
    <row r="15242" spans="1:6" x14ac:dyDescent="0.3">
      <c r="A15242" s="15" t="s">
        <v>34916</v>
      </c>
      <c r="B15242" s="15" t="s">
        <v>28144</v>
      </c>
      <c r="C15242" s="15" t="s">
        <v>800</v>
      </c>
      <c r="D15242" s="15" t="s">
        <v>28145</v>
      </c>
      <c r="E15242" s="15">
        <v>13.22925938</v>
      </c>
      <c r="F15242" s="42">
        <v>44685</v>
      </c>
    </row>
    <row r="15243" spans="1:6" x14ac:dyDescent="0.3">
      <c r="A15243" s="15" t="s">
        <v>34915</v>
      </c>
      <c r="B15243" s="15" t="s">
        <v>28146</v>
      </c>
      <c r="C15243" s="15" t="s">
        <v>800</v>
      </c>
      <c r="D15243" s="15" t="s">
        <v>28147</v>
      </c>
      <c r="E15243" s="15">
        <v>13.347621739999999</v>
      </c>
      <c r="F15243" s="42">
        <v>44713</v>
      </c>
    </row>
    <row r="15244" spans="1:6" x14ac:dyDescent="0.3">
      <c r="A15244" s="15" t="s">
        <v>34914</v>
      </c>
      <c r="B15244" s="15" t="s">
        <v>28148</v>
      </c>
      <c r="C15244" s="15" t="s">
        <v>800</v>
      </c>
      <c r="D15244" s="15" t="s">
        <v>28149</v>
      </c>
      <c r="E15244" s="15">
        <v>13.204243910000001</v>
      </c>
      <c r="F15244" s="42">
        <v>44713</v>
      </c>
    </row>
    <row r="15245" spans="1:6" x14ac:dyDescent="0.3">
      <c r="A15245" s="15" t="s">
        <v>34913</v>
      </c>
      <c r="B15245" s="15" t="s">
        <v>28150</v>
      </c>
      <c r="C15245" s="15" t="s">
        <v>800</v>
      </c>
      <c r="D15245" s="15" t="s">
        <v>28151</v>
      </c>
      <c r="E15245" s="15">
        <v>13.20424549</v>
      </c>
      <c r="F15245" s="42">
        <v>44713</v>
      </c>
    </row>
    <row r="15246" spans="1:6" x14ac:dyDescent="0.3">
      <c r="A15246" s="15" t="s">
        <v>34912</v>
      </c>
      <c r="B15246" s="15" t="s">
        <v>28152</v>
      </c>
      <c r="C15246" s="15" t="s">
        <v>800</v>
      </c>
      <c r="D15246" s="15" t="s">
        <v>28153</v>
      </c>
      <c r="E15246" s="15">
        <v>13.121148529999999</v>
      </c>
      <c r="F15246" s="42">
        <v>44691</v>
      </c>
    </row>
    <row r="15247" spans="1:6" x14ac:dyDescent="0.3">
      <c r="A15247" s="15" t="s">
        <v>34911</v>
      </c>
      <c r="B15247" s="15" t="s">
        <v>28154</v>
      </c>
      <c r="C15247" s="15" t="s">
        <v>800</v>
      </c>
      <c r="D15247" s="15" t="s">
        <v>28155</v>
      </c>
      <c r="E15247" s="15">
        <v>13.12116252</v>
      </c>
      <c r="F15247" s="42">
        <v>44691</v>
      </c>
    </row>
    <row r="15248" spans="1:6" x14ac:dyDescent="0.3">
      <c r="A15248" s="15" t="s">
        <v>34910</v>
      </c>
      <c r="B15248" s="15" t="s">
        <v>28156</v>
      </c>
      <c r="C15248" s="15" t="s">
        <v>800</v>
      </c>
      <c r="D15248" s="15" t="s">
        <v>28157</v>
      </c>
      <c r="E15248" s="15">
        <v>12.974863149999999</v>
      </c>
      <c r="F15248" s="42">
        <v>44691</v>
      </c>
    </row>
    <row r="15249" spans="1:6" x14ac:dyDescent="0.3">
      <c r="A15249" s="15" t="s">
        <v>34909</v>
      </c>
      <c r="B15249" s="15" t="s">
        <v>28158</v>
      </c>
      <c r="C15249" s="15" t="s">
        <v>800</v>
      </c>
      <c r="D15249" s="15" t="s">
        <v>28159</v>
      </c>
      <c r="E15249" s="15">
        <v>13.116815920000001</v>
      </c>
      <c r="F15249" s="42">
        <v>44698</v>
      </c>
    </row>
    <row r="15250" spans="1:6" x14ac:dyDescent="0.3">
      <c r="A15250" s="15" t="s">
        <v>34908</v>
      </c>
      <c r="B15250" s="15" t="s">
        <v>28160</v>
      </c>
      <c r="C15250" s="15" t="s">
        <v>800</v>
      </c>
      <c r="D15250" s="15" t="s">
        <v>28161</v>
      </c>
      <c r="E15250" s="15">
        <v>12.9815316</v>
      </c>
      <c r="F15250" s="42">
        <v>44698</v>
      </c>
    </row>
    <row r="15251" spans="1:6" x14ac:dyDescent="0.3">
      <c r="A15251" s="15" t="s">
        <v>34907</v>
      </c>
      <c r="B15251" s="15" t="s">
        <v>28162</v>
      </c>
      <c r="C15251" s="15" t="s">
        <v>800</v>
      </c>
      <c r="D15251" s="15" t="s">
        <v>28163</v>
      </c>
      <c r="E15251" s="15">
        <v>12.98157108</v>
      </c>
      <c r="F15251" s="42">
        <v>44698</v>
      </c>
    </row>
    <row r="15252" spans="1:6" x14ac:dyDescent="0.3">
      <c r="A15252" s="15" t="s">
        <v>34906</v>
      </c>
      <c r="B15252" s="15" t="s">
        <v>28164</v>
      </c>
      <c r="C15252" s="15" t="s">
        <v>800</v>
      </c>
      <c r="D15252" s="15" t="s">
        <v>28165</v>
      </c>
      <c r="E15252" s="15">
        <v>12.989022719999999</v>
      </c>
      <c r="F15252" s="42">
        <v>44700</v>
      </c>
    </row>
    <row r="15253" spans="1:6" x14ac:dyDescent="0.3">
      <c r="A15253" s="15" t="s">
        <v>34905</v>
      </c>
      <c r="B15253" s="15" t="s">
        <v>28166</v>
      </c>
      <c r="C15253" s="15" t="s">
        <v>800</v>
      </c>
      <c r="D15253" s="15" t="s">
        <v>28167</v>
      </c>
      <c r="E15253" s="15">
        <v>13.03361067</v>
      </c>
      <c r="F15253" s="42">
        <v>44700</v>
      </c>
    </row>
    <row r="15254" spans="1:6" x14ac:dyDescent="0.3">
      <c r="A15254" s="15" t="s">
        <v>34904</v>
      </c>
      <c r="B15254" s="15" t="s">
        <v>28168</v>
      </c>
      <c r="C15254" s="15" t="s">
        <v>800</v>
      </c>
      <c r="D15254" s="15" t="s">
        <v>28169</v>
      </c>
      <c r="E15254" s="15">
        <v>13.03392081</v>
      </c>
      <c r="F15254" s="42">
        <v>44700</v>
      </c>
    </row>
    <row r="15255" spans="1:6" x14ac:dyDescent="0.3">
      <c r="A15255" s="15" t="s">
        <v>34903</v>
      </c>
      <c r="B15255" s="15" t="s">
        <v>28170</v>
      </c>
      <c r="C15255" s="15" t="s">
        <v>800</v>
      </c>
      <c r="D15255" s="15" t="s">
        <v>28171</v>
      </c>
      <c r="E15255" s="15">
        <v>12.98900473</v>
      </c>
      <c r="F15255" s="42">
        <v>44700</v>
      </c>
    </row>
    <row r="15256" spans="1:6" x14ac:dyDescent="0.3">
      <c r="A15256" s="15" t="s">
        <v>34902</v>
      </c>
      <c r="B15256" s="15" t="s">
        <v>28172</v>
      </c>
      <c r="C15256" s="15" t="s">
        <v>800</v>
      </c>
      <c r="D15256" s="15" t="s">
        <v>28173</v>
      </c>
      <c r="E15256" s="15">
        <v>13.00183135</v>
      </c>
      <c r="F15256" s="42">
        <v>44698</v>
      </c>
    </row>
    <row r="15257" spans="1:6" x14ac:dyDescent="0.3">
      <c r="A15257" s="15" t="s">
        <v>34901</v>
      </c>
      <c r="B15257" s="15" t="s">
        <v>28174</v>
      </c>
      <c r="C15257" s="15" t="s">
        <v>800</v>
      </c>
      <c r="D15257" s="15" t="s">
        <v>28175</v>
      </c>
      <c r="E15257" s="15">
        <v>12.913082380000001</v>
      </c>
      <c r="F15257" s="42">
        <v>44698</v>
      </c>
    </row>
    <row r="15258" spans="1:6" x14ac:dyDescent="0.3">
      <c r="A15258" s="15" t="s">
        <v>34900</v>
      </c>
      <c r="B15258" s="15" t="s">
        <v>28176</v>
      </c>
      <c r="C15258" s="15" t="s">
        <v>800</v>
      </c>
      <c r="D15258" s="15" t="s">
        <v>28177</v>
      </c>
      <c r="E15258" s="15">
        <v>12.942481280000001</v>
      </c>
      <c r="F15258" s="42">
        <v>44705</v>
      </c>
    </row>
    <row r="15259" spans="1:6" x14ac:dyDescent="0.3">
      <c r="A15259" s="15" t="s">
        <v>34899</v>
      </c>
      <c r="B15259" s="15" t="s">
        <v>28178</v>
      </c>
      <c r="C15259" s="15" t="s">
        <v>800</v>
      </c>
      <c r="D15259" s="15" t="s">
        <v>28179</v>
      </c>
      <c r="E15259" s="15">
        <v>12.836133289999999</v>
      </c>
      <c r="F15259" s="42">
        <v>44705</v>
      </c>
    </row>
    <row r="15260" spans="1:6" x14ac:dyDescent="0.3">
      <c r="A15260" s="15" t="s">
        <v>34898</v>
      </c>
      <c r="B15260" s="15" t="s">
        <v>28180</v>
      </c>
      <c r="C15260" s="15" t="s">
        <v>800</v>
      </c>
      <c r="D15260" s="15" t="s">
        <v>28181</v>
      </c>
      <c r="E15260" s="15">
        <v>12.8361331</v>
      </c>
      <c r="F15260" s="42">
        <v>44705</v>
      </c>
    </row>
    <row r="15261" spans="1:6" x14ac:dyDescent="0.3">
      <c r="A15261" s="15" t="s">
        <v>34897</v>
      </c>
      <c r="B15261" s="15" t="s">
        <v>28182</v>
      </c>
      <c r="C15261" s="15" t="s">
        <v>800</v>
      </c>
      <c r="D15261" s="15" t="s">
        <v>28183</v>
      </c>
      <c r="E15261" s="15">
        <v>13.107599090000001</v>
      </c>
      <c r="F15261" s="42">
        <v>44715</v>
      </c>
    </row>
    <row r="15262" spans="1:6" x14ac:dyDescent="0.3">
      <c r="A15262" s="15" t="s">
        <v>34896</v>
      </c>
      <c r="B15262" s="15" t="s">
        <v>28184</v>
      </c>
      <c r="C15262" s="15" t="s">
        <v>800</v>
      </c>
      <c r="D15262" s="15" t="s">
        <v>28185</v>
      </c>
      <c r="E15262" s="15">
        <v>13.10760703</v>
      </c>
      <c r="F15262" s="42">
        <v>44715</v>
      </c>
    </row>
    <row r="15263" spans="1:6" x14ac:dyDescent="0.3">
      <c r="A15263" s="15" t="s">
        <v>34895</v>
      </c>
      <c r="B15263" s="15" t="s">
        <v>28186</v>
      </c>
      <c r="C15263" s="15" t="s">
        <v>800</v>
      </c>
      <c r="D15263" s="15" t="s">
        <v>28187</v>
      </c>
      <c r="E15263" s="15">
        <v>12.88506434</v>
      </c>
      <c r="F15263" s="42">
        <v>44715</v>
      </c>
    </row>
    <row r="15264" spans="1:6" x14ac:dyDescent="0.3">
      <c r="A15264" s="15" t="s">
        <v>34894</v>
      </c>
      <c r="B15264" s="15" t="s">
        <v>28188</v>
      </c>
      <c r="C15264" s="15" t="s">
        <v>800</v>
      </c>
      <c r="D15264" s="15" t="s">
        <v>28189</v>
      </c>
      <c r="E15264" s="15">
        <v>12.885064699999999</v>
      </c>
      <c r="F15264" s="42">
        <v>44715</v>
      </c>
    </row>
    <row r="15265" spans="1:6" x14ac:dyDescent="0.3">
      <c r="A15265" s="15" t="s">
        <v>34893</v>
      </c>
      <c r="B15265" s="15" t="s">
        <v>28190</v>
      </c>
      <c r="C15265" s="15" t="s">
        <v>800</v>
      </c>
      <c r="D15265" s="15" t="s">
        <v>28191</v>
      </c>
      <c r="E15265" s="15">
        <v>12.965256760000001</v>
      </c>
      <c r="F15265" s="42">
        <v>44742</v>
      </c>
    </row>
    <row r="15266" spans="1:6" x14ac:dyDescent="0.3">
      <c r="A15266" s="15" t="s">
        <v>34892</v>
      </c>
      <c r="B15266" s="15" t="s">
        <v>28192</v>
      </c>
      <c r="C15266" s="15" t="s">
        <v>800</v>
      </c>
      <c r="D15266" s="15" t="s">
        <v>28193</v>
      </c>
      <c r="E15266" s="15">
        <v>12.969282</v>
      </c>
      <c r="F15266" s="42">
        <v>44742</v>
      </c>
    </row>
    <row r="15267" spans="1:6" x14ac:dyDescent="0.3">
      <c r="A15267" s="15" t="s">
        <v>34891</v>
      </c>
      <c r="B15267" s="15" t="s">
        <v>28194</v>
      </c>
      <c r="C15267" s="15" t="s">
        <v>800</v>
      </c>
      <c r="D15267" s="15" t="s">
        <v>28195</v>
      </c>
      <c r="E15267" s="15">
        <v>12.87555804</v>
      </c>
      <c r="F15267" s="42">
        <v>44742</v>
      </c>
    </row>
    <row r="15268" spans="1:6" x14ac:dyDescent="0.3">
      <c r="A15268" s="15" t="s">
        <v>34890</v>
      </c>
      <c r="B15268" s="15" t="s">
        <v>28196</v>
      </c>
      <c r="C15268" s="15" t="s">
        <v>800</v>
      </c>
      <c r="D15268" s="15" t="s">
        <v>28197</v>
      </c>
      <c r="E15268" s="15">
        <v>12.875558</v>
      </c>
      <c r="F15268" s="42">
        <v>44742</v>
      </c>
    </row>
    <row r="15269" spans="1:6" x14ac:dyDescent="0.3">
      <c r="A15269" s="15" t="s">
        <v>34889</v>
      </c>
      <c r="B15269" s="15" t="s">
        <v>28198</v>
      </c>
      <c r="C15269" s="15" t="s">
        <v>800</v>
      </c>
      <c r="D15269" s="15" t="s">
        <v>28199</v>
      </c>
      <c r="E15269" s="15">
        <v>12.97860854</v>
      </c>
      <c r="F15269" s="42">
        <v>44760</v>
      </c>
    </row>
    <row r="15270" spans="1:6" x14ac:dyDescent="0.3">
      <c r="A15270" s="15" t="s">
        <v>34888</v>
      </c>
      <c r="B15270" s="15" t="s">
        <v>28200</v>
      </c>
      <c r="C15270" s="15" t="s">
        <v>800</v>
      </c>
      <c r="D15270" s="15" t="s">
        <v>28201</v>
      </c>
      <c r="E15270" s="15">
        <v>12.888817449999999</v>
      </c>
      <c r="F15270" s="42">
        <v>44760</v>
      </c>
    </row>
    <row r="15271" spans="1:6" x14ac:dyDescent="0.3">
      <c r="A15271" s="15" t="s">
        <v>34887</v>
      </c>
      <c r="B15271" s="15" t="s">
        <v>28202</v>
      </c>
      <c r="C15271" s="15" t="s">
        <v>800</v>
      </c>
      <c r="D15271" s="15" t="s">
        <v>28203</v>
      </c>
      <c r="E15271" s="15">
        <v>12.888807330000001</v>
      </c>
      <c r="F15271" s="42">
        <v>44760</v>
      </c>
    </row>
    <row r="15272" spans="1:6" x14ac:dyDescent="0.3">
      <c r="A15272" s="15" t="s">
        <v>34886</v>
      </c>
      <c r="B15272" s="15" t="s">
        <v>28204</v>
      </c>
      <c r="C15272" s="15" t="s">
        <v>800</v>
      </c>
      <c r="D15272" s="15" t="s">
        <v>28205</v>
      </c>
      <c r="E15272" s="15">
        <v>12.96057774</v>
      </c>
      <c r="F15272" s="42">
        <v>44768</v>
      </c>
    </row>
    <row r="15273" spans="1:6" x14ac:dyDescent="0.3">
      <c r="A15273" s="15" t="s">
        <v>34885</v>
      </c>
      <c r="B15273" s="15" t="s">
        <v>28206</v>
      </c>
      <c r="C15273" s="15" t="s">
        <v>800</v>
      </c>
      <c r="D15273" s="15" t="s">
        <v>28207</v>
      </c>
      <c r="E15273" s="15">
        <v>12.96058051</v>
      </c>
      <c r="F15273" s="42">
        <v>44768</v>
      </c>
    </row>
    <row r="15274" spans="1:6" x14ac:dyDescent="0.3">
      <c r="A15274" s="15" t="s">
        <v>34884</v>
      </c>
      <c r="B15274" s="15" t="s">
        <v>28208</v>
      </c>
      <c r="C15274" s="15" t="s">
        <v>800</v>
      </c>
      <c r="D15274" s="15" t="s">
        <v>28209</v>
      </c>
      <c r="E15274" s="15">
        <v>12.87105257</v>
      </c>
      <c r="F15274" s="42">
        <v>44768</v>
      </c>
    </row>
    <row r="15275" spans="1:6" x14ac:dyDescent="0.3">
      <c r="A15275" s="15" t="s">
        <v>34883</v>
      </c>
      <c r="B15275" s="15" t="s">
        <v>28210</v>
      </c>
      <c r="C15275" s="15" t="s">
        <v>800</v>
      </c>
      <c r="D15275" s="15" t="s">
        <v>28211</v>
      </c>
      <c r="E15275" s="15">
        <v>12.87104727</v>
      </c>
      <c r="F15275" s="42">
        <v>44768</v>
      </c>
    </row>
    <row r="15276" spans="1:6" x14ac:dyDescent="0.3">
      <c r="A15276" s="15" t="s">
        <v>34882</v>
      </c>
      <c r="B15276" s="15" t="s">
        <v>28212</v>
      </c>
      <c r="C15276" s="15" t="s">
        <v>800</v>
      </c>
      <c r="D15276" s="15" t="s">
        <v>28213</v>
      </c>
      <c r="E15276" s="15">
        <v>12.6819527</v>
      </c>
      <c r="F15276" s="42">
        <v>44728</v>
      </c>
    </row>
    <row r="15277" spans="1:6" x14ac:dyDescent="0.3">
      <c r="A15277" s="15" t="s">
        <v>34881</v>
      </c>
      <c r="B15277" s="15" t="s">
        <v>28214</v>
      </c>
      <c r="C15277" s="15" t="s">
        <v>800</v>
      </c>
      <c r="D15277" s="15" t="s">
        <v>28215</v>
      </c>
      <c r="E15277" s="15">
        <v>12.59863129</v>
      </c>
      <c r="F15277" s="42">
        <v>44728</v>
      </c>
    </row>
    <row r="15278" spans="1:6" x14ac:dyDescent="0.3">
      <c r="A15278" s="15" t="s">
        <v>34880</v>
      </c>
      <c r="B15278" s="15" t="s">
        <v>28216</v>
      </c>
      <c r="C15278" s="15" t="s">
        <v>800</v>
      </c>
      <c r="D15278" s="15" t="s">
        <v>28217</v>
      </c>
      <c r="E15278" s="15">
        <v>12.598550169999999</v>
      </c>
      <c r="F15278" s="42">
        <v>44728</v>
      </c>
    </row>
    <row r="15279" spans="1:6" x14ac:dyDescent="0.3">
      <c r="A15279" s="15" t="s">
        <v>34879</v>
      </c>
      <c r="B15279" s="15" t="s">
        <v>28218</v>
      </c>
      <c r="C15279" s="15" t="s">
        <v>800</v>
      </c>
      <c r="D15279" s="15" t="s">
        <v>28219</v>
      </c>
      <c r="E15279" s="15">
        <v>12.696548310000001</v>
      </c>
      <c r="F15279" s="42">
        <v>44733</v>
      </c>
    </row>
    <row r="15280" spans="1:6" x14ac:dyDescent="0.3">
      <c r="A15280" s="15" t="s">
        <v>34878</v>
      </c>
      <c r="B15280" s="15" t="s">
        <v>28220</v>
      </c>
      <c r="C15280" s="15" t="s">
        <v>800</v>
      </c>
      <c r="D15280" s="15" t="s">
        <v>28221</v>
      </c>
      <c r="E15280" s="15">
        <v>12.634401110000001</v>
      </c>
      <c r="F15280" s="42">
        <v>44733</v>
      </c>
    </row>
    <row r="15281" spans="1:6" x14ac:dyDescent="0.3">
      <c r="A15281" s="15" t="s">
        <v>34877</v>
      </c>
      <c r="B15281" s="15" t="s">
        <v>28222</v>
      </c>
      <c r="C15281" s="15" t="s">
        <v>800</v>
      </c>
      <c r="D15281" s="15" t="s">
        <v>28223</v>
      </c>
      <c r="E15281" s="15">
        <v>12.59107946</v>
      </c>
      <c r="F15281" s="42">
        <v>44735</v>
      </c>
    </row>
    <row r="15282" spans="1:6" x14ac:dyDescent="0.3">
      <c r="A15282" s="15" t="s">
        <v>34876</v>
      </c>
      <c r="B15282" s="15" t="s">
        <v>28224</v>
      </c>
      <c r="C15282" s="15" t="s">
        <v>800</v>
      </c>
      <c r="D15282" s="15" t="s">
        <v>28225</v>
      </c>
      <c r="E15282" s="15">
        <v>12.523226149999999</v>
      </c>
      <c r="F15282" s="42">
        <v>44735</v>
      </c>
    </row>
    <row r="15283" spans="1:6" x14ac:dyDescent="0.3">
      <c r="A15283" s="15" t="s">
        <v>34875</v>
      </c>
      <c r="B15283" s="15" t="s">
        <v>28226</v>
      </c>
      <c r="C15283" s="15" t="s">
        <v>800</v>
      </c>
      <c r="D15283" s="15" t="s">
        <v>28227</v>
      </c>
      <c r="E15283" s="15">
        <v>12.523230030000001</v>
      </c>
      <c r="F15283" s="42">
        <v>44735</v>
      </c>
    </row>
    <row r="15284" spans="1:6" x14ac:dyDescent="0.3">
      <c r="A15284" s="15" t="s">
        <v>34874</v>
      </c>
      <c r="B15284" s="15" t="s">
        <v>28228</v>
      </c>
      <c r="C15284" s="15" t="s">
        <v>800</v>
      </c>
      <c r="D15284" s="15" t="s">
        <v>28229</v>
      </c>
      <c r="E15284" s="15">
        <v>13.311500390000001</v>
      </c>
      <c r="F15284" s="42">
        <v>46156</v>
      </c>
    </row>
    <row r="15285" spans="1:6" x14ac:dyDescent="0.3">
      <c r="A15285" s="15" t="s">
        <v>34873</v>
      </c>
      <c r="B15285" s="15" t="s">
        <v>28230</v>
      </c>
      <c r="C15285" s="15" t="s">
        <v>800</v>
      </c>
      <c r="D15285" s="15" t="s">
        <v>28231</v>
      </c>
      <c r="E15285" s="15">
        <v>13.31144707</v>
      </c>
      <c r="F15285" s="42">
        <v>46156</v>
      </c>
    </row>
    <row r="15286" spans="1:6" x14ac:dyDescent="0.3">
      <c r="A15286" s="15" t="s">
        <v>34872</v>
      </c>
      <c r="B15286" s="15" t="s">
        <v>28232</v>
      </c>
      <c r="C15286" s="15" t="s">
        <v>800</v>
      </c>
      <c r="D15286" s="15" t="s">
        <v>28233</v>
      </c>
      <c r="E15286" s="15">
        <v>13.12301461</v>
      </c>
      <c r="F15286" s="42">
        <v>46156</v>
      </c>
    </row>
    <row r="15287" spans="1:6" x14ac:dyDescent="0.3">
      <c r="A15287" s="15" t="s">
        <v>34871</v>
      </c>
      <c r="B15287" s="15" t="s">
        <v>28234</v>
      </c>
      <c r="C15287" s="15" t="s">
        <v>800</v>
      </c>
      <c r="D15287" s="15" t="s">
        <v>28235</v>
      </c>
      <c r="E15287" s="15">
        <v>13.12301729</v>
      </c>
      <c r="F15287" s="42">
        <v>46156</v>
      </c>
    </row>
    <row r="15288" spans="1:6" x14ac:dyDescent="0.3">
      <c r="A15288" s="15" t="s">
        <v>34870</v>
      </c>
      <c r="B15288" s="15" t="s">
        <v>28236</v>
      </c>
      <c r="C15288" s="15" t="s">
        <v>800</v>
      </c>
      <c r="D15288" s="15" t="s">
        <v>28237</v>
      </c>
      <c r="E15288" s="15">
        <v>10.117100000000001</v>
      </c>
      <c r="F15288" s="42">
        <v>44750</v>
      </c>
    </row>
    <row r="15289" spans="1:6" x14ac:dyDescent="0.3">
      <c r="A15289" s="15" t="s">
        <v>34869</v>
      </c>
      <c r="B15289" s="15" t="s">
        <v>28238</v>
      </c>
      <c r="C15289" s="15" t="s">
        <v>800</v>
      </c>
      <c r="D15289" s="15" t="s">
        <v>28239</v>
      </c>
      <c r="E15289" s="15">
        <v>10.117000000000001</v>
      </c>
      <c r="F15289" s="42">
        <v>44750</v>
      </c>
    </row>
    <row r="15290" spans="1:6" x14ac:dyDescent="0.3">
      <c r="A15290" s="15" t="s">
        <v>34868</v>
      </c>
      <c r="B15290" s="15" t="s">
        <v>28240</v>
      </c>
      <c r="C15290" s="15" t="s">
        <v>800</v>
      </c>
      <c r="D15290" s="15" t="s">
        <v>28241</v>
      </c>
      <c r="E15290" s="15">
        <v>10.1214</v>
      </c>
      <c r="F15290" s="42">
        <v>44750</v>
      </c>
    </row>
    <row r="15291" spans="1:6" x14ac:dyDescent="0.3">
      <c r="A15291" s="15" t="s">
        <v>34867</v>
      </c>
      <c r="B15291" s="15" t="s">
        <v>28242</v>
      </c>
      <c r="C15291" s="15" t="s">
        <v>800</v>
      </c>
      <c r="D15291" s="15" t="s">
        <v>28243</v>
      </c>
      <c r="E15291" s="15">
        <v>10.1214</v>
      </c>
      <c r="F15291" s="42">
        <v>44750</v>
      </c>
    </row>
    <row r="15292" spans="1:6" x14ac:dyDescent="0.3">
      <c r="A15292" s="15" t="s">
        <v>34866</v>
      </c>
      <c r="B15292" s="15" t="s">
        <v>28244</v>
      </c>
      <c r="C15292" s="15" t="s">
        <v>800</v>
      </c>
      <c r="D15292" s="15" t="s">
        <v>28245</v>
      </c>
      <c r="E15292" s="15">
        <v>10.162635209999999</v>
      </c>
      <c r="F15292" s="42">
        <v>44894</v>
      </c>
    </row>
    <row r="15293" spans="1:6" x14ac:dyDescent="0.3">
      <c r="A15293" s="15" t="s">
        <v>34865</v>
      </c>
      <c r="B15293" s="15" t="s">
        <v>28246</v>
      </c>
      <c r="C15293" s="15" t="s">
        <v>800</v>
      </c>
      <c r="D15293" s="15" t="s">
        <v>28247</v>
      </c>
      <c r="E15293" s="15">
        <v>10.16266929</v>
      </c>
      <c r="F15293" s="42">
        <v>44894</v>
      </c>
    </row>
    <row r="15294" spans="1:6" x14ac:dyDescent="0.3">
      <c r="A15294" s="15" t="s">
        <v>34864</v>
      </c>
      <c r="B15294" s="15" t="s">
        <v>28248</v>
      </c>
      <c r="C15294" s="15" t="s">
        <v>800</v>
      </c>
      <c r="D15294" s="15" t="s">
        <v>28249</v>
      </c>
      <c r="E15294" s="15">
        <v>10.158542880000001</v>
      </c>
      <c r="F15294" s="42">
        <v>44894</v>
      </c>
    </row>
    <row r="15295" spans="1:6" x14ac:dyDescent="0.3">
      <c r="A15295" s="15" t="s">
        <v>34863</v>
      </c>
      <c r="B15295" s="15" t="s">
        <v>28250</v>
      </c>
      <c r="C15295" s="15" t="s">
        <v>800</v>
      </c>
      <c r="D15295" s="15" t="s">
        <v>28251</v>
      </c>
      <c r="E15295" s="15">
        <v>10.15854161</v>
      </c>
      <c r="F15295" s="42">
        <v>44894</v>
      </c>
    </row>
    <row r="15296" spans="1:6" x14ac:dyDescent="0.3">
      <c r="A15296" s="15" t="s">
        <v>34862</v>
      </c>
      <c r="B15296" s="15" t="s">
        <v>28252</v>
      </c>
      <c r="C15296" s="15" t="s">
        <v>800</v>
      </c>
      <c r="D15296" s="15" t="s">
        <v>28253</v>
      </c>
      <c r="E15296" s="15">
        <v>10.305711649999999</v>
      </c>
      <c r="F15296" s="42">
        <v>45005</v>
      </c>
    </row>
    <row r="15297" spans="1:6" x14ac:dyDescent="0.3">
      <c r="A15297" s="15" t="s">
        <v>34861</v>
      </c>
      <c r="B15297" s="15" t="s">
        <v>28254</v>
      </c>
      <c r="C15297" s="15" t="s">
        <v>800</v>
      </c>
      <c r="D15297" s="15" t="s">
        <v>28255</v>
      </c>
      <c r="E15297" s="15">
        <v>10.30571469</v>
      </c>
      <c r="F15297" s="42">
        <v>45005</v>
      </c>
    </row>
    <row r="15298" spans="1:6" x14ac:dyDescent="0.3">
      <c r="A15298" s="15" t="s">
        <v>34860</v>
      </c>
      <c r="B15298" s="15" t="s">
        <v>28256</v>
      </c>
      <c r="C15298" s="15" t="s">
        <v>800</v>
      </c>
      <c r="D15298" s="15" t="s">
        <v>28257</v>
      </c>
      <c r="E15298" s="15">
        <v>10.29459473</v>
      </c>
      <c r="F15298" s="42">
        <v>45005</v>
      </c>
    </row>
    <row r="15299" spans="1:6" x14ac:dyDescent="0.3">
      <c r="A15299" s="15" t="s">
        <v>34859</v>
      </c>
      <c r="B15299" s="15" t="s">
        <v>28258</v>
      </c>
      <c r="C15299" s="15" t="s">
        <v>800</v>
      </c>
      <c r="D15299" s="15" t="s">
        <v>28259</v>
      </c>
      <c r="E15299" s="15">
        <v>10.294566379999999</v>
      </c>
      <c r="F15299" s="42">
        <v>45005</v>
      </c>
    </row>
    <row r="15300" spans="1:6" x14ac:dyDescent="0.3">
      <c r="A15300" s="15" t="s">
        <v>34858</v>
      </c>
      <c r="B15300" s="15" t="s">
        <v>28260</v>
      </c>
      <c r="C15300" s="15" t="s">
        <v>800</v>
      </c>
      <c r="D15300" s="15" t="s">
        <v>28261</v>
      </c>
      <c r="E15300" s="15">
        <v>10.21490534</v>
      </c>
      <c r="F15300" s="42">
        <v>44998</v>
      </c>
    </row>
    <row r="15301" spans="1:6" x14ac:dyDescent="0.3">
      <c r="A15301" s="15" t="s">
        <v>34857</v>
      </c>
      <c r="B15301" s="15" t="s">
        <v>28262</v>
      </c>
      <c r="C15301" s="15" t="s">
        <v>800</v>
      </c>
      <c r="D15301" s="15" t="s">
        <v>28263</v>
      </c>
      <c r="E15301" s="15">
        <v>10.210330089999999</v>
      </c>
      <c r="F15301" s="42">
        <v>44998</v>
      </c>
    </row>
    <row r="15302" spans="1:6" x14ac:dyDescent="0.3">
      <c r="A15302" s="15" t="s">
        <v>34856</v>
      </c>
      <c r="B15302" s="15" t="s">
        <v>28264</v>
      </c>
      <c r="C15302" s="15" t="s">
        <v>800</v>
      </c>
      <c r="D15302" s="15" t="s">
        <v>28265</v>
      </c>
      <c r="E15302" s="15">
        <v>10.210263510000001</v>
      </c>
      <c r="F15302" s="42">
        <v>44998</v>
      </c>
    </row>
    <row r="15303" spans="1:6" x14ac:dyDescent="0.3">
      <c r="A15303" s="15" t="s">
        <v>34855</v>
      </c>
      <c r="B15303" s="15" t="s">
        <v>28266</v>
      </c>
      <c r="C15303" s="15" t="s">
        <v>800</v>
      </c>
      <c r="D15303" s="15" t="s">
        <v>28267</v>
      </c>
      <c r="E15303" s="15">
        <v>12.58071548</v>
      </c>
      <c r="F15303" s="42">
        <v>46127</v>
      </c>
    </row>
    <row r="15304" spans="1:6" x14ac:dyDescent="0.3">
      <c r="A15304" s="15" t="s">
        <v>34854</v>
      </c>
      <c r="B15304" s="15" t="s">
        <v>28268</v>
      </c>
      <c r="C15304" s="15" t="s">
        <v>800</v>
      </c>
      <c r="D15304" s="15" t="s">
        <v>28269</v>
      </c>
      <c r="E15304" s="15">
        <v>12.580899710000001</v>
      </c>
      <c r="F15304" s="42">
        <v>46127</v>
      </c>
    </row>
    <row r="15305" spans="1:6" x14ac:dyDescent="0.3">
      <c r="A15305" s="15" t="s">
        <v>34853</v>
      </c>
      <c r="B15305" s="15" t="s">
        <v>28270</v>
      </c>
      <c r="C15305" s="15" t="s">
        <v>800</v>
      </c>
      <c r="D15305" s="15" t="s">
        <v>28271</v>
      </c>
      <c r="E15305" s="15">
        <v>12.5386202</v>
      </c>
      <c r="F15305" s="42">
        <v>46127</v>
      </c>
    </row>
    <row r="15306" spans="1:6" x14ac:dyDescent="0.3">
      <c r="A15306" s="15" t="s">
        <v>34852</v>
      </c>
      <c r="B15306" s="15" t="s">
        <v>28272</v>
      </c>
      <c r="C15306" s="15" t="s">
        <v>800</v>
      </c>
      <c r="D15306" s="15" t="s">
        <v>28273</v>
      </c>
      <c r="E15306" s="15">
        <v>12.53905432</v>
      </c>
      <c r="F15306" s="42">
        <v>46127</v>
      </c>
    </row>
    <row r="15307" spans="1:6" x14ac:dyDescent="0.3">
      <c r="A15307" s="15" t="s">
        <v>34851</v>
      </c>
      <c r="B15307" s="15" t="s">
        <v>28274</v>
      </c>
      <c r="C15307" s="15" t="s">
        <v>800</v>
      </c>
      <c r="D15307" s="15" t="s">
        <v>28275</v>
      </c>
      <c r="E15307" s="15">
        <v>10.17723913</v>
      </c>
      <c r="F15307" s="42">
        <v>45008</v>
      </c>
    </row>
    <row r="15308" spans="1:6" x14ac:dyDescent="0.3">
      <c r="A15308" s="15" t="s">
        <v>34850</v>
      </c>
      <c r="B15308" s="15" t="s">
        <v>28276</v>
      </c>
      <c r="C15308" s="15" t="s">
        <v>800</v>
      </c>
      <c r="D15308" s="15" t="s">
        <v>28277</v>
      </c>
      <c r="E15308" s="15">
        <v>10.17720868</v>
      </c>
      <c r="F15308" s="42">
        <v>45008</v>
      </c>
    </row>
    <row r="15309" spans="1:6" x14ac:dyDescent="0.3">
      <c r="A15309" s="15" t="s">
        <v>34849</v>
      </c>
      <c r="B15309" s="15" t="s">
        <v>28278</v>
      </c>
      <c r="C15309" s="15" t="s">
        <v>800</v>
      </c>
      <c r="D15309" s="15" t="s">
        <v>28279</v>
      </c>
      <c r="E15309" s="15">
        <v>10.17457357</v>
      </c>
      <c r="F15309" s="42">
        <v>45008</v>
      </c>
    </row>
    <row r="15310" spans="1:6" x14ac:dyDescent="0.3">
      <c r="A15310" s="15" t="s">
        <v>34848</v>
      </c>
      <c r="B15310" s="15" t="s">
        <v>28280</v>
      </c>
      <c r="C15310" s="15" t="s">
        <v>800</v>
      </c>
      <c r="D15310" s="15" t="s">
        <v>28281</v>
      </c>
      <c r="E15310" s="15">
        <v>10.17457703</v>
      </c>
      <c r="F15310" s="42">
        <v>45008</v>
      </c>
    </row>
    <row r="15311" spans="1:6" x14ac:dyDescent="0.3">
      <c r="A15311" s="15" t="s">
        <v>34847</v>
      </c>
      <c r="B15311" s="15" t="s">
        <v>28282</v>
      </c>
      <c r="C15311" s="15" t="s">
        <v>800</v>
      </c>
      <c r="D15311" s="15" t="s">
        <v>28283</v>
      </c>
      <c r="E15311" s="15">
        <v>10.38038738</v>
      </c>
      <c r="F15311" s="42">
        <v>45110</v>
      </c>
    </row>
    <row r="15312" spans="1:6" x14ac:dyDescent="0.3">
      <c r="A15312" s="15" t="s">
        <v>34846</v>
      </c>
      <c r="B15312" s="15" t="s">
        <v>28284</v>
      </c>
      <c r="C15312" s="15" t="s">
        <v>800</v>
      </c>
      <c r="D15312" s="15" t="s">
        <v>28285</v>
      </c>
      <c r="E15312" s="15">
        <v>10.381677079999999</v>
      </c>
      <c r="F15312" s="42">
        <v>45110</v>
      </c>
    </row>
    <row r="15313" spans="1:6" x14ac:dyDescent="0.3">
      <c r="A15313" s="15" t="s">
        <v>34845</v>
      </c>
      <c r="B15313" s="15" t="s">
        <v>28286</v>
      </c>
      <c r="C15313" s="15" t="s">
        <v>800</v>
      </c>
      <c r="D15313" s="15" t="s">
        <v>28287</v>
      </c>
      <c r="E15313" s="15">
        <v>10.372380079999999</v>
      </c>
      <c r="F15313" s="42">
        <v>45110</v>
      </c>
    </row>
    <row r="15314" spans="1:6" x14ac:dyDescent="0.3">
      <c r="A15314" s="15" t="s">
        <v>34844</v>
      </c>
      <c r="B15314" s="15" t="s">
        <v>28288</v>
      </c>
      <c r="C15314" s="15" t="s">
        <v>800</v>
      </c>
      <c r="D15314" s="15" t="s">
        <v>28289</v>
      </c>
      <c r="E15314" s="15">
        <v>10.372395819999999</v>
      </c>
      <c r="F15314" s="42">
        <v>45110</v>
      </c>
    </row>
    <row r="15315" spans="1:6" x14ac:dyDescent="0.3">
      <c r="A15315" s="15" t="s">
        <v>34843</v>
      </c>
      <c r="B15315" s="15" t="s">
        <v>28290</v>
      </c>
      <c r="C15315" s="15" t="s">
        <v>800</v>
      </c>
      <c r="D15315" s="15" t="s">
        <v>28291</v>
      </c>
      <c r="E15315" s="15">
        <v>13.2508</v>
      </c>
      <c r="F15315" s="42">
        <v>46198</v>
      </c>
    </row>
    <row r="15316" spans="1:6" x14ac:dyDescent="0.3">
      <c r="A15316" s="15" t="s">
        <v>34842</v>
      </c>
      <c r="B15316" s="15" t="s">
        <v>28292</v>
      </c>
      <c r="C15316" s="15" t="s">
        <v>800</v>
      </c>
      <c r="D15316" s="15" t="s">
        <v>28293</v>
      </c>
      <c r="E15316" s="15">
        <v>13.249599999999999</v>
      </c>
      <c r="F15316" s="42">
        <v>46198</v>
      </c>
    </row>
    <row r="15317" spans="1:6" x14ac:dyDescent="0.3">
      <c r="A15317" s="15" t="s">
        <v>34841</v>
      </c>
      <c r="B15317" s="15" t="s">
        <v>28294</v>
      </c>
      <c r="C15317" s="15" t="s">
        <v>800</v>
      </c>
      <c r="D15317" s="15" t="s">
        <v>28295</v>
      </c>
      <c r="E15317" s="15">
        <v>13.235799999999999</v>
      </c>
      <c r="F15317" s="42">
        <v>46198</v>
      </c>
    </row>
    <row r="15318" spans="1:6" x14ac:dyDescent="0.3">
      <c r="A15318" s="15" t="s">
        <v>34840</v>
      </c>
      <c r="B15318" s="15" t="s">
        <v>28296</v>
      </c>
      <c r="C15318" s="15" t="s">
        <v>800</v>
      </c>
      <c r="D15318" s="15" t="s">
        <v>28297</v>
      </c>
      <c r="E15318" s="15">
        <v>13.235900000000001</v>
      </c>
      <c r="F15318" s="42">
        <v>46198</v>
      </c>
    </row>
    <row r="15319" spans="1:6" x14ac:dyDescent="0.3">
      <c r="A15319" s="15" t="s">
        <v>34839</v>
      </c>
      <c r="B15319" s="15" t="s">
        <v>28298</v>
      </c>
      <c r="C15319" s="15" t="s">
        <v>800</v>
      </c>
      <c r="D15319" s="15" t="s">
        <v>28299</v>
      </c>
      <c r="E15319" s="15">
        <v>12.530035939999999</v>
      </c>
      <c r="F15319" s="42">
        <v>46146</v>
      </c>
    </row>
    <row r="15320" spans="1:6" x14ac:dyDescent="0.3">
      <c r="A15320" s="15" t="s">
        <v>34838</v>
      </c>
      <c r="B15320" s="15" t="s">
        <v>28300</v>
      </c>
      <c r="C15320" s="15" t="s">
        <v>800</v>
      </c>
      <c r="D15320" s="15" t="s">
        <v>28301</v>
      </c>
      <c r="E15320" s="15">
        <v>12.53000915</v>
      </c>
      <c r="F15320" s="42">
        <v>46146</v>
      </c>
    </row>
    <row r="15321" spans="1:6" x14ac:dyDescent="0.3">
      <c r="A15321" s="15" t="s">
        <v>34837</v>
      </c>
      <c r="B15321" s="15" t="s">
        <v>28302</v>
      </c>
      <c r="C15321" s="15" t="s">
        <v>800</v>
      </c>
      <c r="D15321" s="15" t="s">
        <v>28303</v>
      </c>
      <c r="E15321" s="15">
        <v>12.468364530000001</v>
      </c>
      <c r="F15321" s="42">
        <v>46146</v>
      </c>
    </row>
    <row r="15322" spans="1:6" x14ac:dyDescent="0.3">
      <c r="A15322" s="15" t="s">
        <v>34836</v>
      </c>
      <c r="B15322" s="15" t="s">
        <v>28304</v>
      </c>
      <c r="C15322" s="15" t="s">
        <v>800</v>
      </c>
      <c r="D15322" s="15" t="s">
        <v>28305</v>
      </c>
      <c r="E15322" s="15">
        <v>12.468362859999999</v>
      </c>
      <c r="F15322" s="42">
        <v>46146</v>
      </c>
    </row>
    <row r="15323" spans="1:6" x14ac:dyDescent="0.3">
      <c r="A15323" s="15" t="s">
        <v>34835</v>
      </c>
      <c r="B15323" s="15" t="s">
        <v>28306</v>
      </c>
      <c r="C15323" s="15" t="s">
        <v>800</v>
      </c>
      <c r="D15323" s="15" t="s">
        <v>28307</v>
      </c>
      <c r="E15323" s="15">
        <v>10.18230576</v>
      </c>
      <c r="F15323" s="42">
        <v>45041</v>
      </c>
    </row>
    <row r="15324" spans="1:6" x14ac:dyDescent="0.3">
      <c r="A15324" s="15" t="s">
        <v>34834</v>
      </c>
      <c r="B15324" s="15" t="s">
        <v>28308</v>
      </c>
      <c r="C15324" s="15" t="s">
        <v>800</v>
      </c>
      <c r="D15324" s="15" t="s">
        <v>28309</v>
      </c>
      <c r="E15324" s="15">
        <v>10.182969269999999</v>
      </c>
      <c r="F15324" s="42">
        <v>45041</v>
      </c>
    </row>
    <row r="15325" spans="1:6" x14ac:dyDescent="0.3">
      <c r="A15325" s="15" t="s">
        <v>34833</v>
      </c>
      <c r="B15325" s="15" t="s">
        <v>28310</v>
      </c>
      <c r="C15325" s="15" t="s">
        <v>800</v>
      </c>
      <c r="D15325" s="15" t="s">
        <v>28311</v>
      </c>
      <c r="E15325" s="15">
        <v>10.17967887</v>
      </c>
      <c r="F15325" s="42">
        <v>45041</v>
      </c>
    </row>
    <row r="15326" spans="1:6" x14ac:dyDescent="0.3">
      <c r="A15326" s="15" t="s">
        <v>34832</v>
      </c>
      <c r="B15326" s="15" t="s">
        <v>28312</v>
      </c>
      <c r="C15326" s="15" t="s">
        <v>800</v>
      </c>
      <c r="D15326" s="15" t="s">
        <v>28313</v>
      </c>
      <c r="E15326" s="15">
        <v>10.179619779999999</v>
      </c>
      <c r="F15326" s="42">
        <v>45041</v>
      </c>
    </row>
    <row r="15327" spans="1:6" x14ac:dyDescent="0.3">
      <c r="A15327" s="15" t="s">
        <v>34831</v>
      </c>
      <c r="B15327" s="15" t="s">
        <v>28314</v>
      </c>
      <c r="C15327" s="15" t="s">
        <v>800</v>
      </c>
      <c r="D15327" s="15" t="s">
        <v>28315</v>
      </c>
      <c r="E15327" s="15">
        <v>10.19244183</v>
      </c>
      <c r="F15327" s="42">
        <v>45077</v>
      </c>
    </row>
    <row r="15328" spans="1:6" x14ac:dyDescent="0.3">
      <c r="A15328" s="15" t="s">
        <v>34830</v>
      </c>
      <c r="B15328" s="15" t="s">
        <v>28316</v>
      </c>
      <c r="C15328" s="15" t="s">
        <v>800</v>
      </c>
      <c r="D15328" s="15" t="s">
        <v>28317</v>
      </c>
      <c r="E15328" s="15">
        <v>10.19244228</v>
      </c>
      <c r="F15328" s="42">
        <v>45077</v>
      </c>
    </row>
    <row r="15329" spans="1:6" x14ac:dyDescent="0.3">
      <c r="A15329" s="15" t="s">
        <v>34829</v>
      </c>
      <c r="B15329" s="15" t="s">
        <v>28318</v>
      </c>
      <c r="C15329" s="15" t="s">
        <v>800</v>
      </c>
      <c r="D15329" s="15" t="s">
        <v>28319</v>
      </c>
      <c r="E15329" s="15">
        <v>10.188637310000001</v>
      </c>
      <c r="F15329" s="42">
        <v>45077</v>
      </c>
    </row>
    <row r="15330" spans="1:6" x14ac:dyDescent="0.3">
      <c r="A15330" s="15" t="s">
        <v>34828</v>
      </c>
      <c r="B15330" s="15" t="s">
        <v>28320</v>
      </c>
      <c r="C15330" s="15" t="s">
        <v>800</v>
      </c>
      <c r="D15330" s="15" t="s">
        <v>28321</v>
      </c>
      <c r="E15330" s="15">
        <v>10.18863674</v>
      </c>
      <c r="F15330" s="42">
        <v>45077</v>
      </c>
    </row>
    <row r="15331" spans="1:6" x14ac:dyDescent="0.3">
      <c r="A15331" s="15" t="s">
        <v>34827</v>
      </c>
      <c r="B15331" s="15" t="s">
        <v>28322</v>
      </c>
      <c r="C15331" s="15" t="s">
        <v>800</v>
      </c>
      <c r="D15331" s="15" t="s">
        <v>28323</v>
      </c>
      <c r="E15331" s="15">
        <v>12.666735149999999</v>
      </c>
      <c r="F15331" s="42">
        <v>46139</v>
      </c>
    </row>
    <row r="15332" spans="1:6" x14ac:dyDescent="0.3">
      <c r="A15332" s="15" t="s">
        <v>34826</v>
      </c>
      <c r="B15332" s="15" t="s">
        <v>28324</v>
      </c>
      <c r="C15332" s="15" t="s">
        <v>800</v>
      </c>
      <c r="D15332" s="15" t="s">
        <v>28325</v>
      </c>
      <c r="E15332" s="15">
        <v>12.665573739999999</v>
      </c>
      <c r="F15332" s="42">
        <v>46139</v>
      </c>
    </row>
    <row r="15333" spans="1:6" x14ac:dyDescent="0.3">
      <c r="A15333" s="15" t="s">
        <v>34825</v>
      </c>
      <c r="B15333" s="15" t="s">
        <v>28326</v>
      </c>
      <c r="C15333" s="15" t="s">
        <v>800</v>
      </c>
      <c r="D15333" s="15" t="s">
        <v>28327</v>
      </c>
      <c r="E15333" s="15">
        <v>12.542919769999999</v>
      </c>
      <c r="F15333" s="42">
        <v>46139</v>
      </c>
    </row>
    <row r="15334" spans="1:6" x14ac:dyDescent="0.3">
      <c r="A15334" s="15" t="s">
        <v>34824</v>
      </c>
      <c r="B15334" s="15" t="s">
        <v>28328</v>
      </c>
      <c r="C15334" s="15" t="s">
        <v>800</v>
      </c>
      <c r="D15334" s="15" t="s">
        <v>28329</v>
      </c>
      <c r="E15334" s="15">
        <v>12.542921079999999</v>
      </c>
      <c r="F15334" s="42">
        <v>46139</v>
      </c>
    </row>
    <row r="15335" spans="1:6" x14ac:dyDescent="0.3">
      <c r="A15335" s="15" t="s">
        <v>34823</v>
      </c>
      <c r="B15335" s="15" t="s">
        <v>28330</v>
      </c>
      <c r="C15335" s="15" t="s">
        <v>800</v>
      </c>
      <c r="D15335" s="15" t="s">
        <v>28331</v>
      </c>
      <c r="E15335" s="15">
        <v>10.179859240000001</v>
      </c>
      <c r="F15335" s="42">
        <v>45099</v>
      </c>
    </row>
    <row r="15336" spans="1:6" x14ac:dyDescent="0.3">
      <c r="A15336" s="15" t="s">
        <v>34822</v>
      </c>
      <c r="B15336" s="15" t="s">
        <v>28332</v>
      </c>
      <c r="C15336" s="15" t="s">
        <v>800</v>
      </c>
      <c r="D15336" s="15" t="s">
        <v>28333</v>
      </c>
      <c r="E15336" s="15">
        <v>10.177230460000001</v>
      </c>
      <c r="F15336" s="42">
        <v>45099</v>
      </c>
    </row>
    <row r="15337" spans="1:6" x14ac:dyDescent="0.3">
      <c r="A15337" s="15" t="s">
        <v>34821</v>
      </c>
      <c r="B15337" s="15" t="s">
        <v>28334</v>
      </c>
      <c r="C15337" s="15" t="s">
        <v>800</v>
      </c>
      <c r="D15337" s="15" t="s">
        <v>28335</v>
      </c>
      <c r="E15337" s="15">
        <v>10.177245109999999</v>
      </c>
      <c r="F15337" s="42">
        <v>45099</v>
      </c>
    </row>
    <row r="15338" spans="1:6" x14ac:dyDescent="0.3">
      <c r="A15338" s="15" t="s">
        <v>34820</v>
      </c>
      <c r="B15338" s="15" t="s">
        <v>28336</v>
      </c>
      <c r="C15338" s="15" t="s">
        <v>800</v>
      </c>
      <c r="D15338" s="15" t="s">
        <v>28337</v>
      </c>
      <c r="E15338" s="15">
        <v>12.39172215</v>
      </c>
      <c r="F15338" s="42">
        <v>46146</v>
      </c>
    </row>
    <row r="15339" spans="1:6" x14ac:dyDescent="0.3">
      <c r="A15339" s="15" t="s">
        <v>34819</v>
      </c>
      <c r="B15339" s="15" t="s">
        <v>28338</v>
      </c>
      <c r="C15339" s="15" t="s">
        <v>800</v>
      </c>
      <c r="D15339" s="15" t="s">
        <v>28339</v>
      </c>
      <c r="E15339" s="15">
        <v>12.294848050000001</v>
      </c>
      <c r="F15339" s="42">
        <v>46146</v>
      </c>
    </row>
    <row r="15340" spans="1:6" x14ac:dyDescent="0.3">
      <c r="A15340" s="15" t="s">
        <v>34818</v>
      </c>
      <c r="B15340" s="15" t="s">
        <v>28340</v>
      </c>
      <c r="C15340" s="15" t="s">
        <v>800</v>
      </c>
      <c r="D15340" s="15" t="s">
        <v>28341</v>
      </c>
      <c r="E15340" s="15">
        <v>12.294440720000001</v>
      </c>
      <c r="F15340" s="42">
        <v>46146</v>
      </c>
    </row>
    <row r="15341" spans="1:6" x14ac:dyDescent="0.3">
      <c r="A15341" s="15" t="s">
        <v>34817</v>
      </c>
      <c r="B15341" s="15" t="s">
        <v>28342</v>
      </c>
      <c r="C15341" s="15" t="s">
        <v>800</v>
      </c>
      <c r="D15341" s="15" t="s">
        <v>28343</v>
      </c>
      <c r="E15341" s="15">
        <v>10.2674597</v>
      </c>
      <c r="F15341" s="42">
        <v>45183</v>
      </c>
    </row>
    <row r="15342" spans="1:6" x14ac:dyDescent="0.3">
      <c r="A15342" s="15" t="s">
        <v>34816</v>
      </c>
      <c r="B15342" s="15" t="s">
        <v>28344</v>
      </c>
      <c r="C15342" s="15" t="s">
        <v>800</v>
      </c>
      <c r="D15342" s="15" t="s">
        <v>28345</v>
      </c>
      <c r="E15342" s="15">
        <v>10.26741517</v>
      </c>
      <c r="F15342" s="42">
        <v>45183</v>
      </c>
    </row>
    <row r="15343" spans="1:6" x14ac:dyDescent="0.3">
      <c r="A15343" s="15" t="s">
        <v>34815</v>
      </c>
      <c r="B15343" s="15" t="s">
        <v>28346</v>
      </c>
      <c r="C15343" s="15" t="s">
        <v>800</v>
      </c>
      <c r="D15343" s="15" t="s">
        <v>28347</v>
      </c>
      <c r="E15343" s="15">
        <v>10.263591910000001</v>
      </c>
      <c r="F15343" s="42">
        <v>45183</v>
      </c>
    </row>
    <row r="15344" spans="1:6" x14ac:dyDescent="0.3">
      <c r="A15344" s="15" t="s">
        <v>34814</v>
      </c>
      <c r="B15344" s="15" t="s">
        <v>28348</v>
      </c>
      <c r="C15344" s="15" t="s">
        <v>800</v>
      </c>
      <c r="D15344" s="15" t="s">
        <v>28349</v>
      </c>
      <c r="E15344" s="15">
        <v>10.26359162</v>
      </c>
      <c r="F15344" s="42">
        <v>45183</v>
      </c>
    </row>
    <row r="15345" spans="1:6" x14ac:dyDescent="0.3">
      <c r="A15345" s="15" t="s">
        <v>34813</v>
      </c>
      <c r="B15345" s="15" t="s">
        <v>28350</v>
      </c>
      <c r="C15345" s="15" t="s">
        <v>800</v>
      </c>
      <c r="D15345" s="15" t="s">
        <v>28351</v>
      </c>
      <c r="E15345" s="15">
        <v>10.184511280000001</v>
      </c>
      <c r="F15345" s="42">
        <v>45323</v>
      </c>
    </row>
    <row r="15346" spans="1:6" x14ac:dyDescent="0.3">
      <c r="A15346" s="15" t="s">
        <v>34812</v>
      </c>
      <c r="B15346" s="15" t="s">
        <v>28352</v>
      </c>
      <c r="C15346" s="15" t="s">
        <v>800</v>
      </c>
      <c r="D15346" s="15" t="s">
        <v>28353</v>
      </c>
      <c r="E15346" s="15">
        <v>10.18897602</v>
      </c>
      <c r="F15346" s="42">
        <v>45323</v>
      </c>
    </row>
    <row r="15347" spans="1:6" x14ac:dyDescent="0.3">
      <c r="A15347" s="15" t="s">
        <v>34811</v>
      </c>
      <c r="B15347" s="15" t="s">
        <v>28354</v>
      </c>
      <c r="C15347" s="15" t="s">
        <v>800</v>
      </c>
      <c r="D15347" s="15" t="s">
        <v>28355</v>
      </c>
      <c r="E15347" s="15">
        <v>10.1806597</v>
      </c>
      <c r="F15347" s="42">
        <v>45323</v>
      </c>
    </row>
    <row r="15348" spans="1:6" x14ac:dyDescent="0.3">
      <c r="A15348" s="15" t="s">
        <v>34810</v>
      </c>
      <c r="B15348" s="15" t="s">
        <v>28356</v>
      </c>
      <c r="C15348" s="15" t="s">
        <v>800</v>
      </c>
      <c r="D15348" s="15" t="s">
        <v>28357</v>
      </c>
      <c r="E15348" s="15">
        <v>10.180660270000001</v>
      </c>
      <c r="F15348" s="42">
        <v>45323</v>
      </c>
    </row>
    <row r="15349" spans="1:6" x14ac:dyDescent="0.3">
      <c r="A15349" s="15" t="s">
        <v>34809</v>
      </c>
      <c r="B15349" s="15" t="s">
        <v>28358</v>
      </c>
      <c r="C15349" s="15" t="s">
        <v>800</v>
      </c>
      <c r="D15349" s="15" t="s">
        <v>28359</v>
      </c>
      <c r="E15349" s="15">
        <v>10.22677217</v>
      </c>
      <c r="F15349" s="42">
        <v>45363</v>
      </c>
    </row>
    <row r="15350" spans="1:6" x14ac:dyDescent="0.3">
      <c r="A15350" s="15" t="s">
        <v>34808</v>
      </c>
      <c r="B15350" s="15" t="s">
        <v>28360</v>
      </c>
      <c r="C15350" s="15" t="s">
        <v>800</v>
      </c>
      <c r="D15350" s="15" t="s">
        <v>28361</v>
      </c>
      <c r="E15350" s="15">
        <v>10.226749610000001</v>
      </c>
      <c r="F15350" s="42">
        <v>45363</v>
      </c>
    </row>
    <row r="15351" spans="1:6" x14ac:dyDescent="0.3">
      <c r="A15351" s="15" t="s">
        <v>34807</v>
      </c>
      <c r="B15351" s="15" t="s">
        <v>28362</v>
      </c>
      <c r="C15351" s="15" t="s">
        <v>800</v>
      </c>
      <c r="D15351" s="15" t="s">
        <v>28363</v>
      </c>
      <c r="E15351" s="15">
        <v>10.222097339999999</v>
      </c>
      <c r="F15351" s="42">
        <v>45363</v>
      </c>
    </row>
    <row r="15352" spans="1:6" x14ac:dyDescent="0.3">
      <c r="A15352" s="15" t="s">
        <v>34806</v>
      </c>
      <c r="B15352" s="15" t="s">
        <v>28364</v>
      </c>
      <c r="C15352" s="15" t="s">
        <v>800</v>
      </c>
      <c r="D15352" s="15" t="s">
        <v>28365</v>
      </c>
      <c r="E15352" s="15">
        <v>10.22182181</v>
      </c>
      <c r="F15352" s="42">
        <v>45363</v>
      </c>
    </row>
    <row r="15353" spans="1:6" x14ac:dyDescent="0.3">
      <c r="A15353" s="15" t="s">
        <v>34805</v>
      </c>
      <c r="B15353" s="15" t="s">
        <v>28366</v>
      </c>
      <c r="C15353" s="15" t="s">
        <v>800</v>
      </c>
      <c r="D15353" s="15" t="s">
        <v>28367</v>
      </c>
      <c r="E15353" s="15">
        <v>10.18941792</v>
      </c>
      <c r="F15353" s="42">
        <v>45364</v>
      </c>
    </row>
    <row r="15354" spans="1:6" x14ac:dyDescent="0.3">
      <c r="A15354" s="15" t="s">
        <v>34804</v>
      </c>
      <c r="B15354" s="15" t="s">
        <v>28368</v>
      </c>
      <c r="C15354" s="15" t="s">
        <v>800</v>
      </c>
      <c r="D15354" s="15" t="s">
        <v>28369</v>
      </c>
      <c r="E15354" s="15">
        <v>10.189524929999999</v>
      </c>
      <c r="F15354" s="42">
        <v>45364</v>
      </c>
    </row>
    <row r="15355" spans="1:6" x14ac:dyDescent="0.3">
      <c r="A15355" s="15" t="s">
        <v>34803</v>
      </c>
      <c r="B15355" s="15" t="s">
        <v>28370</v>
      </c>
      <c r="C15355" s="15" t="s">
        <v>800</v>
      </c>
      <c r="D15355" s="15" t="s">
        <v>28371</v>
      </c>
      <c r="E15355" s="15">
        <v>10.18561798</v>
      </c>
      <c r="F15355" s="42">
        <v>45364</v>
      </c>
    </row>
    <row r="15356" spans="1:6" x14ac:dyDescent="0.3">
      <c r="A15356" s="15" t="s">
        <v>34802</v>
      </c>
      <c r="B15356" s="15" t="s">
        <v>28372</v>
      </c>
      <c r="C15356" s="15" t="s">
        <v>800</v>
      </c>
      <c r="D15356" s="15" t="s">
        <v>28373</v>
      </c>
      <c r="E15356" s="15">
        <v>10.18561815</v>
      </c>
      <c r="F15356" s="42">
        <v>45364</v>
      </c>
    </row>
    <row r="15357" spans="1:6" x14ac:dyDescent="0.3">
      <c r="A15357" s="15" t="s">
        <v>34801</v>
      </c>
      <c r="B15357" s="15" t="s">
        <v>28374</v>
      </c>
      <c r="C15357" s="15" t="s">
        <v>800</v>
      </c>
      <c r="D15357" s="15" t="s">
        <v>28375</v>
      </c>
      <c r="E15357" s="15">
        <v>10.385810940000001</v>
      </c>
      <c r="F15357" s="42">
        <v>45461</v>
      </c>
    </row>
    <row r="15358" spans="1:6" x14ac:dyDescent="0.3">
      <c r="A15358" s="15" t="s">
        <v>34800</v>
      </c>
      <c r="B15358" s="15" t="s">
        <v>28376</v>
      </c>
      <c r="C15358" s="15" t="s">
        <v>800</v>
      </c>
      <c r="D15358" s="15" t="s">
        <v>28377</v>
      </c>
      <c r="E15358" s="15">
        <v>10.387081090000001</v>
      </c>
      <c r="F15358" s="42">
        <v>45461</v>
      </c>
    </row>
    <row r="15359" spans="1:6" x14ac:dyDescent="0.3">
      <c r="A15359" s="15" t="s">
        <v>34799</v>
      </c>
      <c r="B15359" s="15" t="s">
        <v>28378</v>
      </c>
      <c r="C15359" s="15" t="s">
        <v>800</v>
      </c>
      <c r="D15359" s="15" t="s">
        <v>28379</v>
      </c>
      <c r="E15359" s="15">
        <v>10.378142070000001</v>
      </c>
      <c r="F15359" s="42">
        <v>45461</v>
      </c>
    </row>
    <row r="15360" spans="1:6" x14ac:dyDescent="0.3">
      <c r="A15360" s="15" t="s">
        <v>34798</v>
      </c>
      <c r="B15360" s="15" t="s">
        <v>28380</v>
      </c>
      <c r="C15360" s="15" t="s">
        <v>800</v>
      </c>
      <c r="D15360" s="15" t="s">
        <v>28381</v>
      </c>
      <c r="E15360" s="15">
        <v>10.37814054</v>
      </c>
      <c r="F15360" s="42">
        <v>45461</v>
      </c>
    </row>
    <row r="15361" spans="1:6" x14ac:dyDescent="0.3">
      <c r="A15361" s="15" t="s">
        <v>34797</v>
      </c>
      <c r="B15361" s="15" t="s">
        <v>28382</v>
      </c>
      <c r="C15361" s="15" t="s">
        <v>800</v>
      </c>
      <c r="D15361" s="15" t="s">
        <v>28383</v>
      </c>
      <c r="E15361" s="15">
        <v>10.21846184</v>
      </c>
      <c r="F15361" s="42">
        <v>45404</v>
      </c>
    </row>
    <row r="15362" spans="1:6" x14ac:dyDescent="0.3">
      <c r="A15362" s="15" t="s">
        <v>34796</v>
      </c>
      <c r="B15362" s="15" t="s">
        <v>28384</v>
      </c>
      <c r="C15362" s="15" t="s">
        <v>800</v>
      </c>
      <c r="D15362" s="15" t="s">
        <v>28385</v>
      </c>
      <c r="E15362" s="15">
        <v>10.219407370000001</v>
      </c>
      <c r="F15362" s="42">
        <v>45404</v>
      </c>
    </row>
    <row r="15363" spans="1:6" x14ac:dyDescent="0.3">
      <c r="A15363" s="15" t="s">
        <v>34795</v>
      </c>
      <c r="B15363" s="15" t="s">
        <v>28386</v>
      </c>
      <c r="C15363" s="15" t="s">
        <v>800</v>
      </c>
      <c r="D15363" s="15" t="s">
        <v>28387</v>
      </c>
      <c r="E15363" s="15">
        <v>10.214164029999999</v>
      </c>
      <c r="F15363" s="42">
        <v>45404</v>
      </c>
    </row>
    <row r="15364" spans="1:6" x14ac:dyDescent="0.3">
      <c r="A15364" s="15" t="s">
        <v>34794</v>
      </c>
      <c r="B15364" s="15" t="s">
        <v>28388</v>
      </c>
      <c r="C15364" s="15" t="s">
        <v>800</v>
      </c>
      <c r="D15364" s="15" t="s">
        <v>28389</v>
      </c>
      <c r="E15364" s="15">
        <v>10.214164029999999</v>
      </c>
      <c r="F15364" s="42">
        <v>45404</v>
      </c>
    </row>
    <row r="15365" spans="1:6" x14ac:dyDescent="0.3">
      <c r="A15365" s="15" t="s">
        <v>34793</v>
      </c>
      <c r="B15365" s="15" t="s">
        <v>28390</v>
      </c>
      <c r="C15365" s="15" t="s">
        <v>800</v>
      </c>
      <c r="D15365" s="15" t="s">
        <v>28391</v>
      </c>
      <c r="E15365" s="15">
        <v>12.9476344</v>
      </c>
      <c r="F15365" s="42">
        <v>42765</v>
      </c>
    </row>
    <row r="15366" spans="1:6" x14ac:dyDescent="0.3">
      <c r="A15366" s="15" t="s">
        <v>34792</v>
      </c>
      <c r="B15366" s="15" t="s">
        <v>28392</v>
      </c>
      <c r="C15366" s="15" t="s">
        <v>800</v>
      </c>
      <c r="D15366" s="15" t="s">
        <v>28393</v>
      </c>
      <c r="E15366" s="15">
        <v>12.947876539999999</v>
      </c>
      <c r="F15366" s="42">
        <v>42765</v>
      </c>
    </row>
    <row r="15367" spans="1:6" x14ac:dyDescent="0.3">
      <c r="A15367" s="15" t="s">
        <v>34791</v>
      </c>
      <c r="B15367" s="15" t="s">
        <v>28394</v>
      </c>
      <c r="C15367" s="15" t="s">
        <v>800</v>
      </c>
      <c r="D15367" s="15" t="s">
        <v>28395</v>
      </c>
      <c r="E15367" s="15">
        <v>12.56256952</v>
      </c>
      <c r="F15367" s="42">
        <v>42765</v>
      </c>
    </row>
    <row r="15368" spans="1:6" x14ac:dyDescent="0.3">
      <c r="A15368" s="15" t="s">
        <v>34790</v>
      </c>
      <c r="B15368" s="15" t="s">
        <v>28396</v>
      </c>
      <c r="C15368" s="15" t="s">
        <v>800</v>
      </c>
      <c r="D15368" s="15" t="s">
        <v>28397</v>
      </c>
      <c r="E15368" s="15">
        <v>12.56256853</v>
      </c>
      <c r="F15368" s="42">
        <v>42765</v>
      </c>
    </row>
    <row r="15369" spans="1:6" x14ac:dyDescent="0.3">
      <c r="A15369" s="15" t="s">
        <v>33499</v>
      </c>
      <c r="B15369" s="15" t="s">
        <v>795</v>
      </c>
      <c r="C15369" s="15" t="s">
        <v>795</v>
      </c>
      <c r="D15369" s="15" t="s">
        <v>795</v>
      </c>
      <c r="F15369" s="42"/>
    </row>
    <row r="15370" spans="1:6" x14ac:dyDescent="0.3">
      <c r="A15370" s="15" t="s">
        <v>208</v>
      </c>
      <c r="B15370" s="15" t="s">
        <v>795</v>
      </c>
      <c r="C15370" s="15" t="s">
        <v>795</v>
      </c>
      <c r="D15370" s="15" t="s">
        <v>795</v>
      </c>
      <c r="F15370" s="42"/>
    </row>
    <row r="15371" spans="1:6" x14ac:dyDescent="0.3">
      <c r="A15371" s="15" t="s">
        <v>33499</v>
      </c>
      <c r="B15371" s="15" t="s">
        <v>795</v>
      </c>
      <c r="C15371" s="15" t="s">
        <v>795</v>
      </c>
      <c r="D15371" s="15" t="s">
        <v>795</v>
      </c>
      <c r="F15371" s="42"/>
    </row>
    <row r="15372" spans="1:6" x14ac:dyDescent="0.3">
      <c r="A15372" s="15" t="s">
        <v>34789</v>
      </c>
      <c r="B15372" s="15" t="s">
        <v>28398</v>
      </c>
      <c r="C15372" s="15" t="s">
        <v>800</v>
      </c>
      <c r="D15372" s="15" t="s">
        <v>28399</v>
      </c>
      <c r="E15372" s="15">
        <v>10</v>
      </c>
      <c r="F15372" s="42">
        <v>43822</v>
      </c>
    </row>
    <row r="15373" spans="1:6" x14ac:dyDescent="0.3">
      <c r="A15373" s="15" t="s">
        <v>34788</v>
      </c>
      <c r="B15373" s="15" t="s">
        <v>28400</v>
      </c>
      <c r="C15373" s="15" t="s">
        <v>800</v>
      </c>
      <c r="D15373" s="15" t="s">
        <v>28401</v>
      </c>
      <c r="E15373" s="15">
        <v>13.475300000000001</v>
      </c>
      <c r="F15373" s="42">
        <v>43822</v>
      </c>
    </row>
    <row r="15374" spans="1:6" x14ac:dyDescent="0.3">
      <c r="A15374" s="15" t="s">
        <v>34787</v>
      </c>
      <c r="B15374" s="15" t="s">
        <v>28402</v>
      </c>
      <c r="C15374" s="15" t="s">
        <v>800</v>
      </c>
      <c r="D15374" s="15" t="s">
        <v>28403</v>
      </c>
      <c r="E15374" s="15">
        <v>10</v>
      </c>
      <c r="F15374" s="42">
        <v>43822</v>
      </c>
    </row>
    <row r="15375" spans="1:6" x14ac:dyDescent="0.3">
      <c r="A15375" s="15" t="s">
        <v>34786</v>
      </c>
      <c r="B15375" s="15" t="s">
        <v>28404</v>
      </c>
      <c r="C15375" s="15" t="s">
        <v>800</v>
      </c>
      <c r="D15375" s="15" t="s">
        <v>28405</v>
      </c>
      <c r="E15375" s="15">
        <v>12.917299999999999</v>
      </c>
      <c r="F15375" s="42">
        <v>43822</v>
      </c>
    </row>
    <row r="15376" spans="1:6" x14ac:dyDescent="0.3">
      <c r="A15376" s="15" t="s">
        <v>34785</v>
      </c>
      <c r="B15376" s="15" t="s">
        <v>28406</v>
      </c>
      <c r="C15376" s="15" t="s">
        <v>800</v>
      </c>
      <c r="D15376" s="15" t="s">
        <v>28407</v>
      </c>
      <c r="E15376" s="15">
        <v>10</v>
      </c>
      <c r="F15376" s="42">
        <v>43738</v>
      </c>
    </row>
    <row r="15377" spans="1:6" x14ac:dyDescent="0.3">
      <c r="A15377" s="15" t="s">
        <v>34784</v>
      </c>
      <c r="B15377" s="15" t="s">
        <v>28408</v>
      </c>
      <c r="C15377" s="15" t="s">
        <v>800</v>
      </c>
      <c r="D15377" s="15" t="s">
        <v>28409</v>
      </c>
      <c r="E15377" s="15">
        <v>13.0307</v>
      </c>
      <c r="F15377" s="42">
        <v>43738</v>
      </c>
    </row>
    <row r="15378" spans="1:6" x14ac:dyDescent="0.3">
      <c r="A15378" s="15" t="s">
        <v>34783</v>
      </c>
      <c r="B15378" s="15" t="s">
        <v>28410</v>
      </c>
      <c r="C15378" s="15" t="s">
        <v>800</v>
      </c>
      <c r="D15378" s="15" t="s">
        <v>28411</v>
      </c>
      <c r="E15378" s="15">
        <v>10</v>
      </c>
      <c r="F15378" s="42">
        <v>43738</v>
      </c>
    </row>
    <row r="15379" spans="1:6" x14ac:dyDescent="0.3">
      <c r="A15379" s="15" t="s">
        <v>34782</v>
      </c>
      <c r="B15379" s="15" t="s">
        <v>28412</v>
      </c>
      <c r="C15379" s="15" t="s">
        <v>800</v>
      </c>
      <c r="D15379" s="15" t="s">
        <v>28413</v>
      </c>
      <c r="E15379" s="15">
        <v>12.621499999999999</v>
      </c>
      <c r="F15379" s="42">
        <v>43738</v>
      </c>
    </row>
    <row r="15380" spans="1:6" x14ac:dyDescent="0.3">
      <c r="A15380" s="15" t="s">
        <v>34781</v>
      </c>
      <c r="B15380" s="15" t="s">
        <v>28414</v>
      </c>
      <c r="C15380" s="15" t="s">
        <v>800</v>
      </c>
      <c r="D15380" s="15" t="s">
        <v>28415</v>
      </c>
      <c r="E15380" s="15">
        <v>10</v>
      </c>
      <c r="F15380" s="42">
        <v>43738</v>
      </c>
    </row>
    <row r="15381" spans="1:6" x14ac:dyDescent="0.3">
      <c r="A15381" s="15" t="s">
        <v>34780</v>
      </c>
      <c r="B15381" s="15" t="s">
        <v>28416</v>
      </c>
      <c r="C15381" s="15" t="s">
        <v>800</v>
      </c>
      <c r="D15381" s="15" t="s">
        <v>28417</v>
      </c>
      <c r="E15381" s="15">
        <v>12.4918</v>
      </c>
      <c r="F15381" s="42">
        <v>43738</v>
      </c>
    </row>
    <row r="15382" spans="1:6" x14ac:dyDescent="0.3">
      <c r="A15382" s="15" t="s">
        <v>34779</v>
      </c>
      <c r="B15382" s="15" t="s">
        <v>28418</v>
      </c>
      <c r="C15382" s="15" t="s">
        <v>800</v>
      </c>
      <c r="D15382" s="15" t="s">
        <v>28419</v>
      </c>
      <c r="E15382" s="15">
        <v>10</v>
      </c>
      <c r="F15382" s="42">
        <v>43738</v>
      </c>
    </row>
    <row r="15383" spans="1:6" x14ac:dyDescent="0.3">
      <c r="A15383" s="15" t="s">
        <v>34778</v>
      </c>
      <c r="B15383" s="15" t="s">
        <v>28420</v>
      </c>
      <c r="C15383" s="15" t="s">
        <v>800</v>
      </c>
      <c r="D15383" s="15" t="s">
        <v>28421</v>
      </c>
      <c r="E15383" s="15">
        <v>12.142899999999999</v>
      </c>
      <c r="F15383" s="42">
        <v>43738</v>
      </c>
    </row>
    <row r="15384" spans="1:6" x14ac:dyDescent="0.3">
      <c r="A15384" s="15" t="s">
        <v>34777</v>
      </c>
      <c r="B15384" s="15" t="s">
        <v>28422</v>
      </c>
      <c r="C15384" s="15" t="s">
        <v>800</v>
      </c>
      <c r="D15384" s="15" t="s">
        <v>28423</v>
      </c>
      <c r="E15384" s="15">
        <v>12.432700000000001</v>
      </c>
      <c r="F15384" s="42">
        <v>44056</v>
      </c>
    </row>
    <row r="15385" spans="1:6" x14ac:dyDescent="0.3">
      <c r="A15385" s="15" t="s">
        <v>34776</v>
      </c>
      <c r="B15385" s="15" t="s">
        <v>28424</v>
      </c>
      <c r="C15385" s="15" t="s">
        <v>800</v>
      </c>
      <c r="D15385" s="15" t="s">
        <v>28425</v>
      </c>
      <c r="E15385" s="15">
        <v>10</v>
      </c>
      <c r="F15385" s="42">
        <v>44056</v>
      </c>
    </row>
    <row r="15386" spans="1:6" x14ac:dyDescent="0.3">
      <c r="A15386" s="15" t="s">
        <v>34775</v>
      </c>
      <c r="B15386" s="15" t="s">
        <v>28426</v>
      </c>
      <c r="C15386" s="15" t="s">
        <v>800</v>
      </c>
      <c r="D15386" s="15" t="s">
        <v>28427</v>
      </c>
      <c r="E15386" s="15">
        <v>10</v>
      </c>
      <c r="F15386" s="42">
        <v>44056</v>
      </c>
    </row>
    <row r="15387" spans="1:6" x14ac:dyDescent="0.3">
      <c r="A15387" s="15" t="s">
        <v>34774</v>
      </c>
      <c r="B15387" s="15" t="s">
        <v>28428</v>
      </c>
      <c r="C15387" s="15" t="s">
        <v>800</v>
      </c>
      <c r="D15387" s="15" t="s">
        <v>28429</v>
      </c>
      <c r="E15387" s="15">
        <v>12.0793</v>
      </c>
      <c r="F15387" s="42">
        <v>44056</v>
      </c>
    </row>
    <row r="15388" spans="1:6" x14ac:dyDescent="0.3">
      <c r="A15388" s="15" t="s">
        <v>34773</v>
      </c>
      <c r="B15388" s="15" t="s">
        <v>28430</v>
      </c>
      <c r="C15388" s="15" t="s">
        <v>800</v>
      </c>
      <c r="D15388" s="15" t="s">
        <v>28431</v>
      </c>
      <c r="E15388" s="15">
        <v>10</v>
      </c>
      <c r="F15388" s="42">
        <v>44060</v>
      </c>
    </row>
    <row r="15389" spans="1:6" x14ac:dyDescent="0.3">
      <c r="A15389" s="15" t="s">
        <v>34772</v>
      </c>
      <c r="B15389" s="15" t="s">
        <v>28432</v>
      </c>
      <c r="C15389" s="15" t="s">
        <v>800</v>
      </c>
      <c r="D15389" s="15" t="s">
        <v>28433</v>
      </c>
      <c r="E15389" s="15">
        <v>12.532500000000001</v>
      </c>
      <c r="F15389" s="42">
        <v>44060</v>
      </c>
    </row>
    <row r="15390" spans="1:6" x14ac:dyDescent="0.3">
      <c r="A15390" s="15" t="s">
        <v>34771</v>
      </c>
      <c r="B15390" s="15" t="s">
        <v>28434</v>
      </c>
      <c r="C15390" s="15" t="s">
        <v>800</v>
      </c>
      <c r="D15390" s="15" t="s">
        <v>28435</v>
      </c>
      <c r="E15390" s="15">
        <v>10</v>
      </c>
      <c r="F15390" s="42">
        <v>44060</v>
      </c>
    </row>
    <row r="15391" spans="1:6" x14ac:dyDescent="0.3">
      <c r="A15391" s="15" t="s">
        <v>34770</v>
      </c>
      <c r="B15391" s="15" t="s">
        <v>28436</v>
      </c>
      <c r="C15391" s="15" t="s">
        <v>800</v>
      </c>
      <c r="D15391" s="15" t="s">
        <v>28437</v>
      </c>
      <c r="E15391" s="15">
        <v>12.152699999999999</v>
      </c>
      <c r="F15391" s="42">
        <v>44060</v>
      </c>
    </row>
    <row r="15392" spans="1:6" x14ac:dyDescent="0.3">
      <c r="A15392" s="15" t="s">
        <v>34769</v>
      </c>
      <c r="B15392" s="15" t="s">
        <v>28438</v>
      </c>
      <c r="C15392" s="15" t="s">
        <v>800</v>
      </c>
      <c r="D15392" s="15" t="s">
        <v>28439</v>
      </c>
      <c r="E15392" s="15">
        <v>10</v>
      </c>
      <c r="F15392" s="42">
        <v>44060</v>
      </c>
    </row>
    <row r="15393" spans="1:6" x14ac:dyDescent="0.3">
      <c r="A15393" s="15" t="s">
        <v>34768</v>
      </c>
      <c r="B15393" s="15" t="s">
        <v>28440</v>
      </c>
      <c r="C15393" s="15" t="s">
        <v>800</v>
      </c>
      <c r="D15393" s="15" t="s">
        <v>28441</v>
      </c>
      <c r="E15393" s="15">
        <v>12.450799999999999</v>
      </c>
      <c r="F15393" s="42">
        <v>44060</v>
      </c>
    </row>
    <row r="15394" spans="1:6" x14ac:dyDescent="0.3">
      <c r="A15394" s="15" t="s">
        <v>34767</v>
      </c>
      <c r="B15394" s="15" t="s">
        <v>28442</v>
      </c>
      <c r="C15394" s="15" t="s">
        <v>800</v>
      </c>
      <c r="D15394" s="15" t="s">
        <v>28443</v>
      </c>
      <c r="E15394" s="15">
        <v>10</v>
      </c>
      <c r="F15394" s="42">
        <v>44060</v>
      </c>
    </row>
    <row r="15395" spans="1:6" x14ac:dyDescent="0.3">
      <c r="A15395" s="15" t="s">
        <v>34766</v>
      </c>
      <c r="B15395" s="15" t="s">
        <v>28444</v>
      </c>
      <c r="C15395" s="15" t="s">
        <v>800</v>
      </c>
      <c r="D15395" s="15" t="s">
        <v>28445</v>
      </c>
      <c r="E15395" s="15">
        <v>12.135899999999999</v>
      </c>
      <c r="F15395" s="42">
        <v>44060</v>
      </c>
    </row>
    <row r="15396" spans="1:6" x14ac:dyDescent="0.3">
      <c r="A15396" s="15" t="s">
        <v>34765</v>
      </c>
      <c r="B15396" s="15" t="s">
        <v>28446</v>
      </c>
      <c r="C15396" s="15" t="s">
        <v>800</v>
      </c>
      <c r="D15396" s="15" t="s">
        <v>28447</v>
      </c>
      <c r="E15396" s="15">
        <v>10</v>
      </c>
      <c r="F15396" s="42">
        <v>44060</v>
      </c>
    </row>
    <row r="15397" spans="1:6" x14ac:dyDescent="0.3">
      <c r="A15397" s="15" t="s">
        <v>34764</v>
      </c>
      <c r="B15397" s="15" t="s">
        <v>28448</v>
      </c>
      <c r="C15397" s="15" t="s">
        <v>800</v>
      </c>
      <c r="D15397" s="15" t="s">
        <v>28449</v>
      </c>
      <c r="E15397" s="15">
        <v>12.3935</v>
      </c>
      <c r="F15397" s="42">
        <v>44060</v>
      </c>
    </row>
    <row r="15398" spans="1:6" x14ac:dyDescent="0.3">
      <c r="A15398" s="15" t="s">
        <v>34763</v>
      </c>
      <c r="B15398" s="15" t="s">
        <v>28450</v>
      </c>
      <c r="C15398" s="15" t="s">
        <v>800</v>
      </c>
      <c r="D15398" s="15" t="s">
        <v>28451</v>
      </c>
      <c r="E15398" s="15">
        <v>10</v>
      </c>
      <c r="F15398" s="42">
        <v>44060</v>
      </c>
    </row>
    <row r="15399" spans="1:6" x14ac:dyDescent="0.3">
      <c r="A15399" s="15" t="s">
        <v>34762</v>
      </c>
      <c r="B15399" s="15" t="s">
        <v>28452</v>
      </c>
      <c r="C15399" s="15" t="s">
        <v>800</v>
      </c>
      <c r="D15399" s="15" t="s">
        <v>28453</v>
      </c>
      <c r="E15399" s="15">
        <v>12.057700000000001</v>
      </c>
      <c r="F15399" s="42">
        <v>44060</v>
      </c>
    </row>
    <row r="15400" spans="1:6" x14ac:dyDescent="0.3">
      <c r="A15400" s="15" t="s">
        <v>34761</v>
      </c>
      <c r="B15400" s="15" t="s">
        <v>28454</v>
      </c>
      <c r="C15400" s="15" t="s">
        <v>800</v>
      </c>
      <c r="D15400" s="15" t="s">
        <v>28455</v>
      </c>
      <c r="E15400" s="15">
        <v>12.4535</v>
      </c>
      <c r="F15400" s="42">
        <v>43858</v>
      </c>
    </row>
    <row r="15401" spans="1:6" x14ac:dyDescent="0.3">
      <c r="A15401" s="15" t="s">
        <v>34760</v>
      </c>
      <c r="B15401" s="15" t="s">
        <v>28456</v>
      </c>
      <c r="C15401" s="15" t="s">
        <v>800</v>
      </c>
      <c r="D15401" s="15" t="s">
        <v>28457</v>
      </c>
      <c r="E15401" s="15">
        <v>10</v>
      </c>
      <c r="F15401" s="42">
        <v>43858</v>
      </c>
    </row>
    <row r="15402" spans="1:6" x14ac:dyDescent="0.3">
      <c r="A15402" s="15" t="s">
        <v>34759</v>
      </c>
      <c r="B15402" s="15" t="s">
        <v>28458</v>
      </c>
      <c r="C15402" s="15" t="s">
        <v>800</v>
      </c>
      <c r="D15402" s="15" t="s">
        <v>28459</v>
      </c>
      <c r="E15402" s="15">
        <v>10</v>
      </c>
      <c r="F15402" s="42">
        <v>43858</v>
      </c>
    </row>
    <row r="15403" spans="1:6" x14ac:dyDescent="0.3">
      <c r="A15403" s="15" t="s">
        <v>34758</v>
      </c>
      <c r="B15403" s="15" t="s">
        <v>28460</v>
      </c>
      <c r="C15403" s="15" t="s">
        <v>800</v>
      </c>
      <c r="D15403" s="15" t="s">
        <v>28461</v>
      </c>
      <c r="E15403" s="15">
        <v>12.1021</v>
      </c>
      <c r="F15403" s="42">
        <v>43858</v>
      </c>
    </row>
    <row r="15404" spans="1:6" x14ac:dyDescent="0.3">
      <c r="A15404" s="15" t="s">
        <v>34757</v>
      </c>
      <c r="B15404" s="15" t="s">
        <v>28462</v>
      </c>
      <c r="C15404" s="15" t="s">
        <v>800</v>
      </c>
      <c r="D15404" s="15" t="s">
        <v>28463</v>
      </c>
      <c r="E15404" s="15">
        <v>10</v>
      </c>
      <c r="F15404" s="42">
        <v>44127</v>
      </c>
    </row>
    <row r="15405" spans="1:6" x14ac:dyDescent="0.3">
      <c r="A15405" s="15" t="s">
        <v>34756</v>
      </c>
      <c r="B15405" s="15" t="s">
        <v>28464</v>
      </c>
      <c r="C15405" s="15" t="s">
        <v>800</v>
      </c>
      <c r="D15405" s="15" t="s">
        <v>28465</v>
      </c>
      <c r="E15405" s="15">
        <v>12.324</v>
      </c>
      <c r="F15405" s="42">
        <v>44127</v>
      </c>
    </row>
    <row r="15406" spans="1:6" x14ac:dyDescent="0.3">
      <c r="A15406" s="15" t="s">
        <v>34755</v>
      </c>
      <c r="B15406" s="15" t="s">
        <v>28466</v>
      </c>
      <c r="C15406" s="15" t="s">
        <v>800</v>
      </c>
      <c r="D15406" s="15" t="s">
        <v>28467</v>
      </c>
      <c r="E15406" s="15">
        <v>10</v>
      </c>
      <c r="F15406" s="42">
        <v>44127</v>
      </c>
    </row>
    <row r="15407" spans="1:6" x14ac:dyDescent="0.3">
      <c r="A15407" s="15" t="s">
        <v>34754</v>
      </c>
      <c r="B15407" s="15" t="s">
        <v>28468</v>
      </c>
      <c r="C15407" s="15" t="s">
        <v>800</v>
      </c>
      <c r="D15407" s="15" t="s">
        <v>28469</v>
      </c>
      <c r="E15407" s="15">
        <v>11.9817</v>
      </c>
      <c r="F15407" s="42">
        <v>44127</v>
      </c>
    </row>
    <row r="15408" spans="1:6" x14ac:dyDescent="0.3">
      <c r="A15408" s="15" t="s">
        <v>34753</v>
      </c>
      <c r="B15408" s="15" t="s">
        <v>28470</v>
      </c>
      <c r="C15408" s="15" t="s">
        <v>800</v>
      </c>
      <c r="D15408" s="15" t="s">
        <v>28471</v>
      </c>
      <c r="E15408" s="15">
        <v>10</v>
      </c>
      <c r="F15408" s="42">
        <v>44020</v>
      </c>
    </row>
    <row r="15409" spans="1:6" x14ac:dyDescent="0.3">
      <c r="A15409" s="15" t="s">
        <v>34752</v>
      </c>
      <c r="B15409" s="15" t="s">
        <v>28472</v>
      </c>
      <c r="C15409" s="15" t="s">
        <v>800</v>
      </c>
      <c r="D15409" s="15" t="s">
        <v>28473</v>
      </c>
      <c r="E15409" s="15">
        <v>11.775700000000001</v>
      </c>
      <c r="F15409" s="42">
        <v>44020</v>
      </c>
    </row>
    <row r="15410" spans="1:6" x14ac:dyDescent="0.3">
      <c r="A15410" s="15" t="s">
        <v>34751</v>
      </c>
      <c r="B15410" s="15" t="s">
        <v>28474</v>
      </c>
      <c r="C15410" s="15" t="s">
        <v>800</v>
      </c>
      <c r="D15410" s="15" t="s">
        <v>28475</v>
      </c>
      <c r="E15410" s="15">
        <v>10</v>
      </c>
      <c r="F15410" s="42">
        <v>44020</v>
      </c>
    </row>
    <row r="15411" spans="1:6" x14ac:dyDescent="0.3">
      <c r="A15411" s="15" t="s">
        <v>34750</v>
      </c>
      <c r="B15411" s="15" t="s">
        <v>28476</v>
      </c>
      <c r="C15411" s="15" t="s">
        <v>800</v>
      </c>
      <c r="D15411" s="15" t="s">
        <v>28477</v>
      </c>
      <c r="E15411" s="15">
        <v>11.502700000000001</v>
      </c>
      <c r="F15411" s="42">
        <v>44020</v>
      </c>
    </row>
    <row r="15412" spans="1:6" x14ac:dyDescent="0.3">
      <c r="A15412" s="15" t="s">
        <v>34749</v>
      </c>
      <c r="B15412" s="15" t="s">
        <v>28478</v>
      </c>
      <c r="C15412" s="15" t="s">
        <v>800</v>
      </c>
      <c r="D15412" s="15" t="s">
        <v>28479</v>
      </c>
      <c r="E15412" s="15">
        <v>10</v>
      </c>
      <c r="F15412" s="42">
        <v>44025</v>
      </c>
    </row>
    <row r="15413" spans="1:6" x14ac:dyDescent="0.3">
      <c r="A15413" s="15" t="s">
        <v>34748</v>
      </c>
      <c r="B15413" s="15" t="s">
        <v>28480</v>
      </c>
      <c r="C15413" s="15" t="s">
        <v>800</v>
      </c>
      <c r="D15413" s="15" t="s">
        <v>28481</v>
      </c>
      <c r="E15413" s="15">
        <v>11.7067</v>
      </c>
      <c r="F15413" s="42">
        <v>44025</v>
      </c>
    </row>
    <row r="15414" spans="1:6" x14ac:dyDescent="0.3">
      <c r="A15414" s="15" t="s">
        <v>34747</v>
      </c>
      <c r="B15414" s="15" t="s">
        <v>28482</v>
      </c>
      <c r="C15414" s="15" t="s">
        <v>800</v>
      </c>
      <c r="D15414" s="15" t="s">
        <v>28483</v>
      </c>
      <c r="E15414" s="15">
        <v>10</v>
      </c>
      <c r="F15414" s="42">
        <v>44025</v>
      </c>
    </row>
    <row r="15415" spans="1:6" x14ac:dyDescent="0.3">
      <c r="A15415" s="15" t="s">
        <v>34746</v>
      </c>
      <c r="B15415" s="15" t="s">
        <v>28484</v>
      </c>
      <c r="C15415" s="15" t="s">
        <v>800</v>
      </c>
      <c r="D15415" s="15" t="s">
        <v>28485</v>
      </c>
      <c r="E15415" s="15">
        <v>11.3772</v>
      </c>
      <c r="F15415" s="42">
        <v>44025</v>
      </c>
    </row>
    <row r="15416" spans="1:6" x14ac:dyDescent="0.3">
      <c r="A15416" s="15" t="s">
        <v>34745</v>
      </c>
      <c r="B15416" s="15" t="s">
        <v>28486</v>
      </c>
      <c r="C15416" s="15" t="s">
        <v>800</v>
      </c>
      <c r="D15416" s="15" t="s">
        <v>28487</v>
      </c>
      <c r="E15416" s="15">
        <v>10</v>
      </c>
      <c r="F15416" s="42">
        <v>44305</v>
      </c>
    </row>
    <row r="15417" spans="1:6" x14ac:dyDescent="0.3">
      <c r="A15417" s="15" t="s">
        <v>34744</v>
      </c>
      <c r="B15417" s="15" t="s">
        <v>28488</v>
      </c>
      <c r="C15417" s="15" t="s">
        <v>800</v>
      </c>
      <c r="D15417" s="15" t="s">
        <v>28489</v>
      </c>
      <c r="E15417" s="15">
        <v>10</v>
      </c>
      <c r="F15417" s="42">
        <v>44305</v>
      </c>
    </row>
    <row r="15418" spans="1:6" x14ac:dyDescent="0.3">
      <c r="A15418" s="15" t="s">
        <v>34743</v>
      </c>
      <c r="B15418" s="15" t="s">
        <v>28490</v>
      </c>
      <c r="C15418" s="15" t="s">
        <v>800</v>
      </c>
      <c r="D15418" s="15" t="s">
        <v>28491</v>
      </c>
      <c r="E15418" s="15">
        <v>12.7773</v>
      </c>
      <c r="F15418" s="42">
        <v>44305</v>
      </c>
    </row>
    <row r="15419" spans="1:6" x14ac:dyDescent="0.3">
      <c r="A15419" s="15" t="s">
        <v>34742</v>
      </c>
      <c r="B15419" s="15" t="s">
        <v>28492</v>
      </c>
      <c r="C15419" s="15" t="s">
        <v>800</v>
      </c>
      <c r="D15419" s="15" t="s">
        <v>28493</v>
      </c>
      <c r="E15419" s="15">
        <v>12.3543</v>
      </c>
      <c r="F15419" s="42">
        <v>44305</v>
      </c>
    </row>
    <row r="15420" spans="1:6" x14ac:dyDescent="0.3">
      <c r="A15420" s="15" t="s">
        <v>34741</v>
      </c>
      <c r="B15420" s="15" t="s">
        <v>28494</v>
      </c>
      <c r="C15420" s="15" t="s">
        <v>800</v>
      </c>
      <c r="D15420" s="15" t="s">
        <v>28495</v>
      </c>
      <c r="E15420" s="15">
        <v>10</v>
      </c>
      <c r="F15420" s="42">
        <v>44308</v>
      </c>
    </row>
    <row r="15421" spans="1:6" x14ac:dyDescent="0.3">
      <c r="A15421" s="15" t="s">
        <v>34740</v>
      </c>
      <c r="B15421" s="15" t="s">
        <v>28496</v>
      </c>
      <c r="C15421" s="15" t="s">
        <v>800</v>
      </c>
      <c r="D15421" s="15" t="s">
        <v>28497</v>
      </c>
      <c r="E15421" s="15">
        <v>10</v>
      </c>
      <c r="F15421" s="42">
        <v>44308</v>
      </c>
    </row>
    <row r="15422" spans="1:6" x14ac:dyDescent="0.3">
      <c r="A15422" s="15" t="s">
        <v>34739</v>
      </c>
      <c r="B15422" s="15" t="s">
        <v>28498</v>
      </c>
      <c r="C15422" s="15" t="s">
        <v>800</v>
      </c>
      <c r="D15422" s="15" t="s">
        <v>28499</v>
      </c>
      <c r="E15422" s="15">
        <v>12.787800000000001</v>
      </c>
      <c r="F15422" s="42">
        <v>44308</v>
      </c>
    </row>
    <row r="15423" spans="1:6" x14ac:dyDescent="0.3">
      <c r="A15423" s="15" t="s">
        <v>34738</v>
      </c>
      <c r="B15423" s="15" t="s">
        <v>28500</v>
      </c>
      <c r="C15423" s="15" t="s">
        <v>800</v>
      </c>
      <c r="D15423" s="15" t="s">
        <v>28501</v>
      </c>
      <c r="E15423" s="15">
        <v>12.388400000000001</v>
      </c>
      <c r="F15423" s="42">
        <v>44308</v>
      </c>
    </row>
    <row r="15424" spans="1:6" x14ac:dyDescent="0.3">
      <c r="A15424" s="15" t="s">
        <v>34737</v>
      </c>
      <c r="B15424" s="15" t="s">
        <v>28502</v>
      </c>
      <c r="C15424" s="15" t="s">
        <v>800</v>
      </c>
      <c r="D15424" s="15" t="s">
        <v>28503</v>
      </c>
      <c r="E15424" s="15">
        <v>10</v>
      </c>
      <c r="F15424" s="42">
        <v>44305</v>
      </c>
    </row>
    <row r="15425" spans="1:6" x14ac:dyDescent="0.3">
      <c r="A15425" s="15" t="s">
        <v>34736</v>
      </c>
      <c r="B15425" s="15" t="s">
        <v>28504</v>
      </c>
      <c r="C15425" s="15" t="s">
        <v>800</v>
      </c>
      <c r="D15425" s="15" t="s">
        <v>28505</v>
      </c>
      <c r="E15425" s="15">
        <v>10</v>
      </c>
      <c r="F15425" s="42">
        <v>44305</v>
      </c>
    </row>
    <row r="15426" spans="1:6" x14ac:dyDescent="0.3">
      <c r="A15426" s="15" t="s">
        <v>34735</v>
      </c>
      <c r="B15426" s="15" t="s">
        <v>28506</v>
      </c>
      <c r="C15426" s="15" t="s">
        <v>800</v>
      </c>
      <c r="D15426" s="15" t="s">
        <v>28507</v>
      </c>
      <c r="E15426" s="15">
        <v>12.676500000000001</v>
      </c>
      <c r="F15426" s="42">
        <v>44305</v>
      </c>
    </row>
    <row r="15427" spans="1:6" x14ac:dyDescent="0.3">
      <c r="A15427" s="15" t="s">
        <v>34734</v>
      </c>
      <c r="B15427" s="15" t="s">
        <v>28508</v>
      </c>
      <c r="C15427" s="15" t="s">
        <v>800</v>
      </c>
      <c r="D15427" s="15" t="s">
        <v>28509</v>
      </c>
      <c r="E15427" s="15">
        <v>12.358000000000001</v>
      </c>
      <c r="F15427" s="42">
        <v>44305</v>
      </c>
    </row>
    <row r="15428" spans="1:6" x14ac:dyDescent="0.3">
      <c r="A15428" s="15" t="s">
        <v>34733</v>
      </c>
      <c r="B15428" s="15" t="s">
        <v>28510</v>
      </c>
      <c r="C15428" s="15" t="s">
        <v>800</v>
      </c>
      <c r="D15428" s="15" t="s">
        <v>28511</v>
      </c>
      <c r="E15428" s="15">
        <v>10</v>
      </c>
      <c r="F15428" s="42">
        <v>44327</v>
      </c>
    </row>
    <row r="15429" spans="1:6" x14ac:dyDescent="0.3">
      <c r="A15429" s="15" t="s">
        <v>34732</v>
      </c>
      <c r="B15429" s="15" t="s">
        <v>28512</v>
      </c>
      <c r="C15429" s="15" t="s">
        <v>800</v>
      </c>
      <c r="D15429" s="15" t="s">
        <v>28513</v>
      </c>
      <c r="E15429" s="15">
        <v>10</v>
      </c>
      <c r="F15429" s="42">
        <v>44327</v>
      </c>
    </row>
    <row r="15430" spans="1:6" x14ac:dyDescent="0.3">
      <c r="A15430" s="15" t="s">
        <v>34731</v>
      </c>
      <c r="B15430" s="15" t="s">
        <v>28514</v>
      </c>
      <c r="C15430" s="15" t="s">
        <v>800</v>
      </c>
      <c r="D15430" s="15" t="s">
        <v>28515</v>
      </c>
      <c r="E15430" s="15">
        <v>12.4048</v>
      </c>
      <c r="F15430" s="42">
        <v>44327</v>
      </c>
    </row>
    <row r="15431" spans="1:6" x14ac:dyDescent="0.3">
      <c r="A15431" s="15" t="s">
        <v>34730</v>
      </c>
      <c r="B15431" s="15" t="s">
        <v>28516</v>
      </c>
      <c r="C15431" s="15" t="s">
        <v>800</v>
      </c>
      <c r="D15431" s="15" t="s">
        <v>28517</v>
      </c>
      <c r="E15431" s="15">
        <v>12.1211</v>
      </c>
      <c r="F15431" s="42">
        <v>44327</v>
      </c>
    </row>
    <row r="15432" spans="1:6" x14ac:dyDescent="0.3">
      <c r="A15432" s="15" t="s">
        <v>34729</v>
      </c>
      <c r="B15432" s="15" t="s">
        <v>28518</v>
      </c>
      <c r="C15432" s="15" t="s">
        <v>800</v>
      </c>
      <c r="D15432" s="15" t="s">
        <v>28519</v>
      </c>
      <c r="E15432" s="15">
        <v>12.5867</v>
      </c>
      <c r="F15432" s="42">
        <v>44680</v>
      </c>
    </row>
    <row r="15433" spans="1:6" x14ac:dyDescent="0.3">
      <c r="A15433" s="15" t="s">
        <v>34728</v>
      </c>
      <c r="B15433" s="15" t="s">
        <v>28520</v>
      </c>
      <c r="C15433" s="15" t="s">
        <v>800</v>
      </c>
      <c r="D15433" s="15" t="s">
        <v>28521</v>
      </c>
      <c r="E15433" s="15">
        <v>12.5867</v>
      </c>
      <c r="F15433" s="42">
        <v>44680</v>
      </c>
    </row>
    <row r="15434" spans="1:6" x14ac:dyDescent="0.3">
      <c r="A15434" s="15" t="s">
        <v>34727</v>
      </c>
      <c r="B15434" s="15" t="s">
        <v>28522</v>
      </c>
      <c r="C15434" s="15" t="s">
        <v>800</v>
      </c>
      <c r="D15434" s="15" t="s">
        <v>28523</v>
      </c>
      <c r="E15434" s="15">
        <v>12.5474</v>
      </c>
      <c r="F15434" s="42">
        <v>44680</v>
      </c>
    </row>
    <row r="15435" spans="1:6" x14ac:dyDescent="0.3">
      <c r="A15435" s="15" t="s">
        <v>34726</v>
      </c>
      <c r="B15435" s="15" t="s">
        <v>28524</v>
      </c>
      <c r="C15435" s="15" t="s">
        <v>800</v>
      </c>
      <c r="D15435" s="15" t="s">
        <v>28525</v>
      </c>
      <c r="E15435" s="15">
        <v>12.9724</v>
      </c>
      <c r="F15435" s="42">
        <v>44742</v>
      </c>
    </row>
    <row r="15436" spans="1:6" x14ac:dyDescent="0.3">
      <c r="A15436" s="15" t="s">
        <v>34725</v>
      </c>
      <c r="B15436" s="15" t="s">
        <v>28526</v>
      </c>
      <c r="C15436" s="15" t="s">
        <v>800</v>
      </c>
      <c r="D15436" s="15" t="s">
        <v>28527</v>
      </c>
      <c r="E15436" s="15">
        <v>12.757</v>
      </c>
      <c r="F15436" s="42">
        <v>44742</v>
      </c>
    </row>
    <row r="15437" spans="1:6" x14ac:dyDescent="0.3">
      <c r="A15437" s="15" t="s">
        <v>34724</v>
      </c>
      <c r="B15437" s="15" t="s">
        <v>28528</v>
      </c>
      <c r="C15437" s="15" t="s">
        <v>800</v>
      </c>
      <c r="D15437" s="15" t="s">
        <v>28529</v>
      </c>
      <c r="E15437" s="15">
        <v>12.9724</v>
      </c>
      <c r="F15437" s="42">
        <v>44742</v>
      </c>
    </row>
    <row r="15438" spans="1:6" x14ac:dyDescent="0.3">
      <c r="A15438" s="15" t="s">
        <v>34723</v>
      </c>
      <c r="B15438" s="15" t="s">
        <v>28530</v>
      </c>
      <c r="C15438" s="15" t="s">
        <v>800</v>
      </c>
      <c r="D15438" s="15" t="s">
        <v>28531</v>
      </c>
      <c r="E15438" s="15">
        <v>12.757</v>
      </c>
      <c r="F15438" s="42">
        <v>44742</v>
      </c>
    </row>
    <row r="15439" spans="1:6" x14ac:dyDescent="0.3">
      <c r="A15439" s="15" t="s">
        <v>34722</v>
      </c>
      <c r="B15439" s="15" t="s">
        <v>28532</v>
      </c>
      <c r="C15439" s="15" t="s">
        <v>800</v>
      </c>
      <c r="D15439" s="15" t="s">
        <v>28533</v>
      </c>
      <c r="E15439" s="15">
        <v>12.4664</v>
      </c>
      <c r="F15439" s="42">
        <v>44775</v>
      </c>
    </row>
    <row r="15440" spans="1:6" x14ac:dyDescent="0.3">
      <c r="A15440" s="15" t="s">
        <v>34721</v>
      </c>
      <c r="B15440" s="15" t="s">
        <v>28534</v>
      </c>
      <c r="C15440" s="15" t="s">
        <v>800</v>
      </c>
      <c r="D15440" s="15" t="s">
        <v>28535</v>
      </c>
      <c r="E15440" s="15">
        <v>12.3645</v>
      </c>
      <c r="F15440" s="42">
        <v>44775</v>
      </c>
    </row>
    <row r="15441" spans="1:6" x14ac:dyDescent="0.3">
      <c r="A15441" s="15" t="s">
        <v>34720</v>
      </c>
      <c r="B15441" s="15" t="s">
        <v>28536</v>
      </c>
      <c r="C15441" s="15" t="s">
        <v>800</v>
      </c>
      <c r="D15441" s="15" t="s">
        <v>28537</v>
      </c>
      <c r="E15441" s="15">
        <v>12.4664</v>
      </c>
      <c r="F15441" s="42">
        <v>44775</v>
      </c>
    </row>
    <row r="15442" spans="1:6" x14ac:dyDescent="0.3">
      <c r="A15442" s="15" t="s">
        <v>34719</v>
      </c>
      <c r="B15442" s="15" t="s">
        <v>28538</v>
      </c>
      <c r="C15442" s="15" t="s">
        <v>800</v>
      </c>
      <c r="D15442" s="15" t="s">
        <v>28539</v>
      </c>
      <c r="E15442" s="15">
        <v>12.3645</v>
      </c>
      <c r="F15442" s="42">
        <v>44775</v>
      </c>
    </row>
    <row r="15443" spans="1:6" x14ac:dyDescent="0.3">
      <c r="A15443" s="15" t="s">
        <v>34718</v>
      </c>
      <c r="B15443" s="15" t="s">
        <v>28540</v>
      </c>
      <c r="C15443" s="15" t="s">
        <v>800</v>
      </c>
      <c r="D15443" s="15" t="s">
        <v>28541</v>
      </c>
      <c r="E15443" s="15">
        <v>12.9474</v>
      </c>
      <c r="F15443" s="42">
        <v>44774</v>
      </c>
    </row>
    <row r="15444" spans="1:6" x14ac:dyDescent="0.3">
      <c r="A15444" s="15" t="s">
        <v>34717</v>
      </c>
      <c r="B15444" s="15" t="s">
        <v>28542</v>
      </c>
      <c r="C15444" s="15" t="s">
        <v>800</v>
      </c>
      <c r="D15444" s="15" t="s">
        <v>28543</v>
      </c>
      <c r="E15444" s="15">
        <v>12.7315</v>
      </c>
      <c r="F15444" s="42">
        <v>44774</v>
      </c>
    </row>
    <row r="15445" spans="1:6" x14ac:dyDescent="0.3">
      <c r="A15445" s="15" t="s">
        <v>34716</v>
      </c>
      <c r="B15445" s="15" t="s">
        <v>28544</v>
      </c>
      <c r="C15445" s="15" t="s">
        <v>800</v>
      </c>
      <c r="D15445" s="15" t="s">
        <v>28545</v>
      </c>
      <c r="E15445" s="15">
        <v>12.9474</v>
      </c>
      <c r="F15445" s="42">
        <v>44774</v>
      </c>
    </row>
    <row r="15446" spans="1:6" x14ac:dyDescent="0.3">
      <c r="A15446" s="15" t="s">
        <v>34715</v>
      </c>
      <c r="B15446" s="15" t="s">
        <v>28546</v>
      </c>
      <c r="C15446" s="15" t="s">
        <v>800</v>
      </c>
      <c r="D15446" s="15" t="s">
        <v>28547</v>
      </c>
      <c r="E15446" s="15">
        <v>12.7315</v>
      </c>
      <c r="F15446" s="42">
        <v>44774</v>
      </c>
    </row>
    <row r="15447" spans="1:6" x14ac:dyDescent="0.3">
      <c r="A15447" s="15" t="s">
        <v>34714</v>
      </c>
      <c r="B15447" s="15" t="s">
        <v>28548</v>
      </c>
      <c r="C15447" s="15" t="s">
        <v>800</v>
      </c>
      <c r="D15447" s="15" t="s">
        <v>28549</v>
      </c>
      <c r="E15447" s="15">
        <v>13.102600000000001</v>
      </c>
      <c r="F15447" s="42">
        <v>44727</v>
      </c>
    </row>
    <row r="15448" spans="1:6" x14ac:dyDescent="0.3">
      <c r="A15448" s="15" t="s">
        <v>34713</v>
      </c>
      <c r="B15448" s="15" t="s">
        <v>28550</v>
      </c>
      <c r="C15448" s="15" t="s">
        <v>800</v>
      </c>
      <c r="D15448" s="15" t="s">
        <v>28551</v>
      </c>
      <c r="E15448" s="15">
        <v>12.851900000000001</v>
      </c>
      <c r="F15448" s="42">
        <v>44727</v>
      </c>
    </row>
    <row r="15449" spans="1:6" x14ac:dyDescent="0.3">
      <c r="A15449" s="15" t="s">
        <v>34712</v>
      </c>
      <c r="B15449" s="15" t="s">
        <v>28552</v>
      </c>
      <c r="C15449" s="15" t="s">
        <v>800</v>
      </c>
      <c r="D15449" s="15" t="s">
        <v>28553</v>
      </c>
      <c r="E15449" s="15">
        <v>13.102600000000001</v>
      </c>
      <c r="F15449" s="42">
        <v>44727</v>
      </c>
    </row>
    <row r="15450" spans="1:6" x14ac:dyDescent="0.3">
      <c r="A15450" s="15" t="s">
        <v>34711</v>
      </c>
      <c r="B15450" s="15" t="s">
        <v>28554</v>
      </c>
      <c r="C15450" s="15" t="s">
        <v>800</v>
      </c>
      <c r="D15450" s="15" t="s">
        <v>28555</v>
      </c>
      <c r="E15450" s="15">
        <v>12.852</v>
      </c>
      <c r="F15450" s="42">
        <v>44727</v>
      </c>
    </row>
    <row r="15451" spans="1:6" x14ac:dyDescent="0.3">
      <c r="A15451" s="15" t="s">
        <v>34710</v>
      </c>
      <c r="B15451" s="15" t="s">
        <v>28556</v>
      </c>
      <c r="C15451" s="15" t="s">
        <v>800</v>
      </c>
      <c r="D15451" s="15" t="s">
        <v>28557</v>
      </c>
      <c r="E15451" s="15">
        <v>10</v>
      </c>
      <c r="F15451" s="42">
        <v>42493</v>
      </c>
    </row>
    <row r="15452" spans="1:6" x14ac:dyDescent="0.3">
      <c r="A15452" s="15" t="s">
        <v>34709</v>
      </c>
      <c r="B15452" s="15" t="s">
        <v>28558</v>
      </c>
      <c r="C15452" s="15" t="s">
        <v>800</v>
      </c>
      <c r="D15452" s="15" t="s">
        <v>28559</v>
      </c>
      <c r="E15452" s="15">
        <v>18.1935</v>
      </c>
      <c r="F15452" s="42">
        <v>44060</v>
      </c>
    </row>
    <row r="15453" spans="1:6" x14ac:dyDescent="0.3">
      <c r="A15453" s="15" t="s">
        <v>34708</v>
      </c>
      <c r="B15453" s="15" t="s">
        <v>28560</v>
      </c>
      <c r="C15453" s="15" t="s">
        <v>800</v>
      </c>
      <c r="D15453" s="15" t="s">
        <v>28561</v>
      </c>
      <c r="E15453" s="15">
        <v>10</v>
      </c>
      <c r="F15453" s="42">
        <v>43264</v>
      </c>
    </row>
    <row r="15454" spans="1:6" x14ac:dyDescent="0.3">
      <c r="A15454" s="15" t="s">
        <v>34707</v>
      </c>
      <c r="B15454" s="15" t="s">
        <v>28562</v>
      </c>
      <c r="C15454" s="15" t="s">
        <v>800</v>
      </c>
      <c r="D15454" s="15" t="s">
        <v>28563</v>
      </c>
      <c r="E15454" s="15">
        <v>17.719000000000001</v>
      </c>
      <c r="F15454" s="42">
        <v>44060</v>
      </c>
    </row>
    <row r="15455" spans="1:6" x14ac:dyDescent="0.3">
      <c r="A15455" s="15" t="s">
        <v>34706</v>
      </c>
      <c r="B15455" s="15" t="s">
        <v>28564</v>
      </c>
      <c r="C15455" s="15" t="s">
        <v>800</v>
      </c>
      <c r="D15455" s="15" t="s">
        <v>28565</v>
      </c>
      <c r="E15455" s="15">
        <v>13.0954</v>
      </c>
      <c r="F15455" s="42">
        <v>44680</v>
      </c>
    </row>
    <row r="15456" spans="1:6" x14ac:dyDescent="0.3">
      <c r="A15456" s="15" t="s">
        <v>34705</v>
      </c>
      <c r="B15456" s="15" t="s">
        <v>28566</v>
      </c>
      <c r="C15456" s="15" t="s">
        <v>800</v>
      </c>
      <c r="D15456" s="15" t="s">
        <v>28567</v>
      </c>
      <c r="E15456" s="15">
        <v>13.0954</v>
      </c>
      <c r="F15456" s="42">
        <v>44680</v>
      </c>
    </row>
    <row r="15457" spans="1:6" x14ac:dyDescent="0.3">
      <c r="A15457" s="15" t="s">
        <v>34704</v>
      </c>
      <c r="B15457" s="15" t="s">
        <v>28568</v>
      </c>
      <c r="C15457" s="15" t="s">
        <v>800</v>
      </c>
      <c r="D15457" s="15" t="s">
        <v>28569</v>
      </c>
      <c r="E15457" s="15">
        <v>13.207599999999999</v>
      </c>
      <c r="F15457" s="42">
        <v>44680</v>
      </c>
    </row>
    <row r="15458" spans="1:6" x14ac:dyDescent="0.3">
      <c r="A15458" s="15" t="s">
        <v>34703</v>
      </c>
      <c r="B15458" s="15" t="s">
        <v>28570</v>
      </c>
      <c r="C15458" s="15" t="s">
        <v>800</v>
      </c>
      <c r="D15458" s="15" t="s">
        <v>28571</v>
      </c>
      <c r="E15458" s="15">
        <v>13.1755</v>
      </c>
      <c r="F15458" s="42">
        <v>44683</v>
      </c>
    </row>
    <row r="15459" spans="1:6" x14ac:dyDescent="0.3">
      <c r="A15459" s="15" t="s">
        <v>34702</v>
      </c>
      <c r="B15459" s="15" t="s">
        <v>28572</v>
      </c>
      <c r="C15459" s="15" t="s">
        <v>800</v>
      </c>
      <c r="D15459" s="15" t="s">
        <v>28573</v>
      </c>
      <c r="E15459" s="15">
        <v>13.063000000000001</v>
      </c>
      <c r="F15459" s="42">
        <v>44683</v>
      </c>
    </row>
    <row r="15460" spans="1:6" x14ac:dyDescent="0.3">
      <c r="A15460" s="15" t="s">
        <v>34701</v>
      </c>
      <c r="B15460" s="15" t="s">
        <v>28574</v>
      </c>
      <c r="C15460" s="15" t="s">
        <v>800</v>
      </c>
      <c r="D15460" s="15" t="s">
        <v>28575</v>
      </c>
      <c r="E15460" s="15">
        <v>13.1755</v>
      </c>
      <c r="F15460" s="42">
        <v>44683</v>
      </c>
    </row>
    <row r="15461" spans="1:6" x14ac:dyDescent="0.3">
      <c r="A15461" s="15" t="s">
        <v>34700</v>
      </c>
      <c r="B15461" s="15" t="s">
        <v>28576</v>
      </c>
      <c r="C15461" s="15" t="s">
        <v>800</v>
      </c>
      <c r="D15461" s="15" t="s">
        <v>28577</v>
      </c>
      <c r="E15461" s="15">
        <v>13.063000000000001</v>
      </c>
      <c r="F15461" s="42">
        <v>44683</v>
      </c>
    </row>
    <row r="15462" spans="1:6" x14ac:dyDescent="0.3">
      <c r="A15462" s="15" t="s">
        <v>34699</v>
      </c>
      <c r="B15462" s="15" t="s">
        <v>28578</v>
      </c>
      <c r="C15462" s="15" t="s">
        <v>800</v>
      </c>
      <c r="D15462" s="15" t="s">
        <v>28579</v>
      </c>
      <c r="E15462" s="15">
        <v>12.733000000000001</v>
      </c>
      <c r="F15462" s="42">
        <v>44680</v>
      </c>
    </row>
    <row r="15463" spans="1:6" x14ac:dyDescent="0.3">
      <c r="A15463" s="15" t="s">
        <v>34698</v>
      </c>
      <c r="B15463" s="15" t="s">
        <v>28580</v>
      </c>
      <c r="C15463" s="15" t="s">
        <v>800</v>
      </c>
      <c r="D15463" s="15" t="s">
        <v>28581</v>
      </c>
      <c r="E15463" s="15">
        <v>12.8378</v>
      </c>
      <c r="F15463" s="42">
        <v>44680</v>
      </c>
    </row>
    <row r="15464" spans="1:6" x14ac:dyDescent="0.3">
      <c r="A15464" s="15" t="s">
        <v>34697</v>
      </c>
      <c r="B15464" s="15" t="s">
        <v>28582</v>
      </c>
      <c r="C15464" s="15" t="s">
        <v>800</v>
      </c>
      <c r="D15464" s="15" t="s">
        <v>28583</v>
      </c>
      <c r="E15464" s="15">
        <v>12.733000000000001</v>
      </c>
      <c r="F15464" s="42">
        <v>44680</v>
      </c>
    </row>
    <row r="15465" spans="1:6" x14ac:dyDescent="0.3">
      <c r="A15465" s="15" t="s">
        <v>34696</v>
      </c>
      <c r="B15465" s="15" t="s">
        <v>28584</v>
      </c>
      <c r="C15465" s="15" t="s">
        <v>800</v>
      </c>
      <c r="D15465" s="15" t="s">
        <v>28585</v>
      </c>
      <c r="E15465" s="15">
        <v>13.238200000000001</v>
      </c>
      <c r="F15465" s="42">
        <v>44711</v>
      </c>
    </row>
    <row r="15466" spans="1:6" x14ac:dyDescent="0.3">
      <c r="A15466" s="15" t="s">
        <v>34695</v>
      </c>
      <c r="B15466" s="15" t="s">
        <v>28586</v>
      </c>
      <c r="C15466" s="15" t="s">
        <v>800</v>
      </c>
      <c r="D15466" s="15" t="s">
        <v>28587</v>
      </c>
      <c r="E15466" s="15">
        <v>12.9764</v>
      </c>
      <c r="F15466" s="42">
        <v>44711</v>
      </c>
    </row>
    <row r="15467" spans="1:6" x14ac:dyDescent="0.3">
      <c r="A15467" s="15" t="s">
        <v>34694</v>
      </c>
      <c r="B15467" s="15" t="s">
        <v>28588</v>
      </c>
      <c r="C15467" s="15" t="s">
        <v>800</v>
      </c>
      <c r="D15467" s="15" t="s">
        <v>28589</v>
      </c>
      <c r="E15467" s="15">
        <v>13.238200000000001</v>
      </c>
      <c r="F15467" s="42">
        <v>44711</v>
      </c>
    </row>
    <row r="15468" spans="1:6" x14ac:dyDescent="0.3">
      <c r="A15468" s="15" t="s">
        <v>34693</v>
      </c>
      <c r="B15468" s="15" t="s">
        <v>28590</v>
      </c>
      <c r="C15468" s="15" t="s">
        <v>800</v>
      </c>
      <c r="D15468" s="15" t="s">
        <v>28591</v>
      </c>
      <c r="E15468" s="15">
        <v>12.9764</v>
      </c>
      <c r="F15468" s="42">
        <v>44711</v>
      </c>
    </row>
    <row r="15469" spans="1:6" x14ac:dyDescent="0.3">
      <c r="A15469" s="15" t="s">
        <v>34692</v>
      </c>
      <c r="B15469" s="15" t="s">
        <v>28592</v>
      </c>
      <c r="C15469" s="15" t="s">
        <v>800</v>
      </c>
      <c r="D15469" s="15" t="s">
        <v>28593</v>
      </c>
      <c r="E15469" s="15">
        <v>10.774900000000001</v>
      </c>
      <c r="F15469" s="42">
        <v>43728</v>
      </c>
    </row>
    <row r="15470" spans="1:6" x14ac:dyDescent="0.3">
      <c r="A15470" s="15" t="s">
        <v>34691</v>
      </c>
      <c r="B15470" s="15" t="s">
        <v>28594</v>
      </c>
      <c r="C15470" s="15" t="s">
        <v>800</v>
      </c>
      <c r="D15470" s="15" t="s">
        <v>28595</v>
      </c>
      <c r="E15470" s="15">
        <v>12.7453</v>
      </c>
      <c r="F15470" s="42">
        <v>44683</v>
      </c>
    </row>
    <row r="15471" spans="1:6" x14ac:dyDescent="0.3">
      <c r="A15471" s="15" t="s">
        <v>34690</v>
      </c>
      <c r="B15471" s="15" t="s">
        <v>28596</v>
      </c>
      <c r="C15471" s="15" t="s">
        <v>800</v>
      </c>
      <c r="D15471" s="15" t="s">
        <v>28597</v>
      </c>
      <c r="E15471" s="15">
        <v>12.8605</v>
      </c>
      <c r="F15471" s="42">
        <v>44683</v>
      </c>
    </row>
    <row r="15472" spans="1:6" x14ac:dyDescent="0.3">
      <c r="A15472" s="15" t="s">
        <v>34689</v>
      </c>
      <c r="B15472" s="15" t="s">
        <v>28598</v>
      </c>
      <c r="C15472" s="15" t="s">
        <v>800</v>
      </c>
      <c r="D15472" s="15" t="s">
        <v>28599</v>
      </c>
      <c r="E15472" s="15">
        <v>12.7453</v>
      </c>
      <c r="F15472" s="42">
        <v>44683</v>
      </c>
    </row>
    <row r="15473" spans="1:6" x14ac:dyDescent="0.3">
      <c r="A15473" s="15" t="s">
        <v>34688</v>
      </c>
      <c r="B15473" s="15" t="s">
        <v>28600</v>
      </c>
      <c r="C15473" s="15" t="s">
        <v>800</v>
      </c>
      <c r="D15473" s="15" t="s">
        <v>28601</v>
      </c>
      <c r="E15473" s="15">
        <v>12.6745</v>
      </c>
      <c r="F15473" s="42">
        <v>44685</v>
      </c>
    </row>
    <row r="15474" spans="1:6" x14ac:dyDescent="0.3">
      <c r="A15474" s="15" t="s">
        <v>34687</v>
      </c>
      <c r="B15474" s="15" t="s">
        <v>28602</v>
      </c>
      <c r="C15474" s="15" t="s">
        <v>800</v>
      </c>
      <c r="D15474" s="15" t="s">
        <v>28603</v>
      </c>
      <c r="E15474" s="15">
        <v>12.7814</v>
      </c>
      <c r="F15474" s="42">
        <v>44685</v>
      </c>
    </row>
    <row r="15475" spans="1:6" x14ac:dyDescent="0.3">
      <c r="A15475" s="15" t="s">
        <v>34686</v>
      </c>
      <c r="B15475" s="15" t="s">
        <v>28604</v>
      </c>
      <c r="C15475" s="15" t="s">
        <v>800</v>
      </c>
      <c r="D15475" s="15" t="s">
        <v>28605</v>
      </c>
      <c r="E15475" s="15">
        <v>12.6745</v>
      </c>
      <c r="F15475" s="42">
        <v>44685</v>
      </c>
    </row>
    <row r="15476" spans="1:6" x14ac:dyDescent="0.3">
      <c r="A15476" s="15" t="s">
        <v>34685</v>
      </c>
      <c r="B15476" s="15" t="s">
        <v>28606</v>
      </c>
      <c r="C15476" s="15" t="s">
        <v>800</v>
      </c>
      <c r="D15476" s="15" t="s">
        <v>28607</v>
      </c>
      <c r="E15476" s="15">
        <v>13.3025</v>
      </c>
      <c r="F15476" s="42">
        <v>44727</v>
      </c>
    </row>
    <row r="15477" spans="1:6" x14ac:dyDescent="0.3">
      <c r="A15477" s="15" t="s">
        <v>34684</v>
      </c>
      <c r="B15477" s="15" t="s">
        <v>28608</v>
      </c>
      <c r="C15477" s="15" t="s">
        <v>800</v>
      </c>
      <c r="D15477" s="15" t="s">
        <v>28609</v>
      </c>
      <c r="E15477" s="15">
        <v>13.0405</v>
      </c>
      <c r="F15477" s="42">
        <v>44727</v>
      </c>
    </row>
    <row r="15478" spans="1:6" x14ac:dyDescent="0.3">
      <c r="A15478" s="15" t="s">
        <v>34683</v>
      </c>
      <c r="B15478" s="15" t="s">
        <v>28610</v>
      </c>
      <c r="C15478" s="15" t="s">
        <v>800</v>
      </c>
      <c r="D15478" s="15" t="s">
        <v>28611</v>
      </c>
      <c r="E15478" s="15">
        <v>13.3025</v>
      </c>
      <c r="F15478" s="42">
        <v>44727</v>
      </c>
    </row>
    <row r="15479" spans="1:6" x14ac:dyDescent="0.3">
      <c r="A15479" s="15" t="s">
        <v>34682</v>
      </c>
      <c r="B15479" s="15" t="s">
        <v>28612</v>
      </c>
      <c r="C15479" s="15" t="s">
        <v>800</v>
      </c>
      <c r="D15479" s="15" t="s">
        <v>28613</v>
      </c>
      <c r="E15479" s="15">
        <v>13.0405</v>
      </c>
      <c r="F15479" s="42">
        <v>44727</v>
      </c>
    </row>
    <row r="15480" spans="1:6" x14ac:dyDescent="0.3">
      <c r="A15480" s="15" t="s">
        <v>34681</v>
      </c>
      <c r="B15480" s="15" t="s">
        <v>28614</v>
      </c>
      <c r="C15480" s="15" t="s">
        <v>800</v>
      </c>
      <c r="D15480" s="15" t="s">
        <v>28615</v>
      </c>
      <c r="E15480" s="15">
        <v>10.696400000000001</v>
      </c>
      <c r="F15480" s="42">
        <v>43732</v>
      </c>
    </row>
    <row r="15481" spans="1:6" x14ac:dyDescent="0.3">
      <c r="A15481" s="15" t="s">
        <v>34680</v>
      </c>
      <c r="B15481" s="15" t="s">
        <v>28616</v>
      </c>
      <c r="C15481" s="15" t="s">
        <v>800</v>
      </c>
      <c r="D15481" s="15" t="s">
        <v>28617</v>
      </c>
      <c r="E15481" s="15">
        <v>12.709300000000001</v>
      </c>
      <c r="F15481" s="42">
        <v>44683</v>
      </c>
    </row>
    <row r="15482" spans="1:6" x14ac:dyDescent="0.3">
      <c r="A15482" s="15" t="s">
        <v>34679</v>
      </c>
      <c r="B15482" s="15" t="s">
        <v>28618</v>
      </c>
      <c r="C15482" s="15" t="s">
        <v>800</v>
      </c>
      <c r="D15482" s="15" t="s">
        <v>28619</v>
      </c>
      <c r="E15482" s="15">
        <v>12.6081</v>
      </c>
      <c r="F15482" s="42">
        <v>44683</v>
      </c>
    </row>
    <row r="15483" spans="1:6" x14ac:dyDescent="0.3">
      <c r="A15483" s="15" t="s">
        <v>34678</v>
      </c>
      <c r="B15483" s="15" t="s">
        <v>28620</v>
      </c>
      <c r="C15483" s="15" t="s">
        <v>800</v>
      </c>
      <c r="D15483" s="15" t="s">
        <v>28621</v>
      </c>
      <c r="E15483" s="15">
        <v>13.1486</v>
      </c>
      <c r="F15483" s="42">
        <v>44727</v>
      </c>
    </row>
    <row r="15484" spans="1:6" x14ac:dyDescent="0.3">
      <c r="A15484" s="15" t="s">
        <v>34677</v>
      </c>
      <c r="B15484" s="15" t="s">
        <v>28622</v>
      </c>
      <c r="C15484" s="15" t="s">
        <v>800</v>
      </c>
      <c r="D15484" s="15" t="s">
        <v>28623</v>
      </c>
      <c r="E15484" s="15">
        <v>12.8949</v>
      </c>
      <c r="F15484" s="42">
        <v>44727</v>
      </c>
    </row>
    <row r="15485" spans="1:6" x14ac:dyDescent="0.3">
      <c r="A15485" s="15" t="s">
        <v>34676</v>
      </c>
      <c r="B15485" s="15" t="s">
        <v>28624</v>
      </c>
      <c r="C15485" s="15" t="s">
        <v>800</v>
      </c>
      <c r="D15485" s="15" t="s">
        <v>28625</v>
      </c>
      <c r="E15485" s="15">
        <v>13.1486</v>
      </c>
      <c r="F15485" s="42">
        <v>44727</v>
      </c>
    </row>
    <row r="15486" spans="1:6" x14ac:dyDescent="0.3">
      <c r="A15486" s="15" t="s">
        <v>34675</v>
      </c>
      <c r="B15486" s="15" t="s">
        <v>28626</v>
      </c>
      <c r="C15486" s="15" t="s">
        <v>800</v>
      </c>
      <c r="D15486" s="15" t="s">
        <v>28627</v>
      </c>
      <c r="E15486" s="15">
        <v>12.8949</v>
      </c>
      <c r="F15486" s="42">
        <v>44727</v>
      </c>
    </row>
    <row r="15487" spans="1:6" x14ac:dyDescent="0.3">
      <c r="A15487" s="15" t="s">
        <v>34674</v>
      </c>
      <c r="B15487" s="15" t="s">
        <v>28628</v>
      </c>
      <c r="C15487" s="15" t="s">
        <v>800</v>
      </c>
      <c r="D15487" s="15" t="s">
        <v>28629</v>
      </c>
      <c r="E15487" s="15">
        <v>13.1128</v>
      </c>
      <c r="F15487" s="42">
        <v>44680</v>
      </c>
    </row>
    <row r="15488" spans="1:6" x14ac:dyDescent="0.3">
      <c r="A15488" s="15" t="s">
        <v>34673</v>
      </c>
      <c r="B15488" s="15" t="s">
        <v>28630</v>
      </c>
      <c r="C15488" s="15" t="s">
        <v>800</v>
      </c>
      <c r="D15488" s="15" t="s">
        <v>28631</v>
      </c>
      <c r="E15488" s="15">
        <v>13.0014</v>
      </c>
      <c r="F15488" s="42">
        <v>44680</v>
      </c>
    </row>
    <row r="15489" spans="1:6" x14ac:dyDescent="0.3">
      <c r="A15489" s="15" t="s">
        <v>34672</v>
      </c>
      <c r="B15489" s="15" t="s">
        <v>28632</v>
      </c>
      <c r="C15489" s="15" t="s">
        <v>800</v>
      </c>
      <c r="D15489" s="15" t="s">
        <v>28633</v>
      </c>
      <c r="E15489" s="15">
        <v>13.1128</v>
      </c>
      <c r="F15489" s="42">
        <v>44680</v>
      </c>
    </row>
    <row r="15490" spans="1:6" x14ac:dyDescent="0.3">
      <c r="A15490" s="15" t="s">
        <v>34671</v>
      </c>
      <c r="B15490" s="15" t="s">
        <v>28634</v>
      </c>
      <c r="C15490" s="15" t="s">
        <v>800</v>
      </c>
      <c r="D15490" s="15" t="s">
        <v>28635</v>
      </c>
      <c r="E15490" s="15">
        <v>13.0014</v>
      </c>
      <c r="F15490" s="42">
        <v>44680</v>
      </c>
    </row>
    <row r="15491" spans="1:6" x14ac:dyDescent="0.3">
      <c r="A15491" s="15" t="s">
        <v>34670</v>
      </c>
      <c r="B15491" s="15" t="s">
        <v>28636</v>
      </c>
      <c r="C15491" s="15" t="s">
        <v>800</v>
      </c>
      <c r="D15491" s="15" t="s">
        <v>28637</v>
      </c>
      <c r="E15491" s="15">
        <v>13.029299999999999</v>
      </c>
      <c r="F15491" s="42">
        <v>44712</v>
      </c>
    </row>
    <row r="15492" spans="1:6" x14ac:dyDescent="0.3">
      <c r="A15492" s="15" t="s">
        <v>34669</v>
      </c>
      <c r="B15492" s="15" t="s">
        <v>28638</v>
      </c>
      <c r="C15492" s="15" t="s">
        <v>800</v>
      </c>
      <c r="D15492" s="15" t="s">
        <v>28639</v>
      </c>
      <c r="E15492" s="15">
        <v>12.761200000000001</v>
      </c>
      <c r="F15492" s="42">
        <v>44712</v>
      </c>
    </row>
    <row r="15493" spans="1:6" x14ac:dyDescent="0.3">
      <c r="A15493" s="15" t="s">
        <v>34668</v>
      </c>
      <c r="B15493" s="15" t="s">
        <v>28640</v>
      </c>
      <c r="C15493" s="15" t="s">
        <v>800</v>
      </c>
      <c r="D15493" s="15" t="s">
        <v>28641</v>
      </c>
      <c r="E15493" s="15">
        <v>13.029299999999999</v>
      </c>
      <c r="F15493" s="42">
        <v>44712</v>
      </c>
    </row>
    <row r="15494" spans="1:6" x14ac:dyDescent="0.3">
      <c r="A15494" s="15" t="s">
        <v>34667</v>
      </c>
      <c r="B15494" s="15" t="s">
        <v>28642</v>
      </c>
      <c r="C15494" s="15" t="s">
        <v>800</v>
      </c>
      <c r="D15494" s="15" t="s">
        <v>28643</v>
      </c>
      <c r="E15494" s="15">
        <v>12.761200000000001</v>
      </c>
      <c r="F15494" s="42">
        <v>44712</v>
      </c>
    </row>
    <row r="15495" spans="1:6" x14ac:dyDescent="0.3">
      <c r="A15495" s="15" t="s">
        <v>34666</v>
      </c>
      <c r="B15495" s="15" t="s">
        <v>28644</v>
      </c>
      <c r="C15495" s="15" t="s">
        <v>800</v>
      </c>
      <c r="D15495" s="15" t="s">
        <v>28645</v>
      </c>
      <c r="E15495" s="15">
        <v>13.068899999999999</v>
      </c>
      <c r="F15495" s="42">
        <v>44680</v>
      </c>
    </row>
    <row r="15496" spans="1:6" x14ac:dyDescent="0.3">
      <c r="A15496" s="15" t="s">
        <v>34665</v>
      </c>
      <c r="B15496" s="15" t="s">
        <v>28646</v>
      </c>
      <c r="C15496" s="15" t="s">
        <v>800</v>
      </c>
      <c r="D15496" s="15" t="s">
        <v>28647</v>
      </c>
      <c r="E15496" s="15">
        <v>10.9407</v>
      </c>
      <c r="F15496" s="42">
        <v>43705</v>
      </c>
    </row>
    <row r="15497" spans="1:6" x14ac:dyDescent="0.3">
      <c r="A15497" s="15" t="s">
        <v>34664</v>
      </c>
      <c r="B15497" s="15" t="s">
        <v>28648</v>
      </c>
      <c r="C15497" s="15" t="s">
        <v>800</v>
      </c>
      <c r="D15497" s="15" t="s">
        <v>28649</v>
      </c>
      <c r="E15497" s="15">
        <v>13.068899999999999</v>
      </c>
      <c r="F15497" s="42">
        <v>44680</v>
      </c>
    </row>
    <row r="15498" spans="1:6" x14ac:dyDescent="0.3">
      <c r="A15498" s="15" t="s">
        <v>34663</v>
      </c>
      <c r="B15498" s="15" t="s">
        <v>28650</v>
      </c>
      <c r="C15498" s="15" t="s">
        <v>800</v>
      </c>
      <c r="D15498" s="15" t="s">
        <v>28651</v>
      </c>
      <c r="E15498" s="15">
        <v>12.9588</v>
      </c>
      <c r="F15498" s="42">
        <v>44680</v>
      </c>
    </row>
    <row r="15499" spans="1:6" x14ac:dyDescent="0.3">
      <c r="A15499" s="15" t="s">
        <v>34662</v>
      </c>
      <c r="B15499" s="15" t="s">
        <v>28652</v>
      </c>
      <c r="C15499" s="15" t="s">
        <v>800</v>
      </c>
      <c r="D15499" s="15" t="s">
        <v>28653</v>
      </c>
      <c r="E15499" s="15">
        <v>13.038600000000001</v>
      </c>
      <c r="F15499" s="42">
        <v>44683</v>
      </c>
    </row>
    <row r="15500" spans="1:6" x14ac:dyDescent="0.3">
      <c r="A15500" s="15" t="s">
        <v>34661</v>
      </c>
      <c r="B15500" s="15" t="s">
        <v>28654</v>
      </c>
      <c r="C15500" s="15" t="s">
        <v>800</v>
      </c>
      <c r="D15500" s="15" t="s">
        <v>28655</v>
      </c>
      <c r="E15500" s="15">
        <v>12.9292</v>
      </c>
      <c r="F15500" s="42">
        <v>44683</v>
      </c>
    </row>
    <row r="15501" spans="1:6" x14ac:dyDescent="0.3">
      <c r="A15501" s="15" t="s">
        <v>34660</v>
      </c>
      <c r="B15501" s="15" t="s">
        <v>28656</v>
      </c>
      <c r="C15501" s="15" t="s">
        <v>800</v>
      </c>
      <c r="D15501" s="15" t="s">
        <v>28657</v>
      </c>
      <c r="E15501" s="15">
        <v>13.038500000000001</v>
      </c>
      <c r="F15501" s="42">
        <v>44683</v>
      </c>
    </row>
    <row r="15502" spans="1:6" x14ac:dyDescent="0.3">
      <c r="A15502" s="15" t="s">
        <v>34659</v>
      </c>
      <c r="B15502" s="15" t="s">
        <v>28658</v>
      </c>
      <c r="C15502" s="15" t="s">
        <v>800</v>
      </c>
      <c r="D15502" s="15" t="s">
        <v>28659</v>
      </c>
      <c r="E15502" s="15">
        <v>12.9292</v>
      </c>
      <c r="F15502" s="42">
        <v>44683</v>
      </c>
    </row>
    <row r="15503" spans="1:6" x14ac:dyDescent="0.3">
      <c r="A15503" s="15" t="s">
        <v>34658</v>
      </c>
      <c r="B15503" s="15" t="s">
        <v>28660</v>
      </c>
      <c r="C15503" s="15" t="s">
        <v>800</v>
      </c>
      <c r="D15503" s="15" t="s">
        <v>28661</v>
      </c>
      <c r="E15503" s="15">
        <v>12.943199999999999</v>
      </c>
      <c r="F15503" s="42">
        <v>44680</v>
      </c>
    </row>
    <row r="15504" spans="1:6" x14ac:dyDescent="0.3">
      <c r="A15504" s="15" t="s">
        <v>34657</v>
      </c>
      <c r="B15504" s="15" t="s">
        <v>28662</v>
      </c>
      <c r="C15504" s="15" t="s">
        <v>800</v>
      </c>
      <c r="D15504" s="15" t="s">
        <v>28663</v>
      </c>
      <c r="E15504" s="15">
        <v>12.835100000000001</v>
      </c>
      <c r="F15504" s="42">
        <v>44680</v>
      </c>
    </row>
    <row r="15505" spans="1:6" x14ac:dyDescent="0.3">
      <c r="A15505" s="15" t="s">
        <v>34656</v>
      </c>
      <c r="B15505" s="15" t="s">
        <v>28664</v>
      </c>
      <c r="C15505" s="15" t="s">
        <v>800</v>
      </c>
      <c r="D15505" s="15" t="s">
        <v>28665</v>
      </c>
      <c r="E15505" s="15">
        <v>12.943199999999999</v>
      </c>
      <c r="F15505" s="42">
        <v>44680</v>
      </c>
    </row>
    <row r="15506" spans="1:6" x14ac:dyDescent="0.3">
      <c r="A15506" s="15" t="s">
        <v>34655</v>
      </c>
      <c r="B15506" s="15" t="s">
        <v>28666</v>
      </c>
      <c r="C15506" s="15" t="s">
        <v>800</v>
      </c>
      <c r="D15506" s="15" t="s">
        <v>28667</v>
      </c>
      <c r="E15506" s="15">
        <v>12.835100000000001</v>
      </c>
      <c r="F15506" s="42">
        <v>44680</v>
      </c>
    </row>
    <row r="15507" spans="1:6" x14ac:dyDescent="0.3">
      <c r="A15507" s="15" t="s">
        <v>34654</v>
      </c>
      <c r="B15507" s="15" t="s">
        <v>28668</v>
      </c>
      <c r="C15507" s="15" t="s">
        <v>800</v>
      </c>
      <c r="D15507" s="15" t="s">
        <v>28669</v>
      </c>
      <c r="E15507" s="15">
        <v>12.941800000000001</v>
      </c>
      <c r="F15507" s="42">
        <v>44679</v>
      </c>
    </row>
    <row r="15508" spans="1:6" x14ac:dyDescent="0.3">
      <c r="A15508" s="15" t="s">
        <v>34653</v>
      </c>
      <c r="B15508" s="15" t="s">
        <v>28670</v>
      </c>
      <c r="C15508" s="15" t="s">
        <v>800</v>
      </c>
      <c r="D15508" s="15" t="s">
        <v>28671</v>
      </c>
      <c r="E15508" s="15">
        <v>12.8344</v>
      </c>
      <c r="F15508" s="42">
        <v>44679</v>
      </c>
    </row>
    <row r="15509" spans="1:6" x14ac:dyDescent="0.3">
      <c r="A15509" s="15" t="s">
        <v>34652</v>
      </c>
      <c r="B15509" s="15" t="s">
        <v>28672</v>
      </c>
      <c r="C15509" s="15" t="s">
        <v>800</v>
      </c>
      <c r="D15509" s="15" t="s">
        <v>28673</v>
      </c>
      <c r="E15509" s="15">
        <v>13.1698</v>
      </c>
      <c r="F15509" s="42">
        <v>44711</v>
      </c>
    </row>
    <row r="15510" spans="1:6" x14ac:dyDescent="0.3">
      <c r="A15510" s="15" t="s">
        <v>34651</v>
      </c>
      <c r="B15510" s="15" t="s">
        <v>28674</v>
      </c>
      <c r="C15510" s="15" t="s">
        <v>800</v>
      </c>
      <c r="D15510" s="15" t="s">
        <v>28675</v>
      </c>
      <c r="E15510" s="15">
        <v>12.9422</v>
      </c>
      <c r="F15510" s="42">
        <v>44711</v>
      </c>
    </row>
    <row r="15511" spans="1:6" x14ac:dyDescent="0.3">
      <c r="A15511" s="15" t="s">
        <v>34650</v>
      </c>
      <c r="B15511" s="15" t="s">
        <v>28676</v>
      </c>
      <c r="C15511" s="15" t="s">
        <v>800</v>
      </c>
      <c r="D15511" s="15" t="s">
        <v>28677</v>
      </c>
      <c r="E15511" s="15">
        <v>13.1698</v>
      </c>
      <c r="F15511" s="42">
        <v>44711</v>
      </c>
    </row>
    <row r="15512" spans="1:6" x14ac:dyDescent="0.3">
      <c r="A15512" s="15" t="s">
        <v>34649</v>
      </c>
      <c r="B15512" s="15" t="s">
        <v>28678</v>
      </c>
      <c r="C15512" s="15" t="s">
        <v>800</v>
      </c>
      <c r="D15512" s="15" t="s">
        <v>28679</v>
      </c>
      <c r="E15512" s="15">
        <v>12.9422</v>
      </c>
      <c r="F15512" s="42">
        <v>44711</v>
      </c>
    </row>
    <row r="15513" spans="1:6" x14ac:dyDescent="0.3">
      <c r="A15513" s="15" t="s">
        <v>34648</v>
      </c>
      <c r="B15513" s="15" t="s">
        <v>28680</v>
      </c>
      <c r="C15513" s="15" t="s">
        <v>800</v>
      </c>
      <c r="D15513" s="15" t="s">
        <v>28681</v>
      </c>
      <c r="E15513" s="15">
        <v>10</v>
      </c>
      <c r="F15513" s="42">
        <v>43738</v>
      </c>
    </row>
    <row r="15514" spans="1:6" x14ac:dyDescent="0.3">
      <c r="A15514" s="15" t="s">
        <v>34647</v>
      </c>
      <c r="B15514" s="15" t="s">
        <v>28682</v>
      </c>
      <c r="C15514" s="15" t="s">
        <v>800</v>
      </c>
      <c r="D15514" s="15" t="s">
        <v>28683</v>
      </c>
      <c r="E15514" s="15">
        <v>12.52</v>
      </c>
      <c r="F15514" s="42">
        <v>43738</v>
      </c>
    </row>
    <row r="15515" spans="1:6" x14ac:dyDescent="0.3">
      <c r="A15515" s="15" t="s">
        <v>34646</v>
      </c>
      <c r="B15515" s="15" t="s">
        <v>28684</v>
      </c>
      <c r="C15515" s="15" t="s">
        <v>800</v>
      </c>
      <c r="D15515" s="15" t="s">
        <v>28685</v>
      </c>
      <c r="E15515" s="15">
        <v>10</v>
      </c>
      <c r="F15515" s="42">
        <v>43738</v>
      </c>
    </row>
    <row r="15516" spans="1:6" x14ac:dyDescent="0.3">
      <c r="A15516" s="15" t="s">
        <v>34645</v>
      </c>
      <c r="B15516" s="15" t="s">
        <v>28686</v>
      </c>
      <c r="C15516" s="15" t="s">
        <v>800</v>
      </c>
      <c r="D15516" s="15" t="s">
        <v>28687</v>
      </c>
      <c r="E15516" s="15">
        <v>12.323499999999999</v>
      </c>
      <c r="F15516" s="42">
        <v>43738</v>
      </c>
    </row>
    <row r="15517" spans="1:6" x14ac:dyDescent="0.3">
      <c r="A15517" s="15" t="s">
        <v>34644</v>
      </c>
      <c r="B15517" s="15" t="s">
        <v>28688</v>
      </c>
      <c r="C15517" s="15" t="s">
        <v>800</v>
      </c>
      <c r="D15517" s="15" t="s">
        <v>28689</v>
      </c>
      <c r="E15517" s="15">
        <v>10</v>
      </c>
      <c r="F15517" s="42">
        <v>43760</v>
      </c>
    </row>
    <row r="15518" spans="1:6" x14ac:dyDescent="0.3">
      <c r="A15518" s="15" t="s">
        <v>34643</v>
      </c>
      <c r="B15518" s="15" t="s">
        <v>28690</v>
      </c>
      <c r="C15518" s="15" t="s">
        <v>800</v>
      </c>
      <c r="D15518" s="15" t="s">
        <v>28691</v>
      </c>
      <c r="E15518" s="15">
        <v>12.448600000000001</v>
      </c>
      <c r="F15518" s="42">
        <v>43760</v>
      </c>
    </row>
    <row r="15519" spans="1:6" x14ac:dyDescent="0.3">
      <c r="A15519" s="15" t="s">
        <v>34642</v>
      </c>
      <c r="B15519" s="15" t="s">
        <v>28692</v>
      </c>
      <c r="C15519" s="15" t="s">
        <v>800</v>
      </c>
      <c r="D15519" s="15" t="s">
        <v>28693</v>
      </c>
      <c r="E15519" s="15">
        <v>10</v>
      </c>
      <c r="F15519" s="42">
        <v>43760</v>
      </c>
    </row>
    <row r="15520" spans="1:6" x14ac:dyDescent="0.3">
      <c r="A15520" s="15" t="s">
        <v>34641</v>
      </c>
      <c r="B15520" s="15" t="s">
        <v>28694</v>
      </c>
      <c r="C15520" s="15" t="s">
        <v>800</v>
      </c>
      <c r="D15520" s="15" t="s">
        <v>28695</v>
      </c>
      <c r="E15520" s="15">
        <v>12.3484</v>
      </c>
      <c r="F15520" s="42">
        <v>43760</v>
      </c>
    </row>
    <row r="15521" spans="1:6" x14ac:dyDescent="0.3">
      <c r="A15521" s="15" t="s">
        <v>34640</v>
      </c>
      <c r="B15521" s="15" t="s">
        <v>28696</v>
      </c>
      <c r="C15521" s="15" t="s">
        <v>800</v>
      </c>
      <c r="D15521" s="15" t="s">
        <v>28697</v>
      </c>
      <c r="E15521" s="15">
        <v>10</v>
      </c>
      <c r="F15521" s="42">
        <v>44060</v>
      </c>
    </row>
    <row r="15522" spans="1:6" x14ac:dyDescent="0.3">
      <c r="A15522" s="15" t="s">
        <v>34639</v>
      </c>
      <c r="B15522" s="15" t="s">
        <v>28698</v>
      </c>
      <c r="C15522" s="15" t="s">
        <v>800</v>
      </c>
      <c r="D15522" s="15" t="s">
        <v>28699</v>
      </c>
      <c r="E15522" s="15">
        <v>13.0663</v>
      </c>
      <c r="F15522" s="42">
        <v>44060</v>
      </c>
    </row>
    <row r="15523" spans="1:6" x14ac:dyDescent="0.3">
      <c r="A15523" s="15" t="s">
        <v>34638</v>
      </c>
      <c r="B15523" s="15" t="s">
        <v>28700</v>
      </c>
      <c r="C15523" s="15" t="s">
        <v>800</v>
      </c>
      <c r="D15523" s="15" t="s">
        <v>28701</v>
      </c>
      <c r="E15523" s="15">
        <v>10</v>
      </c>
      <c r="F15523" s="42">
        <v>44060</v>
      </c>
    </row>
    <row r="15524" spans="1:6" x14ac:dyDescent="0.3">
      <c r="A15524" s="15" t="s">
        <v>34637</v>
      </c>
      <c r="B15524" s="15" t="s">
        <v>28702</v>
      </c>
      <c r="C15524" s="15" t="s">
        <v>800</v>
      </c>
      <c r="D15524" s="15" t="s">
        <v>28703</v>
      </c>
      <c r="E15524" s="15">
        <v>12.9186</v>
      </c>
      <c r="F15524" s="42">
        <v>44060</v>
      </c>
    </row>
    <row r="15525" spans="1:6" x14ac:dyDescent="0.3">
      <c r="A15525" s="15" t="s">
        <v>34636</v>
      </c>
      <c r="B15525" s="15" t="s">
        <v>28704</v>
      </c>
      <c r="C15525" s="15" t="s">
        <v>800</v>
      </c>
      <c r="D15525" s="15" t="s">
        <v>28705</v>
      </c>
      <c r="E15525" s="15">
        <v>13.2895</v>
      </c>
      <c r="F15525" s="42">
        <v>44013</v>
      </c>
    </row>
    <row r="15526" spans="1:6" x14ac:dyDescent="0.3">
      <c r="A15526" s="15" t="s">
        <v>34635</v>
      </c>
      <c r="B15526" s="15" t="s">
        <v>28706</v>
      </c>
      <c r="C15526" s="15" t="s">
        <v>800</v>
      </c>
      <c r="D15526" s="15" t="s">
        <v>28707</v>
      </c>
      <c r="E15526" s="15">
        <v>10</v>
      </c>
      <c r="F15526" s="42">
        <v>44013</v>
      </c>
    </row>
    <row r="15527" spans="1:6" x14ac:dyDescent="0.3">
      <c r="A15527" s="15" t="s">
        <v>34634</v>
      </c>
      <c r="B15527" s="15" t="s">
        <v>28708</v>
      </c>
      <c r="C15527" s="15" t="s">
        <v>800</v>
      </c>
      <c r="D15527" s="15" t="s">
        <v>28709</v>
      </c>
      <c r="E15527" s="15">
        <v>10</v>
      </c>
      <c r="F15527" s="42">
        <v>44013</v>
      </c>
    </row>
    <row r="15528" spans="1:6" x14ac:dyDescent="0.3">
      <c r="A15528" s="15" t="s">
        <v>34633</v>
      </c>
      <c r="B15528" s="15" t="s">
        <v>28710</v>
      </c>
      <c r="C15528" s="15" t="s">
        <v>800</v>
      </c>
      <c r="D15528" s="15" t="s">
        <v>28711</v>
      </c>
      <c r="E15528" s="15">
        <v>13.020200000000001</v>
      </c>
      <c r="F15528" s="42">
        <v>44013</v>
      </c>
    </row>
    <row r="15529" spans="1:6" x14ac:dyDescent="0.3">
      <c r="A15529" s="15" t="s">
        <v>34632</v>
      </c>
      <c r="B15529" s="15" t="s">
        <v>28712</v>
      </c>
      <c r="C15529" s="15" t="s">
        <v>800</v>
      </c>
      <c r="D15529" s="15" t="s">
        <v>28713</v>
      </c>
      <c r="E15529" s="15">
        <v>10</v>
      </c>
      <c r="F15529" s="42">
        <v>44139</v>
      </c>
    </row>
    <row r="15530" spans="1:6" x14ac:dyDescent="0.3">
      <c r="A15530" s="15" t="s">
        <v>34631</v>
      </c>
      <c r="B15530" s="15" t="s">
        <v>28714</v>
      </c>
      <c r="C15530" s="15" t="s">
        <v>800</v>
      </c>
      <c r="D15530" s="15" t="s">
        <v>28715</v>
      </c>
      <c r="E15530" s="15">
        <v>12.685499999999999</v>
      </c>
      <c r="F15530" s="42">
        <v>44139</v>
      </c>
    </row>
    <row r="15531" spans="1:6" x14ac:dyDescent="0.3">
      <c r="A15531" s="15" t="s">
        <v>34630</v>
      </c>
      <c r="B15531" s="15" t="s">
        <v>28716</v>
      </c>
      <c r="C15531" s="15" t="s">
        <v>800</v>
      </c>
      <c r="D15531" s="15" t="s">
        <v>28717</v>
      </c>
      <c r="E15531" s="15">
        <v>10</v>
      </c>
      <c r="F15531" s="42">
        <v>44139</v>
      </c>
    </row>
    <row r="15532" spans="1:6" x14ac:dyDescent="0.3">
      <c r="A15532" s="15" t="s">
        <v>34629</v>
      </c>
      <c r="B15532" s="15" t="s">
        <v>28718</v>
      </c>
      <c r="C15532" s="15" t="s">
        <v>800</v>
      </c>
      <c r="D15532" s="15" t="s">
        <v>28719</v>
      </c>
      <c r="E15532" s="15">
        <v>12.493399999999999</v>
      </c>
      <c r="F15532" s="42">
        <v>44139</v>
      </c>
    </row>
    <row r="15533" spans="1:6" x14ac:dyDescent="0.3">
      <c r="A15533" s="15" t="s">
        <v>34628</v>
      </c>
      <c r="B15533" s="15" t="s">
        <v>28720</v>
      </c>
      <c r="C15533" s="15" t="s">
        <v>800</v>
      </c>
      <c r="D15533" s="15" t="s">
        <v>28721</v>
      </c>
      <c r="E15533" s="15">
        <v>10.5548</v>
      </c>
      <c r="F15533" s="42">
        <v>43948</v>
      </c>
    </row>
    <row r="15534" spans="1:6" x14ac:dyDescent="0.3">
      <c r="A15534" s="15" t="s">
        <v>34627</v>
      </c>
      <c r="B15534" s="15" t="s">
        <v>28722</v>
      </c>
      <c r="C15534" s="15" t="s">
        <v>800</v>
      </c>
      <c r="D15534" s="15" t="s">
        <v>28723</v>
      </c>
      <c r="E15534" s="15">
        <v>10.5549</v>
      </c>
      <c r="F15534" s="42">
        <v>43948</v>
      </c>
    </row>
    <row r="15535" spans="1:6" x14ac:dyDescent="0.3">
      <c r="A15535" s="15" t="s">
        <v>34626</v>
      </c>
      <c r="B15535" s="15" t="s">
        <v>28724</v>
      </c>
      <c r="C15535" s="15" t="s">
        <v>800</v>
      </c>
      <c r="D15535" s="15" t="s">
        <v>28725</v>
      </c>
      <c r="E15535" s="15">
        <v>10.430199999999999</v>
      </c>
      <c r="F15535" s="42">
        <v>43948</v>
      </c>
    </row>
    <row r="15536" spans="1:6" x14ac:dyDescent="0.3">
      <c r="A15536" s="15" t="s">
        <v>34625</v>
      </c>
      <c r="B15536" s="15" t="s">
        <v>28726</v>
      </c>
      <c r="C15536" s="15" t="s">
        <v>800</v>
      </c>
      <c r="D15536" s="15" t="s">
        <v>28727</v>
      </c>
      <c r="E15536" s="15">
        <v>10.430199999999999</v>
      </c>
      <c r="F15536" s="42">
        <v>43948</v>
      </c>
    </row>
    <row r="15537" spans="1:6" x14ac:dyDescent="0.3">
      <c r="A15537" s="15" t="s">
        <v>34624</v>
      </c>
      <c r="B15537" s="15" t="s">
        <v>28728</v>
      </c>
      <c r="C15537" s="15" t="s">
        <v>800</v>
      </c>
      <c r="D15537" s="15" t="s">
        <v>28729</v>
      </c>
      <c r="E15537" s="15">
        <v>10</v>
      </c>
      <c r="F15537" s="42">
        <v>44141</v>
      </c>
    </row>
    <row r="15538" spans="1:6" x14ac:dyDescent="0.3">
      <c r="A15538" s="15" t="s">
        <v>34623</v>
      </c>
      <c r="B15538" s="15" t="s">
        <v>28730</v>
      </c>
      <c r="C15538" s="15" t="s">
        <v>800</v>
      </c>
      <c r="D15538" s="15" t="s">
        <v>28731</v>
      </c>
      <c r="E15538" s="15">
        <v>12.7182</v>
      </c>
      <c r="F15538" s="42">
        <v>44141</v>
      </c>
    </row>
    <row r="15539" spans="1:6" x14ac:dyDescent="0.3">
      <c r="A15539" s="15" t="s">
        <v>34622</v>
      </c>
      <c r="B15539" s="15" t="s">
        <v>28732</v>
      </c>
      <c r="C15539" s="15" t="s">
        <v>800</v>
      </c>
      <c r="D15539" s="15" t="s">
        <v>28733</v>
      </c>
      <c r="E15539" s="15">
        <v>10</v>
      </c>
      <c r="F15539" s="42">
        <v>44141</v>
      </c>
    </row>
    <row r="15540" spans="1:6" x14ac:dyDescent="0.3">
      <c r="A15540" s="15" t="s">
        <v>34621</v>
      </c>
      <c r="B15540" s="15" t="s">
        <v>28734</v>
      </c>
      <c r="C15540" s="15" t="s">
        <v>800</v>
      </c>
      <c r="D15540" s="15" t="s">
        <v>28735</v>
      </c>
      <c r="E15540" s="15">
        <v>12.553599999999999</v>
      </c>
      <c r="F15540" s="42">
        <v>44141</v>
      </c>
    </row>
    <row r="15541" spans="1:6" x14ac:dyDescent="0.3">
      <c r="A15541" s="15" t="s">
        <v>34620</v>
      </c>
      <c r="B15541" s="15" t="s">
        <v>28736</v>
      </c>
      <c r="C15541" s="15" t="s">
        <v>800</v>
      </c>
      <c r="D15541" s="15" t="s">
        <v>28737</v>
      </c>
      <c r="E15541" s="15">
        <v>10</v>
      </c>
      <c r="F15541" s="42">
        <v>44123</v>
      </c>
    </row>
    <row r="15542" spans="1:6" x14ac:dyDescent="0.3">
      <c r="A15542" s="15" t="s">
        <v>34619</v>
      </c>
      <c r="B15542" s="15" t="s">
        <v>28738</v>
      </c>
      <c r="C15542" s="15" t="s">
        <v>800</v>
      </c>
      <c r="D15542" s="15" t="s">
        <v>28739</v>
      </c>
      <c r="E15542" s="15">
        <v>13.200900000000001</v>
      </c>
      <c r="F15542" s="42">
        <v>44123</v>
      </c>
    </row>
    <row r="15543" spans="1:6" x14ac:dyDescent="0.3">
      <c r="A15543" s="15" t="s">
        <v>34618</v>
      </c>
      <c r="B15543" s="15" t="s">
        <v>28740</v>
      </c>
      <c r="C15543" s="15" t="s">
        <v>800</v>
      </c>
      <c r="D15543" s="15" t="s">
        <v>28741</v>
      </c>
      <c r="E15543" s="15">
        <v>10</v>
      </c>
      <c r="F15543" s="42">
        <v>44123</v>
      </c>
    </row>
    <row r="15544" spans="1:6" x14ac:dyDescent="0.3">
      <c r="A15544" s="15" t="s">
        <v>34617</v>
      </c>
      <c r="B15544" s="15" t="s">
        <v>28742</v>
      </c>
      <c r="C15544" s="15" t="s">
        <v>800</v>
      </c>
      <c r="D15544" s="15" t="s">
        <v>28743</v>
      </c>
      <c r="E15544" s="15">
        <v>13.0669</v>
      </c>
      <c r="F15544" s="42">
        <v>44123</v>
      </c>
    </row>
    <row r="15545" spans="1:6" x14ac:dyDescent="0.3">
      <c r="A15545" s="15" t="s">
        <v>34616</v>
      </c>
      <c r="B15545" s="15" t="s">
        <v>28744</v>
      </c>
      <c r="C15545" s="15" t="s">
        <v>800</v>
      </c>
      <c r="D15545" s="15" t="s">
        <v>28745</v>
      </c>
      <c r="E15545" s="15">
        <v>10</v>
      </c>
      <c r="F15545" s="42">
        <v>44062</v>
      </c>
    </row>
    <row r="15546" spans="1:6" x14ac:dyDescent="0.3">
      <c r="A15546" s="15" t="s">
        <v>34615</v>
      </c>
      <c r="B15546" s="15" t="s">
        <v>28746</v>
      </c>
      <c r="C15546" s="15" t="s">
        <v>800</v>
      </c>
      <c r="D15546" s="15" t="s">
        <v>28747</v>
      </c>
      <c r="E15546" s="15">
        <v>12.8698</v>
      </c>
      <c r="F15546" s="42">
        <v>44062</v>
      </c>
    </row>
    <row r="15547" spans="1:6" x14ac:dyDescent="0.3">
      <c r="A15547" s="15" t="s">
        <v>34614</v>
      </c>
      <c r="B15547" s="15" t="s">
        <v>28748</v>
      </c>
      <c r="C15547" s="15" t="s">
        <v>800</v>
      </c>
      <c r="D15547" s="15" t="s">
        <v>28749</v>
      </c>
      <c r="E15547" s="15">
        <v>10</v>
      </c>
      <c r="F15547" s="42">
        <v>44062</v>
      </c>
    </row>
    <row r="15548" spans="1:6" x14ac:dyDescent="0.3">
      <c r="A15548" s="15" t="s">
        <v>34613</v>
      </c>
      <c r="B15548" s="15" t="s">
        <v>28750</v>
      </c>
      <c r="C15548" s="15" t="s">
        <v>800</v>
      </c>
      <c r="D15548" s="15" t="s">
        <v>28751</v>
      </c>
      <c r="E15548" s="15">
        <v>12.832100000000001</v>
      </c>
      <c r="F15548" s="42">
        <v>44062</v>
      </c>
    </row>
    <row r="15549" spans="1:6" x14ac:dyDescent="0.3">
      <c r="A15549" s="15" t="s">
        <v>34612</v>
      </c>
      <c r="B15549" s="15" t="s">
        <v>28752</v>
      </c>
      <c r="C15549" s="15" t="s">
        <v>800</v>
      </c>
      <c r="D15549" s="15" t="s">
        <v>28753</v>
      </c>
      <c r="E15549" s="15">
        <v>10</v>
      </c>
      <c r="F15549" s="42">
        <v>44141</v>
      </c>
    </row>
    <row r="15550" spans="1:6" x14ac:dyDescent="0.3">
      <c r="A15550" s="15" t="s">
        <v>34611</v>
      </c>
      <c r="B15550" s="15" t="s">
        <v>28754</v>
      </c>
      <c r="C15550" s="15" t="s">
        <v>800</v>
      </c>
      <c r="D15550" s="15" t="s">
        <v>28755</v>
      </c>
      <c r="E15550" s="15">
        <v>12.1896</v>
      </c>
      <c r="F15550" s="42">
        <v>44141</v>
      </c>
    </row>
    <row r="15551" spans="1:6" x14ac:dyDescent="0.3">
      <c r="A15551" s="15" t="s">
        <v>34610</v>
      </c>
      <c r="B15551" s="15" t="s">
        <v>28756</v>
      </c>
      <c r="C15551" s="15" t="s">
        <v>800</v>
      </c>
      <c r="D15551" s="15" t="s">
        <v>28757</v>
      </c>
      <c r="E15551" s="15">
        <v>10</v>
      </c>
      <c r="F15551" s="42">
        <v>44141</v>
      </c>
    </row>
    <row r="15552" spans="1:6" x14ac:dyDescent="0.3">
      <c r="A15552" s="15" t="s">
        <v>34609</v>
      </c>
      <c r="B15552" s="15" t="s">
        <v>28758</v>
      </c>
      <c r="C15552" s="15" t="s">
        <v>800</v>
      </c>
      <c r="D15552" s="15" t="s">
        <v>28759</v>
      </c>
      <c r="E15552" s="15">
        <v>12.042899999999999</v>
      </c>
      <c r="F15552" s="42">
        <v>44141</v>
      </c>
    </row>
    <row r="15553" spans="1:6" x14ac:dyDescent="0.3">
      <c r="A15553" s="15" t="s">
        <v>34608</v>
      </c>
      <c r="B15553" s="15" t="s">
        <v>28760</v>
      </c>
      <c r="C15553" s="15" t="s">
        <v>800</v>
      </c>
      <c r="D15553" s="15" t="s">
        <v>28761</v>
      </c>
      <c r="E15553" s="15">
        <v>12.7172</v>
      </c>
      <c r="F15553" s="42">
        <v>44060</v>
      </c>
    </row>
    <row r="15554" spans="1:6" x14ac:dyDescent="0.3">
      <c r="A15554" s="15" t="s">
        <v>34607</v>
      </c>
      <c r="B15554" s="15" t="s">
        <v>28762</v>
      </c>
      <c r="C15554" s="15" t="s">
        <v>800</v>
      </c>
      <c r="D15554" s="15" t="s">
        <v>28763</v>
      </c>
      <c r="E15554" s="15">
        <v>10</v>
      </c>
      <c r="F15554" s="42">
        <v>44060</v>
      </c>
    </row>
    <row r="15555" spans="1:6" x14ac:dyDescent="0.3">
      <c r="A15555" s="15" t="s">
        <v>34606</v>
      </c>
      <c r="B15555" s="15" t="s">
        <v>28764</v>
      </c>
      <c r="C15555" s="15" t="s">
        <v>800</v>
      </c>
      <c r="D15555" s="15" t="s">
        <v>28765</v>
      </c>
      <c r="E15555" s="15">
        <v>12.694599999999999</v>
      </c>
      <c r="F15555" s="42">
        <v>44060</v>
      </c>
    </row>
    <row r="15556" spans="1:6" x14ac:dyDescent="0.3">
      <c r="A15556" s="15" t="s">
        <v>34605</v>
      </c>
      <c r="B15556" s="15" t="s">
        <v>28766</v>
      </c>
      <c r="C15556" s="15" t="s">
        <v>800</v>
      </c>
      <c r="D15556" s="15" t="s">
        <v>28767</v>
      </c>
      <c r="E15556" s="15">
        <v>10</v>
      </c>
      <c r="F15556" s="42">
        <v>44064</v>
      </c>
    </row>
    <row r="15557" spans="1:6" x14ac:dyDescent="0.3">
      <c r="A15557" s="15" t="s">
        <v>34604</v>
      </c>
      <c r="B15557" s="15" t="s">
        <v>28768</v>
      </c>
      <c r="C15557" s="15" t="s">
        <v>800</v>
      </c>
      <c r="D15557" s="15" t="s">
        <v>28769</v>
      </c>
      <c r="E15557" s="15">
        <v>12.748200000000001</v>
      </c>
      <c r="F15557" s="42">
        <v>44064</v>
      </c>
    </row>
    <row r="15558" spans="1:6" x14ac:dyDescent="0.3">
      <c r="A15558" s="15" t="s">
        <v>34603</v>
      </c>
      <c r="B15558" s="15" t="s">
        <v>28770</v>
      </c>
      <c r="C15558" s="15" t="s">
        <v>800</v>
      </c>
      <c r="D15558" s="15" t="s">
        <v>28771</v>
      </c>
      <c r="E15558" s="15">
        <v>10</v>
      </c>
      <c r="F15558" s="42">
        <v>44064</v>
      </c>
    </row>
    <row r="15559" spans="1:6" x14ac:dyDescent="0.3">
      <c r="A15559" s="15" t="s">
        <v>34602</v>
      </c>
      <c r="B15559" s="15" t="s">
        <v>28772</v>
      </c>
      <c r="C15559" s="15" t="s">
        <v>800</v>
      </c>
      <c r="D15559" s="15" t="s">
        <v>28773</v>
      </c>
      <c r="E15559" s="15">
        <v>12.7273</v>
      </c>
      <c r="F15559" s="42">
        <v>44064</v>
      </c>
    </row>
    <row r="15560" spans="1:6" x14ac:dyDescent="0.3">
      <c r="A15560" s="15" t="s">
        <v>34601</v>
      </c>
      <c r="B15560" s="15" t="s">
        <v>28774</v>
      </c>
      <c r="C15560" s="15" t="s">
        <v>800</v>
      </c>
      <c r="D15560" s="15" t="s">
        <v>28775</v>
      </c>
      <c r="E15560" s="15">
        <v>10</v>
      </c>
      <c r="F15560" s="42">
        <v>44020</v>
      </c>
    </row>
    <row r="15561" spans="1:6" x14ac:dyDescent="0.3">
      <c r="A15561" s="15" t="s">
        <v>34600</v>
      </c>
      <c r="B15561" s="15" t="s">
        <v>28776</v>
      </c>
      <c r="C15561" s="15" t="s">
        <v>800</v>
      </c>
      <c r="D15561" s="15" t="s">
        <v>28777</v>
      </c>
      <c r="E15561" s="15">
        <v>12.671099999999999</v>
      </c>
      <c r="F15561" s="42">
        <v>44020</v>
      </c>
    </row>
    <row r="15562" spans="1:6" x14ac:dyDescent="0.3">
      <c r="A15562" s="15" t="s">
        <v>34599</v>
      </c>
      <c r="B15562" s="15" t="s">
        <v>28778</v>
      </c>
      <c r="C15562" s="15" t="s">
        <v>800</v>
      </c>
      <c r="D15562" s="15" t="s">
        <v>28779</v>
      </c>
      <c r="E15562" s="15">
        <v>12.648899999999999</v>
      </c>
      <c r="F15562" s="42">
        <v>44020</v>
      </c>
    </row>
    <row r="15563" spans="1:6" x14ac:dyDescent="0.3">
      <c r="A15563" s="15" t="s">
        <v>34598</v>
      </c>
      <c r="B15563" s="15" t="s">
        <v>28780</v>
      </c>
      <c r="C15563" s="15" t="s">
        <v>800</v>
      </c>
      <c r="D15563" s="15" t="s">
        <v>28781</v>
      </c>
      <c r="E15563" s="15">
        <v>10</v>
      </c>
      <c r="F15563" s="42">
        <v>44027</v>
      </c>
    </row>
    <row r="15564" spans="1:6" x14ac:dyDescent="0.3">
      <c r="A15564" s="15" t="s">
        <v>34597</v>
      </c>
      <c r="B15564" s="15" t="s">
        <v>28782</v>
      </c>
      <c r="C15564" s="15" t="s">
        <v>800</v>
      </c>
      <c r="D15564" s="15" t="s">
        <v>28783</v>
      </c>
      <c r="E15564" s="15">
        <v>12.5115</v>
      </c>
      <c r="F15564" s="42">
        <v>44027</v>
      </c>
    </row>
    <row r="15565" spans="1:6" x14ac:dyDescent="0.3">
      <c r="A15565" s="15" t="s">
        <v>34596</v>
      </c>
      <c r="B15565" s="15" t="s">
        <v>28784</v>
      </c>
      <c r="C15565" s="15" t="s">
        <v>800</v>
      </c>
      <c r="D15565" s="15" t="s">
        <v>28785</v>
      </c>
      <c r="E15565" s="15">
        <v>10</v>
      </c>
      <c r="F15565" s="42">
        <v>44027</v>
      </c>
    </row>
    <row r="15566" spans="1:6" x14ac:dyDescent="0.3">
      <c r="A15566" s="15" t="s">
        <v>34595</v>
      </c>
      <c r="B15566" s="15" t="s">
        <v>28786</v>
      </c>
      <c r="C15566" s="15" t="s">
        <v>800</v>
      </c>
      <c r="D15566" s="15" t="s">
        <v>28787</v>
      </c>
      <c r="E15566" s="15">
        <v>12.417</v>
      </c>
      <c r="F15566" s="42">
        <v>44027</v>
      </c>
    </row>
    <row r="15567" spans="1:6" x14ac:dyDescent="0.3">
      <c r="A15567" s="15" t="s">
        <v>34594</v>
      </c>
      <c r="B15567" s="15" t="s">
        <v>28788</v>
      </c>
      <c r="C15567" s="15" t="s">
        <v>800</v>
      </c>
      <c r="D15567" s="15" t="s">
        <v>28789</v>
      </c>
      <c r="E15567" s="15">
        <v>10</v>
      </c>
      <c r="F15567" s="42">
        <v>44126</v>
      </c>
    </row>
    <row r="15568" spans="1:6" x14ac:dyDescent="0.3">
      <c r="A15568" s="15" t="s">
        <v>34593</v>
      </c>
      <c r="B15568" s="15" t="s">
        <v>28790</v>
      </c>
      <c r="C15568" s="15" t="s">
        <v>800</v>
      </c>
      <c r="D15568" s="15" t="s">
        <v>28791</v>
      </c>
      <c r="E15568" s="15">
        <v>12.098699999999999</v>
      </c>
      <c r="F15568" s="42">
        <v>44126</v>
      </c>
    </row>
    <row r="15569" spans="1:6" x14ac:dyDescent="0.3">
      <c r="A15569" s="15" t="s">
        <v>34592</v>
      </c>
      <c r="B15569" s="15" t="s">
        <v>28792</v>
      </c>
      <c r="C15569" s="15" t="s">
        <v>800</v>
      </c>
      <c r="D15569" s="15" t="s">
        <v>28793</v>
      </c>
      <c r="E15569" s="15">
        <v>10</v>
      </c>
      <c r="F15569" s="42">
        <v>44126</v>
      </c>
    </row>
    <row r="15570" spans="1:6" x14ac:dyDescent="0.3">
      <c r="A15570" s="15" t="s">
        <v>34591</v>
      </c>
      <c r="B15570" s="15" t="s">
        <v>28794</v>
      </c>
      <c r="C15570" s="15" t="s">
        <v>800</v>
      </c>
      <c r="D15570" s="15" t="s">
        <v>28795</v>
      </c>
      <c r="E15570" s="15">
        <v>11.9298</v>
      </c>
      <c r="F15570" s="42">
        <v>44126</v>
      </c>
    </row>
    <row r="15571" spans="1:6" x14ac:dyDescent="0.3">
      <c r="A15571" s="15" t="s">
        <v>34590</v>
      </c>
      <c r="B15571" s="15" t="s">
        <v>28796</v>
      </c>
      <c r="C15571" s="15" t="s">
        <v>800</v>
      </c>
      <c r="D15571" s="15" t="s">
        <v>28797</v>
      </c>
      <c r="E15571" s="15">
        <v>10</v>
      </c>
      <c r="F15571" s="42">
        <v>44025</v>
      </c>
    </row>
    <row r="15572" spans="1:6" x14ac:dyDescent="0.3">
      <c r="A15572" s="15" t="s">
        <v>34589</v>
      </c>
      <c r="B15572" s="15" t="s">
        <v>28798</v>
      </c>
      <c r="C15572" s="15" t="s">
        <v>800</v>
      </c>
      <c r="D15572" s="15" t="s">
        <v>28799</v>
      </c>
      <c r="E15572" s="15">
        <v>12.6256</v>
      </c>
      <c r="F15572" s="42">
        <v>44025</v>
      </c>
    </row>
    <row r="15573" spans="1:6" x14ac:dyDescent="0.3">
      <c r="A15573" s="15" t="s">
        <v>34588</v>
      </c>
      <c r="B15573" s="15" t="s">
        <v>28800</v>
      </c>
      <c r="C15573" s="15" t="s">
        <v>800</v>
      </c>
      <c r="D15573" s="15" t="s">
        <v>28801</v>
      </c>
      <c r="E15573" s="15">
        <v>12.648300000000001</v>
      </c>
      <c r="F15573" s="42">
        <v>44025</v>
      </c>
    </row>
    <row r="15574" spans="1:6" x14ac:dyDescent="0.3">
      <c r="A15574" s="15" t="s">
        <v>34587</v>
      </c>
      <c r="B15574" s="15" t="s">
        <v>28802</v>
      </c>
      <c r="C15574" s="15" t="s">
        <v>800</v>
      </c>
      <c r="D15574" s="15" t="s">
        <v>28803</v>
      </c>
      <c r="E15574" s="15">
        <v>12.6602</v>
      </c>
      <c r="F15574" s="42">
        <v>44020</v>
      </c>
    </row>
    <row r="15575" spans="1:6" x14ac:dyDescent="0.3">
      <c r="A15575" s="15" t="s">
        <v>34586</v>
      </c>
      <c r="B15575" s="15" t="s">
        <v>28804</v>
      </c>
      <c r="C15575" s="15" t="s">
        <v>800</v>
      </c>
      <c r="D15575" s="15" t="s">
        <v>28805</v>
      </c>
      <c r="E15575" s="15">
        <v>12.6373</v>
      </c>
      <c r="F15575" s="42">
        <v>44020</v>
      </c>
    </row>
    <row r="15576" spans="1:6" x14ac:dyDescent="0.3">
      <c r="A15576" s="15" t="s">
        <v>34585</v>
      </c>
      <c r="B15576" s="15" t="s">
        <v>28806</v>
      </c>
      <c r="C15576" s="15" t="s">
        <v>800</v>
      </c>
      <c r="D15576" s="15" t="s">
        <v>28807</v>
      </c>
      <c r="E15576" s="15">
        <v>10</v>
      </c>
      <c r="F15576" s="42">
        <v>44120</v>
      </c>
    </row>
    <row r="15577" spans="1:6" x14ac:dyDescent="0.3">
      <c r="A15577" s="15" t="s">
        <v>34584</v>
      </c>
      <c r="B15577" s="15" t="s">
        <v>28808</v>
      </c>
      <c r="C15577" s="15" t="s">
        <v>800</v>
      </c>
      <c r="D15577" s="15" t="s">
        <v>28809</v>
      </c>
      <c r="E15577" s="15">
        <v>12.0198</v>
      </c>
      <c r="F15577" s="42">
        <v>44120</v>
      </c>
    </row>
    <row r="15578" spans="1:6" x14ac:dyDescent="0.3">
      <c r="A15578" s="15" t="s">
        <v>34583</v>
      </c>
      <c r="B15578" s="15" t="s">
        <v>28810</v>
      </c>
      <c r="C15578" s="15" t="s">
        <v>800</v>
      </c>
      <c r="D15578" s="15" t="s">
        <v>28811</v>
      </c>
      <c r="E15578" s="15">
        <v>10</v>
      </c>
      <c r="F15578" s="42">
        <v>44120</v>
      </c>
    </row>
    <row r="15579" spans="1:6" x14ac:dyDescent="0.3">
      <c r="A15579" s="15" t="s">
        <v>34582</v>
      </c>
      <c r="B15579" s="15" t="s">
        <v>28812</v>
      </c>
      <c r="C15579" s="15" t="s">
        <v>800</v>
      </c>
      <c r="D15579" s="15" t="s">
        <v>28813</v>
      </c>
      <c r="E15579" s="15">
        <v>12.1798</v>
      </c>
      <c r="F15579" s="42">
        <v>44120</v>
      </c>
    </row>
    <row r="15580" spans="1:6" x14ac:dyDescent="0.3">
      <c r="A15580" s="15" t="s">
        <v>34581</v>
      </c>
      <c r="B15580" s="15" t="s">
        <v>28814</v>
      </c>
      <c r="C15580" s="15" t="s">
        <v>800</v>
      </c>
      <c r="D15580" s="15" t="s">
        <v>28815</v>
      </c>
      <c r="E15580" s="15">
        <v>10</v>
      </c>
      <c r="F15580" s="42">
        <v>44020</v>
      </c>
    </row>
    <row r="15581" spans="1:6" x14ac:dyDescent="0.3">
      <c r="A15581" s="15" t="s">
        <v>34580</v>
      </c>
      <c r="B15581" s="15" t="s">
        <v>28816</v>
      </c>
      <c r="C15581" s="15" t="s">
        <v>800</v>
      </c>
      <c r="D15581" s="15" t="s">
        <v>28817</v>
      </c>
      <c r="E15581" s="15">
        <v>10</v>
      </c>
      <c r="F15581" s="42">
        <v>44020</v>
      </c>
    </row>
    <row r="15582" spans="1:6" x14ac:dyDescent="0.3">
      <c r="A15582" s="15" t="s">
        <v>34579</v>
      </c>
      <c r="B15582" s="15" t="s">
        <v>28818</v>
      </c>
      <c r="C15582" s="15" t="s">
        <v>800</v>
      </c>
      <c r="D15582" s="15" t="s">
        <v>28819</v>
      </c>
      <c r="E15582" s="15">
        <v>12.573600000000001</v>
      </c>
      <c r="F15582" s="42">
        <v>44020</v>
      </c>
    </row>
    <row r="15583" spans="1:6" x14ac:dyDescent="0.3">
      <c r="A15583" s="15" t="s">
        <v>34578</v>
      </c>
      <c r="B15583" s="15" t="s">
        <v>28820</v>
      </c>
      <c r="C15583" s="15" t="s">
        <v>800</v>
      </c>
      <c r="D15583" s="15" t="s">
        <v>28821</v>
      </c>
      <c r="E15583" s="15">
        <v>12.5991</v>
      </c>
      <c r="F15583" s="42">
        <v>44020</v>
      </c>
    </row>
    <row r="15584" spans="1:6" x14ac:dyDescent="0.3">
      <c r="A15584" s="15" t="s">
        <v>34577</v>
      </c>
      <c r="B15584" s="15" t="s">
        <v>28822</v>
      </c>
      <c r="C15584" s="15" t="s">
        <v>800</v>
      </c>
      <c r="D15584" s="15" t="s">
        <v>28823</v>
      </c>
      <c r="E15584" s="15">
        <v>10</v>
      </c>
      <c r="F15584" s="42">
        <v>44021</v>
      </c>
    </row>
    <row r="15585" spans="1:6" x14ac:dyDescent="0.3">
      <c r="A15585" s="15" t="s">
        <v>34576</v>
      </c>
      <c r="B15585" s="15" t="s">
        <v>28824</v>
      </c>
      <c r="C15585" s="15" t="s">
        <v>800</v>
      </c>
      <c r="D15585" s="15" t="s">
        <v>28825</v>
      </c>
      <c r="E15585" s="15">
        <v>12.569699999999999</v>
      </c>
      <c r="F15585" s="42">
        <v>44021</v>
      </c>
    </row>
    <row r="15586" spans="1:6" x14ac:dyDescent="0.3">
      <c r="A15586" s="15" t="s">
        <v>34575</v>
      </c>
      <c r="B15586" s="15" t="s">
        <v>28826</v>
      </c>
      <c r="C15586" s="15" t="s">
        <v>800</v>
      </c>
      <c r="D15586" s="15" t="s">
        <v>28827</v>
      </c>
      <c r="E15586" s="15">
        <v>12.5473</v>
      </c>
      <c r="F15586" s="42">
        <v>44021</v>
      </c>
    </row>
    <row r="15587" spans="1:6" x14ac:dyDescent="0.3">
      <c r="A15587" s="15" t="s">
        <v>34574</v>
      </c>
      <c r="B15587" s="15" t="s">
        <v>28828</v>
      </c>
      <c r="C15587" s="15" t="s">
        <v>800</v>
      </c>
      <c r="D15587" s="15" t="s">
        <v>28829</v>
      </c>
      <c r="E15587" s="15">
        <v>10</v>
      </c>
      <c r="F15587" s="42">
        <v>44020</v>
      </c>
    </row>
    <row r="15588" spans="1:6" x14ac:dyDescent="0.3">
      <c r="A15588" s="15" t="s">
        <v>34573</v>
      </c>
      <c r="B15588" s="15" t="s">
        <v>28830</v>
      </c>
      <c r="C15588" s="15" t="s">
        <v>800</v>
      </c>
      <c r="D15588" s="15" t="s">
        <v>28831</v>
      </c>
      <c r="E15588" s="15">
        <v>10</v>
      </c>
      <c r="F15588" s="42">
        <v>44020</v>
      </c>
    </row>
    <row r="15589" spans="1:6" x14ac:dyDescent="0.3">
      <c r="A15589" s="15" t="s">
        <v>34572</v>
      </c>
      <c r="B15589" s="15" t="s">
        <v>28832</v>
      </c>
      <c r="C15589" s="15" t="s">
        <v>800</v>
      </c>
      <c r="D15589" s="15" t="s">
        <v>28833</v>
      </c>
      <c r="E15589" s="15">
        <v>12.532999999999999</v>
      </c>
      <c r="F15589" s="42">
        <v>44020</v>
      </c>
    </row>
    <row r="15590" spans="1:6" x14ac:dyDescent="0.3">
      <c r="A15590" s="15" t="s">
        <v>34571</v>
      </c>
      <c r="B15590" s="15" t="s">
        <v>28834</v>
      </c>
      <c r="C15590" s="15" t="s">
        <v>800</v>
      </c>
      <c r="D15590" s="15" t="s">
        <v>28835</v>
      </c>
      <c r="E15590" s="15">
        <v>12.5558</v>
      </c>
      <c r="F15590" s="42">
        <v>44020</v>
      </c>
    </row>
    <row r="15591" spans="1:6" x14ac:dyDescent="0.3">
      <c r="A15591" s="15" t="s">
        <v>34570</v>
      </c>
      <c r="B15591" s="15" t="s">
        <v>28836</v>
      </c>
      <c r="C15591" s="15" t="s">
        <v>800</v>
      </c>
      <c r="D15591" s="15" t="s">
        <v>28837</v>
      </c>
      <c r="E15591" s="15">
        <v>10</v>
      </c>
      <c r="F15591" s="42">
        <v>44124</v>
      </c>
    </row>
    <row r="15592" spans="1:6" x14ac:dyDescent="0.3">
      <c r="A15592" s="15" t="s">
        <v>34569</v>
      </c>
      <c r="B15592" s="15" t="s">
        <v>28838</v>
      </c>
      <c r="C15592" s="15" t="s">
        <v>800</v>
      </c>
      <c r="D15592" s="15" t="s">
        <v>28839</v>
      </c>
      <c r="E15592" s="15">
        <v>11.823700000000001</v>
      </c>
      <c r="F15592" s="42">
        <v>44124</v>
      </c>
    </row>
    <row r="15593" spans="1:6" x14ac:dyDescent="0.3">
      <c r="A15593" s="15" t="s">
        <v>34568</v>
      </c>
      <c r="B15593" s="15" t="s">
        <v>28840</v>
      </c>
      <c r="C15593" s="15" t="s">
        <v>800</v>
      </c>
      <c r="D15593" s="15" t="s">
        <v>28841</v>
      </c>
      <c r="E15593" s="15">
        <v>10</v>
      </c>
      <c r="F15593" s="42">
        <v>44124</v>
      </c>
    </row>
    <row r="15594" spans="1:6" x14ac:dyDescent="0.3">
      <c r="A15594" s="15" t="s">
        <v>34567</v>
      </c>
      <c r="B15594" s="15" t="s">
        <v>28842</v>
      </c>
      <c r="C15594" s="15" t="s">
        <v>800</v>
      </c>
      <c r="D15594" s="15" t="s">
        <v>28843</v>
      </c>
      <c r="E15594" s="15">
        <v>11.6782</v>
      </c>
      <c r="F15594" s="42">
        <v>44124</v>
      </c>
    </row>
    <row r="15595" spans="1:6" x14ac:dyDescent="0.3">
      <c r="A15595" s="15" t="s">
        <v>34566</v>
      </c>
      <c r="B15595" s="15" t="s">
        <v>28844</v>
      </c>
      <c r="C15595" s="15" t="s">
        <v>800</v>
      </c>
      <c r="D15595" s="15" t="s">
        <v>28845</v>
      </c>
      <c r="E15595" s="15">
        <v>10</v>
      </c>
      <c r="F15595" s="42">
        <v>44125</v>
      </c>
    </row>
    <row r="15596" spans="1:6" x14ac:dyDescent="0.3">
      <c r="A15596" s="15" t="s">
        <v>34565</v>
      </c>
      <c r="B15596" s="15" t="s">
        <v>28846</v>
      </c>
      <c r="C15596" s="15" t="s">
        <v>800</v>
      </c>
      <c r="D15596" s="15" t="s">
        <v>28847</v>
      </c>
      <c r="E15596" s="15">
        <v>11.879300000000001</v>
      </c>
      <c r="F15596" s="42">
        <v>44125</v>
      </c>
    </row>
    <row r="15597" spans="1:6" x14ac:dyDescent="0.3">
      <c r="A15597" s="15" t="s">
        <v>34564</v>
      </c>
      <c r="B15597" s="15" t="s">
        <v>28848</v>
      </c>
      <c r="C15597" s="15" t="s">
        <v>800</v>
      </c>
      <c r="D15597" s="15" t="s">
        <v>28849</v>
      </c>
      <c r="E15597" s="15">
        <v>10</v>
      </c>
      <c r="F15597" s="42">
        <v>44125</v>
      </c>
    </row>
    <row r="15598" spans="1:6" x14ac:dyDescent="0.3">
      <c r="A15598" s="15" t="s">
        <v>34563</v>
      </c>
      <c r="B15598" s="15" t="s">
        <v>28850</v>
      </c>
      <c r="C15598" s="15" t="s">
        <v>800</v>
      </c>
      <c r="D15598" s="15" t="s">
        <v>28851</v>
      </c>
      <c r="E15598" s="15">
        <v>11.743499999999999</v>
      </c>
      <c r="F15598" s="42">
        <v>44125</v>
      </c>
    </row>
    <row r="15599" spans="1:6" x14ac:dyDescent="0.3">
      <c r="A15599" s="15" t="s">
        <v>34562</v>
      </c>
      <c r="B15599" s="15" t="s">
        <v>28852</v>
      </c>
      <c r="C15599" s="15" t="s">
        <v>800</v>
      </c>
      <c r="D15599" s="15" t="s">
        <v>28853</v>
      </c>
      <c r="E15599" s="15">
        <v>10</v>
      </c>
      <c r="F15599" s="42">
        <v>44124</v>
      </c>
    </row>
    <row r="15600" spans="1:6" x14ac:dyDescent="0.3">
      <c r="A15600" s="15" t="s">
        <v>34561</v>
      </c>
      <c r="B15600" s="15" t="s">
        <v>28854</v>
      </c>
      <c r="C15600" s="15" t="s">
        <v>800</v>
      </c>
      <c r="D15600" s="15" t="s">
        <v>28855</v>
      </c>
      <c r="E15600" s="15">
        <v>11.5433</v>
      </c>
      <c r="F15600" s="42">
        <v>44124</v>
      </c>
    </row>
    <row r="15601" spans="1:6" x14ac:dyDescent="0.3">
      <c r="A15601" s="15" t="s">
        <v>34560</v>
      </c>
      <c r="B15601" s="15" t="s">
        <v>28856</v>
      </c>
      <c r="C15601" s="15" t="s">
        <v>800</v>
      </c>
      <c r="D15601" s="15" t="s">
        <v>28857</v>
      </c>
      <c r="E15601" s="15">
        <v>10</v>
      </c>
      <c r="F15601" s="42">
        <v>44124</v>
      </c>
    </row>
    <row r="15602" spans="1:6" x14ac:dyDescent="0.3">
      <c r="A15602" s="15" t="s">
        <v>34559</v>
      </c>
      <c r="B15602" s="15" t="s">
        <v>28858</v>
      </c>
      <c r="C15602" s="15" t="s">
        <v>800</v>
      </c>
      <c r="D15602" s="15" t="s">
        <v>28859</v>
      </c>
      <c r="E15602" s="15">
        <v>11.4009</v>
      </c>
      <c r="F15602" s="42">
        <v>44124</v>
      </c>
    </row>
    <row r="15603" spans="1:6" x14ac:dyDescent="0.3">
      <c r="A15603" s="15" t="s">
        <v>34558</v>
      </c>
      <c r="B15603" s="15" t="s">
        <v>28860</v>
      </c>
      <c r="C15603" s="15" t="s">
        <v>800</v>
      </c>
      <c r="D15603" s="15" t="s">
        <v>28861</v>
      </c>
      <c r="E15603" s="15">
        <v>10</v>
      </c>
      <c r="F15603" s="42">
        <v>44020</v>
      </c>
    </row>
    <row r="15604" spans="1:6" x14ac:dyDescent="0.3">
      <c r="A15604" s="15" t="s">
        <v>34557</v>
      </c>
      <c r="B15604" s="15" t="s">
        <v>28862</v>
      </c>
      <c r="C15604" s="15" t="s">
        <v>800</v>
      </c>
      <c r="D15604" s="15" t="s">
        <v>28863</v>
      </c>
      <c r="E15604" s="15">
        <v>12.4953</v>
      </c>
      <c r="F15604" s="42">
        <v>44020</v>
      </c>
    </row>
    <row r="15605" spans="1:6" x14ac:dyDescent="0.3">
      <c r="A15605" s="15" t="s">
        <v>34556</v>
      </c>
      <c r="B15605" s="15" t="s">
        <v>28864</v>
      </c>
      <c r="C15605" s="15" t="s">
        <v>800</v>
      </c>
      <c r="D15605" s="15" t="s">
        <v>28865</v>
      </c>
      <c r="E15605" s="15">
        <v>10</v>
      </c>
      <c r="F15605" s="42">
        <v>44020</v>
      </c>
    </row>
    <row r="15606" spans="1:6" x14ac:dyDescent="0.3">
      <c r="A15606" s="15" t="s">
        <v>34555</v>
      </c>
      <c r="B15606" s="15" t="s">
        <v>28866</v>
      </c>
      <c r="C15606" s="15" t="s">
        <v>800</v>
      </c>
      <c r="D15606" s="15" t="s">
        <v>28867</v>
      </c>
      <c r="E15606" s="15">
        <v>12.3201</v>
      </c>
      <c r="F15606" s="42">
        <v>44020</v>
      </c>
    </row>
    <row r="15607" spans="1:6" x14ac:dyDescent="0.3">
      <c r="A15607" s="15" t="s">
        <v>34554</v>
      </c>
      <c r="B15607" s="15" t="s">
        <v>28868</v>
      </c>
      <c r="C15607" s="15" t="s">
        <v>800</v>
      </c>
      <c r="D15607" s="15" t="s">
        <v>28869</v>
      </c>
      <c r="E15607" s="15">
        <v>10</v>
      </c>
      <c r="F15607" s="42">
        <v>44020</v>
      </c>
    </row>
    <row r="15608" spans="1:6" x14ac:dyDescent="0.3">
      <c r="A15608" s="15" t="s">
        <v>34553</v>
      </c>
      <c r="B15608" s="15" t="s">
        <v>28870</v>
      </c>
      <c r="C15608" s="15" t="s">
        <v>800</v>
      </c>
      <c r="D15608" s="15" t="s">
        <v>28871</v>
      </c>
      <c r="E15608" s="15">
        <v>10</v>
      </c>
      <c r="F15608" s="42">
        <v>44020</v>
      </c>
    </row>
    <row r="15609" spans="1:6" x14ac:dyDescent="0.3">
      <c r="A15609" s="15" t="s">
        <v>34552</v>
      </c>
      <c r="B15609" s="15" t="s">
        <v>28872</v>
      </c>
      <c r="C15609" s="15" t="s">
        <v>800</v>
      </c>
      <c r="D15609" s="15" t="s">
        <v>28873</v>
      </c>
      <c r="E15609" s="15">
        <v>12.3104</v>
      </c>
      <c r="F15609" s="42">
        <v>44020</v>
      </c>
    </row>
    <row r="15610" spans="1:6" x14ac:dyDescent="0.3">
      <c r="A15610" s="15" t="s">
        <v>34551</v>
      </c>
      <c r="B15610" s="15" t="s">
        <v>28874</v>
      </c>
      <c r="C15610" s="15" t="s">
        <v>800</v>
      </c>
      <c r="D15610" s="15" t="s">
        <v>28875</v>
      </c>
      <c r="E15610" s="15">
        <v>12.4918</v>
      </c>
      <c r="F15610" s="42">
        <v>44020</v>
      </c>
    </row>
    <row r="15611" spans="1:6" x14ac:dyDescent="0.3">
      <c r="A15611" s="15" t="s">
        <v>34550</v>
      </c>
      <c r="B15611" s="15" t="s">
        <v>28876</v>
      </c>
      <c r="C15611" s="15" t="s">
        <v>800</v>
      </c>
      <c r="D15611" s="15" t="s">
        <v>28877</v>
      </c>
      <c r="E15611" s="15">
        <v>10</v>
      </c>
      <c r="F15611" s="42">
        <v>44025</v>
      </c>
    </row>
    <row r="15612" spans="1:6" x14ac:dyDescent="0.3">
      <c r="A15612" s="15" t="s">
        <v>34549</v>
      </c>
      <c r="B15612" s="15" t="s">
        <v>28878</v>
      </c>
      <c r="C15612" s="15" t="s">
        <v>800</v>
      </c>
      <c r="D15612" s="15" t="s">
        <v>28879</v>
      </c>
      <c r="E15612" s="15">
        <v>10</v>
      </c>
      <c r="F15612" s="42">
        <v>44025</v>
      </c>
    </row>
    <row r="15613" spans="1:6" x14ac:dyDescent="0.3">
      <c r="A15613" s="15" t="s">
        <v>34548</v>
      </c>
      <c r="B15613" s="15" t="s">
        <v>28880</v>
      </c>
      <c r="C15613" s="15" t="s">
        <v>800</v>
      </c>
      <c r="D15613" s="15" t="s">
        <v>28881</v>
      </c>
      <c r="E15613" s="15">
        <v>12.2879</v>
      </c>
      <c r="F15613" s="42">
        <v>44025</v>
      </c>
    </row>
    <row r="15614" spans="1:6" x14ac:dyDescent="0.3">
      <c r="A15614" s="15" t="s">
        <v>34547</v>
      </c>
      <c r="B15614" s="15" t="s">
        <v>28882</v>
      </c>
      <c r="C15614" s="15" t="s">
        <v>800</v>
      </c>
      <c r="D15614" s="15" t="s">
        <v>28883</v>
      </c>
      <c r="E15614" s="15">
        <v>12.4283</v>
      </c>
      <c r="F15614" s="42">
        <v>44025</v>
      </c>
    </row>
    <row r="15615" spans="1:6" x14ac:dyDescent="0.3">
      <c r="A15615" s="15" t="s">
        <v>34546</v>
      </c>
      <c r="B15615" s="15" t="s">
        <v>28884</v>
      </c>
      <c r="C15615" s="15" t="s">
        <v>800</v>
      </c>
      <c r="D15615" s="15" t="s">
        <v>28885</v>
      </c>
      <c r="E15615" s="15">
        <v>10</v>
      </c>
      <c r="F15615" s="42">
        <v>44124</v>
      </c>
    </row>
    <row r="15616" spans="1:6" x14ac:dyDescent="0.3">
      <c r="A15616" s="15" t="s">
        <v>34545</v>
      </c>
      <c r="B15616" s="15" t="s">
        <v>28886</v>
      </c>
      <c r="C15616" s="15" t="s">
        <v>800</v>
      </c>
      <c r="D15616" s="15" t="s">
        <v>28887</v>
      </c>
      <c r="E15616" s="15">
        <v>11.758599999999999</v>
      </c>
      <c r="F15616" s="42">
        <v>44124</v>
      </c>
    </row>
    <row r="15617" spans="1:6" x14ac:dyDescent="0.3">
      <c r="A15617" s="15" t="s">
        <v>34544</v>
      </c>
      <c r="B15617" s="15" t="s">
        <v>28888</v>
      </c>
      <c r="C15617" s="15" t="s">
        <v>800</v>
      </c>
      <c r="D15617" s="15" t="s">
        <v>28889</v>
      </c>
      <c r="E15617" s="15">
        <v>10</v>
      </c>
      <c r="F15617" s="42">
        <v>44124</v>
      </c>
    </row>
    <row r="15618" spans="1:6" x14ac:dyDescent="0.3">
      <c r="A15618" s="15" t="s">
        <v>34543</v>
      </c>
      <c r="B15618" s="15" t="s">
        <v>28890</v>
      </c>
      <c r="C15618" s="15" t="s">
        <v>800</v>
      </c>
      <c r="D15618" s="15" t="s">
        <v>28891</v>
      </c>
      <c r="E15618" s="15">
        <v>11.6083</v>
      </c>
      <c r="F15618" s="42">
        <v>44124</v>
      </c>
    </row>
    <row r="15619" spans="1:6" x14ac:dyDescent="0.3">
      <c r="A15619" s="15" t="s">
        <v>34542</v>
      </c>
      <c r="B15619" s="15" t="s">
        <v>28892</v>
      </c>
      <c r="C15619" s="15" t="s">
        <v>800</v>
      </c>
      <c r="D15619" s="15" t="s">
        <v>28893</v>
      </c>
      <c r="E15619" s="15">
        <v>10</v>
      </c>
      <c r="F15619" s="42">
        <v>44020</v>
      </c>
    </row>
    <row r="15620" spans="1:6" x14ac:dyDescent="0.3">
      <c r="A15620" s="15" t="s">
        <v>34541</v>
      </c>
      <c r="B15620" s="15" t="s">
        <v>28894</v>
      </c>
      <c r="C15620" s="15" t="s">
        <v>800</v>
      </c>
      <c r="D15620" s="15" t="s">
        <v>28895</v>
      </c>
      <c r="E15620" s="15">
        <v>12.303800000000001</v>
      </c>
      <c r="F15620" s="42">
        <v>44020</v>
      </c>
    </row>
    <row r="15621" spans="1:6" x14ac:dyDescent="0.3">
      <c r="A15621" s="15" t="s">
        <v>34540</v>
      </c>
      <c r="B15621" s="15" t="s">
        <v>28896</v>
      </c>
      <c r="C15621" s="15" t="s">
        <v>800</v>
      </c>
      <c r="D15621" s="15" t="s">
        <v>28897</v>
      </c>
      <c r="E15621" s="15">
        <v>10</v>
      </c>
      <c r="F15621" s="42">
        <v>44020</v>
      </c>
    </row>
    <row r="15622" spans="1:6" x14ac:dyDescent="0.3">
      <c r="A15622" s="15" t="s">
        <v>34539</v>
      </c>
      <c r="B15622" s="15" t="s">
        <v>28898</v>
      </c>
      <c r="C15622" s="15" t="s">
        <v>800</v>
      </c>
      <c r="D15622" s="15" t="s">
        <v>28899</v>
      </c>
      <c r="E15622" s="15">
        <v>12.2111</v>
      </c>
      <c r="F15622" s="42">
        <v>44020</v>
      </c>
    </row>
    <row r="15623" spans="1:6" x14ac:dyDescent="0.3">
      <c r="A15623" s="15" t="s">
        <v>34538</v>
      </c>
      <c r="B15623" s="15" t="s">
        <v>28900</v>
      </c>
      <c r="C15623" s="15" t="s">
        <v>800</v>
      </c>
      <c r="D15623" s="15" t="s">
        <v>28901</v>
      </c>
      <c r="E15623" s="15">
        <v>10</v>
      </c>
      <c r="F15623" s="42">
        <v>44124</v>
      </c>
    </row>
    <row r="15624" spans="1:6" x14ac:dyDescent="0.3">
      <c r="A15624" s="15" t="s">
        <v>34537</v>
      </c>
      <c r="B15624" s="15" t="s">
        <v>28902</v>
      </c>
      <c r="C15624" s="15" t="s">
        <v>800</v>
      </c>
      <c r="D15624" s="15" t="s">
        <v>28903</v>
      </c>
      <c r="E15624" s="15">
        <v>11.5168</v>
      </c>
      <c r="F15624" s="42">
        <v>44124</v>
      </c>
    </row>
    <row r="15625" spans="1:6" x14ac:dyDescent="0.3">
      <c r="A15625" s="15" t="s">
        <v>34536</v>
      </c>
      <c r="B15625" s="15" t="s">
        <v>28904</v>
      </c>
      <c r="C15625" s="15" t="s">
        <v>800</v>
      </c>
      <c r="D15625" s="15" t="s">
        <v>28905</v>
      </c>
      <c r="E15625" s="15">
        <v>10</v>
      </c>
      <c r="F15625" s="42">
        <v>44124</v>
      </c>
    </row>
    <row r="15626" spans="1:6" x14ac:dyDescent="0.3">
      <c r="A15626" s="15" t="s">
        <v>34535</v>
      </c>
      <c r="B15626" s="15" t="s">
        <v>28906</v>
      </c>
      <c r="C15626" s="15" t="s">
        <v>800</v>
      </c>
      <c r="D15626" s="15" t="s">
        <v>28907</v>
      </c>
      <c r="E15626" s="15">
        <v>11.442600000000001</v>
      </c>
      <c r="F15626" s="42">
        <v>44124</v>
      </c>
    </row>
    <row r="15627" spans="1:6" x14ac:dyDescent="0.3">
      <c r="A15627" s="15" t="s">
        <v>34534</v>
      </c>
      <c r="B15627" s="15" t="s">
        <v>28908</v>
      </c>
      <c r="C15627" s="15" t="s">
        <v>800</v>
      </c>
      <c r="D15627" s="15" t="s">
        <v>28909</v>
      </c>
      <c r="E15627" s="15">
        <v>10</v>
      </c>
      <c r="F15627" s="42">
        <v>44063</v>
      </c>
    </row>
    <row r="15628" spans="1:6" x14ac:dyDescent="0.3">
      <c r="A15628" s="15" t="s">
        <v>34533</v>
      </c>
      <c r="B15628" s="15" t="s">
        <v>28910</v>
      </c>
      <c r="C15628" s="15" t="s">
        <v>800</v>
      </c>
      <c r="D15628" s="15" t="s">
        <v>28911</v>
      </c>
      <c r="E15628" s="15">
        <v>12.3264</v>
      </c>
      <c r="F15628" s="42">
        <v>44063</v>
      </c>
    </row>
    <row r="15629" spans="1:6" x14ac:dyDescent="0.3">
      <c r="A15629" s="15" t="s">
        <v>34532</v>
      </c>
      <c r="B15629" s="15" t="s">
        <v>28912</v>
      </c>
      <c r="C15629" s="15" t="s">
        <v>800</v>
      </c>
      <c r="D15629" s="15" t="s">
        <v>28913</v>
      </c>
      <c r="E15629" s="15">
        <v>10</v>
      </c>
      <c r="F15629" s="42">
        <v>44063</v>
      </c>
    </row>
    <row r="15630" spans="1:6" x14ac:dyDescent="0.3">
      <c r="A15630" s="15" t="s">
        <v>34531</v>
      </c>
      <c r="B15630" s="15" t="s">
        <v>28914</v>
      </c>
      <c r="C15630" s="15" t="s">
        <v>800</v>
      </c>
      <c r="D15630" s="15" t="s">
        <v>28915</v>
      </c>
      <c r="E15630" s="15">
        <v>12.2859</v>
      </c>
      <c r="F15630" s="42">
        <v>44063</v>
      </c>
    </row>
    <row r="15631" spans="1:6" x14ac:dyDescent="0.3">
      <c r="A15631" s="15" t="s">
        <v>34530</v>
      </c>
      <c r="B15631" s="15" t="s">
        <v>28916</v>
      </c>
      <c r="C15631" s="15" t="s">
        <v>800</v>
      </c>
      <c r="D15631" s="15" t="s">
        <v>28917</v>
      </c>
      <c r="E15631" s="15">
        <v>13.1959</v>
      </c>
      <c r="F15631" s="42">
        <v>44680</v>
      </c>
    </row>
    <row r="15632" spans="1:6" x14ac:dyDescent="0.3">
      <c r="A15632" s="15" t="s">
        <v>34529</v>
      </c>
      <c r="B15632" s="15" t="s">
        <v>28918</v>
      </c>
      <c r="C15632" s="15" t="s">
        <v>800</v>
      </c>
      <c r="D15632" s="15" t="s">
        <v>28919</v>
      </c>
      <c r="E15632" s="15">
        <v>13.0825</v>
      </c>
      <c r="F15632" s="42">
        <v>44680</v>
      </c>
    </row>
    <row r="15633" spans="1:6" x14ac:dyDescent="0.3">
      <c r="A15633" s="15" t="s">
        <v>34528</v>
      </c>
      <c r="B15633" s="15" t="s">
        <v>28920</v>
      </c>
      <c r="C15633" s="15" t="s">
        <v>800</v>
      </c>
      <c r="D15633" s="15" t="s">
        <v>28921</v>
      </c>
      <c r="E15633" s="15">
        <v>13.0824</v>
      </c>
      <c r="F15633" s="42">
        <v>44680</v>
      </c>
    </row>
    <row r="15634" spans="1:6" x14ac:dyDescent="0.3">
      <c r="A15634" s="15" t="s">
        <v>34527</v>
      </c>
      <c r="B15634" s="15" t="s">
        <v>28922</v>
      </c>
      <c r="C15634" s="15" t="s">
        <v>800</v>
      </c>
      <c r="D15634" s="15" t="s">
        <v>28923</v>
      </c>
      <c r="E15634" s="15">
        <v>13.1959</v>
      </c>
      <c r="F15634" s="42">
        <v>44680</v>
      </c>
    </row>
    <row r="15635" spans="1:6" x14ac:dyDescent="0.3">
      <c r="A15635" s="15" t="s">
        <v>34526</v>
      </c>
      <c r="B15635" s="15" t="s">
        <v>28924</v>
      </c>
      <c r="C15635" s="15" t="s">
        <v>800</v>
      </c>
      <c r="D15635" s="15" t="s">
        <v>28925</v>
      </c>
      <c r="E15635" s="15">
        <v>12.856199999999999</v>
      </c>
      <c r="F15635" s="42">
        <v>44489</v>
      </c>
    </row>
    <row r="15636" spans="1:6" x14ac:dyDescent="0.3">
      <c r="A15636" s="15" t="s">
        <v>34525</v>
      </c>
      <c r="B15636" s="15" t="s">
        <v>28926</v>
      </c>
      <c r="C15636" s="15" t="s">
        <v>800</v>
      </c>
      <c r="D15636" s="15" t="s">
        <v>28927</v>
      </c>
      <c r="E15636" s="15">
        <v>12.755599999999999</v>
      </c>
      <c r="F15636" s="42">
        <v>44489</v>
      </c>
    </row>
    <row r="15637" spans="1:6" x14ac:dyDescent="0.3">
      <c r="A15637" s="15" t="s">
        <v>34524</v>
      </c>
      <c r="B15637" s="15" t="s">
        <v>28928</v>
      </c>
      <c r="C15637" s="15" t="s">
        <v>800</v>
      </c>
      <c r="D15637" s="15" t="s">
        <v>28929</v>
      </c>
      <c r="E15637" s="15">
        <v>12.856199999999999</v>
      </c>
      <c r="F15637" s="42">
        <v>44489</v>
      </c>
    </row>
    <row r="15638" spans="1:6" x14ac:dyDescent="0.3">
      <c r="A15638" s="15" t="s">
        <v>34523</v>
      </c>
      <c r="B15638" s="15" t="s">
        <v>28930</v>
      </c>
      <c r="C15638" s="15" t="s">
        <v>800</v>
      </c>
      <c r="D15638" s="15" t="s">
        <v>28931</v>
      </c>
      <c r="E15638" s="15">
        <v>12.755599999999999</v>
      </c>
      <c r="F15638" s="42">
        <v>44489</v>
      </c>
    </row>
    <row r="15639" spans="1:6" x14ac:dyDescent="0.3">
      <c r="A15639" s="15" t="s">
        <v>34522</v>
      </c>
      <c r="B15639" s="15" t="s">
        <v>28932</v>
      </c>
      <c r="C15639" s="15" t="s">
        <v>800</v>
      </c>
      <c r="D15639" s="15" t="s">
        <v>28933</v>
      </c>
      <c r="E15639" s="15">
        <v>13.188499999999999</v>
      </c>
      <c r="F15639" s="42">
        <v>44711</v>
      </c>
    </row>
    <row r="15640" spans="1:6" x14ac:dyDescent="0.3">
      <c r="A15640" s="15" t="s">
        <v>34521</v>
      </c>
      <c r="B15640" s="15" t="s">
        <v>28934</v>
      </c>
      <c r="C15640" s="15" t="s">
        <v>800</v>
      </c>
      <c r="D15640" s="15" t="s">
        <v>28935</v>
      </c>
      <c r="E15640" s="15">
        <v>12.9534</v>
      </c>
      <c r="F15640" s="42">
        <v>44711</v>
      </c>
    </row>
    <row r="15641" spans="1:6" x14ac:dyDescent="0.3">
      <c r="A15641" s="15" t="s">
        <v>34520</v>
      </c>
      <c r="B15641" s="15" t="s">
        <v>28936</v>
      </c>
      <c r="C15641" s="15" t="s">
        <v>800</v>
      </c>
      <c r="D15641" s="15" t="s">
        <v>28937</v>
      </c>
      <c r="E15641" s="15">
        <v>13.188499999999999</v>
      </c>
      <c r="F15641" s="42">
        <v>44711</v>
      </c>
    </row>
    <row r="15642" spans="1:6" x14ac:dyDescent="0.3">
      <c r="A15642" s="15" t="s">
        <v>34519</v>
      </c>
      <c r="B15642" s="15" t="s">
        <v>28938</v>
      </c>
      <c r="C15642" s="15" t="s">
        <v>800</v>
      </c>
      <c r="D15642" s="15" t="s">
        <v>28939</v>
      </c>
      <c r="E15642" s="15">
        <v>12.9534</v>
      </c>
      <c r="F15642" s="42">
        <v>44711</v>
      </c>
    </row>
    <row r="15643" spans="1:6" x14ac:dyDescent="0.3">
      <c r="A15643" s="15" t="s">
        <v>34518</v>
      </c>
      <c r="B15643" s="15" t="s">
        <v>28940</v>
      </c>
      <c r="C15643" s="15" t="s">
        <v>800</v>
      </c>
      <c r="D15643" s="15" t="s">
        <v>28941</v>
      </c>
      <c r="E15643" s="15">
        <v>13.475300000000001</v>
      </c>
      <c r="F15643" s="42">
        <v>44679</v>
      </c>
    </row>
    <row r="15644" spans="1:6" x14ac:dyDescent="0.3">
      <c r="A15644" s="15" t="s">
        <v>34517</v>
      </c>
      <c r="B15644" s="15" t="s">
        <v>28942</v>
      </c>
      <c r="C15644" s="15" t="s">
        <v>800</v>
      </c>
      <c r="D15644" s="15" t="s">
        <v>28943</v>
      </c>
      <c r="E15644" s="15">
        <v>13.3703</v>
      </c>
      <c r="F15644" s="42">
        <v>44679</v>
      </c>
    </row>
    <row r="15645" spans="1:6" x14ac:dyDescent="0.3">
      <c r="A15645" s="15" t="s">
        <v>34516</v>
      </c>
      <c r="B15645" s="15" t="s">
        <v>28944</v>
      </c>
      <c r="C15645" s="15" t="s">
        <v>800</v>
      </c>
      <c r="D15645" s="15" t="s">
        <v>28945</v>
      </c>
      <c r="E15645" s="15">
        <v>13.475300000000001</v>
      </c>
      <c r="F15645" s="42">
        <v>44679</v>
      </c>
    </row>
    <row r="15646" spans="1:6" x14ac:dyDescent="0.3">
      <c r="A15646" s="15" t="s">
        <v>34515</v>
      </c>
      <c r="B15646" s="15" t="s">
        <v>28946</v>
      </c>
      <c r="C15646" s="15" t="s">
        <v>800</v>
      </c>
      <c r="D15646" s="15" t="s">
        <v>28947</v>
      </c>
      <c r="E15646" s="15">
        <v>13.3703</v>
      </c>
      <c r="F15646" s="42">
        <v>44679</v>
      </c>
    </row>
    <row r="15647" spans="1:6" x14ac:dyDescent="0.3">
      <c r="A15647" s="15" t="s">
        <v>34514</v>
      </c>
      <c r="B15647" s="15" t="s">
        <v>28948</v>
      </c>
      <c r="C15647" s="15" t="s">
        <v>800</v>
      </c>
      <c r="D15647" s="15" t="s">
        <v>28949</v>
      </c>
      <c r="E15647" s="15">
        <v>13.5281</v>
      </c>
      <c r="F15647" s="42">
        <v>44680</v>
      </c>
    </row>
    <row r="15648" spans="1:6" x14ac:dyDescent="0.3">
      <c r="A15648" s="15" t="s">
        <v>34513</v>
      </c>
      <c r="B15648" s="15" t="s">
        <v>28950</v>
      </c>
      <c r="C15648" s="15" t="s">
        <v>800</v>
      </c>
      <c r="D15648" s="15" t="s">
        <v>28951</v>
      </c>
      <c r="E15648" s="15">
        <v>13.4061</v>
      </c>
      <c r="F15648" s="42">
        <v>44680</v>
      </c>
    </row>
    <row r="15649" spans="1:6" x14ac:dyDescent="0.3">
      <c r="A15649" s="15" t="s">
        <v>34512</v>
      </c>
      <c r="B15649" s="15" t="s">
        <v>28952</v>
      </c>
      <c r="C15649" s="15" t="s">
        <v>800</v>
      </c>
      <c r="D15649" s="15" t="s">
        <v>28953</v>
      </c>
      <c r="E15649" s="15">
        <v>13.5281</v>
      </c>
      <c r="F15649" s="42">
        <v>44680</v>
      </c>
    </row>
    <row r="15650" spans="1:6" x14ac:dyDescent="0.3">
      <c r="A15650" s="15" t="s">
        <v>34511</v>
      </c>
      <c r="B15650" s="15" t="s">
        <v>28954</v>
      </c>
      <c r="C15650" s="15" t="s">
        <v>800</v>
      </c>
      <c r="D15650" s="15" t="s">
        <v>28955</v>
      </c>
      <c r="E15650" s="15">
        <v>13.4061</v>
      </c>
      <c r="F15650" s="42">
        <v>44680</v>
      </c>
    </row>
    <row r="15651" spans="1:6" x14ac:dyDescent="0.3">
      <c r="A15651" s="15" t="s">
        <v>34510</v>
      </c>
      <c r="B15651" s="15" t="s">
        <v>28956</v>
      </c>
      <c r="C15651" s="15" t="s">
        <v>800</v>
      </c>
      <c r="D15651" s="15" t="s">
        <v>28957</v>
      </c>
      <c r="E15651" s="15">
        <v>13.320600000000001</v>
      </c>
      <c r="F15651" s="42">
        <v>44712</v>
      </c>
    </row>
    <row r="15652" spans="1:6" x14ac:dyDescent="0.3">
      <c r="A15652" s="15" t="s">
        <v>34509</v>
      </c>
      <c r="B15652" s="15" t="s">
        <v>28958</v>
      </c>
      <c r="C15652" s="15" t="s">
        <v>800</v>
      </c>
      <c r="D15652" s="15" t="s">
        <v>28959</v>
      </c>
      <c r="E15652" s="15">
        <v>13.174200000000001</v>
      </c>
      <c r="F15652" s="42">
        <v>44712</v>
      </c>
    </row>
    <row r="15653" spans="1:6" x14ac:dyDescent="0.3">
      <c r="A15653" s="15" t="s">
        <v>34508</v>
      </c>
      <c r="B15653" s="15" t="s">
        <v>28960</v>
      </c>
      <c r="C15653" s="15" t="s">
        <v>800</v>
      </c>
      <c r="D15653" s="15" t="s">
        <v>28961</v>
      </c>
      <c r="E15653" s="15">
        <v>13.320600000000001</v>
      </c>
      <c r="F15653" s="42">
        <v>44712</v>
      </c>
    </row>
    <row r="15654" spans="1:6" x14ac:dyDescent="0.3">
      <c r="A15654" s="15" t="s">
        <v>34507</v>
      </c>
      <c r="B15654" s="15" t="s">
        <v>28962</v>
      </c>
      <c r="C15654" s="15" t="s">
        <v>800</v>
      </c>
      <c r="D15654" s="15" t="s">
        <v>28963</v>
      </c>
      <c r="E15654" s="15">
        <v>13.174200000000001</v>
      </c>
      <c r="F15654" s="42">
        <v>44712</v>
      </c>
    </row>
    <row r="15655" spans="1:6" x14ac:dyDescent="0.3">
      <c r="A15655" s="15" t="s">
        <v>34506</v>
      </c>
      <c r="B15655" s="15" t="s">
        <v>28964</v>
      </c>
      <c r="C15655" s="15" t="s">
        <v>800</v>
      </c>
      <c r="D15655" s="15" t="s">
        <v>28965</v>
      </c>
      <c r="E15655" s="15">
        <v>13.460800000000001</v>
      </c>
      <c r="F15655" s="42">
        <v>44680</v>
      </c>
    </row>
    <row r="15656" spans="1:6" x14ac:dyDescent="0.3">
      <c r="A15656" s="15" t="s">
        <v>34505</v>
      </c>
      <c r="B15656" s="15" t="s">
        <v>28966</v>
      </c>
      <c r="C15656" s="15" t="s">
        <v>800</v>
      </c>
      <c r="D15656" s="15" t="s">
        <v>28967</v>
      </c>
      <c r="E15656" s="15">
        <v>13.356199999999999</v>
      </c>
      <c r="F15656" s="42">
        <v>44680</v>
      </c>
    </row>
    <row r="15657" spans="1:6" x14ac:dyDescent="0.3">
      <c r="A15657" s="15" t="s">
        <v>34504</v>
      </c>
      <c r="B15657" s="15" t="s">
        <v>28968</v>
      </c>
      <c r="C15657" s="15" t="s">
        <v>800</v>
      </c>
      <c r="D15657" s="15" t="s">
        <v>28969</v>
      </c>
      <c r="E15657" s="15">
        <v>13.3926</v>
      </c>
      <c r="F15657" s="42">
        <v>44686</v>
      </c>
    </row>
    <row r="15658" spans="1:6" x14ac:dyDescent="0.3">
      <c r="A15658" s="15" t="s">
        <v>34503</v>
      </c>
      <c r="B15658" s="15" t="s">
        <v>28970</v>
      </c>
      <c r="C15658" s="15" t="s">
        <v>800</v>
      </c>
      <c r="D15658" s="15" t="s">
        <v>28971</v>
      </c>
      <c r="E15658" s="15">
        <v>13.273099999999999</v>
      </c>
      <c r="F15658" s="42">
        <v>44686</v>
      </c>
    </row>
    <row r="15659" spans="1:6" x14ac:dyDescent="0.3">
      <c r="A15659" s="15" t="s">
        <v>34502</v>
      </c>
      <c r="B15659" s="15" t="s">
        <v>28972</v>
      </c>
      <c r="C15659" s="15" t="s">
        <v>800</v>
      </c>
      <c r="D15659" s="15" t="s">
        <v>28973</v>
      </c>
      <c r="E15659" s="15">
        <v>13.3926</v>
      </c>
      <c r="F15659" s="42">
        <v>44686</v>
      </c>
    </row>
    <row r="15660" spans="1:6" x14ac:dyDescent="0.3">
      <c r="A15660" s="15" t="s">
        <v>34501</v>
      </c>
      <c r="B15660" s="15" t="s">
        <v>28974</v>
      </c>
      <c r="C15660" s="15" t="s">
        <v>800</v>
      </c>
      <c r="D15660" s="15" t="s">
        <v>28975</v>
      </c>
      <c r="E15660" s="15">
        <v>13.273099999999999</v>
      </c>
      <c r="F15660" s="42">
        <v>44686</v>
      </c>
    </row>
    <row r="15661" spans="1:6" x14ac:dyDescent="0.3">
      <c r="A15661" s="15" t="s">
        <v>34500</v>
      </c>
      <c r="B15661" s="15" t="s">
        <v>28976</v>
      </c>
      <c r="C15661" s="15" t="s">
        <v>800</v>
      </c>
      <c r="D15661" s="15" t="s">
        <v>28977</v>
      </c>
      <c r="E15661" s="15">
        <v>13.333399999999999</v>
      </c>
      <c r="F15661" s="42">
        <v>44691</v>
      </c>
    </row>
    <row r="15662" spans="1:6" x14ac:dyDescent="0.3">
      <c r="A15662" s="15" t="s">
        <v>34499</v>
      </c>
      <c r="B15662" s="15" t="s">
        <v>28978</v>
      </c>
      <c r="C15662" s="15" t="s">
        <v>800</v>
      </c>
      <c r="D15662" s="15" t="s">
        <v>28979</v>
      </c>
      <c r="E15662" s="15">
        <v>13.2156</v>
      </c>
      <c r="F15662" s="42">
        <v>44691</v>
      </c>
    </row>
    <row r="15663" spans="1:6" x14ac:dyDescent="0.3">
      <c r="A15663" s="15" t="s">
        <v>34498</v>
      </c>
      <c r="B15663" s="15" t="s">
        <v>28980</v>
      </c>
      <c r="C15663" s="15" t="s">
        <v>800</v>
      </c>
      <c r="D15663" s="15" t="s">
        <v>28981</v>
      </c>
      <c r="E15663" s="15">
        <v>13.333399999999999</v>
      </c>
      <c r="F15663" s="42">
        <v>44691</v>
      </c>
    </row>
    <row r="15664" spans="1:6" x14ac:dyDescent="0.3">
      <c r="A15664" s="15" t="s">
        <v>34497</v>
      </c>
      <c r="B15664" s="15" t="s">
        <v>28982</v>
      </c>
      <c r="C15664" s="15" t="s">
        <v>800</v>
      </c>
      <c r="D15664" s="15" t="s">
        <v>28983</v>
      </c>
      <c r="E15664" s="15">
        <v>13.2156</v>
      </c>
      <c r="F15664" s="42">
        <v>44691</v>
      </c>
    </row>
    <row r="15665" spans="1:6" x14ac:dyDescent="0.3">
      <c r="A15665" s="15" t="s">
        <v>34496</v>
      </c>
      <c r="B15665" s="15" t="s">
        <v>28984</v>
      </c>
      <c r="C15665" s="15" t="s">
        <v>800</v>
      </c>
      <c r="D15665" s="15" t="s">
        <v>28985</v>
      </c>
      <c r="E15665" s="15">
        <v>10</v>
      </c>
      <c r="F15665" s="42">
        <v>44326</v>
      </c>
    </row>
    <row r="15666" spans="1:6" x14ac:dyDescent="0.3">
      <c r="A15666" s="15" t="s">
        <v>34495</v>
      </c>
      <c r="B15666" s="15" t="s">
        <v>28986</v>
      </c>
      <c r="C15666" s="15" t="s">
        <v>800</v>
      </c>
      <c r="D15666" s="15" t="s">
        <v>28987</v>
      </c>
      <c r="E15666" s="15">
        <v>10</v>
      </c>
      <c r="F15666" s="42">
        <v>44326</v>
      </c>
    </row>
    <row r="15667" spans="1:6" x14ac:dyDescent="0.3">
      <c r="A15667" s="15" t="s">
        <v>34494</v>
      </c>
      <c r="B15667" s="15" t="s">
        <v>28988</v>
      </c>
      <c r="C15667" s="15" t="s">
        <v>800</v>
      </c>
      <c r="D15667" s="15" t="s">
        <v>28989</v>
      </c>
      <c r="E15667" s="15">
        <v>12.735799999999999</v>
      </c>
      <c r="F15667" s="42">
        <v>44326</v>
      </c>
    </row>
    <row r="15668" spans="1:6" x14ac:dyDescent="0.3">
      <c r="A15668" s="15" t="s">
        <v>34493</v>
      </c>
      <c r="B15668" s="15" t="s">
        <v>28990</v>
      </c>
      <c r="C15668" s="15" t="s">
        <v>800</v>
      </c>
      <c r="D15668" s="15" t="s">
        <v>28991</v>
      </c>
      <c r="E15668" s="15">
        <v>12.699199999999999</v>
      </c>
      <c r="F15668" s="42">
        <v>44326</v>
      </c>
    </row>
    <row r="15669" spans="1:6" x14ac:dyDescent="0.3">
      <c r="A15669" s="15" t="s">
        <v>34492</v>
      </c>
      <c r="B15669" s="15" t="s">
        <v>28992</v>
      </c>
      <c r="C15669" s="15" t="s">
        <v>800</v>
      </c>
      <c r="D15669" s="15" t="s">
        <v>28993</v>
      </c>
      <c r="E15669" s="15">
        <v>10</v>
      </c>
      <c r="F15669" s="42">
        <v>44326</v>
      </c>
    </row>
    <row r="15670" spans="1:6" x14ac:dyDescent="0.3">
      <c r="A15670" s="15" t="s">
        <v>34491</v>
      </c>
      <c r="B15670" s="15" t="s">
        <v>28994</v>
      </c>
      <c r="C15670" s="15" t="s">
        <v>800</v>
      </c>
      <c r="D15670" s="15" t="s">
        <v>28995</v>
      </c>
      <c r="E15670" s="15">
        <v>12.746499999999999</v>
      </c>
      <c r="F15670" s="42">
        <v>44326</v>
      </c>
    </row>
    <row r="15671" spans="1:6" x14ac:dyDescent="0.3">
      <c r="A15671" s="15" t="s">
        <v>34490</v>
      </c>
      <c r="B15671" s="15" t="s">
        <v>28996</v>
      </c>
      <c r="C15671" s="15" t="s">
        <v>800</v>
      </c>
      <c r="D15671" s="15" t="s">
        <v>28997</v>
      </c>
      <c r="E15671" s="15">
        <v>12.708500000000001</v>
      </c>
      <c r="F15671" s="42">
        <v>44326</v>
      </c>
    </row>
    <row r="15672" spans="1:6" x14ac:dyDescent="0.3">
      <c r="A15672" s="15" t="s">
        <v>34489</v>
      </c>
      <c r="B15672" s="15" t="s">
        <v>28998</v>
      </c>
      <c r="C15672" s="15" t="s">
        <v>800</v>
      </c>
      <c r="D15672" s="15" t="s">
        <v>28999</v>
      </c>
      <c r="E15672" s="15">
        <v>10</v>
      </c>
      <c r="F15672" s="42">
        <v>44326</v>
      </c>
    </row>
    <row r="15673" spans="1:6" x14ac:dyDescent="0.3">
      <c r="A15673" s="15" t="s">
        <v>34488</v>
      </c>
      <c r="B15673" s="15" t="s">
        <v>29000</v>
      </c>
      <c r="C15673" s="15" t="s">
        <v>800</v>
      </c>
      <c r="D15673" s="15" t="s">
        <v>29001</v>
      </c>
      <c r="E15673" s="15">
        <v>10</v>
      </c>
      <c r="F15673" s="42">
        <v>44326</v>
      </c>
    </row>
    <row r="15674" spans="1:6" x14ac:dyDescent="0.3">
      <c r="A15674" s="15" t="s">
        <v>34487</v>
      </c>
      <c r="B15674" s="15" t="s">
        <v>29002</v>
      </c>
      <c r="C15674" s="15" t="s">
        <v>800</v>
      </c>
      <c r="D15674" s="15" t="s">
        <v>29003</v>
      </c>
      <c r="E15674" s="15">
        <v>12.7233</v>
      </c>
      <c r="F15674" s="42">
        <v>44326</v>
      </c>
    </row>
    <row r="15675" spans="1:6" x14ac:dyDescent="0.3">
      <c r="A15675" s="15" t="s">
        <v>34486</v>
      </c>
      <c r="B15675" s="15" t="s">
        <v>29004</v>
      </c>
      <c r="C15675" s="15" t="s">
        <v>800</v>
      </c>
      <c r="D15675" s="15" t="s">
        <v>29005</v>
      </c>
      <c r="E15675" s="15">
        <v>12.6875</v>
      </c>
      <c r="F15675" s="42">
        <v>44326</v>
      </c>
    </row>
    <row r="15676" spans="1:6" x14ac:dyDescent="0.3">
      <c r="A15676" s="15" t="s">
        <v>34485</v>
      </c>
      <c r="B15676" s="15" t="s">
        <v>29006</v>
      </c>
      <c r="C15676" s="15" t="s">
        <v>800</v>
      </c>
      <c r="D15676" s="15" t="s">
        <v>29007</v>
      </c>
      <c r="E15676" s="15">
        <v>10</v>
      </c>
      <c r="F15676" s="42">
        <v>44326</v>
      </c>
    </row>
    <row r="15677" spans="1:6" x14ac:dyDescent="0.3">
      <c r="A15677" s="15" t="s">
        <v>34484</v>
      </c>
      <c r="B15677" s="15" t="s">
        <v>29008</v>
      </c>
      <c r="C15677" s="15" t="s">
        <v>800</v>
      </c>
      <c r="D15677" s="15" t="s">
        <v>29009</v>
      </c>
      <c r="E15677" s="15">
        <v>10</v>
      </c>
      <c r="F15677" s="42">
        <v>44326</v>
      </c>
    </row>
    <row r="15678" spans="1:6" x14ac:dyDescent="0.3">
      <c r="A15678" s="15" t="s">
        <v>34483</v>
      </c>
      <c r="B15678" s="15" t="s">
        <v>29010</v>
      </c>
      <c r="C15678" s="15" t="s">
        <v>800</v>
      </c>
      <c r="D15678" s="15" t="s">
        <v>29011</v>
      </c>
      <c r="E15678" s="15">
        <v>12.7242</v>
      </c>
      <c r="F15678" s="42">
        <v>44326</v>
      </c>
    </row>
    <row r="15679" spans="1:6" x14ac:dyDescent="0.3">
      <c r="A15679" s="15" t="s">
        <v>34482</v>
      </c>
      <c r="B15679" s="15" t="s">
        <v>29012</v>
      </c>
      <c r="C15679" s="15" t="s">
        <v>800</v>
      </c>
      <c r="D15679" s="15" t="s">
        <v>29013</v>
      </c>
      <c r="E15679" s="15">
        <v>12.686400000000001</v>
      </c>
      <c r="F15679" s="42">
        <v>44326</v>
      </c>
    </row>
    <row r="15680" spans="1:6" x14ac:dyDescent="0.3">
      <c r="A15680" s="15" t="s">
        <v>34481</v>
      </c>
      <c r="B15680" s="15" t="s">
        <v>29014</v>
      </c>
      <c r="C15680" s="15" t="s">
        <v>800</v>
      </c>
      <c r="D15680" s="15" t="s">
        <v>29015</v>
      </c>
      <c r="E15680" s="15">
        <v>10</v>
      </c>
      <c r="F15680" s="42">
        <v>44326</v>
      </c>
    </row>
    <row r="15681" spans="1:6" x14ac:dyDescent="0.3">
      <c r="A15681" s="15" t="s">
        <v>34480</v>
      </c>
      <c r="B15681" s="15" t="s">
        <v>29016</v>
      </c>
      <c r="C15681" s="15" t="s">
        <v>800</v>
      </c>
      <c r="D15681" s="15" t="s">
        <v>29017</v>
      </c>
      <c r="E15681" s="15">
        <v>10</v>
      </c>
      <c r="F15681" s="42">
        <v>44326</v>
      </c>
    </row>
    <row r="15682" spans="1:6" x14ac:dyDescent="0.3">
      <c r="A15682" s="15" t="s">
        <v>34479</v>
      </c>
      <c r="B15682" s="15" t="s">
        <v>29018</v>
      </c>
      <c r="C15682" s="15" t="s">
        <v>800</v>
      </c>
      <c r="D15682" s="15" t="s">
        <v>29019</v>
      </c>
      <c r="E15682" s="15">
        <v>12.731</v>
      </c>
      <c r="F15682" s="42">
        <v>44326</v>
      </c>
    </row>
    <row r="15683" spans="1:6" x14ac:dyDescent="0.3">
      <c r="A15683" s="15" t="s">
        <v>34478</v>
      </c>
      <c r="B15683" s="15" t="s">
        <v>29020</v>
      </c>
      <c r="C15683" s="15" t="s">
        <v>800</v>
      </c>
      <c r="D15683" s="15" t="s">
        <v>29021</v>
      </c>
      <c r="E15683" s="15">
        <v>12.6919</v>
      </c>
      <c r="F15683" s="42">
        <v>44326</v>
      </c>
    </row>
    <row r="15684" spans="1:6" x14ac:dyDescent="0.3">
      <c r="A15684" s="15" t="s">
        <v>34477</v>
      </c>
      <c r="B15684" s="15" t="s">
        <v>29022</v>
      </c>
      <c r="C15684" s="15" t="s">
        <v>800</v>
      </c>
      <c r="D15684" s="15" t="s">
        <v>29023</v>
      </c>
      <c r="E15684" s="15">
        <v>10</v>
      </c>
      <c r="F15684" s="42">
        <v>44454</v>
      </c>
    </row>
    <row r="15685" spans="1:6" x14ac:dyDescent="0.3">
      <c r="A15685" s="15" t="s">
        <v>34476</v>
      </c>
      <c r="B15685" s="15" t="s">
        <v>29024</v>
      </c>
      <c r="C15685" s="15" t="s">
        <v>800</v>
      </c>
      <c r="D15685" s="15" t="s">
        <v>29025</v>
      </c>
      <c r="E15685" s="15">
        <v>10</v>
      </c>
      <c r="F15685" s="42">
        <v>44454</v>
      </c>
    </row>
    <row r="15686" spans="1:6" x14ac:dyDescent="0.3">
      <c r="A15686" s="15" t="s">
        <v>34475</v>
      </c>
      <c r="B15686" s="15" t="s">
        <v>29026</v>
      </c>
      <c r="C15686" s="15" t="s">
        <v>800</v>
      </c>
      <c r="D15686" s="15" t="s">
        <v>29027</v>
      </c>
      <c r="E15686" s="15">
        <v>12.179500000000001</v>
      </c>
      <c r="F15686" s="42">
        <v>44454</v>
      </c>
    </row>
    <row r="15687" spans="1:6" x14ac:dyDescent="0.3">
      <c r="A15687" s="15" t="s">
        <v>34474</v>
      </c>
      <c r="B15687" s="15" t="s">
        <v>29028</v>
      </c>
      <c r="C15687" s="15" t="s">
        <v>800</v>
      </c>
      <c r="D15687" s="15" t="s">
        <v>29029</v>
      </c>
      <c r="E15687" s="15">
        <v>12.0351</v>
      </c>
      <c r="F15687" s="42">
        <v>44454</v>
      </c>
    </row>
    <row r="15688" spans="1:6" x14ac:dyDescent="0.3">
      <c r="A15688" s="15" t="s">
        <v>34473</v>
      </c>
      <c r="B15688" s="15" t="s">
        <v>29030</v>
      </c>
      <c r="C15688" s="15" t="s">
        <v>800</v>
      </c>
      <c r="D15688" s="15" t="s">
        <v>29031</v>
      </c>
      <c r="E15688" s="15">
        <v>10</v>
      </c>
      <c r="F15688" s="42">
        <v>44137</v>
      </c>
    </row>
    <row r="15689" spans="1:6" x14ac:dyDescent="0.3">
      <c r="A15689" s="15" t="s">
        <v>34472</v>
      </c>
      <c r="B15689" s="15" t="s">
        <v>29032</v>
      </c>
      <c r="C15689" s="15" t="s">
        <v>800</v>
      </c>
      <c r="D15689" s="15" t="s">
        <v>29033</v>
      </c>
      <c r="E15689" s="15">
        <v>11.674799999999999</v>
      </c>
      <c r="F15689" s="42">
        <v>44137</v>
      </c>
    </row>
    <row r="15690" spans="1:6" x14ac:dyDescent="0.3">
      <c r="A15690" s="15" t="s">
        <v>34471</v>
      </c>
      <c r="B15690" s="15" t="s">
        <v>29034</v>
      </c>
      <c r="C15690" s="15" t="s">
        <v>800</v>
      </c>
      <c r="D15690" s="15" t="s">
        <v>29035</v>
      </c>
      <c r="E15690" s="15">
        <v>10</v>
      </c>
      <c r="F15690" s="42">
        <v>44137</v>
      </c>
    </row>
    <row r="15691" spans="1:6" x14ac:dyDescent="0.3">
      <c r="A15691" s="15" t="s">
        <v>34470</v>
      </c>
      <c r="B15691" s="15" t="s">
        <v>29036</v>
      </c>
      <c r="C15691" s="15" t="s">
        <v>800</v>
      </c>
      <c r="D15691" s="15" t="s">
        <v>29037</v>
      </c>
      <c r="E15691" s="15">
        <v>11.539300000000001</v>
      </c>
      <c r="F15691" s="42">
        <v>44137</v>
      </c>
    </row>
    <row r="15692" spans="1:6" x14ac:dyDescent="0.3">
      <c r="A15692" s="15" t="s">
        <v>34469</v>
      </c>
      <c r="B15692" s="15" t="s">
        <v>29038</v>
      </c>
      <c r="C15692" s="15" t="s">
        <v>800</v>
      </c>
      <c r="D15692" s="15" t="s">
        <v>29039</v>
      </c>
      <c r="E15692" s="15">
        <v>10</v>
      </c>
      <c r="F15692" s="42">
        <v>44306</v>
      </c>
    </row>
    <row r="15693" spans="1:6" x14ac:dyDescent="0.3">
      <c r="A15693" s="15" t="s">
        <v>34468</v>
      </c>
      <c r="B15693" s="15" t="s">
        <v>29040</v>
      </c>
      <c r="C15693" s="15" t="s">
        <v>800</v>
      </c>
      <c r="D15693" s="15" t="s">
        <v>29041</v>
      </c>
      <c r="E15693" s="15">
        <v>10</v>
      </c>
      <c r="F15693" s="42">
        <v>44306</v>
      </c>
    </row>
    <row r="15694" spans="1:6" x14ac:dyDescent="0.3">
      <c r="A15694" s="15" t="s">
        <v>34467</v>
      </c>
      <c r="B15694" s="15" t="s">
        <v>29042</v>
      </c>
      <c r="C15694" s="15" t="s">
        <v>800</v>
      </c>
      <c r="D15694" s="15" t="s">
        <v>29043</v>
      </c>
      <c r="E15694" s="15">
        <v>12.706799999999999</v>
      </c>
      <c r="F15694" s="42">
        <v>44306</v>
      </c>
    </row>
    <row r="15695" spans="1:6" x14ac:dyDescent="0.3">
      <c r="A15695" s="15" t="s">
        <v>34466</v>
      </c>
      <c r="B15695" s="15" t="s">
        <v>29044</v>
      </c>
      <c r="C15695" s="15" t="s">
        <v>800</v>
      </c>
      <c r="D15695" s="15" t="s">
        <v>29045</v>
      </c>
      <c r="E15695" s="15">
        <v>12.6676</v>
      </c>
      <c r="F15695" s="42">
        <v>44306</v>
      </c>
    </row>
    <row r="15696" spans="1:6" x14ac:dyDescent="0.3">
      <c r="A15696" s="15" t="s">
        <v>34465</v>
      </c>
      <c r="B15696" s="15" t="s">
        <v>29046</v>
      </c>
      <c r="C15696" s="15" t="s">
        <v>800</v>
      </c>
      <c r="D15696" s="15" t="s">
        <v>29047</v>
      </c>
      <c r="E15696" s="15">
        <v>12.7272</v>
      </c>
      <c r="F15696" s="42">
        <v>44328</v>
      </c>
    </row>
    <row r="15697" spans="1:6" x14ac:dyDescent="0.3">
      <c r="A15697" s="15" t="s">
        <v>34464</v>
      </c>
      <c r="B15697" s="15" t="s">
        <v>29048</v>
      </c>
      <c r="C15697" s="15" t="s">
        <v>800</v>
      </c>
      <c r="D15697" s="15" t="s">
        <v>29049</v>
      </c>
      <c r="E15697" s="15">
        <v>12.688800000000001</v>
      </c>
      <c r="F15697" s="42">
        <v>44328</v>
      </c>
    </row>
    <row r="15698" spans="1:6" x14ac:dyDescent="0.3">
      <c r="A15698" s="15" t="s">
        <v>34463</v>
      </c>
      <c r="B15698" s="15" t="s">
        <v>29050</v>
      </c>
      <c r="C15698" s="15" t="s">
        <v>800</v>
      </c>
      <c r="D15698" s="15" t="s">
        <v>29051</v>
      </c>
      <c r="E15698" s="15">
        <v>10</v>
      </c>
      <c r="F15698" s="42">
        <v>44428</v>
      </c>
    </row>
    <row r="15699" spans="1:6" x14ac:dyDescent="0.3">
      <c r="A15699" s="15" t="s">
        <v>34462</v>
      </c>
      <c r="B15699" s="15" t="s">
        <v>29052</v>
      </c>
      <c r="C15699" s="15" t="s">
        <v>800</v>
      </c>
      <c r="D15699" s="15" t="s">
        <v>29053</v>
      </c>
      <c r="E15699" s="15">
        <v>10</v>
      </c>
      <c r="F15699" s="42">
        <v>44428</v>
      </c>
    </row>
    <row r="15700" spans="1:6" x14ac:dyDescent="0.3">
      <c r="A15700" s="15" t="s">
        <v>34461</v>
      </c>
      <c r="B15700" s="15" t="s">
        <v>29054</v>
      </c>
      <c r="C15700" s="15" t="s">
        <v>800</v>
      </c>
      <c r="D15700" s="15" t="s">
        <v>29055</v>
      </c>
      <c r="E15700" s="15">
        <v>11.9679</v>
      </c>
      <c r="F15700" s="42">
        <v>44428</v>
      </c>
    </row>
    <row r="15701" spans="1:6" x14ac:dyDescent="0.3">
      <c r="A15701" s="15" t="s">
        <v>34460</v>
      </c>
      <c r="B15701" s="15" t="s">
        <v>29056</v>
      </c>
      <c r="C15701" s="15" t="s">
        <v>800</v>
      </c>
      <c r="D15701" s="15" t="s">
        <v>29057</v>
      </c>
      <c r="E15701" s="15">
        <v>11.752800000000001</v>
      </c>
      <c r="F15701" s="42">
        <v>44428</v>
      </c>
    </row>
    <row r="15702" spans="1:6" x14ac:dyDescent="0.3">
      <c r="A15702" s="15" t="s">
        <v>34459</v>
      </c>
      <c r="B15702" s="15" t="s">
        <v>29058</v>
      </c>
      <c r="C15702" s="15" t="s">
        <v>800</v>
      </c>
      <c r="D15702" s="15" t="s">
        <v>29059</v>
      </c>
      <c r="E15702" s="15">
        <v>12.8202</v>
      </c>
      <c r="F15702" s="42">
        <v>44545</v>
      </c>
    </row>
    <row r="15703" spans="1:6" x14ac:dyDescent="0.3">
      <c r="A15703" s="15" t="s">
        <v>34458</v>
      </c>
      <c r="B15703" s="15" t="s">
        <v>29060</v>
      </c>
      <c r="C15703" s="15" t="s">
        <v>800</v>
      </c>
      <c r="D15703" s="15" t="s">
        <v>29061</v>
      </c>
      <c r="E15703" s="15">
        <v>12.7148</v>
      </c>
      <c r="F15703" s="42">
        <v>44545</v>
      </c>
    </row>
    <row r="15704" spans="1:6" x14ac:dyDescent="0.3">
      <c r="A15704" s="15" t="s">
        <v>34457</v>
      </c>
      <c r="B15704" s="15" t="s">
        <v>29062</v>
      </c>
      <c r="C15704" s="15" t="s">
        <v>800</v>
      </c>
      <c r="D15704" s="15" t="s">
        <v>29063</v>
      </c>
      <c r="E15704" s="15">
        <v>12.8202</v>
      </c>
      <c r="F15704" s="42">
        <v>44545</v>
      </c>
    </row>
    <row r="15705" spans="1:6" x14ac:dyDescent="0.3">
      <c r="A15705" s="15" t="s">
        <v>34456</v>
      </c>
      <c r="B15705" s="15" t="s">
        <v>29064</v>
      </c>
      <c r="C15705" s="15" t="s">
        <v>800</v>
      </c>
      <c r="D15705" s="15" t="s">
        <v>29065</v>
      </c>
      <c r="E15705" s="15">
        <v>12.7148</v>
      </c>
      <c r="F15705" s="42">
        <v>44545</v>
      </c>
    </row>
    <row r="15706" spans="1:6" x14ac:dyDescent="0.3">
      <c r="A15706" s="15" t="s">
        <v>34455</v>
      </c>
      <c r="B15706" s="15" t="s">
        <v>29066</v>
      </c>
      <c r="C15706" s="15" t="s">
        <v>800</v>
      </c>
      <c r="D15706" s="15" t="s">
        <v>29067</v>
      </c>
      <c r="E15706" s="15">
        <v>10</v>
      </c>
      <c r="F15706" s="42">
        <v>44326</v>
      </c>
    </row>
    <row r="15707" spans="1:6" x14ac:dyDescent="0.3">
      <c r="A15707" s="15" t="s">
        <v>34454</v>
      </c>
      <c r="B15707" s="15" t="s">
        <v>29068</v>
      </c>
      <c r="C15707" s="15" t="s">
        <v>800</v>
      </c>
      <c r="D15707" s="15" t="s">
        <v>29069</v>
      </c>
      <c r="E15707" s="15">
        <v>10</v>
      </c>
      <c r="F15707" s="42">
        <v>44326</v>
      </c>
    </row>
    <row r="15708" spans="1:6" x14ac:dyDescent="0.3">
      <c r="A15708" s="15" t="s">
        <v>34453</v>
      </c>
      <c r="B15708" s="15" t="s">
        <v>29070</v>
      </c>
      <c r="C15708" s="15" t="s">
        <v>800</v>
      </c>
      <c r="D15708" s="15" t="s">
        <v>29071</v>
      </c>
      <c r="E15708" s="15">
        <v>12.659700000000001</v>
      </c>
      <c r="F15708" s="42">
        <v>44326</v>
      </c>
    </row>
    <row r="15709" spans="1:6" x14ac:dyDescent="0.3">
      <c r="A15709" s="15" t="s">
        <v>34452</v>
      </c>
      <c r="B15709" s="15" t="s">
        <v>29072</v>
      </c>
      <c r="C15709" s="15" t="s">
        <v>800</v>
      </c>
      <c r="D15709" s="15" t="s">
        <v>29073</v>
      </c>
      <c r="E15709" s="15">
        <v>12.5572</v>
      </c>
      <c r="F15709" s="42">
        <v>44326</v>
      </c>
    </row>
    <row r="15710" spans="1:6" x14ac:dyDescent="0.3">
      <c r="A15710" s="15" t="s">
        <v>34451</v>
      </c>
      <c r="B15710" s="15" t="s">
        <v>29074</v>
      </c>
      <c r="C15710" s="15" t="s">
        <v>800</v>
      </c>
      <c r="D15710" s="15" t="s">
        <v>29075</v>
      </c>
      <c r="E15710" s="15">
        <v>13.275399999999999</v>
      </c>
      <c r="F15710" s="42">
        <v>44469</v>
      </c>
    </row>
    <row r="15711" spans="1:6" x14ac:dyDescent="0.3">
      <c r="A15711" s="15" t="s">
        <v>34450</v>
      </c>
      <c r="B15711" s="15" t="s">
        <v>29076</v>
      </c>
      <c r="C15711" s="15" t="s">
        <v>800</v>
      </c>
      <c r="D15711" s="15" t="s">
        <v>29077</v>
      </c>
      <c r="E15711" s="15">
        <v>13.1595</v>
      </c>
      <c r="F15711" s="42">
        <v>44469</v>
      </c>
    </row>
    <row r="15712" spans="1:6" x14ac:dyDescent="0.3">
      <c r="A15712" s="15" t="s">
        <v>34449</v>
      </c>
      <c r="B15712" s="15" t="s">
        <v>29078</v>
      </c>
      <c r="C15712" s="15" t="s">
        <v>800</v>
      </c>
      <c r="D15712" s="15" t="s">
        <v>29079</v>
      </c>
      <c r="E15712" s="15">
        <v>13.275399999999999</v>
      </c>
      <c r="F15712" s="42">
        <v>44469</v>
      </c>
    </row>
    <row r="15713" spans="1:6" x14ac:dyDescent="0.3">
      <c r="A15713" s="15" t="s">
        <v>34448</v>
      </c>
      <c r="B15713" s="15" t="s">
        <v>29080</v>
      </c>
      <c r="C15713" s="15" t="s">
        <v>800</v>
      </c>
      <c r="D15713" s="15" t="s">
        <v>29081</v>
      </c>
      <c r="E15713" s="15">
        <v>13.1595</v>
      </c>
      <c r="F15713" s="42">
        <v>44469</v>
      </c>
    </row>
    <row r="15714" spans="1:6" x14ac:dyDescent="0.3">
      <c r="A15714" s="15" t="s">
        <v>34447</v>
      </c>
      <c r="B15714" s="15" t="s">
        <v>29082</v>
      </c>
      <c r="C15714" s="15" t="s">
        <v>800</v>
      </c>
      <c r="D15714" s="15" t="s">
        <v>29083</v>
      </c>
      <c r="E15714" s="15">
        <v>10</v>
      </c>
      <c r="F15714" s="42">
        <v>44326</v>
      </c>
    </row>
    <row r="15715" spans="1:6" x14ac:dyDescent="0.3">
      <c r="A15715" s="15" t="s">
        <v>34446</v>
      </c>
      <c r="B15715" s="15" t="s">
        <v>29084</v>
      </c>
      <c r="C15715" s="15" t="s">
        <v>800</v>
      </c>
      <c r="D15715" s="15" t="s">
        <v>29085</v>
      </c>
      <c r="E15715" s="15">
        <v>10</v>
      </c>
      <c r="F15715" s="42">
        <v>44326</v>
      </c>
    </row>
    <row r="15716" spans="1:6" x14ac:dyDescent="0.3">
      <c r="A15716" s="15" t="s">
        <v>34445</v>
      </c>
      <c r="B15716" s="15" t="s">
        <v>29086</v>
      </c>
      <c r="C15716" s="15" t="s">
        <v>800</v>
      </c>
      <c r="D15716" s="15" t="s">
        <v>29087</v>
      </c>
      <c r="E15716" s="15">
        <v>12.6645</v>
      </c>
      <c r="F15716" s="42">
        <v>44326</v>
      </c>
    </row>
    <row r="15717" spans="1:6" x14ac:dyDescent="0.3">
      <c r="A15717" s="15" t="s">
        <v>34444</v>
      </c>
      <c r="B15717" s="15" t="s">
        <v>29088</v>
      </c>
      <c r="C15717" s="15" t="s">
        <v>800</v>
      </c>
      <c r="D15717" s="15" t="s">
        <v>29089</v>
      </c>
      <c r="E15717" s="15">
        <v>12.5581</v>
      </c>
      <c r="F15717" s="42">
        <v>44326</v>
      </c>
    </row>
    <row r="15718" spans="1:6" x14ac:dyDescent="0.3">
      <c r="A15718" s="15" t="s">
        <v>34443</v>
      </c>
      <c r="B15718" s="15" t="s">
        <v>29090</v>
      </c>
      <c r="C15718" s="15" t="s">
        <v>800</v>
      </c>
      <c r="D15718" s="15" t="s">
        <v>29091</v>
      </c>
      <c r="E15718" s="15">
        <v>10</v>
      </c>
      <c r="F15718" s="42">
        <v>44326</v>
      </c>
    </row>
    <row r="15719" spans="1:6" x14ac:dyDescent="0.3">
      <c r="A15719" s="15" t="s">
        <v>34442</v>
      </c>
      <c r="B15719" s="15" t="s">
        <v>29092</v>
      </c>
      <c r="C15719" s="15" t="s">
        <v>800</v>
      </c>
      <c r="D15719" s="15" t="s">
        <v>29093</v>
      </c>
      <c r="E15719" s="15">
        <v>10</v>
      </c>
      <c r="F15719" s="42">
        <v>44326</v>
      </c>
    </row>
    <row r="15720" spans="1:6" x14ac:dyDescent="0.3">
      <c r="A15720" s="15" t="s">
        <v>34441</v>
      </c>
      <c r="B15720" s="15" t="s">
        <v>29094</v>
      </c>
      <c r="C15720" s="15" t="s">
        <v>800</v>
      </c>
      <c r="D15720" s="15" t="s">
        <v>29095</v>
      </c>
      <c r="E15720" s="15">
        <v>12.626799999999999</v>
      </c>
      <c r="F15720" s="42">
        <v>44326</v>
      </c>
    </row>
    <row r="15721" spans="1:6" x14ac:dyDescent="0.3">
      <c r="A15721" s="15" t="s">
        <v>34440</v>
      </c>
      <c r="B15721" s="15" t="s">
        <v>29096</v>
      </c>
      <c r="C15721" s="15" t="s">
        <v>800</v>
      </c>
      <c r="D15721" s="15" t="s">
        <v>29097</v>
      </c>
      <c r="E15721" s="15">
        <v>12.5869</v>
      </c>
      <c r="F15721" s="42">
        <v>44326</v>
      </c>
    </row>
    <row r="15722" spans="1:6" x14ac:dyDescent="0.3">
      <c r="A15722" s="15" t="s">
        <v>34439</v>
      </c>
      <c r="B15722" s="15" t="s">
        <v>29098</v>
      </c>
      <c r="C15722" s="15" t="s">
        <v>800</v>
      </c>
      <c r="D15722" s="15" t="s">
        <v>29099</v>
      </c>
      <c r="E15722" s="15">
        <v>13.4617</v>
      </c>
      <c r="F15722" s="42">
        <v>44501</v>
      </c>
    </row>
    <row r="15723" spans="1:6" x14ac:dyDescent="0.3">
      <c r="A15723" s="15" t="s">
        <v>34438</v>
      </c>
      <c r="B15723" s="15" t="s">
        <v>29100</v>
      </c>
      <c r="C15723" s="15" t="s">
        <v>800</v>
      </c>
      <c r="D15723" s="15" t="s">
        <v>29101</v>
      </c>
      <c r="E15723" s="15">
        <v>13.3132</v>
      </c>
      <c r="F15723" s="42">
        <v>44501</v>
      </c>
    </row>
    <row r="15724" spans="1:6" x14ac:dyDescent="0.3">
      <c r="A15724" s="15" t="s">
        <v>34437</v>
      </c>
      <c r="B15724" s="15" t="s">
        <v>29102</v>
      </c>
      <c r="C15724" s="15" t="s">
        <v>800</v>
      </c>
      <c r="D15724" s="15" t="s">
        <v>29103</v>
      </c>
      <c r="E15724" s="15">
        <v>13.4617</v>
      </c>
      <c r="F15724" s="42">
        <v>44501</v>
      </c>
    </row>
    <row r="15725" spans="1:6" x14ac:dyDescent="0.3">
      <c r="A15725" s="15" t="s">
        <v>34436</v>
      </c>
      <c r="B15725" s="15" t="s">
        <v>29104</v>
      </c>
      <c r="C15725" s="15" t="s">
        <v>800</v>
      </c>
      <c r="D15725" s="15" t="s">
        <v>29105</v>
      </c>
      <c r="E15725" s="15">
        <v>13.3132</v>
      </c>
      <c r="F15725" s="42">
        <v>44501</v>
      </c>
    </row>
    <row r="15726" spans="1:6" x14ac:dyDescent="0.3">
      <c r="A15726" s="15" t="s">
        <v>34435</v>
      </c>
      <c r="B15726" s="15" t="s">
        <v>29106</v>
      </c>
      <c r="C15726" s="15" t="s">
        <v>800</v>
      </c>
      <c r="D15726" s="15" t="s">
        <v>29107</v>
      </c>
      <c r="E15726" s="15">
        <v>10</v>
      </c>
      <c r="F15726" s="42">
        <v>44326</v>
      </c>
    </row>
    <row r="15727" spans="1:6" x14ac:dyDescent="0.3">
      <c r="A15727" s="15" t="s">
        <v>34434</v>
      </c>
      <c r="B15727" s="15" t="s">
        <v>29108</v>
      </c>
      <c r="C15727" s="15" t="s">
        <v>800</v>
      </c>
      <c r="D15727" s="15" t="s">
        <v>29109</v>
      </c>
      <c r="E15727" s="15">
        <v>12.559699999999999</v>
      </c>
      <c r="F15727" s="42">
        <v>44326</v>
      </c>
    </row>
    <row r="15728" spans="1:6" x14ac:dyDescent="0.3">
      <c r="A15728" s="15" t="s">
        <v>34433</v>
      </c>
      <c r="B15728" s="15" t="s">
        <v>29110</v>
      </c>
      <c r="C15728" s="15" t="s">
        <v>800</v>
      </c>
      <c r="D15728" s="15" t="s">
        <v>29111</v>
      </c>
      <c r="E15728" s="15">
        <v>12.4655</v>
      </c>
      <c r="F15728" s="42">
        <v>44326</v>
      </c>
    </row>
    <row r="15729" spans="1:6" x14ac:dyDescent="0.3">
      <c r="A15729" s="15" t="s">
        <v>34432</v>
      </c>
      <c r="B15729" s="15" t="s">
        <v>29112</v>
      </c>
      <c r="C15729" s="15" t="s">
        <v>800</v>
      </c>
      <c r="D15729" s="15" t="s">
        <v>29113</v>
      </c>
      <c r="E15729" s="15">
        <v>10</v>
      </c>
      <c r="F15729" s="42">
        <v>44337</v>
      </c>
    </row>
    <row r="15730" spans="1:6" x14ac:dyDescent="0.3">
      <c r="A15730" s="15" t="s">
        <v>34431</v>
      </c>
      <c r="B15730" s="15" t="s">
        <v>29114</v>
      </c>
      <c r="C15730" s="15" t="s">
        <v>800</v>
      </c>
      <c r="D15730" s="15" t="s">
        <v>29115</v>
      </c>
      <c r="E15730" s="15">
        <v>10</v>
      </c>
      <c r="F15730" s="42">
        <v>44337</v>
      </c>
    </row>
    <row r="15731" spans="1:6" x14ac:dyDescent="0.3">
      <c r="A15731" s="15" t="s">
        <v>34430</v>
      </c>
      <c r="B15731" s="15" t="s">
        <v>29116</v>
      </c>
      <c r="C15731" s="15" t="s">
        <v>800</v>
      </c>
      <c r="D15731" s="15" t="s">
        <v>29117</v>
      </c>
      <c r="E15731" s="15">
        <v>12.5822</v>
      </c>
      <c r="F15731" s="42">
        <v>44337</v>
      </c>
    </row>
    <row r="15732" spans="1:6" x14ac:dyDescent="0.3">
      <c r="A15732" s="15" t="s">
        <v>34429</v>
      </c>
      <c r="B15732" s="15" t="s">
        <v>29118</v>
      </c>
      <c r="C15732" s="15" t="s">
        <v>800</v>
      </c>
      <c r="D15732" s="15" t="s">
        <v>29119</v>
      </c>
      <c r="E15732" s="15">
        <v>12.513199999999999</v>
      </c>
      <c r="F15732" s="42">
        <v>44337</v>
      </c>
    </row>
    <row r="15733" spans="1:6" x14ac:dyDescent="0.3">
      <c r="A15733" s="15" t="s">
        <v>34428</v>
      </c>
      <c r="B15733" s="15" t="s">
        <v>29120</v>
      </c>
      <c r="C15733" s="15" t="s">
        <v>800</v>
      </c>
      <c r="D15733" s="15" t="s">
        <v>29121</v>
      </c>
      <c r="E15733" s="15">
        <v>10</v>
      </c>
      <c r="F15733" s="42">
        <v>44384</v>
      </c>
    </row>
    <row r="15734" spans="1:6" x14ac:dyDescent="0.3">
      <c r="A15734" s="15" t="s">
        <v>34427</v>
      </c>
      <c r="B15734" s="15" t="s">
        <v>29122</v>
      </c>
      <c r="C15734" s="15" t="s">
        <v>800</v>
      </c>
      <c r="D15734" s="15" t="s">
        <v>29123</v>
      </c>
      <c r="E15734" s="15">
        <v>12.8216</v>
      </c>
      <c r="F15734" s="42">
        <v>44384</v>
      </c>
    </row>
    <row r="15735" spans="1:6" x14ac:dyDescent="0.3">
      <c r="A15735" s="15" t="s">
        <v>34426</v>
      </c>
      <c r="B15735" s="15" t="s">
        <v>29124</v>
      </c>
      <c r="C15735" s="15" t="s">
        <v>800</v>
      </c>
      <c r="D15735" s="15" t="s">
        <v>29125</v>
      </c>
      <c r="E15735" s="15">
        <v>12.731299999999999</v>
      </c>
      <c r="F15735" s="42">
        <v>44384</v>
      </c>
    </row>
    <row r="15736" spans="1:6" x14ac:dyDescent="0.3">
      <c r="A15736" s="15" t="s">
        <v>34425</v>
      </c>
      <c r="B15736" s="15" t="s">
        <v>29126</v>
      </c>
      <c r="C15736" s="15" t="s">
        <v>800</v>
      </c>
      <c r="D15736" s="15" t="s">
        <v>29127</v>
      </c>
      <c r="E15736" s="15">
        <v>10</v>
      </c>
      <c r="F15736" s="42">
        <v>44385</v>
      </c>
    </row>
    <row r="15737" spans="1:6" x14ac:dyDescent="0.3">
      <c r="A15737" s="15" t="s">
        <v>34424</v>
      </c>
      <c r="B15737" s="15" t="s">
        <v>29128</v>
      </c>
      <c r="C15737" s="15" t="s">
        <v>800</v>
      </c>
      <c r="D15737" s="15" t="s">
        <v>29129</v>
      </c>
      <c r="E15737" s="15">
        <v>12.757</v>
      </c>
      <c r="F15737" s="42">
        <v>44385</v>
      </c>
    </row>
    <row r="15738" spans="1:6" x14ac:dyDescent="0.3">
      <c r="A15738" s="15" t="s">
        <v>34423</v>
      </c>
      <c r="B15738" s="15" t="s">
        <v>29130</v>
      </c>
      <c r="C15738" s="15" t="s">
        <v>800</v>
      </c>
      <c r="D15738" s="15" t="s">
        <v>29131</v>
      </c>
      <c r="E15738" s="15">
        <v>12.693300000000001</v>
      </c>
      <c r="F15738" s="42">
        <v>44385</v>
      </c>
    </row>
    <row r="15739" spans="1:6" x14ac:dyDescent="0.3">
      <c r="A15739" s="15" t="s">
        <v>34422</v>
      </c>
      <c r="B15739" s="15" t="s">
        <v>29132</v>
      </c>
      <c r="C15739" s="15" t="s">
        <v>800</v>
      </c>
      <c r="D15739" s="15" t="s">
        <v>29133</v>
      </c>
      <c r="E15739" s="15">
        <v>10</v>
      </c>
      <c r="F15739" s="42">
        <v>44385</v>
      </c>
    </row>
    <row r="15740" spans="1:6" x14ac:dyDescent="0.3">
      <c r="A15740" s="15" t="s">
        <v>34421</v>
      </c>
      <c r="B15740" s="15" t="s">
        <v>29134</v>
      </c>
      <c r="C15740" s="15" t="s">
        <v>800</v>
      </c>
      <c r="D15740" s="15" t="s">
        <v>29135</v>
      </c>
      <c r="E15740" s="15">
        <v>12.6957</v>
      </c>
      <c r="F15740" s="42">
        <v>44385</v>
      </c>
    </row>
    <row r="15741" spans="1:6" x14ac:dyDescent="0.3">
      <c r="A15741" s="15" t="s">
        <v>34420</v>
      </c>
      <c r="B15741" s="15" t="s">
        <v>29136</v>
      </c>
      <c r="C15741" s="15" t="s">
        <v>800</v>
      </c>
      <c r="D15741" s="15" t="s">
        <v>29137</v>
      </c>
      <c r="E15741" s="15">
        <v>12.5991</v>
      </c>
      <c r="F15741" s="42">
        <v>44385</v>
      </c>
    </row>
    <row r="15742" spans="1:6" x14ac:dyDescent="0.3">
      <c r="A15742" s="15" t="s">
        <v>34419</v>
      </c>
      <c r="B15742" s="15" t="s">
        <v>29138</v>
      </c>
      <c r="C15742" s="15" t="s">
        <v>800</v>
      </c>
      <c r="D15742" s="15" t="s">
        <v>29139</v>
      </c>
      <c r="E15742" s="15">
        <v>13.1816</v>
      </c>
      <c r="F15742" s="42">
        <v>44508</v>
      </c>
    </row>
    <row r="15743" spans="1:6" x14ac:dyDescent="0.3">
      <c r="A15743" s="15" t="s">
        <v>34418</v>
      </c>
      <c r="B15743" s="15" t="s">
        <v>29140</v>
      </c>
      <c r="C15743" s="15" t="s">
        <v>800</v>
      </c>
      <c r="D15743" s="15" t="s">
        <v>29141</v>
      </c>
      <c r="E15743" s="15">
        <v>13.0496</v>
      </c>
      <c r="F15743" s="42">
        <v>44508</v>
      </c>
    </row>
    <row r="15744" spans="1:6" x14ac:dyDescent="0.3">
      <c r="A15744" s="15" t="s">
        <v>34417</v>
      </c>
      <c r="B15744" s="15" t="s">
        <v>29142</v>
      </c>
      <c r="C15744" s="15" t="s">
        <v>800</v>
      </c>
      <c r="D15744" s="15" t="s">
        <v>29143</v>
      </c>
      <c r="E15744" s="15">
        <v>13.1816</v>
      </c>
      <c r="F15744" s="42">
        <v>44508</v>
      </c>
    </row>
    <row r="15745" spans="1:6" x14ac:dyDescent="0.3">
      <c r="A15745" s="15" t="s">
        <v>34416</v>
      </c>
      <c r="B15745" s="15" t="s">
        <v>29144</v>
      </c>
      <c r="C15745" s="15" t="s">
        <v>800</v>
      </c>
      <c r="D15745" s="15" t="s">
        <v>29145</v>
      </c>
      <c r="E15745" s="15">
        <v>13.0496</v>
      </c>
      <c r="F15745" s="42">
        <v>44508</v>
      </c>
    </row>
    <row r="15746" spans="1:6" x14ac:dyDescent="0.3">
      <c r="A15746" s="15" t="s">
        <v>34415</v>
      </c>
      <c r="B15746" s="15" t="s">
        <v>29146</v>
      </c>
      <c r="C15746" s="15" t="s">
        <v>800</v>
      </c>
      <c r="D15746" s="15" t="s">
        <v>29147</v>
      </c>
      <c r="E15746" s="15">
        <v>13.397</v>
      </c>
      <c r="F15746" s="42">
        <v>44656</v>
      </c>
    </row>
    <row r="15747" spans="1:6" x14ac:dyDescent="0.3">
      <c r="A15747" s="15" t="s">
        <v>34414</v>
      </c>
      <c r="B15747" s="15" t="s">
        <v>29148</v>
      </c>
      <c r="C15747" s="15" t="s">
        <v>800</v>
      </c>
      <c r="D15747" s="15" t="s">
        <v>29149</v>
      </c>
      <c r="E15747" s="15">
        <v>13.557</v>
      </c>
      <c r="F15747" s="42">
        <v>44656</v>
      </c>
    </row>
    <row r="15748" spans="1:6" x14ac:dyDescent="0.3">
      <c r="A15748" s="15" t="s">
        <v>34413</v>
      </c>
      <c r="B15748" s="15" t="s">
        <v>29150</v>
      </c>
      <c r="C15748" s="15" t="s">
        <v>800</v>
      </c>
      <c r="D15748" s="15" t="s">
        <v>29151</v>
      </c>
      <c r="E15748" s="15">
        <v>13.397</v>
      </c>
      <c r="F15748" s="42">
        <v>44656</v>
      </c>
    </row>
    <row r="15749" spans="1:6" x14ac:dyDescent="0.3">
      <c r="A15749" s="15" t="s">
        <v>34412</v>
      </c>
      <c r="B15749" s="15" t="s">
        <v>29152</v>
      </c>
      <c r="C15749" s="15" t="s">
        <v>800</v>
      </c>
      <c r="D15749" s="15" t="s">
        <v>29153</v>
      </c>
      <c r="E15749" s="15">
        <v>10</v>
      </c>
      <c r="F15749" s="42">
        <v>44337</v>
      </c>
    </row>
    <row r="15750" spans="1:6" x14ac:dyDescent="0.3">
      <c r="A15750" s="15" t="s">
        <v>34411</v>
      </c>
      <c r="B15750" s="15" t="s">
        <v>29154</v>
      </c>
      <c r="C15750" s="15" t="s">
        <v>800</v>
      </c>
      <c r="D15750" s="15" t="s">
        <v>29155</v>
      </c>
      <c r="E15750" s="15">
        <v>10</v>
      </c>
      <c r="F15750" s="42">
        <v>44337</v>
      </c>
    </row>
    <row r="15751" spans="1:6" x14ac:dyDescent="0.3">
      <c r="A15751" s="15" t="s">
        <v>34410</v>
      </c>
      <c r="B15751" s="15" t="s">
        <v>29156</v>
      </c>
      <c r="C15751" s="15" t="s">
        <v>800</v>
      </c>
      <c r="D15751" s="15" t="s">
        <v>29157</v>
      </c>
      <c r="E15751" s="15">
        <v>12.5809</v>
      </c>
      <c r="F15751" s="42">
        <v>44337</v>
      </c>
    </row>
    <row r="15752" spans="1:6" x14ac:dyDescent="0.3">
      <c r="A15752" s="15" t="s">
        <v>34409</v>
      </c>
      <c r="B15752" s="15" t="s">
        <v>29158</v>
      </c>
      <c r="C15752" s="15" t="s">
        <v>800</v>
      </c>
      <c r="D15752" s="15" t="s">
        <v>29159</v>
      </c>
      <c r="E15752" s="15">
        <v>12.5</v>
      </c>
      <c r="F15752" s="42">
        <v>44337</v>
      </c>
    </row>
    <row r="15753" spans="1:6" x14ac:dyDescent="0.3">
      <c r="A15753" s="15" t="s">
        <v>34408</v>
      </c>
      <c r="B15753" s="15" t="s">
        <v>29160</v>
      </c>
      <c r="C15753" s="15" t="s">
        <v>800</v>
      </c>
      <c r="D15753" s="15" t="s">
        <v>29161</v>
      </c>
      <c r="E15753" s="15">
        <v>13.6889</v>
      </c>
      <c r="F15753" s="42">
        <v>44656</v>
      </c>
    </row>
    <row r="15754" spans="1:6" x14ac:dyDescent="0.3">
      <c r="A15754" s="15" t="s">
        <v>34407</v>
      </c>
      <c r="B15754" s="15" t="s">
        <v>29162</v>
      </c>
      <c r="C15754" s="15" t="s">
        <v>800</v>
      </c>
      <c r="D15754" s="15" t="s">
        <v>29163</v>
      </c>
      <c r="E15754" s="15">
        <v>13.5183</v>
      </c>
      <c r="F15754" s="42">
        <v>44656</v>
      </c>
    </row>
    <row r="15755" spans="1:6" x14ac:dyDescent="0.3">
      <c r="A15755" s="15" t="s">
        <v>34406</v>
      </c>
      <c r="B15755" s="15" t="s">
        <v>29164</v>
      </c>
      <c r="C15755" s="15" t="s">
        <v>800</v>
      </c>
      <c r="D15755" s="15" t="s">
        <v>29165</v>
      </c>
      <c r="E15755" s="15">
        <v>13.6889</v>
      </c>
      <c r="F15755" s="42">
        <v>44656</v>
      </c>
    </row>
    <row r="15756" spans="1:6" x14ac:dyDescent="0.3">
      <c r="A15756" s="15" t="s">
        <v>34405</v>
      </c>
      <c r="B15756" s="15" t="s">
        <v>29166</v>
      </c>
      <c r="C15756" s="15" t="s">
        <v>800</v>
      </c>
      <c r="D15756" s="15" t="s">
        <v>29167</v>
      </c>
      <c r="E15756" s="15">
        <v>13.5183</v>
      </c>
      <c r="F15756" s="42">
        <v>44656</v>
      </c>
    </row>
    <row r="15757" spans="1:6" x14ac:dyDescent="0.3">
      <c r="A15757" s="15" t="s">
        <v>34404</v>
      </c>
      <c r="B15757" s="15" t="s">
        <v>29106</v>
      </c>
      <c r="C15757" s="15" t="s">
        <v>800</v>
      </c>
      <c r="D15757" s="15" t="s">
        <v>29168</v>
      </c>
      <c r="E15757" s="15">
        <v>13.585900000000001</v>
      </c>
      <c r="F15757" s="42">
        <v>44707</v>
      </c>
    </row>
    <row r="15758" spans="1:6" x14ac:dyDescent="0.3">
      <c r="A15758" s="15" t="s">
        <v>34403</v>
      </c>
      <c r="B15758" s="15" t="s">
        <v>29169</v>
      </c>
      <c r="C15758" s="15" t="s">
        <v>800</v>
      </c>
      <c r="D15758" s="15" t="s">
        <v>29170</v>
      </c>
      <c r="E15758" s="15">
        <v>13.437200000000001</v>
      </c>
      <c r="F15758" s="42">
        <v>44707</v>
      </c>
    </row>
    <row r="15759" spans="1:6" x14ac:dyDescent="0.3">
      <c r="A15759" s="15" t="s">
        <v>34402</v>
      </c>
      <c r="B15759" s="15" t="s">
        <v>29171</v>
      </c>
      <c r="C15759" s="15" t="s">
        <v>800</v>
      </c>
      <c r="D15759" s="15" t="s">
        <v>29172</v>
      </c>
      <c r="E15759" s="15">
        <v>13.585900000000001</v>
      </c>
      <c r="F15759" s="42">
        <v>44707</v>
      </c>
    </row>
    <row r="15760" spans="1:6" x14ac:dyDescent="0.3">
      <c r="A15760" s="15" t="s">
        <v>34401</v>
      </c>
      <c r="B15760" s="15" t="s">
        <v>29110</v>
      </c>
      <c r="C15760" s="15" t="s">
        <v>800</v>
      </c>
      <c r="D15760" s="15" t="s">
        <v>29173</v>
      </c>
      <c r="E15760" s="15">
        <v>13.437200000000001</v>
      </c>
      <c r="F15760" s="42">
        <v>44707</v>
      </c>
    </row>
    <row r="15761" spans="1:6" x14ac:dyDescent="0.3">
      <c r="A15761" s="15" t="s">
        <v>34400</v>
      </c>
      <c r="B15761" s="15" t="s">
        <v>29174</v>
      </c>
      <c r="C15761" s="15" t="s">
        <v>800</v>
      </c>
      <c r="D15761" s="15" t="s">
        <v>29175</v>
      </c>
      <c r="E15761" s="15">
        <v>10</v>
      </c>
      <c r="F15761" s="42">
        <v>44385</v>
      </c>
    </row>
    <row r="15762" spans="1:6" x14ac:dyDescent="0.3">
      <c r="A15762" s="15" t="s">
        <v>34399</v>
      </c>
      <c r="B15762" s="15" t="s">
        <v>29176</v>
      </c>
      <c r="C15762" s="15" t="s">
        <v>800</v>
      </c>
      <c r="D15762" s="15" t="s">
        <v>29177</v>
      </c>
      <c r="E15762" s="15">
        <v>12.682600000000001</v>
      </c>
      <c r="F15762" s="42">
        <v>44385</v>
      </c>
    </row>
    <row r="15763" spans="1:6" x14ac:dyDescent="0.3">
      <c r="A15763" s="15" t="s">
        <v>34398</v>
      </c>
      <c r="B15763" s="15" t="s">
        <v>29178</v>
      </c>
      <c r="C15763" s="15" t="s">
        <v>800</v>
      </c>
      <c r="D15763" s="15" t="s">
        <v>29179</v>
      </c>
      <c r="E15763" s="15">
        <v>12.585900000000001</v>
      </c>
      <c r="F15763" s="42">
        <v>44385</v>
      </c>
    </row>
    <row r="15764" spans="1:6" x14ac:dyDescent="0.3">
      <c r="A15764" s="15" t="s">
        <v>34397</v>
      </c>
      <c r="B15764" s="15" t="s">
        <v>29180</v>
      </c>
      <c r="C15764" s="15" t="s">
        <v>800</v>
      </c>
      <c r="D15764" s="15" t="s">
        <v>29181</v>
      </c>
      <c r="E15764" s="15">
        <v>13.763999999999999</v>
      </c>
      <c r="F15764" s="42">
        <v>44707</v>
      </c>
    </row>
    <row r="15765" spans="1:6" x14ac:dyDescent="0.3">
      <c r="A15765" s="15" t="s">
        <v>34396</v>
      </c>
      <c r="B15765" s="15" t="s">
        <v>29182</v>
      </c>
      <c r="C15765" s="15" t="s">
        <v>800</v>
      </c>
      <c r="D15765" s="15" t="s">
        <v>29183</v>
      </c>
      <c r="E15765" s="15">
        <v>13.6005</v>
      </c>
      <c r="F15765" s="42">
        <v>44707</v>
      </c>
    </row>
    <row r="15766" spans="1:6" x14ac:dyDescent="0.3">
      <c r="A15766" s="15" t="s">
        <v>34395</v>
      </c>
      <c r="B15766" s="15" t="s">
        <v>29184</v>
      </c>
      <c r="C15766" s="15" t="s">
        <v>800</v>
      </c>
      <c r="D15766" s="15" t="s">
        <v>29185</v>
      </c>
      <c r="E15766" s="15">
        <v>13.763999999999999</v>
      </c>
      <c r="F15766" s="42">
        <v>44707</v>
      </c>
    </row>
    <row r="15767" spans="1:6" x14ac:dyDescent="0.3">
      <c r="A15767" s="15" t="s">
        <v>34394</v>
      </c>
      <c r="B15767" s="15" t="s">
        <v>29186</v>
      </c>
      <c r="C15767" s="15" t="s">
        <v>800</v>
      </c>
      <c r="D15767" s="15" t="s">
        <v>29187</v>
      </c>
      <c r="E15767" s="15">
        <v>13.6005</v>
      </c>
      <c r="F15767" s="42">
        <v>44707</v>
      </c>
    </row>
    <row r="15768" spans="1:6" x14ac:dyDescent="0.3">
      <c r="A15768" s="15" t="s">
        <v>34393</v>
      </c>
      <c r="B15768" s="15" t="s">
        <v>29188</v>
      </c>
      <c r="C15768" s="15" t="s">
        <v>800</v>
      </c>
      <c r="D15768" s="15" t="s">
        <v>29189</v>
      </c>
      <c r="E15768" s="15">
        <v>12.9696</v>
      </c>
      <c r="F15768" s="42">
        <v>44491</v>
      </c>
    </row>
    <row r="15769" spans="1:6" x14ac:dyDescent="0.3">
      <c r="A15769" s="15" t="s">
        <v>34392</v>
      </c>
      <c r="B15769" s="15" t="s">
        <v>29190</v>
      </c>
      <c r="C15769" s="15" t="s">
        <v>800</v>
      </c>
      <c r="D15769" s="15" t="s">
        <v>29191</v>
      </c>
      <c r="E15769" s="15">
        <v>12.919499999999999</v>
      </c>
      <c r="F15769" s="42">
        <v>44491</v>
      </c>
    </row>
    <row r="15770" spans="1:6" x14ac:dyDescent="0.3">
      <c r="A15770" s="15" t="s">
        <v>34391</v>
      </c>
      <c r="B15770" s="15" t="s">
        <v>29192</v>
      </c>
      <c r="C15770" s="15" t="s">
        <v>800</v>
      </c>
      <c r="D15770" s="15" t="s">
        <v>29193</v>
      </c>
      <c r="E15770" s="15">
        <v>12.9696</v>
      </c>
      <c r="F15770" s="42">
        <v>44491</v>
      </c>
    </row>
    <row r="15771" spans="1:6" x14ac:dyDescent="0.3">
      <c r="A15771" s="15" t="s">
        <v>34390</v>
      </c>
      <c r="B15771" s="15" t="s">
        <v>29194</v>
      </c>
      <c r="C15771" s="15" t="s">
        <v>800</v>
      </c>
      <c r="D15771" s="15" t="s">
        <v>29195</v>
      </c>
      <c r="E15771" s="15">
        <v>12.919499999999999</v>
      </c>
      <c r="F15771" s="42">
        <v>44491</v>
      </c>
    </row>
    <row r="15772" spans="1:6" x14ac:dyDescent="0.3">
      <c r="A15772" s="15" t="s">
        <v>34389</v>
      </c>
      <c r="B15772" s="15" t="s">
        <v>29196</v>
      </c>
      <c r="C15772" s="15" t="s">
        <v>800</v>
      </c>
      <c r="D15772" s="15" t="s">
        <v>29197</v>
      </c>
      <c r="E15772" s="15">
        <v>12.8127</v>
      </c>
      <c r="F15772" s="42">
        <v>44487</v>
      </c>
    </row>
    <row r="15773" spans="1:6" x14ac:dyDescent="0.3">
      <c r="A15773" s="15" t="s">
        <v>34388</v>
      </c>
      <c r="B15773" s="15" t="s">
        <v>29198</v>
      </c>
      <c r="C15773" s="15" t="s">
        <v>800</v>
      </c>
      <c r="D15773" s="15" t="s">
        <v>29199</v>
      </c>
      <c r="E15773" s="15">
        <v>12.711399999999999</v>
      </c>
      <c r="F15773" s="42">
        <v>44487</v>
      </c>
    </row>
    <row r="15774" spans="1:6" x14ac:dyDescent="0.3">
      <c r="A15774" s="15" t="s">
        <v>34387</v>
      </c>
      <c r="B15774" s="15" t="s">
        <v>29200</v>
      </c>
      <c r="C15774" s="15" t="s">
        <v>800</v>
      </c>
      <c r="D15774" s="15" t="s">
        <v>29201</v>
      </c>
      <c r="E15774" s="15">
        <v>12.8127</v>
      </c>
      <c r="F15774" s="42">
        <v>44487</v>
      </c>
    </row>
    <row r="15775" spans="1:6" x14ac:dyDescent="0.3">
      <c r="A15775" s="15" t="s">
        <v>34386</v>
      </c>
      <c r="B15775" s="15" t="s">
        <v>29202</v>
      </c>
      <c r="C15775" s="15" t="s">
        <v>800</v>
      </c>
      <c r="D15775" s="15" t="s">
        <v>29203</v>
      </c>
      <c r="E15775" s="15">
        <v>12.711399999999999</v>
      </c>
      <c r="F15775" s="42">
        <v>44487</v>
      </c>
    </row>
    <row r="15776" spans="1:6" x14ac:dyDescent="0.3">
      <c r="A15776" s="15" t="s">
        <v>34385</v>
      </c>
      <c r="B15776" s="15" t="s">
        <v>29204</v>
      </c>
      <c r="C15776" s="15" t="s">
        <v>800</v>
      </c>
      <c r="D15776" s="15" t="s">
        <v>29205</v>
      </c>
      <c r="E15776" s="15">
        <v>12.885300000000001</v>
      </c>
      <c r="F15776" s="42">
        <v>44489</v>
      </c>
    </row>
    <row r="15777" spans="1:6" x14ac:dyDescent="0.3">
      <c r="A15777" s="15" t="s">
        <v>34384</v>
      </c>
      <c r="B15777" s="15" t="s">
        <v>29206</v>
      </c>
      <c r="C15777" s="15" t="s">
        <v>800</v>
      </c>
      <c r="D15777" s="15" t="s">
        <v>29207</v>
      </c>
      <c r="E15777" s="15">
        <v>12.7843</v>
      </c>
      <c r="F15777" s="42">
        <v>44489</v>
      </c>
    </row>
    <row r="15778" spans="1:6" x14ac:dyDescent="0.3">
      <c r="A15778" s="15" t="s">
        <v>34383</v>
      </c>
      <c r="B15778" s="15" t="s">
        <v>29208</v>
      </c>
      <c r="C15778" s="15" t="s">
        <v>800</v>
      </c>
      <c r="D15778" s="15" t="s">
        <v>29209</v>
      </c>
      <c r="E15778" s="15">
        <v>12.885400000000001</v>
      </c>
      <c r="F15778" s="42">
        <v>44489</v>
      </c>
    </row>
    <row r="15779" spans="1:6" x14ac:dyDescent="0.3">
      <c r="A15779" s="15" t="s">
        <v>34382</v>
      </c>
      <c r="B15779" s="15" t="s">
        <v>29210</v>
      </c>
      <c r="C15779" s="15" t="s">
        <v>800</v>
      </c>
      <c r="D15779" s="15" t="s">
        <v>29211</v>
      </c>
      <c r="E15779" s="15">
        <v>12.7843</v>
      </c>
      <c r="F15779" s="42">
        <v>44489</v>
      </c>
    </row>
    <row r="15780" spans="1:6" x14ac:dyDescent="0.3">
      <c r="A15780" s="15" t="s">
        <v>34381</v>
      </c>
      <c r="B15780" s="15" t="s">
        <v>29212</v>
      </c>
      <c r="C15780" s="15" t="s">
        <v>800</v>
      </c>
      <c r="D15780" s="15" t="s">
        <v>29213</v>
      </c>
      <c r="E15780" s="15">
        <v>13.6408</v>
      </c>
      <c r="F15780" s="42">
        <v>44707</v>
      </c>
    </row>
    <row r="15781" spans="1:6" x14ac:dyDescent="0.3">
      <c r="A15781" s="15" t="s">
        <v>34380</v>
      </c>
      <c r="B15781" s="15" t="s">
        <v>29214</v>
      </c>
      <c r="C15781" s="15" t="s">
        <v>800</v>
      </c>
      <c r="D15781" s="15" t="s">
        <v>29215</v>
      </c>
      <c r="E15781" s="15">
        <v>13.496499999999999</v>
      </c>
      <c r="F15781" s="42">
        <v>44707</v>
      </c>
    </row>
    <row r="15782" spans="1:6" x14ac:dyDescent="0.3">
      <c r="A15782" s="15" t="s">
        <v>34379</v>
      </c>
      <c r="B15782" s="15" t="s">
        <v>29216</v>
      </c>
      <c r="C15782" s="15" t="s">
        <v>800</v>
      </c>
      <c r="D15782" s="15" t="s">
        <v>29217</v>
      </c>
      <c r="E15782" s="15">
        <v>13.6408</v>
      </c>
      <c r="F15782" s="42">
        <v>44707</v>
      </c>
    </row>
    <row r="15783" spans="1:6" x14ac:dyDescent="0.3">
      <c r="A15783" s="15" t="s">
        <v>34378</v>
      </c>
      <c r="B15783" s="15" t="s">
        <v>29218</v>
      </c>
      <c r="C15783" s="15" t="s">
        <v>800</v>
      </c>
      <c r="D15783" s="15" t="s">
        <v>29219</v>
      </c>
      <c r="E15783" s="15">
        <v>13.496600000000001</v>
      </c>
      <c r="F15783" s="42">
        <v>44707</v>
      </c>
    </row>
    <row r="15784" spans="1:6" x14ac:dyDescent="0.3">
      <c r="A15784" s="15" t="s">
        <v>34377</v>
      </c>
      <c r="B15784" s="15" t="s">
        <v>29220</v>
      </c>
      <c r="C15784" s="15" t="s">
        <v>800</v>
      </c>
      <c r="D15784" s="15" t="s">
        <v>29221</v>
      </c>
      <c r="E15784" s="15">
        <v>10</v>
      </c>
      <c r="F15784" s="42">
        <v>44391</v>
      </c>
    </row>
    <row r="15785" spans="1:6" x14ac:dyDescent="0.3">
      <c r="A15785" s="15" t="s">
        <v>34376</v>
      </c>
      <c r="B15785" s="15" t="s">
        <v>29222</v>
      </c>
      <c r="C15785" s="15" t="s">
        <v>800</v>
      </c>
      <c r="D15785" s="15" t="s">
        <v>29223</v>
      </c>
      <c r="E15785" s="15">
        <v>10</v>
      </c>
      <c r="F15785" s="42">
        <v>44391</v>
      </c>
    </row>
    <row r="15786" spans="1:6" x14ac:dyDescent="0.3">
      <c r="A15786" s="15" t="s">
        <v>34375</v>
      </c>
      <c r="B15786" s="15" t="s">
        <v>29224</v>
      </c>
      <c r="C15786" s="15" t="s">
        <v>800</v>
      </c>
      <c r="D15786" s="15" t="s">
        <v>29225</v>
      </c>
      <c r="E15786" s="15">
        <v>12.661899999999999</v>
      </c>
      <c r="F15786" s="42">
        <v>44391</v>
      </c>
    </row>
    <row r="15787" spans="1:6" x14ac:dyDescent="0.3">
      <c r="A15787" s="15" t="s">
        <v>34374</v>
      </c>
      <c r="B15787" s="15" t="s">
        <v>29226</v>
      </c>
      <c r="C15787" s="15" t="s">
        <v>800</v>
      </c>
      <c r="D15787" s="15" t="s">
        <v>29227</v>
      </c>
      <c r="E15787" s="15">
        <v>12.5665</v>
      </c>
      <c r="F15787" s="42">
        <v>44391</v>
      </c>
    </row>
    <row r="15788" spans="1:6" x14ac:dyDescent="0.3">
      <c r="A15788" s="15" t="s">
        <v>34373</v>
      </c>
      <c r="B15788" s="15" t="s">
        <v>29228</v>
      </c>
      <c r="C15788" s="15" t="s">
        <v>800</v>
      </c>
      <c r="D15788" s="15" t="s">
        <v>29229</v>
      </c>
      <c r="E15788" s="15">
        <v>10</v>
      </c>
      <c r="F15788" s="42">
        <v>44418</v>
      </c>
    </row>
    <row r="15789" spans="1:6" x14ac:dyDescent="0.3">
      <c r="A15789" s="15" t="s">
        <v>34372</v>
      </c>
      <c r="B15789" s="15" t="s">
        <v>29230</v>
      </c>
      <c r="C15789" s="15" t="s">
        <v>800</v>
      </c>
      <c r="D15789" s="15" t="s">
        <v>29231</v>
      </c>
      <c r="E15789" s="15">
        <v>10</v>
      </c>
      <c r="F15789" s="42">
        <v>44418</v>
      </c>
    </row>
    <row r="15790" spans="1:6" x14ac:dyDescent="0.3">
      <c r="A15790" s="15" t="s">
        <v>34371</v>
      </c>
      <c r="B15790" s="15" t="s">
        <v>29232</v>
      </c>
      <c r="C15790" s="15" t="s">
        <v>800</v>
      </c>
      <c r="D15790" s="15" t="s">
        <v>29233</v>
      </c>
      <c r="E15790" s="15">
        <v>12.7477</v>
      </c>
      <c r="F15790" s="42">
        <v>44418</v>
      </c>
    </row>
    <row r="15791" spans="1:6" x14ac:dyDescent="0.3">
      <c r="A15791" s="15" t="s">
        <v>34370</v>
      </c>
      <c r="B15791" s="15" t="s">
        <v>29234</v>
      </c>
      <c r="C15791" s="15" t="s">
        <v>800</v>
      </c>
      <c r="D15791" s="15" t="s">
        <v>29235</v>
      </c>
      <c r="E15791" s="15">
        <v>12.649900000000001</v>
      </c>
      <c r="F15791" s="42">
        <v>44418</v>
      </c>
    </row>
    <row r="15792" spans="1:6" x14ac:dyDescent="0.3">
      <c r="A15792" s="15" t="s">
        <v>34369</v>
      </c>
      <c r="B15792" s="15" t="s">
        <v>29236</v>
      </c>
      <c r="C15792" s="15" t="s">
        <v>800</v>
      </c>
      <c r="D15792" s="15" t="s">
        <v>29237</v>
      </c>
      <c r="E15792" s="15">
        <v>10</v>
      </c>
      <c r="F15792" s="42">
        <v>44425</v>
      </c>
    </row>
    <row r="15793" spans="1:6" x14ac:dyDescent="0.3">
      <c r="A15793" s="15" t="s">
        <v>34368</v>
      </c>
      <c r="B15793" s="15" t="s">
        <v>29238</v>
      </c>
      <c r="C15793" s="15" t="s">
        <v>800</v>
      </c>
      <c r="D15793" s="15" t="s">
        <v>29239</v>
      </c>
      <c r="E15793" s="15">
        <v>10</v>
      </c>
      <c r="F15793" s="42">
        <v>44425</v>
      </c>
    </row>
    <row r="15794" spans="1:6" x14ac:dyDescent="0.3">
      <c r="A15794" s="15" t="s">
        <v>34367</v>
      </c>
      <c r="B15794" s="15" t="s">
        <v>29240</v>
      </c>
      <c r="C15794" s="15" t="s">
        <v>800</v>
      </c>
      <c r="D15794" s="15" t="s">
        <v>29241</v>
      </c>
      <c r="E15794" s="15">
        <v>12.705500000000001</v>
      </c>
      <c r="F15794" s="42">
        <v>44425</v>
      </c>
    </row>
    <row r="15795" spans="1:6" x14ac:dyDescent="0.3">
      <c r="A15795" s="15" t="s">
        <v>34366</v>
      </c>
      <c r="B15795" s="15" t="s">
        <v>29242</v>
      </c>
      <c r="C15795" s="15" t="s">
        <v>800</v>
      </c>
      <c r="D15795" s="15" t="s">
        <v>29243</v>
      </c>
      <c r="E15795" s="15">
        <v>12.611499999999999</v>
      </c>
      <c r="F15795" s="42">
        <v>44425</v>
      </c>
    </row>
    <row r="15796" spans="1:6" x14ac:dyDescent="0.3">
      <c r="A15796" s="15" t="s">
        <v>34365</v>
      </c>
      <c r="B15796" s="15" t="s">
        <v>29244</v>
      </c>
      <c r="C15796" s="15" t="s">
        <v>800</v>
      </c>
      <c r="D15796" s="15" t="s">
        <v>29245</v>
      </c>
      <c r="E15796" s="15">
        <v>10</v>
      </c>
      <c r="F15796" s="42">
        <v>44431</v>
      </c>
    </row>
    <row r="15797" spans="1:6" x14ac:dyDescent="0.3">
      <c r="A15797" s="15" t="s">
        <v>34364</v>
      </c>
      <c r="B15797" s="15" t="s">
        <v>29246</v>
      </c>
      <c r="C15797" s="15" t="s">
        <v>800</v>
      </c>
      <c r="D15797" s="15" t="s">
        <v>29247</v>
      </c>
      <c r="E15797" s="15">
        <v>10</v>
      </c>
      <c r="F15797" s="42">
        <v>44431</v>
      </c>
    </row>
    <row r="15798" spans="1:6" x14ac:dyDescent="0.3">
      <c r="A15798" s="15" t="s">
        <v>34363</v>
      </c>
      <c r="B15798" s="15" t="s">
        <v>29248</v>
      </c>
      <c r="C15798" s="15" t="s">
        <v>800</v>
      </c>
      <c r="D15798" s="15" t="s">
        <v>29249</v>
      </c>
      <c r="E15798" s="15">
        <v>12.7462</v>
      </c>
      <c r="F15798" s="42">
        <v>44431</v>
      </c>
    </row>
    <row r="15799" spans="1:6" x14ac:dyDescent="0.3">
      <c r="A15799" s="15" t="s">
        <v>34362</v>
      </c>
      <c r="B15799" s="15" t="s">
        <v>29250</v>
      </c>
      <c r="C15799" s="15" t="s">
        <v>800</v>
      </c>
      <c r="D15799" s="15" t="s">
        <v>29251</v>
      </c>
      <c r="E15799" s="15">
        <v>12.6492</v>
      </c>
      <c r="F15799" s="42">
        <v>44431</v>
      </c>
    </row>
    <row r="15800" spans="1:6" x14ac:dyDescent="0.3">
      <c r="A15800" s="15" t="s">
        <v>34361</v>
      </c>
      <c r="B15800" s="15" t="s">
        <v>29252</v>
      </c>
      <c r="C15800" s="15" t="s">
        <v>800</v>
      </c>
      <c r="D15800" s="15" t="s">
        <v>29253</v>
      </c>
      <c r="E15800" s="15">
        <v>17.6418</v>
      </c>
      <c r="F15800" s="42">
        <v>46198</v>
      </c>
    </row>
    <row r="15801" spans="1:6" x14ac:dyDescent="0.3">
      <c r="A15801" s="15" t="s">
        <v>34360</v>
      </c>
      <c r="B15801" s="15" t="s">
        <v>29254</v>
      </c>
      <c r="C15801" s="15" t="s">
        <v>800</v>
      </c>
      <c r="D15801" s="15" t="s">
        <v>29255</v>
      </c>
      <c r="E15801" s="15">
        <v>17.268799999999999</v>
      </c>
      <c r="F15801" s="42">
        <v>46198</v>
      </c>
    </row>
    <row r="15802" spans="1:6" x14ac:dyDescent="0.3">
      <c r="A15802" s="15" t="s">
        <v>34359</v>
      </c>
      <c r="B15802" s="15" t="s">
        <v>29256</v>
      </c>
      <c r="C15802" s="15" t="s">
        <v>800</v>
      </c>
      <c r="D15802" s="15" t="s">
        <v>29257</v>
      </c>
      <c r="E15802" s="15">
        <v>17.6418</v>
      </c>
      <c r="F15802" s="42">
        <v>46198</v>
      </c>
    </row>
    <row r="15803" spans="1:6" x14ac:dyDescent="0.3">
      <c r="A15803" s="15" t="s">
        <v>34358</v>
      </c>
      <c r="B15803" s="15" t="s">
        <v>29258</v>
      </c>
      <c r="C15803" s="15" t="s">
        <v>800</v>
      </c>
      <c r="D15803" s="15" t="s">
        <v>29259</v>
      </c>
      <c r="E15803" s="15">
        <v>17.268799999999999</v>
      </c>
      <c r="F15803" s="42">
        <v>46198</v>
      </c>
    </row>
    <row r="15804" spans="1:6" x14ac:dyDescent="0.3">
      <c r="A15804" s="15" t="s">
        <v>34357</v>
      </c>
      <c r="B15804" s="15" t="s">
        <v>29260</v>
      </c>
      <c r="C15804" s="15" t="s">
        <v>800</v>
      </c>
      <c r="D15804" s="15" t="s">
        <v>29261</v>
      </c>
      <c r="E15804" s="15">
        <v>13.4</v>
      </c>
      <c r="F15804" s="42">
        <v>46198</v>
      </c>
    </row>
    <row r="15805" spans="1:6" x14ac:dyDescent="0.3">
      <c r="A15805" s="15" t="s">
        <v>34356</v>
      </c>
      <c r="B15805" s="15" t="s">
        <v>29262</v>
      </c>
      <c r="C15805" s="15" t="s">
        <v>800</v>
      </c>
      <c r="D15805" s="15" t="s">
        <v>29263</v>
      </c>
      <c r="E15805" s="15">
        <v>13.241899999999999</v>
      </c>
      <c r="F15805" s="42">
        <v>46198</v>
      </c>
    </row>
    <row r="15806" spans="1:6" x14ac:dyDescent="0.3">
      <c r="A15806" s="15" t="s">
        <v>34355</v>
      </c>
      <c r="B15806" s="15" t="s">
        <v>29264</v>
      </c>
      <c r="C15806" s="15" t="s">
        <v>800</v>
      </c>
      <c r="D15806" s="15" t="s">
        <v>29265</v>
      </c>
      <c r="E15806" s="15">
        <v>13.241899999999999</v>
      </c>
      <c r="F15806" s="42">
        <v>46198</v>
      </c>
    </row>
    <row r="15807" spans="1:6" x14ac:dyDescent="0.3">
      <c r="A15807" s="15" t="s">
        <v>34354</v>
      </c>
      <c r="B15807" s="15" t="s">
        <v>29266</v>
      </c>
      <c r="C15807" s="15" t="s">
        <v>800</v>
      </c>
      <c r="D15807" s="15" t="s">
        <v>29267</v>
      </c>
      <c r="E15807" s="15">
        <v>13.4</v>
      </c>
      <c r="F15807" s="42">
        <v>46198</v>
      </c>
    </row>
    <row r="15808" spans="1:6" x14ac:dyDescent="0.3">
      <c r="A15808" s="15" t="s">
        <v>34353</v>
      </c>
      <c r="B15808" s="15" t="s">
        <v>29268</v>
      </c>
      <c r="C15808" s="15" t="s">
        <v>800</v>
      </c>
      <c r="D15808" s="15" t="s">
        <v>29269</v>
      </c>
      <c r="E15808" s="15">
        <v>13.4133</v>
      </c>
      <c r="F15808" s="42">
        <v>46198</v>
      </c>
    </row>
    <row r="15809" spans="1:6" x14ac:dyDescent="0.3">
      <c r="A15809" s="15" t="s">
        <v>34352</v>
      </c>
      <c r="B15809" s="15" t="s">
        <v>29270</v>
      </c>
      <c r="C15809" s="15" t="s">
        <v>800</v>
      </c>
      <c r="D15809" s="15" t="s">
        <v>29271</v>
      </c>
      <c r="E15809" s="15">
        <v>13.4132</v>
      </c>
      <c r="F15809" s="42">
        <v>46198</v>
      </c>
    </row>
    <row r="15810" spans="1:6" x14ac:dyDescent="0.3">
      <c r="A15810" s="15" t="s">
        <v>34351</v>
      </c>
      <c r="B15810" s="15" t="s">
        <v>29272</v>
      </c>
      <c r="C15810" s="15" t="s">
        <v>800</v>
      </c>
      <c r="D15810" s="15" t="s">
        <v>29273</v>
      </c>
      <c r="E15810" s="15">
        <v>13.2981</v>
      </c>
      <c r="F15810" s="42">
        <v>46198</v>
      </c>
    </row>
    <row r="15811" spans="1:6" x14ac:dyDescent="0.3">
      <c r="A15811" s="15" t="s">
        <v>34350</v>
      </c>
      <c r="B15811" s="15" t="s">
        <v>29274</v>
      </c>
      <c r="C15811" s="15" t="s">
        <v>800</v>
      </c>
      <c r="D15811" s="15" t="s">
        <v>29275</v>
      </c>
      <c r="E15811" s="15">
        <v>13.2981</v>
      </c>
      <c r="F15811" s="42">
        <v>46198</v>
      </c>
    </row>
    <row r="15812" spans="1:6" x14ac:dyDescent="0.3">
      <c r="A15812" s="15" t="s">
        <v>34349</v>
      </c>
      <c r="B15812" s="15" t="s">
        <v>29276</v>
      </c>
      <c r="C15812" s="15" t="s">
        <v>800</v>
      </c>
      <c r="D15812" s="15" t="s">
        <v>29277</v>
      </c>
      <c r="E15812" s="15">
        <v>13.276300000000001</v>
      </c>
      <c r="F15812" s="42">
        <v>46198</v>
      </c>
    </row>
    <row r="15813" spans="1:6" x14ac:dyDescent="0.3">
      <c r="A15813" s="15" t="s">
        <v>34348</v>
      </c>
      <c r="B15813" s="15" t="s">
        <v>29278</v>
      </c>
      <c r="C15813" s="15" t="s">
        <v>800</v>
      </c>
      <c r="D15813" s="15" t="s">
        <v>29279</v>
      </c>
      <c r="E15813" s="15">
        <v>13.276300000000001</v>
      </c>
      <c r="F15813" s="42">
        <v>46198</v>
      </c>
    </row>
    <row r="15814" spans="1:6" x14ac:dyDescent="0.3">
      <c r="A15814" s="15" t="s">
        <v>34347</v>
      </c>
      <c r="B15814" s="15" t="s">
        <v>29280</v>
      </c>
      <c r="C15814" s="15" t="s">
        <v>800</v>
      </c>
      <c r="D15814" s="15" t="s">
        <v>29281</v>
      </c>
      <c r="E15814" s="15">
        <v>13.1769</v>
      </c>
      <c r="F15814" s="42">
        <v>46198</v>
      </c>
    </row>
    <row r="15815" spans="1:6" x14ac:dyDescent="0.3">
      <c r="A15815" s="15" t="s">
        <v>34346</v>
      </c>
      <c r="B15815" s="15" t="s">
        <v>29282</v>
      </c>
      <c r="C15815" s="15" t="s">
        <v>800</v>
      </c>
      <c r="D15815" s="15" t="s">
        <v>29283</v>
      </c>
      <c r="E15815" s="15">
        <v>13.1769</v>
      </c>
      <c r="F15815" s="42">
        <v>46198</v>
      </c>
    </row>
    <row r="15816" spans="1:6" x14ac:dyDescent="0.3">
      <c r="A15816" s="15" t="s">
        <v>34345</v>
      </c>
      <c r="B15816" s="15" t="s">
        <v>29284</v>
      </c>
      <c r="C15816" s="15" t="s">
        <v>800</v>
      </c>
      <c r="D15816" s="15" t="s">
        <v>29285</v>
      </c>
      <c r="E15816" s="15">
        <v>13.173500000000001</v>
      </c>
      <c r="F15816" s="42">
        <v>46198</v>
      </c>
    </row>
    <row r="15817" spans="1:6" x14ac:dyDescent="0.3">
      <c r="A15817" s="15" t="s">
        <v>34344</v>
      </c>
      <c r="B15817" s="15" t="s">
        <v>29286</v>
      </c>
      <c r="C15817" s="15" t="s">
        <v>800</v>
      </c>
      <c r="D15817" s="15" t="s">
        <v>29287</v>
      </c>
      <c r="E15817" s="15">
        <v>13.0509</v>
      </c>
      <c r="F15817" s="42">
        <v>46198</v>
      </c>
    </row>
    <row r="15818" spans="1:6" x14ac:dyDescent="0.3">
      <c r="A15818" s="15" t="s">
        <v>34343</v>
      </c>
      <c r="B15818" s="15" t="s">
        <v>29288</v>
      </c>
      <c r="C15818" s="15" t="s">
        <v>800</v>
      </c>
      <c r="D15818" s="15" t="s">
        <v>29289</v>
      </c>
      <c r="E15818" s="15">
        <v>12.898400000000001</v>
      </c>
      <c r="F15818" s="42">
        <v>46174</v>
      </c>
    </row>
    <row r="15819" spans="1:6" x14ac:dyDescent="0.3">
      <c r="A15819" s="15" t="s">
        <v>34342</v>
      </c>
      <c r="B15819" s="15" t="s">
        <v>29290</v>
      </c>
      <c r="C15819" s="15" t="s">
        <v>800</v>
      </c>
      <c r="D15819" s="15" t="s">
        <v>29291</v>
      </c>
      <c r="E15819" s="15">
        <v>14.9686</v>
      </c>
      <c r="F15819" s="42">
        <v>42123</v>
      </c>
    </row>
    <row r="15820" spans="1:6" x14ac:dyDescent="0.3">
      <c r="A15820" s="15" t="s">
        <v>34341</v>
      </c>
      <c r="B15820" s="15" t="s">
        <v>29292</v>
      </c>
      <c r="C15820" s="15" t="s">
        <v>800</v>
      </c>
      <c r="D15820" s="15" t="s">
        <v>29293</v>
      </c>
      <c r="E15820" s="15">
        <v>15.1699</v>
      </c>
      <c r="F15820" s="42">
        <v>42123</v>
      </c>
    </row>
    <row r="15821" spans="1:6" x14ac:dyDescent="0.3">
      <c r="A15821" s="15" t="s">
        <v>34340</v>
      </c>
      <c r="B15821" s="15" t="s">
        <v>29294</v>
      </c>
      <c r="C15821" s="15" t="s">
        <v>800</v>
      </c>
      <c r="D15821" s="15" t="s">
        <v>29295</v>
      </c>
      <c r="E15821" s="15">
        <v>15.055400000000001</v>
      </c>
      <c r="F15821" s="42">
        <v>42123</v>
      </c>
    </row>
    <row r="15822" spans="1:6" x14ac:dyDescent="0.3">
      <c r="A15822" s="15" t="s">
        <v>34339</v>
      </c>
      <c r="B15822" s="15" t="s">
        <v>29296</v>
      </c>
      <c r="C15822" s="15" t="s">
        <v>800</v>
      </c>
      <c r="D15822" s="15" t="s">
        <v>29297</v>
      </c>
      <c r="E15822" s="15">
        <v>15.255699999999999</v>
      </c>
      <c r="F15822" s="42">
        <v>42123</v>
      </c>
    </row>
    <row r="15823" spans="1:6" x14ac:dyDescent="0.3">
      <c r="A15823" s="15" t="s">
        <v>34338</v>
      </c>
      <c r="B15823" s="15" t="s">
        <v>29298</v>
      </c>
      <c r="C15823" s="15" t="s">
        <v>800</v>
      </c>
      <c r="D15823" s="15" t="s">
        <v>29299</v>
      </c>
      <c r="E15823" s="15">
        <v>15.751200000000001</v>
      </c>
      <c r="F15823" s="42">
        <v>42156</v>
      </c>
    </row>
    <row r="15824" spans="1:6" x14ac:dyDescent="0.3">
      <c r="A15824" s="15" t="s">
        <v>34337</v>
      </c>
      <c r="B15824" s="15" t="s">
        <v>29300</v>
      </c>
      <c r="C15824" s="15" t="s">
        <v>800</v>
      </c>
      <c r="D15824" s="15" t="s">
        <v>29301</v>
      </c>
      <c r="E15824" s="15">
        <v>15.9518</v>
      </c>
      <c r="F15824" s="42">
        <v>42156</v>
      </c>
    </row>
    <row r="15825" spans="1:6" x14ac:dyDescent="0.3">
      <c r="A15825" s="15" t="s">
        <v>34336</v>
      </c>
      <c r="B15825" s="15" t="s">
        <v>29302</v>
      </c>
      <c r="C15825" s="15" t="s">
        <v>800</v>
      </c>
      <c r="D15825" s="15" t="s">
        <v>29303</v>
      </c>
      <c r="E15825" s="15">
        <v>14.381399999999999</v>
      </c>
      <c r="F15825" s="42">
        <v>42220</v>
      </c>
    </row>
    <row r="15826" spans="1:6" x14ac:dyDescent="0.3">
      <c r="A15826" s="15" t="s">
        <v>34335</v>
      </c>
      <c r="B15826" s="15" t="s">
        <v>29304</v>
      </c>
      <c r="C15826" s="15" t="s">
        <v>800</v>
      </c>
      <c r="D15826" s="15" t="s">
        <v>29305</v>
      </c>
      <c r="E15826" s="15">
        <v>14.581899999999999</v>
      </c>
      <c r="F15826" s="42">
        <v>42220</v>
      </c>
    </row>
    <row r="15827" spans="1:6" x14ac:dyDescent="0.3">
      <c r="A15827" s="15" t="s">
        <v>34334</v>
      </c>
      <c r="B15827" s="15" t="s">
        <v>29306</v>
      </c>
      <c r="C15827" s="15" t="s">
        <v>800</v>
      </c>
      <c r="D15827" s="15" t="s">
        <v>29307</v>
      </c>
      <c r="E15827" s="15">
        <v>14.3834</v>
      </c>
      <c r="F15827" s="42">
        <v>42248</v>
      </c>
    </row>
    <row r="15828" spans="1:6" x14ac:dyDescent="0.3">
      <c r="A15828" s="15" t="s">
        <v>34333</v>
      </c>
      <c r="B15828" s="15" t="s">
        <v>29308</v>
      </c>
      <c r="C15828" s="15" t="s">
        <v>800</v>
      </c>
      <c r="D15828" s="15" t="s">
        <v>29309</v>
      </c>
      <c r="E15828" s="15">
        <v>14.5839</v>
      </c>
      <c r="F15828" s="42">
        <v>42248</v>
      </c>
    </row>
    <row r="15829" spans="1:6" x14ac:dyDescent="0.3">
      <c r="A15829" s="15" t="s">
        <v>34332</v>
      </c>
      <c r="B15829" s="15" t="s">
        <v>29310</v>
      </c>
      <c r="C15829" s="15" t="s">
        <v>800</v>
      </c>
      <c r="D15829" s="15" t="s">
        <v>29311</v>
      </c>
      <c r="E15829" s="15">
        <v>16.0502</v>
      </c>
      <c r="F15829" s="42">
        <v>42885</v>
      </c>
    </row>
    <row r="15830" spans="1:6" x14ac:dyDescent="0.3">
      <c r="A15830" s="15" t="s">
        <v>34331</v>
      </c>
      <c r="B15830" s="15" t="s">
        <v>29312</v>
      </c>
      <c r="C15830" s="15" t="s">
        <v>800</v>
      </c>
      <c r="D15830" s="15" t="s">
        <v>29313</v>
      </c>
      <c r="E15830" s="15">
        <v>16.060199999999998</v>
      </c>
      <c r="F15830" s="42">
        <v>42885</v>
      </c>
    </row>
    <row r="15831" spans="1:6" x14ac:dyDescent="0.3">
      <c r="A15831" s="15" t="s">
        <v>34330</v>
      </c>
      <c r="B15831" s="15" t="s">
        <v>29314</v>
      </c>
      <c r="C15831" s="15" t="s">
        <v>800</v>
      </c>
      <c r="D15831" s="15" t="s">
        <v>29315</v>
      </c>
      <c r="E15831" s="15">
        <v>15.5512</v>
      </c>
      <c r="F15831" s="42">
        <v>42940</v>
      </c>
    </row>
    <row r="15832" spans="1:6" x14ac:dyDescent="0.3">
      <c r="A15832" s="15" t="s">
        <v>34329</v>
      </c>
      <c r="B15832" s="15" t="s">
        <v>29316</v>
      </c>
      <c r="C15832" s="15" t="s">
        <v>800</v>
      </c>
      <c r="D15832" s="15" t="s">
        <v>29317</v>
      </c>
      <c r="E15832" s="15">
        <v>15.561199999999999</v>
      </c>
      <c r="F15832" s="42">
        <v>42940</v>
      </c>
    </row>
    <row r="15833" spans="1:6" x14ac:dyDescent="0.3">
      <c r="A15833" s="15" t="s">
        <v>34328</v>
      </c>
      <c r="B15833" s="15" t="s">
        <v>29318</v>
      </c>
      <c r="C15833" s="15" t="s">
        <v>800</v>
      </c>
      <c r="D15833" s="15" t="s">
        <v>29319</v>
      </c>
      <c r="E15833" s="15">
        <v>13.1471</v>
      </c>
      <c r="F15833" s="42">
        <v>42375</v>
      </c>
    </row>
    <row r="15834" spans="1:6" x14ac:dyDescent="0.3">
      <c r="A15834" s="15" t="s">
        <v>34327</v>
      </c>
      <c r="B15834" s="15" t="s">
        <v>29320</v>
      </c>
      <c r="C15834" s="15" t="s">
        <v>800</v>
      </c>
      <c r="D15834" s="15" t="s">
        <v>29321</v>
      </c>
      <c r="E15834" s="15">
        <v>13.5024</v>
      </c>
      <c r="F15834" s="42">
        <v>42471</v>
      </c>
    </row>
    <row r="15835" spans="1:6" x14ac:dyDescent="0.3">
      <c r="A15835" s="15" t="s">
        <v>34326</v>
      </c>
      <c r="B15835" s="15" t="s">
        <v>29322</v>
      </c>
      <c r="C15835" s="15" t="s">
        <v>800</v>
      </c>
      <c r="D15835" s="15" t="s">
        <v>29323</v>
      </c>
      <c r="E15835" s="15">
        <v>12.901</v>
      </c>
      <c r="F15835" s="42">
        <v>42471</v>
      </c>
    </row>
    <row r="15836" spans="1:6" x14ac:dyDescent="0.3">
      <c r="A15836" s="15" t="s">
        <v>34325</v>
      </c>
      <c r="B15836" s="15" t="s">
        <v>29324</v>
      </c>
      <c r="C15836" s="15" t="s">
        <v>800</v>
      </c>
      <c r="D15836" s="15" t="s">
        <v>29325</v>
      </c>
      <c r="E15836" s="15">
        <v>13.1028</v>
      </c>
      <c r="F15836" s="42">
        <v>42471</v>
      </c>
    </row>
    <row r="15837" spans="1:6" x14ac:dyDescent="0.3">
      <c r="A15837" s="15" t="s">
        <v>34324</v>
      </c>
      <c r="B15837" s="15" t="s">
        <v>29326</v>
      </c>
      <c r="C15837" s="15" t="s">
        <v>800</v>
      </c>
      <c r="D15837" s="15" t="s">
        <v>29327</v>
      </c>
      <c r="E15837" s="15">
        <v>14.400600000000001</v>
      </c>
      <c r="F15837" s="42">
        <v>42509</v>
      </c>
    </row>
    <row r="15838" spans="1:6" x14ac:dyDescent="0.3">
      <c r="A15838" s="15" t="s">
        <v>34323</v>
      </c>
      <c r="B15838" s="15" t="s">
        <v>29328</v>
      </c>
      <c r="C15838" s="15" t="s">
        <v>800</v>
      </c>
      <c r="D15838" s="15" t="s">
        <v>29329</v>
      </c>
      <c r="E15838" s="15">
        <v>14.5006</v>
      </c>
      <c r="F15838" s="42">
        <v>42509</v>
      </c>
    </row>
    <row r="15839" spans="1:6" x14ac:dyDescent="0.3">
      <c r="A15839" s="15" t="s">
        <v>34322</v>
      </c>
      <c r="B15839" s="15" t="s">
        <v>29330</v>
      </c>
      <c r="C15839" s="15" t="s">
        <v>800</v>
      </c>
      <c r="D15839" s="15" t="s">
        <v>29331</v>
      </c>
      <c r="E15839" s="15">
        <v>13.9369</v>
      </c>
      <c r="F15839" s="42">
        <v>42509</v>
      </c>
    </row>
    <row r="15840" spans="1:6" x14ac:dyDescent="0.3">
      <c r="A15840" s="15" t="s">
        <v>34321</v>
      </c>
      <c r="B15840" s="15" t="s">
        <v>29332</v>
      </c>
      <c r="C15840" s="15" t="s">
        <v>800</v>
      </c>
      <c r="D15840" s="15" t="s">
        <v>29333</v>
      </c>
      <c r="E15840" s="15">
        <v>14.036899999999999</v>
      </c>
      <c r="F15840" s="42">
        <v>42509</v>
      </c>
    </row>
    <row r="15841" spans="1:6" x14ac:dyDescent="0.3">
      <c r="A15841" s="15" t="s">
        <v>34320</v>
      </c>
      <c r="B15841" s="15" t="s">
        <v>29334</v>
      </c>
      <c r="C15841" s="15" t="s">
        <v>800</v>
      </c>
      <c r="D15841" s="15" t="s">
        <v>29335</v>
      </c>
      <c r="E15841" s="15">
        <v>10</v>
      </c>
      <c r="F15841" s="42">
        <v>43676</v>
      </c>
    </row>
    <row r="15842" spans="1:6" x14ac:dyDescent="0.3">
      <c r="A15842" s="15" t="s">
        <v>34319</v>
      </c>
      <c r="B15842" s="15" t="s">
        <v>29336</v>
      </c>
      <c r="C15842" s="15" t="s">
        <v>800</v>
      </c>
      <c r="D15842" s="15" t="s">
        <v>29337</v>
      </c>
      <c r="E15842" s="15">
        <v>10</v>
      </c>
      <c r="F15842" s="42">
        <v>43676</v>
      </c>
    </row>
    <row r="15843" spans="1:6" x14ac:dyDescent="0.3">
      <c r="A15843" s="15" t="s">
        <v>34318</v>
      </c>
      <c r="B15843" s="15" t="s">
        <v>29338</v>
      </c>
      <c r="C15843" s="15" t="s">
        <v>800</v>
      </c>
      <c r="D15843" s="15" t="s">
        <v>29339</v>
      </c>
      <c r="E15843" s="15">
        <v>15.781700000000001</v>
      </c>
      <c r="F15843" s="42">
        <v>43676</v>
      </c>
    </row>
    <row r="15844" spans="1:6" x14ac:dyDescent="0.3">
      <c r="A15844" s="15" t="s">
        <v>34317</v>
      </c>
      <c r="B15844" s="15" t="s">
        <v>29340</v>
      </c>
      <c r="C15844" s="15" t="s">
        <v>800</v>
      </c>
      <c r="D15844" s="15" t="s">
        <v>29341</v>
      </c>
      <c r="E15844" s="15">
        <v>16.753699999999998</v>
      </c>
      <c r="F15844" s="42">
        <v>43676</v>
      </c>
    </row>
    <row r="15845" spans="1:6" x14ac:dyDescent="0.3">
      <c r="A15845" s="15" t="s">
        <v>34316</v>
      </c>
      <c r="B15845" s="15" t="s">
        <v>29342</v>
      </c>
      <c r="C15845" s="15" t="s">
        <v>800</v>
      </c>
      <c r="D15845" s="15" t="s">
        <v>29343</v>
      </c>
      <c r="E15845" s="15">
        <v>13.385199999999999</v>
      </c>
      <c r="F15845" s="42">
        <v>42585</v>
      </c>
    </row>
    <row r="15846" spans="1:6" x14ac:dyDescent="0.3">
      <c r="A15846" s="15" t="s">
        <v>34315</v>
      </c>
      <c r="B15846" s="15" t="s">
        <v>29344</v>
      </c>
      <c r="C15846" s="15" t="s">
        <v>800</v>
      </c>
      <c r="D15846" s="15" t="s">
        <v>29345</v>
      </c>
      <c r="E15846" s="15">
        <v>13.585699999999999</v>
      </c>
      <c r="F15846" s="42">
        <v>42585</v>
      </c>
    </row>
    <row r="15847" spans="1:6" x14ac:dyDescent="0.3">
      <c r="A15847" s="15" t="s">
        <v>34314</v>
      </c>
      <c r="B15847" s="15" t="s">
        <v>29346</v>
      </c>
      <c r="C15847" s="15" t="s">
        <v>800</v>
      </c>
      <c r="D15847" s="15" t="s">
        <v>29347</v>
      </c>
      <c r="E15847" s="15">
        <v>12.936199999999999</v>
      </c>
      <c r="F15847" s="42">
        <v>42585</v>
      </c>
    </row>
    <row r="15848" spans="1:6" x14ac:dyDescent="0.3">
      <c r="A15848" s="15" t="s">
        <v>34313</v>
      </c>
      <c r="B15848" s="15" t="s">
        <v>29348</v>
      </c>
      <c r="C15848" s="15" t="s">
        <v>800</v>
      </c>
      <c r="D15848" s="15" t="s">
        <v>29349</v>
      </c>
      <c r="E15848" s="15">
        <v>13.136699999999999</v>
      </c>
      <c r="F15848" s="42">
        <v>42585</v>
      </c>
    </row>
    <row r="15849" spans="1:6" x14ac:dyDescent="0.3">
      <c r="A15849" s="15" t="s">
        <v>34312</v>
      </c>
      <c r="B15849" s="15" t="s">
        <v>29350</v>
      </c>
      <c r="C15849" s="15" t="s">
        <v>800</v>
      </c>
      <c r="D15849" s="15" t="s">
        <v>29351</v>
      </c>
      <c r="E15849" s="15">
        <v>16.859000000000002</v>
      </c>
      <c r="F15849" s="42">
        <v>43677</v>
      </c>
    </row>
    <row r="15850" spans="1:6" x14ac:dyDescent="0.3">
      <c r="A15850" s="15" t="s">
        <v>34311</v>
      </c>
      <c r="B15850" s="15" t="s">
        <v>29352</v>
      </c>
      <c r="C15850" s="15" t="s">
        <v>800</v>
      </c>
      <c r="D15850" s="15" t="s">
        <v>29353</v>
      </c>
      <c r="E15850" s="15">
        <v>13.7684</v>
      </c>
      <c r="F15850" s="42">
        <v>42592</v>
      </c>
    </row>
    <row r="15851" spans="1:6" x14ac:dyDescent="0.3">
      <c r="A15851" s="15" t="s">
        <v>34310</v>
      </c>
      <c r="B15851" s="15" t="s">
        <v>29354</v>
      </c>
      <c r="C15851" s="15" t="s">
        <v>800</v>
      </c>
      <c r="D15851" s="15" t="s">
        <v>29355</v>
      </c>
      <c r="E15851" s="15">
        <v>13.32</v>
      </c>
      <c r="F15851" s="42">
        <v>42592</v>
      </c>
    </row>
    <row r="15852" spans="1:6" x14ac:dyDescent="0.3">
      <c r="A15852" s="15" t="s">
        <v>34309</v>
      </c>
      <c r="B15852" s="15" t="s">
        <v>29356</v>
      </c>
      <c r="C15852" s="15" t="s">
        <v>800</v>
      </c>
      <c r="D15852" s="15" t="s">
        <v>29357</v>
      </c>
      <c r="E15852" s="15">
        <v>15.9063</v>
      </c>
      <c r="F15852" s="42">
        <v>43677</v>
      </c>
    </row>
    <row r="15853" spans="1:6" x14ac:dyDescent="0.3">
      <c r="A15853" s="15" t="s">
        <v>34308</v>
      </c>
      <c r="B15853" s="15" t="s">
        <v>29358</v>
      </c>
      <c r="C15853" s="15" t="s">
        <v>800</v>
      </c>
      <c r="D15853" s="15" t="s">
        <v>29359</v>
      </c>
      <c r="E15853" s="15">
        <v>13.5494</v>
      </c>
      <c r="F15853" s="42">
        <v>42625</v>
      </c>
    </row>
    <row r="15854" spans="1:6" x14ac:dyDescent="0.3">
      <c r="A15854" s="15" t="s">
        <v>34307</v>
      </c>
      <c r="B15854" s="15" t="s">
        <v>29360</v>
      </c>
      <c r="C15854" s="15" t="s">
        <v>800</v>
      </c>
      <c r="D15854" s="15" t="s">
        <v>29361</v>
      </c>
      <c r="E15854" s="15">
        <v>13.0206</v>
      </c>
      <c r="F15854" s="42">
        <v>42625</v>
      </c>
    </row>
    <row r="15855" spans="1:6" x14ac:dyDescent="0.3">
      <c r="A15855" s="15" t="s">
        <v>34306</v>
      </c>
      <c r="B15855" s="15" t="s">
        <v>29362</v>
      </c>
      <c r="C15855" s="15" t="s">
        <v>800</v>
      </c>
      <c r="D15855" s="15" t="s">
        <v>29363</v>
      </c>
      <c r="E15855" s="15">
        <v>13.1206</v>
      </c>
      <c r="F15855" s="42">
        <v>42625</v>
      </c>
    </row>
    <row r="15856" spans="1:6" x14ac:dyDescent="0.3">
      <c r="A15856" s="15" t="s">
        <v>34305</v>
      </c>
      <c r="B15856" s="15" t="s">
        <v>29364</v>
      </c>
      <c r="C15856" s="15" t="s">
        <v>800</v>
      </c>
      <c r="D15856" s="15" t="s">
        <v>29365</v>
      </c>
      <c r="E15856" s="15">
        <v>10</v>
      </c>
      <c r="F15856" s="42">
        <v>42656</v>
      </c>
    </row>
    <row r="15857" spans="1:6" x14ac:dyDescent="0.3">
      <c r="A15857" s="15" t="s">
        <v>34304</v>
      </c>
      <c r="B15857" s="15" t="s">
        <v>29366</v>
      </c>
      <c r="C15857" s="15" t="s">
        <v>800</v>
      </c>
      <c r="D15857" s="15" t="s">
        <v>29367</v>
      </c>
      <c r="E15857" s="15">
        <v>13.8573</v>
      </c>
      <c r="F15857" s="42">
        <v>42656</v>
      </c>
    </row>
    <row r="15858" spans="1:6" x14ac:dyDescent="0.3">
      <c r="A15858" s="15" t="s">
        <v>34303</v>
      </c>
      <c r="B15858" s="15" t="s">
        <v>29368</v>
      </c>
      <c r="C15858" s="15" t="s">
        <v>800</v>
      </c>
      <c r="D15858" s="15" t="s">
        <v>29369</v>
      </c>
      <c r="E15858" s="15">
        <v>10</v>
      </c>
      <c r="F15858" s="42">
        <v>42656</v>
      </c>
    </row>
    <row r="15859" spans="1:6" x14ac:dyDescent="0.3">
      <c r="A15859" s="15" t="s">
        <v>34302</v>
      </c>
      <c r="B15859" s="15" t="s">
        <v>29370</v>
      </c>
      <c r="C15859" s="15" t="s">
        <v>800</v>
      </c>
      <c r="D15859" s="15" t="s">
        <v>29371</v>
      </c>
      <c r="E15859" s="15">
        <v>13.3865</v>
      </c>
      <c r="F15859" s="42">
        <v>42656</v>
      </c>
    </row>
    <row r="15860" spans="1:6" x14ac:dyDescent="0.3">
      <c r="A15860" s="15" t="s">
        <v>34301</v>
      </c>
      <c r="B15860" s="15" t="s">
        <v>29372</v>
      </c>
      <c r="C15860" s="15" t="s">
        <v>800</v>
      </c>
      <c r="D15860" s="15" t="s">
        <v>29373</v>
      </c>
      <c r="E15860" s="15">
        <v>10</v>
      </c>
      <c r="F15860" s="42">
        <v>42685</v>
      </c>
    </row>
    <row r="15861" spans="1:6" x14ac:dyDescent="0.3">
      <c r="A15861" s="15" t="s">
        <v>34300</v>
      </c>
      <c r="B15861" s="15" t="s">
        <v>29374</v>
      </c>
      <c r="C15861" s="15" t="s">
        <v>800</v>
      </c>
      <c r="D15861" s="15" t="s">
        <v>29375</v>
      </c>
      <c r="E15861" s="15">
        <v>13.431100000000001</v>
      </c>
      <c r="F15861" s="42">
        <v>42685</v>
      </c>
    </row>
    <row r="15862" spans="1:6" x14ac:dyDescent="0.3">
      <c r="A15862" s="15" t="s">
        <v>34299</v>
      </c>
      <c r="B15862" s="15" t="s">
        <v>29376</v>
      </c>
      <c r="C15862" s="15" t="s">
        <v>800</v>
      </c>
      <c r="D15862" s="15" t="s">
        <v>29377</v>
      </c>
      <c r="E15862" s="15">
        <v>10</v>
      </c>
      <c r="F15862" s="42">
        <v>42685</v>
      </c>
    </row>
    <row r="15863" spans="1:6" x14ac:dyDescent="0.3">
      <c r="A15863" s="15" t="s">
        <v>34298</v>
      </c>
      <c r="B15863" s="15" t="s">
        <v>29378</v>
      </c>
      <c r="C15863" s="15" t="s">
        <v>800</v>
      </c>
      <c r="D15863" s="15" t="s">
        <v>29379</v>
      </c>
      <c r="E15863" s="15">
        <v>12.980700000000001</v>
      </c>
      <c r="F15863" s="42">
        <v>42685</v>
      </c>
    </row>
    <row r="15864" spans="1:6" x14ac:dyDescent="0.3">
      <c r="A15864" s="15" t="s">
        <v>34297</v>
      </c>
      <c r="B15864" s="15" t="s">
        <v>29380</v>
      </c>
      <c r="C15864" s="15" t="s">
        <v>800</v>
      </c>
      <c r="D15864" s="15" t="s">
        <v>29381</v>
      </c>
      <c r="E15864" s="15">
        <v>10</v>
      </c>
      <c r="F15864" s="42">
        <v>42734</v>
      </c>
    </row>
    <row r="15865" spans="1:6" x14ac:dyDescent="0.3">
      <c r="A15865" s="15" t="s">
        <v>34296</v>
      </c>
      <c r="B15865" s="15" t="s">
        <v>29382</v>
      </c>
      <c r="C15865" s="15" t="s">
        <v>800</v>
      </c>
      <c r="D15865" s="15" t="s">
        <v>29383</v>
      </c>
      <c r="E15865" s="15">
        <v>12.922800000000001</v>
      </c>
      <c r="F15865" s="42">
        <v>42734</v>
      </c>
    </row>
    <row r="15866" spans="1:6" x14ac:dyDescent="0.3">
      <c r="A15866" s="15" t="s">
        <v>34295</v>
      </c>
      <c r="B15866" s="15" t="s">
        <v>29384</v>
      </c>
      <c r="C15866" s="15" t="s">
        <v>800</v>
      </c>
      <c r="D15866" s="15" t="s">
        <v>29385</v>
      </c>
      <c r="E15866" s="15">
        <v>10</v>
      </c>
      <c r="F15866" s="42">
        <v>42734</v>
      </c>
    </row>
    <row r="15867" spans="1:6" x14ac:dyDescent="0.3">
      <c r="A15867" s="15" t="s">
        <v>34294</v>
      </c>
      <c r="B15867" s="15" t="s">
        <v>29386</v>
      </c>
      <c r="C15867" s="15" t="s">
        <v>800</v>
      </c>
      <c r="D15867" s="15" t="s">
        <v>29387</v>
      </c>
      <c r="E15867" s="15">
        <v>12.4216</v>
      </c>
      <c r="F15867" s="42">
        <v>42734</v>
      </c>
    </row>
    <row r="15868" spans="1:6" x14ac:dyDescent="0.3">
      <c r="A15868" s="15" t="s">
        <v>34293</v>
      </c>
      <c r="B15868" s="15" t="s">
        <v>29388</v>
      </c>
      <c r="C15868" s="15" t="s">
        <v>800</v>
      </c>
      <c r="D15868" s="15" t="s">
        <v>29389</v>
      </c>
      <c r="E15868" s="15">
        <v>10</v>
      </c>
      <c r="F15868" s="42">
        <v>43661</v>
      </c>
    </row>
    <row r="15869" spans="1:6" x14ac:dyDescent="0.3">
      <c r="A15869" s="15" t="s">
        <v>34292</v>
      </c>
      <c r="B15869" s="15" t="s">
        <v>29390</v>
      </c>
      <c r="C15869" s="15" t="s">
        <v>800</v>
      </c>
      <c r="D15869" s="15" t="s">
        <v>29391</v>
      </c>
      <c r="E15869" s="15">
        <v>13.5077</v>
      </c>
      <c r="F15869" s="42">
        <v>43661</v>
      </c>
    </row>
    <row r="15870" spans="1:6" x14ac:dyDescent="0.3">
      <c r="A15870" s="15" t="s">
        <v>34291</v>
      </c>
      <c r="B15870" s="15" t="s">
        <v>29392</v>
      </c>
      <c r="C15870" s="15" t="s">
        <v>800</v>
      </c>
      <c r="D15870" s="15" t="s">
        <v>29393</v>
      </c>
      <c r="E15870" s="15">
        <v>10</v>
      </c>
      <c r="F15870" s="42">
        <v>43661</v>
      </c>
    </row>
    <row r="15871" spans="1:6" x14ac:dyDescent="0.3">
      <c r="A15871" s="15" t="s">
        <v>34290</v>
      </c>
      <c r="B15871" s="15" t="s">
        <v>29394</v>
      </c>
      <c r="C15871" s="15" t="s">
        <v>800</v>
      </c>
      <c r="D15871" s="15" t="s">
        <v>29395</v>
      </c>
      <c r="E15871" s="15">
        <v>12.9895</v>
      </c>
      <c r="F15871" s="42">
        <v>43661</v>
      </c>
    </row>
    <row r="15872" spans="1:6" x14ac:dyDescent="0.3">
      <c r="A15872" s="15" t="s">
        <v>34289</v>
      </c>
      <c r="B15872" s="15" t="s">
        <v>29396</v>
      </c>
      <c r="C15872" s="15" t="s">
        <v>800</v>
      </c>
      <c r="D15872" s="15" t="s">
        <v>29397</v>
      </c>
      <c r="E15872" s="15">
        <v>10</v>
      </c>
      <c r="F15872" s="42">
        <v>43661</v>
      </c>
    </row>
    <row r="15873" spans="1:6" x14ac:dyDescent="0.3">
      <c r="A15873" s="15" t="s">
        <v>34288</v>
      </c>
      <c r="B15873" s="15" t="s">
        <v>29398</v>
      </c>
      <c r="C15873" s="15" t="s">
        <v>800</v>
      </c>
      <c r="D15873" s="15" t="s">
        <v>29399</v>
      </c>
      <c r="E15873" s="15">
        <v>13.110799999999999</v>
      </c>
      <c r="F15873" s="42">
        <v>43661</v>
      </c>
    </row>
    <row r="15874" spans="1:6" x14ac:dyDescent="0.3">
      <c r="A15874" s="15" t="s">
        <v>34287</v>
      </c>
      <c r="B15874" s="15" t="s">
        <v>29400</v>
      </c>
      <c r="C15874" s="15" t="s">
        <v>800</v>
      </c>
      <c r="D15874" s="15" t="s">
        <v>29401</v>
      </c>
      <c r="E15874" s="15">
        <v>10</v>
      </c>
      <c r="F15874" s="42">
        <v>43661</v>
      </c>
    </row>
    <row r="15875" spans="1:6" x14ac:dyDescent="0.3">
      <c r="A15875" s="15" t="s">
        <v>34286</v>
      </c>
      <c r="B15875" s="15" t="s">
        <v>29402</v>
      </c>
      <c r="C15875" s="15" t="s">
        <v>800</v>
      </c>
      <c r="D15875" s="15" t="s">
        <v>29403</v>
      </c>
      <c r="E15875" s="15">
        <v>12.6755</v>
      </c>
      <c r="F15875" s="42">
        <v>43661</v>
      </c>
    </row>
    <row r="15876" spans="1:6" x14ac:dyDescent="0.3">
      <c r="A15876" s="15" t="s">
        <v>34285</v>
      </c>
      <c r="B15876" s="15" t="s">
        <v>29404</v>
      </c>
      <c r="C15876" s="15" t="s">
        <v>800</v>
      </c>
      <c r="D15876" s="15" t="s">
        <v>29405</v>
      </c>
      <c r="E15876" s="15">
        <v>10</v>
      </c>
      <c r="F15876" s="42">
        <v>43661</v>
      </c>
    </row>
    <row r="15877" spans="1:6" x14ac:dyDescent="0.3">
      <c r="A15877" s="15" t="s">
        <v>34284</v>
      </c>
      <c r="B15877" s="15" t="s">
        <v>29406</v>
      </c>
      <c r="C15877" s="15" t="s">
        <v>800</v>
      </c>
      <c r="D15877" s="15" t="s">
        <v>29407</v>
      </c>
      <c r="E15877" s="15">
        <v>13.142799999999999</v>
      </c>
      <c r="F15877" s="42">
        <v>43661</v>
      </c>
    </row>
    <row r="15878" spans="1:6" x14ac:dyDescent="0.3">
      <c r="A15878" s="15" t="s">
        <v>34283</v>
      </c>
      <c r="B15878" s="15" t="s">
        <v>29404</v>
      </c>
      <c r="C15878" s="15" t="s">
        <v>800</v>
      </c>
      <c r="D15878" s="15" t="s">
        <v>29408</v>
      </c>
      <c r="E15878" s="15">
        <v>10</v>
      </c>
      <c r="F15878" s="42">
        <v>43661</v>
      </c>
    </row>
    <row r="15879" spans="1:6" x14ac:dyDescent="0.3">
      <c r="A15879" s="15" t="s">
        <v>34282</v>
      </c>
      <c r="B15879" s="15" t="s">
        <v>29409</v>
      </c>
      <c r="C15879" s="15" t="s">
        <v>800</v>
      </c>
      <c r="D15879" s="15" t="s">
        <v>29410</v>
      </c>
      <c r="E15879" s="15">
        <v>12.718500000000001</v>
      </c>
      <c r="F15879" s="42">
        <v>43661</v>
      </c>
    </row>
    <row r="15880" spans="1:6" x14ac:dyDescent="0.3">
      <c r="A15880" s="15" t="s">
        <v>34281</v>
      </c>
      <c r="B15880" s="15" t="s">
        <v>29411</v>
      </c>
      <c r="C15880" s="15" t="s">
        <v>800</v>
      </c>
      <c r="D15880" s="15" t="s">
        <v>29412</v>
      </c>
      <c r="E15880" s="15">
        <v>10</v>
      </c>
      <c r="F15880" s="42">
        <v>42796</v>
      </c>
    </row>
    <row r="15881" spans="1:6" x14ac:dyDescent="0.3">
      <c r="A15881" s="15" t="s">
        <v>34280</v>
      </c>
      <c r="B15881" s="15" t="s">
        <v>29413</v>
      </c>
      <c r="C15881" s="15" t="s">
        <v>800</v>
      </c>
      <c r="D15881" s="15" t="s">
        <v>29414</v>
      </c>
      <c r="E15881" s="15">
        <v>13.553599999999999</v>
      </c>
      <c r="F15881" s="42">
        <v>42796</v>
      </c>
    </row>
    <row r="15882" spans="1:6" x14ac:dyDescent="0.3">
      <c r="A15882" s="15" t="s">
        <v>34279</v>
      </c>
      <c r="B15882" s="15" t="s">
        <v>29415</v>
      </c>
      <c r="C15882" s="15" t="s">
        <v>800</v>
      </c>
      <c r="D15882" s="15" t="s">
        <v>29416</v>
      </c>
      <c r="E15882" s="15">
        <v>10</v>
      </c>
      <c r="F15882" s="42">
        <v>42796</v>
      </c>
    </row>
    <row r="15883" spans="1:6" x14ac:dyDescent="0.3">
      <c r="A15883" s="15" t="s">
        <v>34278</v>
      </c>
      <c r="B15883" s="15" t="s">
        <v>29417</v>
      </c>
      <c r="C15883" s="15" t="s">
        <v>800</v>
      </c>
      <c r="D15883" s="15" t="s">
        <v>29418</v>
      </c>
      <c r="E15883" s="15">
        <v>13.0044</v>
      </c>
      <c r="F15883" s="42">
        <v>42796</v>
      </c>
    </row>
    <row r="15884" spans="1:6" x14ac:dyDescent="0.3">
      <c r="A15884" s="15" t="s">
        <v>34277</v>
      </c>
      <c r="B15884" s="15" t="s">
        <v>29419</v>
      </c>
      <c r="C15884" s="15" t="s">
        <v>800</v>
      </c>
      <c r="D15884" s="15" t="s">
        <v>29420</v>
      </c>
      <c r="E15884" s="15">
        <v>10</v>
      </c>
      <c r="F15884" s="42">
        <v>42835</v>
      </c>
    </row>
    <row r="15885" spans="1:6" x14ac:dyDescent="0.3">
      <c r="A15885" s="15" t="s">
        <v>34276</v>
      </c>
      <c r="B15885" s="15" t="s">
        <v>29421</v>
      </c>
      <c r="C15885" s="15" t="s">
        <v>800</v>
      </c>
      <c r="D15885" s="15" t="s">
        <v>29422</v>
      </c>
      <c r="E15885" s="15">
        <v>12.5002</v>
      </c>
      <c r="F15885" s="42">
        <v>42835</v>
      </c>
    </row>
    <row r="15886" spans="1:6" x14ac:dyDescent="0.3">
      <c r="A15886" s="15" t="s">
        <v>34275</v>
      </c>
      <c r="B15886" s="15" t="s">
        <v>29423</v>
      </c>
      <c r="C15886" s="15" t="s">
        <v>800</v>
      </c>
      <c r="D15886" s="15" t="s">
        <v>29424</v>
      </c>
      <c r="E15886" s="15">
        <v>10</v>
      </c>
      <c r="F15886" s="42">
        <v>42835</v>
      </c>
    </row>
    <row r="15887" spans="1:6" x14ac:dyDescent="0.3">
      <c r="A15887" s="15" t="s">
        <v>34274</v>
      </c>
      <c r="B15887" s="15" t="s">
        <v>29425</v>
      </c>
      <c r="C15887" s="15" t="s">
        <v>800</v>
      </c>
      <c r="D15887" s="15" t="s">
        <v>29426</v>
      </c>
      <c r="E15887" s="15">
        <v>11.943899999999999</v>
      </c>
      <c r="F15887" s="42">
        <v>42835</v>
      </c>
    </row>
    <row r="15888" spans="1:6" x14ac:dyDescent="0.3">
      <c r="A15888" s="15" t="s">
        <v>34273</v>
      </c>
      <c r="B15888" s="15" t="s">
        <v>29427</v>
      </c>
      <c r="C15888" s="15" t="s">
        <v>800</v>
      </c>
      <c r="D15888" s="15" t="s">
        <v>29428</v>
      </c>
      <c r="E15888" s="15">
        <v>12.632400000000001</v>
      </c>
      <c r="F15888" s="42">
        <v>42849</v>
      </c>
    </row>
    <row r="15889" spans="1:6" x14ac:dyDescent="0.3">
      <c r="A15889" s="15" t="s">
        <v>34272</v>
      </c>
      <c r="B15889" s="15" t="s">
        <v>29429</v>
      </c>
      <c r="C15889" s="15" t="s">
        <v>800</v>
      </c>
      <c r="D15889" s="15" t="s">
        <v>29430</v>
      </c>
      <c r="E15889" s="15">
        <v>10</v>
      </c>
      <c r="F15889" s="42">
        <v>42849</v>
      </c>
    </row>
    <row r="15890" spans="1:6" x14ac:dyDescent="0.3">
      <c r="A15890" s="15" t="s">
        <v>34271</v>
      </c>
      <c r="B15890" s="15" t="s">
        <v>29431</v>
      </c>
      <c r="C15890" s="15" t="s">
        <v>800</v>
      </c>
      <c r="D15890" s="15" t="s">
        <v>29432</v>
      </c>
      <c r="E15890" s="15">
        <v>12.1172</v>
      </c>
      <c r="F15890" s="42">
        <v>42849</v>
      </c>
    </row>
    <row r="15891" spans="1:6" x14ac:dyDescent="0.3">
      <c r="A15891" s="15" t="s">
        <v>34270</v>
      </c>
      <c r="B15891" s="15" t="s">
        <v>29433</v>
      </c>
      <c r="C15891" s="15" t="s">
        <v>800</v>
      </c>
      <c r="D15891" s="15" t="s">
        <v>29434</v>
      </c>
      <c r="E15891" s="15">
        <v>10</v>
      </c>
      <c r="F15891" s="42">
        <v>42835</v>
      </c>
    </row>
    <row r="15892" spans="1:6" x14ac:dyDescent="0.3">
      <c r="A15892" s="15" t="s">
        <v>34269</v>
      </c>
      <c r="B15892" s="15" t="s">
        <v>29435</v>
      </c>
      <c r="C15892" s="15" t="s">
        <v>800</v>
      </c>
      <c r="D15892" s="15" t="s">
        <v>29436</v>
      </c>
      <c r="E15892" s="15">
        <v>12.0101</v>
      </c>
      <c r="F15892" s="42">
        <v>42835</v>
      </c>
    </row>
    <row r="15893" spans="1:6" x14ac:dyDescent="0.3">
      <c r="A15893" s="15" t="s">
        <v>34268</v>
      </c>
      <c r="B15893" s="15" t="s">
        <v>29437</v>
      </c>
      <c r="C15893" s="15" t="s">
        <v>800</v>
      </c>
      <c r="D15893" s="15" t="s">
        <v>29438</v>
      </c>
      <c r="E15893" s="15">
        <v>10</v>
      </c>
      <c r="F15893" s="42">
        <v>42835</v>
      </c>
    </row>
    <row r="15894" spans="1:6" x14ac:dyDescent="0.3">
      <c r="A15894" s="15" t="s">
        <v>34267</v>
      </c>
      <c r="B15894" s="15" t="s">
        <v>29439</v>
      </c>
      <c r="C15894" s="15" t="s">
        <v>800</v>
      </c>
      <c r="D15894" s="15" t="s">
        <v>29440</v>
      </c>
      <c r="E15894" s="15">
        <v>11.4985</v>
      </c>
      <c r="F15894" s="42">
        <v>42835</v>
      </c>
    </row>
    <row r="15895" spans="1:6" x14ac:dyDescent="0.3">
      <c r="A15895" s="15" t="s">
        <v>34266</v>
      </c>
      <c r="B15895" s="15" t="s">
        <v>29441</v>
      </c>
      <c r="C15895" s="15" t="s">
        <v>800</v>
      </c>
      <c r="D15895" s="15" t="s">
        <v>29442</v>
      </c>
      <c r="E15895" s="15">
        <v>10</v>
      </c>
      <c r="F15895" s="42">
        <v>42863</v>
      </c>
    </row>
    <row r="15896" spans="1:6" x14ac:dyDescent="0.3">
      <c r="A15896" s="15" t="s">
        <v>34265</v>
      </c>
      <c r="B15896" s="15" t="s">
        <v>29443</v>
      </c>
      <c r="C15896" s="15" t="s">
        <v>800</v>
      </c>
      <c r="D15896" s="15" t="s">
        <v>29444</v>
      </c>
      <c r="E15896" s="15">
        <v>12.4429</v>
      </c>
      <c r="F15896" s="42">
        <v>42863</v>
      </c>
    </row>
    <row r="15897" spans="1:6" x14ac:dyDescent="0.3">
      <c r="A15897" s="15" t="s">
        <v>34264</v>
      </c>
      <c r="B15897" s="15" t="s">
        <v>29445</v>
      </c>
      <c r="C15897" s="15" t="s">
        <v>800</v>
      </c>
      <c r="D15897" s="15" t="s">
        <v>29446</v>
      </c>
      <c r="E15897" s="15">
        <v>10</v>
      </c>
      <c r="F15897" s="42">
        <v>42863</v>
      </c>
    </row>
    <row r="15898" spans="1:6" x14ac:dyDescent="0.3">
      <c r="A15898" s="15" t="s">
        <v>34263</v>
      </c>
      <c r="B15898" s="15" t="s">
        <v>29447</v>
      </c>
      <c r="C15898" s="15" t="s">
        <v>800</v>
      </c>
      <c r="D15898" s="15" t="s">
        <v>29448</v>
      </c>
      <c r="E15898" s="15">
        <v>11.9359</v>
      </c>
      <c r="F15898" s="42">
        <v>42863</v>
      </c>
    </row>
    <row r="15899" spans="1:6" x14ac:dyDescent="0.3">
      <c r="A15899" s="15" t="s">
        <v>34262</v>
      </c>
      <c r="B15899" s="15" t="s">
        <v>29449</v>
      </c>
      <c r="C15899" s="15" t="s">
        <v>800</v>
      </c>
      <c r="D15899" s="15" t="s">
        <v>29450</v>
      </c>
      <c r="E15899" s="15">
        <v>10</v>
      </c>
      <c r="F15899" s="42">
        <v>42863</v>
      </c>
    </row>
    <row r="15900" spans="1:6" x14ac:dyDescent="0.3">
      <c r="A15900" s="15" t="s">
        <v>34261</v>
      </c>
      <c r="B15900" s="15" t="s">
        <v>29451</v>
      </c>
      <c r="C15900" s="15" t="s">
        <v>800</v>
      </c>
      <c r="D15900" s="15" t="s">
        <v>29452</v>
      </c>
      <c r="E15900" s="15">
        <v>13.426600000000001</v>
      </c>
      <c r="F15900" s="42">
        <v>42863</v>
      </c>
    </row>
    <row r="15901" spans="1:6" x14ac:dyDescent="0.3">
      <c r="A15901" s="15" t="s">
        <v>34260</v>
      </c>
      <c r="B15901" s="15" t="s">
        <v>29453</v>
      </c>
      <c r="C15901" s="15" t="s">
        <v>800</v>
      </c>
      <c r="D15901" s="15" t="s">
        <v>29454</v>
      </c>
      <c r="E15901" s="15">
        <v>10</v>
      </c>
      <c r="F15901" s="42">
        <v>42863</v>
      </c>
    </row>
    <row r="15902" spans="1:6" x14ac:dyDescent="0.3">
      <c r="A15902" s="15" t="s">
        <v>34259</v>
      </c>
      <c r="B15902" s="15" t="s">
        <v>29455</v>
      </c>
      <c r="C15902" s="15" t="s">
        <v>800</v>
      </c>
      <c r="D15902" s="15" t="s">
        <v>29456</v>
      </c>
      <c r="E15902" s="15">
        <v>12.867000000000001</v>
      </c>
      <c r="F15902" s="42">
        <v>42863</v>
      </c>
    </row>
    <row r="15903" spans="1:6" x14ac:dyDescent="0.3">
      <c r="A15903" s="15" t="s">
        <v>34258</v>
      </c>
      <c r="B15903" s="15" t="s">
        <v>29457</v>
      </c>
      <c r="C15903" s="15" t="s">
        <v>800</v>
      </c>
      <c r="D15903" s="15" t="s">
        <v>29458</v>
      </c>
      <c r="E15903" s="15">
        <v>10</v>
      </c>
      <c r="F15903" s="42">
        <v>42905</v>
      </c>
    </row>
    <row r="15904" spans="1:6" x14ac:dyDescent="0.3">
      <c r="A15904" s="15" t="s">
        <v>34257</v>
      </c>
      <c r="B15904" s="15" t="s">
        <v>29459</v>
      </c>
      <c r="C15904" s="15" t="s">
        <v>800</v>
      </c>
      <c r="D15904" s="15" t="s">
        <v>29460</v>
      </c>
      <c r="E15904" s="15">
        <v>12.188800000000001</v>
      </c>
      <c r="F15904" s="42">
        <v>42905</v>
      </c>
    </row>
    <row r="15905" spans="1:6" x14ac:dyDescent="0.3">
      <c r="A15905" s="15" t="s">
        <v>34256</v>
      </c>
      <c r="B15905" s="15" t="s">
        <v>29461</v>
      </c>
      <c r="C15905" s="15" t="s">
        <v>800</v>
      </c>
      <c r="D15905" s="15" t="s">
        <v>29462</v>
      </c>
      <c r="E15905" s="15">
        <v>10</v>
      </c>
      <c r="F15905" s="42">
        <v>42905</v>
      </c>
    </row>
    <row r="15906" spans="1:6" x14ac:dyDescent="0.3">
      <c r="A15906" s="15" t="s">
        <v>34255</v>
      </c>
      <c r="B15906" s="15" t="s">
        <v>29463</v>
      </c>
      <c r="C15906" s="15" t="s">
        <v>800</v>
      </c>
      <c r="D15906" s="15" t="s">
        <v>29464</v>
      </c>
      <c r="E15906" s="15">
        <v>11.661099999999999</v>
      </c>
      <c r="F15906" s="42">
        <v>42905</v>
      </c>
    </row>
    <row r="15907" spans="1:6" x14ac:dyDescent="0.3">
      <c r="A15907" s="15" t="s">
        <v>34254</v>
      </c>
      <c r="B15907" s="15" t="s">
        <v>29465</v>
      </c>
      <c r="C15907" s="15" t="s">
        <v>800</v>
      </c>
      <c r="D15907" s="15" t="s">
        <v>29466</v>
      </c>
      <c r="E15907" s="15">
        <v>12.3187</v>
      </c>
      <c r="F15907" s="42">
        <v>42954</v>
      </c>
    </row>
    <row r="15908" spans="1:6" x14ac:dyDescent="0.3">
      <c r="A15908" s="15" t="s">
        <v>34253</v>
      </c>
      <c r="B15908" s="15" t="s">
        <v>29467</v>
      </c>
      <c r="C15908" s="15" t="s">
        <v>800</v>
      </c>
      <c r="D15908" s="15" t="s">
        <v>29468</v>
      </c>
      <c r="E15908" s="15">
        <v>11.968999999999999</v>
      </c>
      <c r="F15908" s="42">
        <v>42954</v>
      </c>
    </row>
    <row r="15909" spans="1:6" x14ac:dyDescent="0.3">
      <c r="A15909" s="15" t="s">
        <v>34252</v>
      </c>
      <c r="B15909" s="15" t="s">
        <v>29469</v>
      </c>
      <c r="C15909" s="15" t="s">
        <v>800</v>
      </c>
      <c r="D15909" s="15" t="s">
        <v>29470</v>
      </c>
      <c r="E15909" s="15">
        <v>10</v>
      </c>
      <c r="F15909" s="42">
        <v>42954</v>
      </c>
    </row>
    <row r="15910" spans="1:6" x14ac:dyDescent="0.3">
      <c r="A15910" s="15" t="s">
        <v>34251</v>
      </c>
      <c r="B15910" s="15" t="s">
        <v>29471</v>
      </c>
      <c r="C15910" s="15" t="s">
        <v>800</v>
      </c>
      <c r="D15910" s="15" t="s">
        <v>29472</v>
      </c>
      <c r="E15910" s="15">
        <v>10</v>
      </c>
      <c r="F15910" s="42">
        <v>42954</v>
      </c>
    </row>
    <row r="15911" spans="1:6" x14ac:dyDescent="0.3">
      <c r="A15911" s="15" t="s">
        <v>34250</v>
      </c>
      <c r="B15911" s="15" t="s">
        <v>29473</v>
      </c>
      <c r="C15911" s="15" t="s">
        <v>800</v>
      </c>
      <c r="D15911" s="15" t="s">
        <v>29474</v>
      </c>
      <c r="E15911" s="15">
        <v>10</v>
      </c>
      <c r="F15911" s="42">
        <v>42986</v>
      </c>
    </row>
    <row r="15912" spans="1:6" x14ac:dyDescent="0.3">
      <c r="A15912" s="15" t="s">
        <v>34249</v>
      </c>
      <c r="B15912" s="15" t="s">
        <v>29475</v>
      </c>
      <c r="C15912" s="15" t="s">
        <v>800</v>
      </c>
      <c r="D15912" s="15" t="s">
        <v>29476</v>
      </c>
      <c r="E15912" s="15">
        <v>11.869199999999999</v>
      </c>
      <c r="F15912" s="42">
        <v>42986</v>
      </c>
    </row>
    <row r="15913" spans="1:6" x14ac:dyDescent="0.3">
      <c r="A15913" s="15" t="s">
        <v>34248</v>
      </c>
      <c r="B15913" s="15" t="s">
        <v>29477</v>
      </c>
      <c r="C15913" s="15" t="s">
        <v>800</v>
      </c>
      <c r="D15913" s="15" t="s">
        <v>29478</v>
      </c>
      <c r="E15913" s="15">
        <v>10</v>
      </c>
      <c r="F15913" s="42">
        <v>42986</v>
      </c>
    </row>
    <row r="15914" spans="1:6" x14ac:dyDescent="0.3">
      <c r="A15914" s="15" t="s">
        <v>34247</v>
      </c>
      <c r="B15914" s="15" t="s">
        <v>29479</v>
      </c>
      <c r="C15914" s="15" t="s">
        <v>800</v>
      </c>
      <c r="D15914" s="15" t="s">
        <v>29480</v>
      </c>
      <c r="E15914" s="15">
        <v>11.566599999999999</v>
      </c>
      <c r="F15914" s="42">
        <v>42986</v>
      </c>
    </row>
    <row r="15915" spans="1:6" x14ac:dyDescent="0.3">
      <c r="A15915" s="15" t="s">
        <v>34246</v>
      </c>
      <c r="B15915" s="15" t="s">
        <v>29481</v>
      </c>
      <c r="C15915" s="15" t="s">
        <v>800</v>
      </c>
      <c r="D15915" s="15" t="s">
        <v>29482</v>
      </c>
      <c r="E15915" s="15">
        <v>10</v>
      </c>
      <c r="F15915" s="42">
        <v>43026</v>
      </c>
    </row>
    <row r="15916" spans="1:6" x14ac:dyDescent="0.3">
      <c r="A15916" s="15" t="s">
        <v>34245</v>
      </c>
      <c r="B15916" s="15" t="s">
        <v>29483</v>
      </c>
      <c r="C15916" s="15" t="s">
        <v>800</v>
      </c>
      <c r="D15916" s="15" t="s">
        <v>29484</v>
      </c>
      <c r="E15916" s="15">
        <v>11.953099999999999</v>
      </c>
      <c r="F15916" s="42">
        <v>43026</v>
      </c>
    </row>
    <row r="15917" spans="1:6" x14ac:dyDescent="0.3">
      <c r="A15917" s="15" t="s">
        <v>34244</v>
      </c>
      <c r="B15917" s="15" t="s">
        <v>29485</v>
      </c>
      <c r="C15917" s="15" t="s">
        <v>800</v>
      </c>
      <c r="D15917" s="15" t="s">
        <v>29486</v>
      </c>
      <c r="E15917" s="15">
        <v>10</v>
      </c>
      <c r="F15917" s="42">
        <v>43026</v>
      </c>
    </row>
    <row r="15918" spans="1:6" x14ac:dyDescent="0.3">
      <c r="A15918" s="15" t="s">
        <v>34243</v>
      </c>
      <c r="B15918" s="15" t="s">
        <v>29487</v>
      </c>
      <c r="C15918" s="15" t="s">
        <v>800</v>
      </c>
      <c r="D15918" s="15" t="s">
        <v>29488</v>
      </c>
      <c r="E15918" s="15">
        <v>11.5547</v>
      </c>
      <c r="F15918" s="42">
        <v>43026</v>
      </c>
    </row>
    <row r="15919" spans="1:6" x14ac:dyDescent="0.3">
      <c r="A15919" s="15" t="s">
        <v>34242</v>
      </c>
      <c r="B15919" s="15" t="s">
        <v>29489</v>
      </c>
      <c r="C15919" s="15" t="s">
        <v>800</v>
      </c>
      <c r="D15919" s="15" t="s">
        <v>29490</v>
      </c>
      <c r="E15919" s="15">
        <v>12.0261</v>
      </c>
      <c r="F15919" s="42">
        <v>43034</v>
      </c>
    </row>
    <row r="15920" spans="1:6" x14ac:dyDescent="0.3">
      <c r="A15920" s="15" t="s">
        <v>34241</v>
      </c>
      <c r="B15920" s="15" t="s">
        <v>29491</v>
      </c>
      <c r="C15920" s="15" t="s">
        <v>800</v>
      </c>
      <c r="D15920" s="15" t="s">
        <v>29492</v>
      </c>
      <c r="E15920" s="15">
        <v>10</v>
      </c>
      <c r="F15920" s="42">
        <v>43034</v>
      </c>
    </row>
    <row r="15921" spans="1:6" x14ac:dyDescent="0.3">
      <c r="A15921" s="15" t="s">
        <v>34240</v>
      </c>
      <c r="B15921" s="15" t="s">
        <v>29493</v>
      </c>
      <c r="C15921" s="15" t="s">
        <v>800</v>
      </c>
      <c r="D15921" s="15" t="s">
        <v>29494</v>
      </c>
      <c r="E15921" s="15">
        <v>12.4062</v>
      </c>
      <c r="F15921" s="42">
        <v>43034</v>
      </c>
    </row>
    <row r="15922" spans="1:6" x14ac:dyDescent="0.3">
      <c r="A15922" s="15" t="s">
        <v>34239</v>
      </c>
      <c r="B15922" s="15" t="s">
        <v>29495</v>
      </c>
      <c r="C15922" s="15" t="s">
        <v>800</v>
      </c>
      <c r="D15922" s="15" t="s">
        <v>29496</v>
      </c>
      <c r="E15922" s="15">
        <v>10</v>
      </c>
      <c r="F15922" s="42">
        <v>43034</v>
      </c>
    </row>
    <row r="15923" spans="1:6" x14ac:dyDescent="0.3">
      <c r="A15923" s="15" t="s">
        <v>34238</v>
      </c>
      <c r="B15923" s="15" t="s">
        <v>29497</v>
      </c>
      <c r="C15923" s="15" t="s">
        <v>800</v>
      </c>
      <c r="D15923" s="15" t="s">
        <v>29498</v>
      </c>
      <c r="E15923" s="15">
        <v>11.3794</v>
      </c>
      <c r="F15923" s="42">
        <v>43047</v>
      </c>
    </row>
    <row r="15924" spans="1:6" x14ac:dyDescent="0.3">
      <c r="A15924" s="15" t="s">
        <v>34237</v>
      </c>
      <c r="B15924" s="15" t="s">
        <v>29499</v>
      </c>
      <c r="C15924" s="15" t="s">
        <v>800</v>
      </c>
      <c r="D15924" s="15" t="s">
        <v>29500</v>
      </c>
      <c r="E15924" s="15">
        <v>11.7722</v>
      </c>
      <c r="F15924" s="42">
        <v>43047</v>
      </c>
    </row>
    <row r="15925" spans="1:6" x14ac:dyDescent="0.3">
      <c r="A15925" s="15" t="s">
        <v>34236</v>
      </c>
      <c r="B15925" s="15" t="s">
        <v>29501</v>
      </c>
      <c r="C15925" s="15" t="s">
        <v>800</v>
      </c>
      <c r="D15925" s="15" t="s">
        <v>29502</v>
      </c>
      <c r="E15925" s="15">
        <v>10</v>
      </c>
      <c r="F15925" s="42">
        <v>43047</v>
      </c>
    </row>
    <row r="15926" spans="1:6" x14ac:dyDescent="0.3">
      <c r="A15926" s="15" t="s">
        <v>34235</v>
      </c>
      <c r="B15926" s="15" t="s">
        <v>29503</v>
      </c>
      <c r="C15926" s="15" t="s">
        <v>800</v>
      </c>
      <c r="D15926" s="15" t="s">
        <v>29504</v>
      </c>
      <c r="E15926" s="15">
        <v>10</v>
      </c>
      <c r="F15926" s="42">
        <v>43059</v>
      </c>
    </row>
    <row r="15927" spans="1:6" x14ac:dyDescent="0.3">
      <c r="A15927" s="15" t="s">
        <v>34234</v>
      </c>
      <c r="B15927" s="15" t="s">
        <v>29505</v>
      </c>
      <c r="C15927" s="15" t="s">
        <v>800</v>
      </c>
      <c r="D15927" s="15" t="s">
        <v>29506</v>
      </c>
      <c r="E15927" s="15">
        <v>12.155200000000001</v>
      </c>
      <c r="F15927" s="42">
        <v>43059</v>
      </c>
    </row>
    <row r="15928" spans="1:6" x14ac:dyDescent="0.3">
      <c r="A15928" s="15" t="s">
        <v>34233</v>
      </c>
      <c r="B15928" s="15" t="s">
        <v>29507</v>
      </c>
      <c r="C15928" s="15" t="s">
        <v>800</v>
      </c>
      <c r="D15928" s="15" t="s">
        <v>29508</v>
      </c>
      <c r="E15928" s="15">
        <v>10</v>
      </c>
      <c r="F15928" s="42">
        <v>43059</v>
      </c>
    </row>
    <row r="15929" spans="1:6" x14ac:dyDescent="0.3">
      <c r="A15929" s="15" t="s">
        <v>34232</v>
      </c>
      <c r="B15929" s="15" t="s">
        <v>29509</v>
      </c>
      <c r="C15929" s="15" t="s">
        <v>800</v>
      </c>
      <c r="D15929" s="15" t="s">
        <v>29510</v>
      </c>
      <c r="E15929" s="15">
        <v>11.749499999999999</v>
      </c>
      <c r="F15929" s="42">
        <v>43059</v>
      </c>
    </row>
    <row r="15930" spans="1:6" x14ac:dyDescent="0.3">
      <c r="A15930" s="15" t="s">
        <v>34231</v>
      </c>
      <c r="B15930" s="15" t="s">
        <v>29511</v>
      </c>
      <c r="C15930" s="15" t="s">
        <v>800</v>
      </c>
      <c r="D15930" s="15" t="s">
        <v>29512</v>
      </c>
      <c r="E15930" s="15">
        <v>10</v>
      </c>
      <c r="F15930" s="42">
        <v>43115</v>
      </c>
    </row>
    <row r="15931" spans="1:6" x14ac:dyDescent="0.3">
      <c r="A15931" s="15" t="s">
        <v>34230</v>
      </c>
      <c r="B15931" s="15" t="s">
        <v>29513</v>
      </c>
      <c r="C15931" s="15" t="s">
        <v>800</v>
      </c>
      <c r="D15931" s="15" t="s">
        <v>29514</v>
      </c>
      <c r="E15931" s="15">
        <v>12.2224</v>
      </c>
      <c r="F15931" s="42">
        <v>43115</v>
      </c>
    </row>
    <row r="15932" spans="1:6" x14ac:dyDescent="0.3">
      <c r="A15932" s="15" t="s">
        <v>34229</v>
      </c>
      <c r="B15932" s="15" t="s">
        <v>29515</v>
      </c>
      <c r="C15932" s="15" t="s">
        <v>800</v>
      </c>
      <c r="D15932" s="15" t="s">
        <v>29516</v>
      </c>
      <c r="E15932" s="15">
        <v>10</v>
      </c>
      <c r="F15932" s="42">
        <v>43115</v>
      </c>
    </row>
    <row r="15933" spans="1:6" x14ac:dyDescent="0.3">
      <c r="A15933" s="15" t="s">
        <v>34228</v>
      </c>
      <c r="B15933" s="15" t="s">
        <v>29517</v>
      </c>
      <c r="C15933" s="15" t="s">
        <v>800</v>
      </c>
      <c r="D15933" s="15" t="s">
        <v>29518</v>
      </c>
      <c r="E15933" s="15">
        <v>11.8126</v>
      </c>
      <c r="F15933" s="42">
        <v>43115</v>
      </c>
    </row>
    <row r="15934" spans="1:6" x14ac:dyDescent="0.3">
      <c r="A15934" s="15" t="s">
        <v>34227</v>
      </c>
      <c r="B15934" s="15" t="s">
        <v>29519</v>
      </c>
      <c r="C15934" s="15" t="s">
        <v>800</v>
      </c>
      <c r="D15934" s="15" t="s">
        <v>29520</v>
      </c>
      <c r="E15934" s="15">
        <v>10</v>
      </c>
      <c r="F15934" s="42">
        <v>43104</v>
      </c>
    </row>
    <row r="15935" spans="1:6" x14ac:dyDescent="0.3">
      <c r="A15935" s="15" t="s">
        <v>34226</v>
      </c>
      <c r="B15935" s="15" t="s">
        <v>29521</v>
      </c>
      <c r="C15935" s="15" t="s">
        <v>800</v>
      </c>
      <c r="D15935" s="15" t="s">
        <v>29522</v>
      </c>
      <c r="E15935" s="15">
        <v>12.1837</v>
      </c>
      <c r="F15935" s="42">
        <v>43104</v>
      </c>
    </row>
    <row r="15936" spans="1:6" x14ac:dyDescent="0.3">
      <c r="A15936" s="15" t="s">
        <v>34225</v>
      </c>
      <c r="B15936" s="15" t="s">
        <v>29523</v>
      </c>
      <c r="C15936" s="15" t="s">
        <v>800</v>
      </c>
      <c r="D15936" s="15" t="s">
        <v>29524</v>
      </c>
      <c r="E15936" s="15">
        <v>10</v>
      </c>
      <c r="F15936" s="42">
        <v>43104</v>
      </c>
    </row>
    <row r="15937" spans="1:6" x14ac:dyDescent="0.3">
      <c r="A15937" s="15" t="s">
        <v>34224</v>
      </c>
      <c r="B15937" s="15" t="s">
        <v>29525</v>
      </c>
      <c r="C15937" s="15" t="s">
        <v>800</v>
      </c>
      <c r="D15937" s="15" t="s">
        <v>29526</v>
      </c>
      <c r="E15937" s="15">
        <v>11.7707</v>
      </c>
      <c r="F15937" s="42">
        <v>43104</v>
      </c>
    </row>
    <row r="15938" spans="1:6" x14ac:dyDescent="0.3">
      <c r="A15938" s="15" t="s">
        <v>34223</v>
      </c>
      <c r="B15938" s="15" t="s">
        <v>29527</v>
      </c>
      <c r="C15938" s="15" t="s">
        <v>800</v>
      </c>
      <c r="D15938" s="15" t="s">
        <v>29528</v>
      </c>
      <c r="E15938" s="15">
        <v>10</v>
      </c>
      <c r="F15938" s="42">
        <v>43143</v>
      </c>
    </row>
    <row r="15939" spans="1:6" x14ac:dyDescent="0.3">
      <c r="A15939" s="15" t="s">
        <v>34222</v>
      </c>
      <c r="B15939" s="15" t="s">
        <v>29529</v>
      </c>
      <c r="C15939" s="15" t="s">
        <v>800</v>
      </c>
      <c r="D15939" s="15" t="s">
        <v>29530</v>
      </c>
      <c r="E15939" s="15">
        <v>11.779299999999999</v>
      </c>
      <c r="F15939" s="42">
        <v>43143</v>
      </c>
    </row>
    <row r="15940" spans="1:6" x14ac:dyDescent="0.3">
      <c r="A15940" s="15" t="s">
        <v>34221</v>
      </c>
      <c r="B15940" s="15" t="s">
        <v>29531</v>
      </c>
      <c r="C15940" s="15" t="s">
        <v>800</v>
      </c>
      <c r="D15940" s="15" t="s">
        <v>29532</v>
      </c>
      <c r="E15940" s="15">
        <v>10</v>
      </c>
      <c r="F15940" s="42">
        <v>43143</v>
      </c>
    </row>
    <row r="15941" spans="1:6" x14ac:dyDescent="0.3">
      <c r="A15941" s="15" t="s">
        <v>34220</v>
      </c>
      <c r="B15941" s="15" t="s">
        <v>29533</v>
      </c>
      <c r="C15941" s="15" t="s">
        <v>800</v>
      </c>
      <c r="D15941" s="15" t="s">
        <v>29534</v>
      </c>
      <c r="E15941" s="15">
        <v>11.3802</v>
      </c>
      <c r="F15941" s="42">
        <v>43143</v>
      </c>
    </row>
    <row r="15942" spans="1:6" x14ac:dyDescent="0.3">
      <c r="A15942" s="15" t="s">
        <v>34219</v>
      </c>
      <c r="B15942" s="15" t="s">
        <v>29535</v>
      </c>
      <c r="C15942" s="15" t="s">
        <v>800</v>
      </c>
      <c r="D15942" s="15" t="s">
        <v>29536</v>
      </c>
      <c r="E15942" s="15">
        <v>11.9999</v>
      </c>
      <c r="F15942" s="42">
        <v>43193</v>
      </c>
    </row>
    <row r="15943" spans="1:6" x14ac:dyDescent="0.3">
      <c r="A15943" s="15" t="s">
        <v>34218</v>
      </c>
      <c r="B15943" s="15" t="s">
        <v>29537</v>
      </c>
      <c r="C15943" s="15" t="s">
        <v>800</v>
      </c>
      <c r="D15943" s="15" t="s">
        <v>29538</v>
      </c>
      <c r="E15943" s="15">
        <v>10</v>
      </c>
      <c r="F15943" s="42">
        <v>43193</v>
      </c>
    </row>
    <row r="15944" spans="1:6" x14ac:dyDescent="0.3">
      <c r="A15944" s="15" t="s">
        <v>34217</v>
      </c>
      <c r="B15944" s="15" t="s">
        <v>29539</v>
      </c>
      <c r="C15944" s="15" t="s">
        <v>800</v>
      </c>
      <c r="D15944" s="15" t="s">
        <v>29540</v>
      </c>
      <c r="E15944" s="15">
        <v>10</v>
      </c>
      <c r="F15944" s="42">
        <v>43193</v>
      </c>
    </row>
    <row r="15945" spans="1:6" x14ac:dyDescent="0.3">
      <c r="A15945" s="15" t="s">
        <v>34216</v>
      </c>
      <c r="B15945" s="15" t="s">
        <v>29541</v>
      </c>
      <c r="C15945" s="15" t="s">
        <v>800</v>
      </c>
      <c r="D15945" s="15" t="s">
        <v>29542</v>
      </c>
      <c r="E15945" s="15">
        <v>11.6425</v>
      </c>
      <c r="F15945" s="42">
        <v>43193</v>
      </c>
    </row>
    <row r="15946" spans="1:6" x14ac:dyDescent="0.3">
      <c r="A15946" s="15" t="s">
        <v>34215</v>
      </c>
      <c r="B15946" s="15" t="s">
        <v>29543</v>
      </c>
      <c r="C15946" s="15" t="s">
        <v>800</v>
      </c>
      <c r="D15946" s="15" t="s">
        <v>29544</v>
      </c>
      <c r="E15946" s="15">
        <v>10</v>
      </c>
      <c r="F15946" s="42">
        <v>43234</v>
      </c>
    </row>
    <row r="15947" spans="1:6" x14ac:dyDescent="0.3">
      <c r="A15947" s="15" t="s">
        <v>34214</v>
      </c>
      <c r="B15947" s="15" t="s">
        <v>29545</v>
      </c>
      <c r="C15947" s="15" t="s">
        <v>800</v>
      </c>
      <c r="D15947" s="15" t="s">
        <v>29546</v>
      </c>
      <c r="E15947" s="15">
        <v>11.843999999999999</v>
      </c>
      <c r="F15947" s="42">
        <v>43234</v>
      </c>
    </row>
    <row r="15948" spans="1:6" x14ac:dyDescent="0.3">
      <c r="A15948" s="15" t="s">
        <v>34213</v>
      </c>
      <c r="B15948" s="15" t="s">
        <v>29547</v>
      </c>
      <c r="C15948" s="15" t="s">
        <v>800</v>
      </c>
      <c r="D15948" s="15" t="s">
        <v>29548</v>
      </c>
      <c r="E15948" s="15">
        <v>10</v>
      </c>
      <c r="F15948" s="42">
        <v>43234</v>
      </c>
    </row>
    <row r="15949" spans="1:6" x14ac:dyDescent="0.3">
      <c r="A15949" s="15" t="s">
        <v>34212</v>
      </c>
      <c r="B15949" s="15" t="s">
        <v>29549</v>
      </c>
      <c r="C15949" s="15" t="s">
        <v>800</v>
      </c>
      <c r="D15949" s="15" t="s">
        <v>29550</v>
      </c>
      <c r="E15949" s="15">
        <v>11.6297</v>
      </c>
      <c r="F15949" s="42">
        <v>43234</v>
      </c>
    </row>
    <row r="15950" spans="1:6" x14ac:dyDescent="0.3">
      <c r="A15950" s="15" t="s">
        <v>34211</v>
      </c>
      <c r="B15950" s="15" t="s">
        <v>29551</v>
      </c>
      <c r="C15950" s="15" t="s">
        <v>800</v>
      </c>
      <c r="D15950" s="15" t="s">
        <v>29552</v>
      </c>
      <c r="E15950" s="15">
        <v>12.315</v>
      </c>
      <c r="F15950" s="42">
        <v>43283</v>
      </c>
    </row>
    <row r="15951" spans="1:6" x14ac:dyDescent="0.3">
      <c r="A15951" s="15" t="s">
        <v>34210</v>
      </c>
      <c r="B15951" s="15" t="s">
        <v>29553</v>
      </c>
      <c r="C15951" s="15" t="s">
        <v>800</v>
      </c>
      <c r="D15951" s="15" t="s">
        <v>29554</v>
      </c>
      <c r="E15951" s="15">
        <v>12.315</v>
      </c>
      <c r="F15951" s="42">
        <v>43283</v>
      </c>
    </row>
    <row r="15952" spans="1:6" x14ac:dyDescent="0.3">
      <c r="A15952" s="15" t="s">
        <v>34209</v>
      </c>
      <c r="B15952" s="15" t="s">
        <v>29555</v>
      </c>
      <c r="C15952" s="15" t="s">
        <v>800</v>
      </c>
      <c r="D15952" s="15" t="s">
        <v>29556</v>
      </c>
      <c r="E15952" s="15">
        <v>11.9048</v>
      </c>
      <c r="F15952" s="42">
        <v>43283</v>
      </c>
    </row>
    <row r="15953" spans="1:6" x14ac:dyDescent="0.3">
      <c r="A15953" s="15" t="s">
        <v>34208</v>
      </c>
      <c r="B15953" s="15" t="s">
        <v>29557</v>
      </c>
      <c r="C15953" s="15" t="s">
        <v>800</v>
      </c>
      <c r="D15953" s="15" t="s">
        <v>29558</v>
      </c>
      <c r="E15953" s="15">
        <v>11.9048</v>
      </c>
      <c r="F15953" s="42">
        <v>43283</v>
      </c>
    </row>
    <row r="15954" spans="1:6" x14ac:dyDescent="0.3">
      <c r="A15954" s="15" t="s">
        <v>34207</v>
      </c>
      <c r="B15954" s="15" t="s">
        <v>29559</v>
      </c>
      <c r="C15954" s="15" t="s">
        <v>800</v>
      </c>
      <c r="D15954" s="15" t="s">
        <v>29560</v>
      </c>
      <c r="E15954" s="15">
        <v>12.316700000000001</v>
      </c>
      <c r="F15954" s="42">
        <v>43283</v>
      </c>
    </row>
    <row r="15955" spans="1:6" x14ac:dyDescent="0.3">
      <c r="A15955" s="15" t="s">
        <v>34206</v>
      </c>
      <c r="B15955" s="15" t="s">
        <v>29561</v>
      </c>
      <c r="C15955" s="15" t="s">
        <v>800</v>
      </c>
      <c r="D15955" s="15" t="s">
        <v>29562</v>
      </c>
      <c r="E15955" s="15">
        <v>12.316700000000001</v>
      </c>
      <c r="F15955" s="42">
        <v>43283</v>
      </c>
    </row>
    <row r="15956" spans="1:6" x14ac:dyDescent="0.3">
      <c r="A15956" s="15" t="s">
        <v>34205</v>
      </c>
      <c r="B15956" s="15" t="s">
        <v>29563</v>
      </c>
      <c r="C15956" s="15" t="s">
        <v>800</v>
      </c>
      <c r="D15956" s="15" t="s">
        <v>29564</v>
      </c>
      <c r="E15956" s="15">
        <v>11.946899999999999</v>
      </c>
      <c r="F15956" s="42">
        <v>43283</v>
      </c>
    </row>
    <row r="15957" spans="1:6" x14ac:dyDescent="0.3">
      <c r="A15957" s="15" t="s">
        <v>34204</v>
      </c>
      <c r="B15957" s="15" t="s">
        <v>29565</v>
      </c>
      <c r="C15957" s="15" t="s">
        <v>800</v>
      </c>
      <c r="D15957" s="15" t="s">
        <v>29566</v>
      </c>
      <c r="E15957" s="15">
        <v>11.946899999999999</v>
      </c>
      <c r="F15957" s="42">
        <v>43283</v>
      </c>
    </row>
    <row r="15958" spans="1:6" x14ac:dyDescent="0.3">
      <c r="A15958" s="15" t="s">
        <v>34203</v>
      </c>
      <c r="B15958" s="15" t="s">
        <v>29567</v>
      </c>
      <c r="C15958" s="15" t="s">
        <v>800</v>
      </c>
      <c r="D15958" s="15" t="s">
        <v>29568</v>
      </c>
      <c r="E15958" s="15">
        <v>12.1021</v>
      </c>
      <c r="F15958" s="42">
        <v>43283</v>
      </c>
    </row>
    <row r="15959" spans="1:6" x14ac:dyDescent="0.3">
      <c r="A15959" s="15" t="s">
        <v>34202</v>
      </c>
      <c r="B15959" s="15" t="s">
        <v>29569</v>
      </c>
      <c r="C15959" s="15" t="s">
        <v>800</v>
      </c>
      <c r="D15959" s="15" t="s">
        <v>29570</v>
      </c>
      <c r="E15959" s="15">
        <v>12.1021</v>
      </c>
      <c r="F15959" s="42">
        <v>43283</v>
      </c>
    </row>
    <row r="15960" spans="1:6" x14ac:dyDescent="0.3">
      <c r="A15960" s="15" t="s">
        <v>34201</v>
      </c>
      <c r="B15960" s="15" t="s">
        <v>29571</v>
      </c>
      <c r="C15960" s="15" t="s">
        <v>800</v>
      </c>
      <c r="D15960" s="15" t="s">
        <v>29572</v>
      </c>
      <c r="E15960" s="15">
        <v>11.755599999999999</v>
      </c>
      <c r="F15960" s="42">
        <v>43283</v>
      </c>
    </row>
    <row r="15961" spans="1:6" x14ac:dyDescent="0.3">
      <c r="A15961" s="15" t="s">
        <v>34200</v>
      </c>
      <c r="B15961" s="15" t="s">
        <v>29573</v>
      </c>
      <c r="C15961" s="15" t="s">
        <v>800</v>
      </c>
      <c r="D15961" s="15" t="s">
        <v>29574</v>
      </c>
      <c r="E15961" s="15">
        <v>11.755599999999999</v>
      </c>
      <c r="F15961" s="42">
        <v>43283</v>
      </c>
    </row>
    <row r="15962" spans="1:6" x14ac:dyDescent="0.3">
      <c r="A15962" s="15" t="s">
        <v>34199</v>
      </c>
      <c r="B15962" s="15" t="s">
        <v>29575</v>
      </c>
      <c r="C15962" s="15" t="s">
        <v>800</v>
      </c>
      <c r="D15962" s="15" t="s">
        <v>29576</v>
      </c>
      <c r="E15962" s="15">
        <v>10</v>
      </c>
      <c r="F15962" s="42">
        <v>43634</v>
      </c>
    </row>
    <row r="15963" spans="1:6" x14ac:dyDescent="0.3">
      <c r="A15963" s="15" t="s">
        <v>34198</v>
      </c>
      <c r="B15963" s="15" t="s">
        <v>29577</v>
      </c>
      <c r="C15963" s="15" t="s">
        <v>800</v>
      </c>
      <c r="D15963" s="15" t="s">
        <v>29578</v>
      </c>
      <c r="E15963" s="15">
        <v>10.1951</v>
      </c>
      <c r="F15963" s="42">
        <v>43634</v>
      </c>
    </row>
    <row r="15964" spans="1:6" x14ac:dyDescent="0.3">
      <c r="A15964" s="15" t="s">
        <v>34197</v>
      </c>
      <c r="B15964" s="15" t="s">
        <v>29579</v>
      </c>
      <c r="C15964" s="15" t="s">
        <v>800</v>
      </c>
      <c r="D15964" s="15" t="s">
        <v>29580</v>
      </c>
      <c r="E15964" s="15">
        <v>10</v>
      </c>
      <c r="F15964" s="42">
        <v>43634</v>
      </c>
    </row>
    <row r="15965" spans="1:6" x14ac:dyDescent="0.3">
      <c r="A15965" s="15" t="s">
        <v>34196</v>
      </c>
      <c r="B15965" s="15" t="s">
        <v>29581</v>
      </c>
      <c r="C15965" s="15" t="s">
        <v>800</v>
      </c>
      <c r="D15965" s="15" t="s">
        <v>29582</v>
      </c>
      <c r="E15965" s="15">
        <v>10.1898</v>
      </c>
      <c r="F15965" s="42">
        <v>43634</v>
      </c>
    </row>
    <row r="15966" spans="1:6" x14ac:dyDescent="0.3">
      <c r="A15966" s="15" t="s">
        <v>34195</v>
      </c>
      <c r="B15966" s="15" t="s">
        <v>29583</v>
      </c>
      <c r="C15966" s="15" t="s">
        <v>800</v>
      </c>
      <c r="D15966" s="15" t="s">
        <v>29584</v>
      </c>
      <c r="E15966" s="15">
        <v>10</v>
      </c>
      <c r="F15966" s="42">
        <v>42247</v>
      </c>
    </row>
    <row r="15967" spans="1:6" x14ac:dyDescent="0.3">
      <c r="A15967" s="15" t="s">
        <v>34194</v>
      </c>
      <c r="B15967" s="15" t="s">
        <v>29585</v>
      </c>
      <c r="C15967" s="15" t="s">
        <v>800</v>
      </c>
      <c r="D15967" s="15" t="s">
        <v>29586</v>
      </c>
      <c r="E15967" s="15">
        <v>12.9924</v>
      </c>
      <c r="F15967" s="42">
        <v>42247</v>
      </c>
    </row>
    <row r="15968" spans="1:6" x14ac:dyDescent="0.3">
      <c r="A15968" s="15" t="s">
        <v>34193</v>
      </c>
      <c r="B15968" s="15" t="s">
        <v>29587</v>
      </c>
      <c r="C15968" s="15" t="s">
        <v>800</v>
      </c>
      <c r="D15968" s="15" t="s">
        <v>29588</v>
      </c>
      <c r="E15968" s="15">
        <v>10</v>
      </c>
      <c r="F15968" s="42">
        <v>42268</v>
      </c>
    </row>
    <row r="15969" spans="1:6" x14ac:dyDescent="0.3">
      <c r="A15969" s="15" t="s">
        <v>34192</v>
      </c>
      <c r="B15969" s="15" t="s">
        <v>29589</v>
      </c>
      <c r="C15969" s="15" t="s">
        <v>800</v>
      </c>
      <c r="D15969" s="15" t="s">
        <v>29590</v>
      </c>
      <c r="E15969" s="15">
        <v>12.8537</v>
      </c>
      <c r="F15969" s="42">
        <v>42268</v>
      </c>
    </row>
    <row r="15970" spans="1:6" x14ac:dyDescent="0.3">
      <c r="A15970" s="15" t="s">
        <v>34191</v>
      </c>
      <c r="B15970" s="15" t="s">
        <v>29591</v>
      </c>
      <c r="C15970" s="15" t="s">
        <v>800</v>
      </c>
      <c r="D15970" s="15" t="s">
        <v>29592</v>
      </c>
      <c r="E15970" s="15">
        <v>10</v>
      </c>
      <c r="F15970" s="42">
        <v>42265</v>
      </c>
    </row>
    <row r="15971" spans="1:6" x14ac:dyDescent="0.3">
      <c r="A15971" s="15" t="s">
        <v>34190</v>
      </c>
      <c r="B15971" s="15" t="s">
        <v>29593</v>
      </c>
      <c r="C15971" s="15" t="s">
        <v>800</v>
      </c>
      <c r="D15971" s="15" t="s">
        <v>29594</v>
      </c>
      <c r="E15971" s="15">
        <v>12.869199999999999</v>
      </c>
      <c r="F15971" s="42">
        <v>42265</v>
      </c>
    </row>
    <row r="15972" spans="1:6" x14ac:dyDescent="0.3">
      <c r="A15972" s="15" t="s">
        <v>34189</v>
      </c>
      <c r="B15972" s="15" t="s">
        <v>29595</v>
      </c>
      <c r="C15972" s="15" t="s">
        <v>800</v>
      </c>
      <c r="D15972" s="15" t="s">
        <v>29596</v>
      </c>
      <c r="E15972" s="15">
        <v>12.8591</v>
      </c>
      <c r="F15972" s="42">
        <v>42997</v>
      </c>
    </row>
    <row r="15973" spans="1:6" x14ac:dyDescent="0.3">
      <c r="A15973" s="15" t="s">
        <v>34188</v>
      </c>
      <c r="B15973" s="15" t="s">
        <v>29597</v>
      </c>
      <c r="C15973" s="15" t="s">
        <v>800</v>
      </c>
      <c r="D15973" s="15" t="s">
        <v>29598</v>
      </c>
      <c r="E15973" s="15">
        <v>15.0562</v>
      </c>
      <c r="F15973" s="42">
        <v>42997</v>
      </c>
    </row>
    <row r="15974" spans="1:6" x14ac:dyDescent="0.3">
      <c r="A15974" s="15" t="s">
        <v>34187</v>
      </c>
      <c r="B15974" s="15" t="s">
        <v>29599</v>
      </c>
      <c r="C15974" s="15" t="s">
        <v>800</v>
      </c>
      <c r="D15974" s="15" t="s">
        <v>29600</v>
      </c>
      <c r="E15974" s="15">
        <v>10</v>
      </c>
      <c r="F15974" s="42">
        <v>42275</v>
      </c>
    </row>
    <row r="15975" spans="1:6" x14ac:dyDescent="0.3">
      <c r="A15975" s="15" t="s">
        <v>34186</v>
      </c>
      <c r="B15975" s="15" t="s">
        <v>29601</v>
      </c>
      <c r="C15975" s="15" t="s">
        <v>800</v>
      </c>
      <c r="D15975" s="15" t="s">
        <v>29602</v>
      </c>
      <c r="E15975" s="15">
        <v>12.997</v>
      </c>
      <c r="F15975" s="42">
        <v>42275</v>
      </c>
    </row>
    <row r="15976" spans="1:6" x14ac:dyDescent="0.3">
      <c r="A15976" s="15" t="s">
        <v>34185</v>
      </c>
      <c r="B15976" s="15" t="s">
        <v>29603</v>
      </c>
      <c r="C15976" s="15" t="s">
        <v>800</v>
      </c>
      <c r="D15976" s="15" t="s">
        <v>29604</v>
      </c>
      <c r="E15976" s="15">
        <v>10</v>
      </c>
      <c r="F15976" s="42">
        <v>42318</v>
      </c>
    </row>
    <row r="15977" spans="1:6" x14ac:dyDescent="0.3">
      <c r="A15977" s="15" t="s">
        <v>34184</v>
      </c>
      <c r="B15977" s="15" t="s">
        <v>29605</v>
      </c>
      <c r="C15977" s="15" t="s">
        <v>800</v>
      </c>
      <c r="D15977" s="15" t="s">
        <v>29606</v>
      </c>
      <c r="E15977" s="15">
        <v>12.8506</v>
      </c>
      <c r="F15977" s="42">
        <v>42318</v>
      </c>
    </row>
    <row r="15978" spans="1:6" x14ac:dyDescent="0.3">
      <c r="A15978" s="15" t="s">
        <v>34183</v>
      </c>
      <c r="B15978" s="15" t="s">
        <v>29607</v>
      </c>
      <c r="C15978" s="15" t="s">
        <v>800</v>
      </c>
      <c r="D15978" s="15" t="s">
        <v>29608</v>
      </c>
      <c r="E15978" s="15">
        <v>14.7933</v>
      </c>
      <c r="F15978" s="42">
        <v>43048</v>
      </c>
    </row>
    <row r="15979" spans="1:6" x14ac:dyDescent="0.3">
      <c r="A15979" s="15" t="s">
        <v>34182</v>
      </c>
      <c r="B15979" s="15" t="s">
        <v>29609</v>
      </c>
      <c r="C15979" s="15" t="s">
        <v>800</v>
      </c>
      <c r="D15979" s="15" t="s">
        <v>29610</v>
      </c>
      <c r="E15979" s="15">
        <v>14.8033</v>
      </c>
      <c r="F15979" s="42">
        <v>43048</v>
      </c>
    </row>
    <row r="15980" spans="1:6" x14ac:dyDescent="0.3">
      <c r="A15980" s="15" t="s">
        <v>34181</v>
      </c>
      <c r="B15980" s="15" t="s">
        <v>29611</v>
      </c>
      <c r="C15980" s="15" t="s">
        <v>800</v>
      </c>
      <c r="D15980" s="15" t="s">
        <v>29612</v>
      </c>
      <c r="E15980" s="15">
        <v>10</v>
      </c>
      <c r="F15980" s="42">
        <v>42370</v>
      </c>
    </row>
    <row r="15981" spans="1:6" x14ac:dyDescent="0.3">
      <c r="A15981" s="15" t="s">
        <v>34180</v>
      </c>
      <c r="B15981" s="15" t="s">
        <v>29613</v>
      </c>
      <c r="C15981" s="15" t="s">
        <v>800</v>
      </c>
      <c r="D15981" s="15" t="s">
        <v>29614</v>
      </c>
      <c r="E15981" s="15">
        <v>12.9275</v>
      </c>
      <c r="F15981" s="42">
        <v>42370</v>
      </c>
    </row>
    <row r="15982" spans="1:6" x14ac:dyDescent="0.3">
      <c r="A15982" s="15" t="s">
        <v>34179</v>
      </c>
      <c r="B15982" s="15" t="s">
        <v>29615</v>
      </c>
      <c r="C15982" s="15" t="s">
        <v>800</v>
      </c>
      <c r="D15982" s="15" t="s">
        <v>29616</v>
      </c>
      <c r="E15982" s="15">
        <v>12.872199999999999</v>
      </c>
      <c r="F15982" s="42">
        <v>42521</v>
      </c>
    </row>
    <row r="15983" spans="1:6" x14ac:dyDescent="0.3">
      <c r="A15983" s="15" t="s">
        <v>34178</v>
      </c>
      <c r="B15983" s="15" t="s">
        <v>29617</v>
      </c>
      <c r="C15983" s="15" t="s">
        <v>800</v>
      </c>
      <c r="D15983" s="15" t="s">
        <v>29618</v>
      </c>
      <c r="E15983" s="15">
        <v>10</v>
      </c>
      <c r="F15983" s="42">
        <v>42521</v>
      </c>
    </row>
    <row r="15984" spans="1:6" x14ac:dyDescent="0.3">
      <c r="A15984" s="15" t="s">
        <v>34177</v>
      </c>
      <c r="B15984" s="15" t="s">
        <v>29619</v>
      </c>
      <c r="C15984" s="15" t="s">
        <v>800</v>
      </c>
      <c r="D15984" s="15" t="s">
        <v>29620</v>
      </c>
      <c r="E15984" s="15">
        <v>12.773300000000001</v>
      </c>
      <c r="F15984" s="42">
        <v>42521</v>
      </c>
    </row>
    <row r="15985" spans="1:6" x14ac:dyDescent="0.3">
      <c r="A15985" s="15" t="s">
        <v>34176</v>
      </c>
      <c r="B15985" s="15" t="s">
        <v>29621</v>
      </c>
      <c r="C15985" s="15" t="s">
        <v>800</v>
      </c>
      <c r="D15985" s="15" t="s">
        <v>29622</v>
      </c>
      <c r="E15985" s="15">
        <v>13.803800000000001</v>
      </c>
      <c r="F15985" s="42">
        <v>42933</v>
      </c>
    </row>
    <row r="15986" spans="1:6" x14ac:dyDescent="0.3">
      <c r="A15986" s="15" t="s">
        <v>34175</v>
      </c>
      <c r="B15986" s="15" t="s">
        <v>29623</v>
      </c>
      <c r="C15986" s="15" t="s">
        <v>800</v>
      </c>
      <c r="D15986" s="15" t="s">
        <v>29624</v>
      </c>
      <c r="E15986" s="15">
        <v>10</v>
      </c>
      <c r="F15986" s="42">
        <v>42550</v>
      </c>
    </row>
    <row r="15987" spans="1:6" x14ac:dyDescent="0.3">
      <c r="A15987" s="15" t="s">
        <v>34174</v>
      </c>
      <c r="B15987" s="15" t="s">
        <v>29625</v>
      </c>
      <c r="C15987" s="15" t="s">
        <v>800</v>
      </c>
      <c r="D15987" s="15" t="s">
        <v>29626</v>
      </c>
      <c r="E15987" s="15">
        <v>13.708299999999999</v>
      </c>
      <c r="F15987" s="42">
        <v>42933</v>
      </c>
    </row>
    <row r="15988" spans="1:6" x14ac:dyDescent="0.3">
      <c r="A15988" s="15" t="s">
        <v>34173</v>
      </c>
      <c r="B15988" s="15" t="s">
        <v>29627</v>
      </c>
      <c r="C15988" s="15" t="s">
        <v>800</v>
      </c>
      <c r="D15988" s="15" t="s">
        <v>29628</v>
      </c>
      <c r="E15988" s="15">
        <v>10</v>
      </c>
      <c r="F15988" s="42">
        <v>42465</v>
      </c>
    </row>
    <row r="15989" spans="1:6" x14ac:dyDescent="0.3">
      <c r="A15989" s="15" t="s">
        <v>34172</v>
      </c>
      <c r="B15989" s="15" t="s">
        <v>29629</v>
      </c>
      <c r="C15989" s="15" t="s">
        <v>800</v>
      </c>
      <c r="D15989" s="15" t="s">
        <v>29630</v>
      </c>
      <c r="E15989" s="15">
        <v>14.0124</v>
      </c>
      <c r="F15989" s="42">
        <v>42835</v>
      </c>
    </row>
    <row r="15990" spans="1:6" x14ac:dyDescent="0.3">
      <c r="A15990" s="15" t="s">
        <v>34171</v>
      </c>
      <c r="B15990" s="15" t="s">
        <v>29631</v>
      </c>
      <c r="C15990" s="15" t="s">
        <v>800</v>
      </c>
      <c r="D15990" s="15" t="s">
        <v>29632</v>
      </c>
      <c r="E15990" s="15">
        <v>10</v>
      </c>
      <c r="F15990" s="42">
        <v>42465</v>
      </c>
    </row>
    <row r="15991" spans="1:6" x14ac:dyDescent="0.3">
      <c r="A15991" s="15" t="s">
        <v>34170</v>
      </c>
      <c r="B15991" s="15" t="s">
        <v>29633</v>
      </c>
      <c r="C15991" s="15" t="s">
        <v>800</v>
      </c>
      <c r="D15991" s="15" t="s">
        <v>29634</v>
      </c>
      <c r="E15991" s="15">
        <v>13.9384</v>
      </c>
      <c r="F15991" s="42">
        <v>42835</v>
      </c>
    </row>
    <row r="15992" spans="1:6" x14ac:dyDescent="0.3">
      <c r="A15992" s="15" t="s">
        <v>34169</v>
      </c>
      <c r="B15992" s="15" t="s">
        <v>29635</v>
      </c>
      <c r="C15992" s="15" t="s">
        <v>800</v>
      </c>
      <c r="D15992" s="15" t="s">
        <v>29636</v>
      </c>
      <c r="E15992" s="15">
        <v>10</v>
      </c>
      <c r="F15992" s="42">
        <v>42249</v>
      </c>
    </row>
    <row r="15993" spans="1:6" x14ac:dyDescent="0.3">
      <c r="A15993" s="15" t="s">
        <v>34168</v>
      </c>
      <c r="B15993" s="15" t="s">
        <v>29637</v>
      </c>
      <c r="C15993" s="15" t="s">
        <v>800</v>
      </c>
      <c r="D15993" s="15" t="s">
        <v>29638</v>
      </c>
      <c r="E15993" s="15">
        <v>13.0824</v>
      </c>
      <c r="F15993" s="42">
        <v>42619</v>
      </c>
    </row>
    <row r="15994" spans="1:6" x14ac:dyDescent="0.3">
      <c r="A15994" s="15" t="s">
        <v>34167</v>
      </c>
      <c r="B15994" s="15" t="s">
        <v>29639</v>
      </c>
      <c r="C15994" s="15" t="s">
        <v>800</v>
      </c>
      <c r="D15994" s="15" t="s">
        <v>29640</v>
      </c>
      <c r="E15994" s="15">
        <v>10</v>
      </c>
      <c r="F15994" s="42">
        <v>42249</v>
      </c>
    </row>
    <row r="15995" spans="1:6" x14ac:dyDescent="0.3">
      <c r="A15995" s="15" t="s">
        <v>34166</v>
      </c>
      <c r="B15995" s="15" t="s">
        <v>29641</v>
      </c>
      <c r="C15995" s="15" t="s">
        <v>800</v>
      </c>
      <c r="D15995" s="15" t="s">
        <v>29642</v>
      </c>
      <c r="E15995" s="15">
        <v>12.9473</v>
      </c>
      <c r="F15995" s="42">
        <v>42619</v>
      </c>
    </row>
    <row r="15996" spans="1:6" x14ac:dyDescent="0.3">
      <c r="A15996" s="15" t="s">
        <v>34165</v>
      </c>
      <c r="B15996" s="15" t="s">
        <v>29643</v>
      </c>
      <c r="C15996" s="15" t="s">
        <v>800</v>
      </c>
      <c r="D15996" s="15" t="s">
        <v>29644</v>
      </c>
      <c r="E15996" s="15">
        <v>14.993</v>
      </c>
      <c r="F15996" s="42">
        <v>43283</v>
      </c>
    </row>
    <row r="15997" spans="1:6" x14ac:dyDescent="0.3">
      <c r="A15997" s="15" t="s">
        <v>34164</v>
      </c>
      <c r="B15997" s="15" t="s">
        <v>29645</v>
      </c>
      <c r="C15997" s="15" t="s">
        <v>800</v>
      </c>
      <c r="D15997" s="15" t="s">
        <v>29646</v>
      </c>
      <c r="E15997" s="15">
        <v>14.872199999999999</v>
      </c>
      <c r="F15997" s="42">
        <v>43283</v>
      </c>
    </row>
    <row r="15998" spans="1:6" x14ac:dyDescent="0.3">
      <c r="A15998" s="15" t="s">
        <v>34163</v>
      </c>
      <c r="B15998" s="15" t="s">
        <v>29647</v>
      </c>
      <c r="C15998" s="15" t="s">
        <v>800</v>
      </c>
      <c r="D15998" s="15" t="s">
        <v>29648</v>
      </c>
      <c r="E15998" s="15">
        <v>13.325200000000001</v>
      </c>
      <c r="F15998" s="42">
        <v>42648</v>
      </c>
    </row>
    <row r="15999" spans="1:6" x14ac:dyDescent="0.3">
      <c r="A15999" s="15" t="s">
        <v>34162</v>
      </c>
      <c r="B15999" s="15" t="s">
        <v>29649</v>
      </c>
      <c r="C15999" s="15" t="s">
        <v>800</v>
      </c>
      <c r="D15999" s="15" t="s">
        <v>29650</v>
      </c>
      <c r="E15999" s="15">
        <v>10</v>
      </c>
      <c r="F15999" s="42">
        <v>42648</v>
      </c>
    </row>
    <row r="16000" spans="1:6" x14ac:dyDescent="0.3">
      <c r="A16000" s="15" t="s">
        <v>34161</v>
      </c>
      <c r="B16000" s="15" t="s">
        <v>29651</v>
      </c>
      <c r="C16000" s="15" t="s">
        <v>800</v>
      </c>
      <c r="D16000" s="15" t="s">
        <v>29652</v>
      </c>
      <c r="E16000" s="15">
        <v>13.095800000000001</v>
      </c>
      <c r="F16000" s="42">
        <v>42648</v>
      </c>
    </row>
    <row r="16001" spans="1:6" x14ac:dyDescent="0.3">
      <c r="A16001" s="15" t="s">
        <v>34160</v>
      </c>
      <c r="B16001" s="15" t="s">
        <v>29653</v>
      </c>
      <c r="C16001" s="15" t="s">
        <v>800</v>
      </c>
      <c r="D16001" s="15" t="s">
        <v>29654</v>
      </c>
      <c r="E16001" s="15">
        <v>15.0336</v>
      </c>
      <c r="F16001" s="42">
        <v>43283</v>
      </c>
    </row>
    <row r="16002" spans="1:6" x14ac:dyDescent="0.3">
      <c r="A16002" s="15" t="s">
        <v>34159</v>
      </c>
      <c r="B16002" s="15" t="s">
        <v>29655</v>
      </c>
      <c r="C16002" s="15" t="s">
        <v>800</v>
      </c>
      <c r="D16002" s="15" t="s">
        <v>29656</v>
      </c>
      <c r="E16002" s="15">
        <v>10</v>
      </c>
      <c r="F16002" s="42">
        <v>42627</v>
      </c>
    </row>
    <row r="16003" spans="1:6" x14ac:dyDescent="0.3">
      <c r="A16003" s="15" t="s">
        <v>34158</v>
      </c>
      <c r="B16003" s="15" t="s">
        <v>29657</v>
      </c>
      <c r="C16003" s="15" t="s">
        <v>800</v>
      </c>
      <c r="D16003" s="15" t="s">
        <v>29658</v>
      </c>
      <c r="E16003" s="15">
        <v>14.87</v>
      </c>
      <c r="F16003" s="42">
        <v>43283</v>
      </c>
    </row>
    <row r="16004" spans="1:6" x14ac:dyDescent="0.3">
      <c r="A16004" s="15" t="s">
        <v>34157</v>
      </c>
      <c r="B16004" s="15" t="s">
        <v>29659</v>
      </c>
      <c r="C16004" s="15" t="s">
        <v>800</v>
      </c>
      <c r="D16004" s="15" t="s">
        <v>29660</v>
      </c>
      <c r="E16004" s="15">
        <v>13.129300000000001</v>
      </c>
      <c r="F16004" s="42">
        <v>42640</v>
      </c>
    </row>
    <row r="16005" spans="1:6" x14ac:dyDescent="0.3">
      <c r="A16005" s="15" t="s">
        <v>34156</v>
      </c>
      <c r="B16005" s="15" t="s">
        <v>29661</v>
      </c>
      <c r="C16005" s="15" t="s">
        <v>800</v>
      </c>
      <c r="D16005" s="15" t="s">
        <v>29662</v>
      </c>
      <c r="E16005" s="15">
        <v>13.088699999999999</v>
      </c>
      <c r="F16005" s="42">
        <v>42640</v>
      </c>
    </row>
    <row r="16006" spans="1:6" x14ac:dyDescent="0.3">
      <c r="A16006" s="15" t="s">
        <v>34155</v>
      </c>
      <c r="B16006" s="15" t="s">
        <v>29663</v>
      </c>
      <c r="C16006" s="15" t="s">
        <v>800</v>
      </c>
      <c r="D16006" s="15" t="s">
        <v>29664</v>
      </c>
      <c r="E16006" s="15">
        <v>10</v>
      </c>
      <c r="F16006" s="42">
        <v>42640</v>
      </c>
    </row>
    <row r="16007" spans="1:6" x14ac:dyDescent="0.3">
      <c r="A16007" s="15" t="s">
        <v>34154</v>
      </c>
      <c r="B16007" s="15" t="s">
        <v>29665</v>
      </c>
      <c r="C16007" s="15" t="s">
        <v>800</v>
      </c>
      <c r="D16007" s="15" t="s">
        <v>29666</v>
      </c>
      <c r="E16007" s="15">
        <v>10</v>
      </c>
      <c r="F16007" s="42">
        <v>42640</v>
      </c>
    </row>
    <row r="16008" spans="1:6" x14ac:dyDescent="0.3">
      <c r="A16008" s="15" t="s">
        <v>34153</v>
      </c>
      <c r="B16008" s="15" t="s">
        <v>29667</v>
      </c>
      <c r="C16008" s="15" t="s">
        <v>800</v>
      </c>
      <c r="D16008" s="15" t="s">
        <v>29668</v>
      </c>
      <c r="E16008" s="15">
        <v>13.1119</v>
      </c>
      <c r="F16008" s="42">
        <v>42640</v>
      </c>
    </row>
    <row r="16009" spans="1:6" x14ac:dyDescent="0.3">
      <c r="A16009" s="15" t="s">
        <v>34152</v>
      </c>
      <c r="B16009" s="15" t="s">
        <v>29669</v>
      </c>
      <c r="C16009" s="15" t="s">
        <v>800</v>
      </c>
      <c r="D16009" s="15" t="s">
        <v>29670</v>
      </c>
      <c r="E16009" s="15">
        <v>13.007999999999999</v>
      </c>
      <c r="F16009" s="42">
        <v>42640</v>
      </c>
    </row>
    <row r="16010" spans="1:6" x14ac:dyDescent="0.3">
      <c r="A16010" s="15" t="s">
        <v>34151</v>
      </c>
      <c r="B16010" s="15" t="s">
        <v>29671</v>
      </c>
      <c r="C16010" s="15" t="s">
        <v>800</v>
      </c>
      <c r="D16010" s="15" t="s">
        <v>29672</v>
      </c>
      <c r="E16010" s="15">
        <v>13.129899999999999</v>
      </c>
      <c r="F16010" s="42">
        <v>42640</v>
      </c>
    </row>
    <row r="16011" spans="1:6" x14ac:dyDescent="0.3">
      <c r="A16011" s="15" t="s">
        <v>34150</v>
      </c>
      <c r="B16011" s="15" t="s">
        <v>29673</v>
      </c>
      <c r="C16011" s="15" t="s">
        <v>800</v>
      </c>
      <c r="D16011" s="15" t="s">
        <v>29674</v>
      </c>
      <c r="E16011" s="15">
        <v>10</v>
      </c>
      <c r="F16011" s="42">
        <v>42640</v>
      </c>
    </row>
    <row r="16012" spans="1:6" x14ac:dyDescent="0.3">
      <c r="A16012" s="15" t="s">
        <v>34149</v>
      </c>
      <c r="B16012" s="15" t="s">
        <v>29675</v>
      </c>
      <c r="C16012" s="15" t="s">
        <v>800</v>
      </c>
      <c r="D16012" s="15" t="s">
        <v>29676</v>
      </c>
      <c r="E16012" s="15">
        <v>13.089700000000001</v>
      </c>
      <c r="F16012" s="42">
        <v>42640</v>
      </c>
    </row>
    <row r="16013" spans="1:6" x14ac:dyDescent="0.3">
      <c r="A16013" s="15" t="s">
        <v>34148</v>
      </c>
      <c r="B16013" s="15" t="s">
        <v>29677</v>
      </c>
      <c r="C16013" s="15" t="s">
        <v>800</v>
      </c>
      <c r="D16013" s="15" t="s">
        <v>29678</v>
      </c>
      <c r="E16013" s="15">
        <v>10</v>
      </c>
      <c r="F16013" s="42">
        <v>43724</v>
      </c>
    </row>
    <row r="16014" spans="1:6" x14ac:dyDescent="0.3">
      <c r="A16014" s="15" t="s">
        <v>34147</v>
      </c>
      <c r="B16014" s="15" t="s">
        <v>29679</v>
      </c>
      <c r="C16014" s="15" t="s">
        <v>800</v>
      </c>
      <c r="D16014" s="15" t="s">
        <v>29680</v>
      </c>
      <c r="E16014" s="15">
        <v>15.785</v>
      </c>
      <c r="F16014" s="42">
        <v>43724</v>
      </c>
    </row>
    <row r="16015" spans="1:6" x14ac:dyDescent="0.3">
      <c r="A16015" s="15" t="s">
        <v>34146</v>
      </c>
      <c r="B16015" s="15" t="s">
        <v>29681</v>
      </c>
      <c r="C16015" s="15" t="s">
        <v>800</v>
      </c>
      <c r="D16015" s="15" t="s">
        <v>29682</v>
      </c>
      <c r="E16015" s="15">
        <v>10</v>
      </c>
      <c r="F16015" s="42">
        <v>42592</v>
      </c>
    </row>
    <row r="16016" spans="1:6" x14ac:dyDescent="0.3">
      <c r="A16016" s="15" t="s">
        <v>34145</v>
      </c>
      <c r="B16016" s="15" t="s">
        <v>29683</v>
      </c>
      <c r="C16016" s="15" t="s">
        <v>800</v>
      </c>
      <c r="D16016" s="15" t="s">
        <v>29684</v>
      </c>
      <c r="E16016" s="15">
        <v>15.555099999999999</v>
      </c>
      <c r="F16016" s="42">
        <v>43724</v>
      </c>
    </row>
    <row r="16017" spans="1:6" x14ac:dyDescent="0.3">
      <c r="A16017" s="15" t="s">
        <v>34144</v>
      </c>
      <c r="B16017" s="15" t="s">
        <v>29685</v>
      </c>
      <c r="C16017" s="15" t="s">
        <v>800</v>
      </c>
      <c r="D16017" s="15" t="s">
        <v>29686</v>
      </c>
      <c r="E16017" s="15">
        <v>10</v>
      </c>
      <c r="F16017" s="42">
        <v>42675</v>
      </c>
    </row>
    <row r="16018" spans="1:6" x14ac:dyDescent="0.3">
      <c r="A16018" s="15" t="s">
        <v>34143</v>
      </c>
      <c r="B16018" s="15" t="s">
        <v>29687</v>
      </c>
      <c r="C16018" s="15" t="s">
        <v>800</v>
      </c>
      <c r="D16018" s="15" t="s">
        <v>29688</v>
      </c>
      <c r="E16018" s="15">
        <v>13.196899999999999</v>
      </c>
      <c r="F16018" s="42">
        <v>42675</v>
      </c>
    </row>
    <row r="16019" spans="1:6" x14ac:dyDescent="0.3">
      <c r="A16019" s="15" t="s">
        <v>34142</v>
      </c>
      <c r="B16019" s="15" t="s">
        <v>29689</v>
      </c>
      <c r="C16019" s="15" t="s">
        <v>800</v>
      </c>
      <c r="D16019" s="15" t="s">
        <v>29690</v>
      </c>
      <c r="E16019" s="15">
        <v>10</v>
      </c>
      <c r="F16019" s="42">
        <v>42675</v>
      </c>
    </row>
    <row r="16020" spans="1:6" x14ac:dyDescent="0.3">
      <c r="A16020" s="15" t="s">
        <v>34141</v>
      </c>
      <c r="B16020" s="15" t="s">
        <v>29691</v>
      </c>
      <c r="C16020" s="15" t="s">
        <v>800</v>
      </c>
      <c r="D16020" s="15" t="s">
        <v>29692</v>
      </c>
      <c r="E16020" s="15">
        <v>12.9991</v>
      </c>
      <c r="F16020" s="42">
        <v>42675</v>
      </c>
    </row>
    <row r="16021" spans="1:6" x14ac:dyDescent="0.3">
      <c r="A16021" s="15" t="s">
        <v>34140</v>
      </c>
      <c r="B16021" s="15" t="s">
        <v>29693</v>
      </c>
      <c r="C16021" s="15" t="s">
        <v>800</v>
      </c>
      <c r="D16021" s="15" t="s">
        <v>29694</v>
      </c>
      <c r="E16021" s="15">
        <v>10</v>
      </c>
      <c r="F16021" s="42">
        <v>42940</v>
      </c>
    </row>
    <row r="16022" spans="1:6" x14ac:dyDescent="0.3">
      <c r="A16022" s="15" t="s">
        <v>34139</v>
      </c>
      <c r="B16022" s="15" t="s">
        <v>29695</v>
      </c>
      <c r="C16022" s="15" t="s">
        <v>800</v>
      </c>
      <c r="D16022" s="15" t="s">
        <v>29696</v>
      </c>
      <c r="E16022" s="15">
        <v>13.6532</v>
      </c>
      <c r="F16022" s="42">
        <v>42940</v>
      </c>
    </row>
    <row r="16023" spans="1:6" x14ac:dyDescent="0.3">
      <c r="A16023" s="15" t="s">
        <v>34138</v>
      </c>
      <c r="B16023" s="15" t="s">
        <v>29697</v>
      </c>
      <c r="C16023" s="15" t="s">
        <v>800</v>
      </c>
      <c r="D16023" s="15" t="s">
        <v>29698</v>
      </c>
      <c r="E16023" s="15">
        <v>10</v>
      </c>
      <c r="F16023" s="42">
        <v>42940</v>
      </c>
    </row>
    <row r="16024" spans="1:6" x14ac:dyDescent="0.3">
      <c r="A16024" s="15" t="s">
        <v>34137</v>
      </c>
      <c r="B16024" s="15" t="s">
        <v>29699</v>
      </c>
      <c r="C16024" s="15" t="s">
        <v>800</v>
      </c>
      <c r="D16024" s="15" t="s">
        <v>29700</v>
      </c>
      <c r="E16024" s="15">
        <v>13.5557</v>
      </c>
      <c r="F16024" s="42">
        <v>42940</v>
      </c>
    </row>
    <row r="16025" spans="1:6" x14ac:dyDescent="0.3">
      <c r="A16025" s="15" t="s">
        <v>34136</v>
      </c>
      <c r="B16025" s="15" t="s">
        <v>29701</v>
      </c>
      <c r="C16025" s="15" t="s">
        <v>800</v>
      </c>
      <c r="D16025" s="15" t="s">
        <v>29702</v>
      </c>
      <c r="E16025" s="15">
        <v>15.1213</v>
      </c>
      <c r="F16025" s="42">
        <v>43283</v>
      </c>
    </row>
    <row r="16026" spans="1:6" x14ac:dyDescent="0.3">
      <c r="A16026" s="15" t="s">
        <v>34135</v>
      </c>
      <c r="B16026" s="15" t="s">
        <v>29703</v>
      </c>
      <c r="C16026" s="15" t="s">
        <v>800</v>
      </c>
      <c r="D16026" s="15" t="s">
        <v>29704</v>
      </c>
      <c r="E16026" s="15">
        <v>15.1213</v>
      </c>
      <c r="F16026" s="42">
        <v>43283</v>
      </c>
    </row>
    <row r="16027" spans="1:6" x14ac:dyDescent="0.3">
      <c r="A16027" s="15" t="s">
        <v>34134</v>
      </c>
      <c r="B16027" s="15" t="s">
        <v>29705</v>
      </c>
      <c r="C16027" s="15" t="s">
        <v>800</v>
      </c>
      <c r="D16027" s="15" t="s">
        <v>29706</v>
      </c>
      <c r="E16027" s="15">
        <v>14.7971</v>
      </c>
      <c r="F16027" s="42">
        <v>43283</v>
      </c>
    </row>
    <row r="16028" spans="1:6" x14ac:dyDescent="0.3">
      <c r="A16028" s="15" t="s">
        <v>34133</v>
      </c>
      <c r="B16028" s="15" t="s">
        <v>29707</v>
      </c>
      <c r="C16028" s="15" t="s">
        <v>800</v>
      </c>
      <c r="D16028" s="15" t="s">
        <v>29708</v>
      </c>
      <c r="E16028" s="15">
        <v>14.7971</v>
      </c>
      <c r="F16028" s="42">
        <v>43283</v>
      </c>
    </row>
    <row r="16029" spans="1:6" x14ac:dyDescent="0.3">
      <c r="A16029" s="15" t="s">
        <v>34132</v>
      </c>
      <c r="B16029" s="15" t="s">
        <v>29709</v>
      </c>
      <c r="C16029" s="15" t="s">
        <v>800</v>
      </c>
      <c r="D16029" s="15" t="s">
        <v>29710</v>
      </c>
      <c r="E16029" s="15">
        <v>10</v>
      </c>
      <c r="F16029" s="42">
        <v>43283</v>
      </c>
    </row>
    <row r="16030" spans="1:6" x14ac:dyDescent="0.3">
      <c r="A16030" s="15" t="s">
        <v>34131</v>
      </c>
      <c r="B16030" s="15" t="s">
        <v>29711</v>
      </c>
      <c r="C16030" s="15" t="s">
        <v>800</v>
      </c>
      <c r="D16030" s="15" t="s">
        <v>29712</v>
      </c>
      <c r="E16030" s="15">
        <v>10</v>
      </c>
      <c r="F16030" s="42">
        <v>43283</v>
      </c>
    </row>
    <row r="16031" spans="1:6" x14ac:dyDescent="0.3">
      <c r="A16031" s="15" t="s">
        <v>34130</v>
      </c>
      <c r="B16031" s="15" t="s">
        <v>29713</v>
      </c>
      <c r="C16031" s="15" t="s">
        <v>800</v>
      </c>
      <c r="D16031" s="15" t="s">
        <v>29714</v>
      </c>
      <c r="E16031" s="15">
        <v>14.1524</v>
      </c>
      <c r="F16031" s="42">
        <v>43283</v>
      </c>
    </row>
    <row r="16032" spans="1:6" x14ac:dyDescent="0.3">
      <c r="A16032" s="15" t="s">
        <v>34129</v>
      </c>
      <c r="B16032" s="15" t="s">
        <v>29715</v>
      </c>
      <c r="C16032" s="15" t="s">
        <v>800</v>
      </c>
      <c r="D16032" s="15" t="s">
        <v>29716</v>
      </c>
      <c r="E16032" s="15">
        <v>14.2784</v>
      </c>
      <c r="F16032" s="42">
        <v>43283</v>
      </c>
    </row>
    <row r="16033" spans="1:6" x14ac:dyDescent="0.3">
      <c r="A16033" s="15" t="s">
        <v>34128</v>
      </c>
      <c r="B16033" s="15" t="s">
        <v>29717</v>
      </c>
      <c r="C16033" s="15" t="s">
        <v>800</v>
      </c>
      <c r="D16033" s="15" t="s">
        <v>29718</v>
      </c>
      <c r="E16033" s="15">
        <v>10</v>
      </c>
      <c r="F16033" s="42">
        <v>42592</v>
      </c>
    </row>
    <row r="16034" spans="1:6" x14ac:dyDescent="0.3">
      <c r="A16034" s="15" t="s">
        <v>34127</v>
      </c>
      <c r="B16034" s="15" t="s">
        <v>29719</v>
      </c>
      <c r="C16034" s="15" t="s">
        <v>800</v>
      </c>
      <c r="D16034" s="15" t="s">
        <v>29720</v>
      </c>
      <c r="E16034" s="15">
        <v>14.7249</v>
      </c>
      <c r="F16034" s="42">
        <v>43276</v>
      </c>
    </row>
    <row r="16035" spans="1:6" x14ac:dyDescent="0.3">
      <c r="A16035" s="15" t="s">
        <v>34126</v>
      </c>
      <c r="B16035" s="15" t="s">
        <v>29721</v>
      </c>
      <c r="C16035" s="15" t="s">
        <v>800</v>
      </c>
      <c r="D16035" s="15" t="s">
        <v>29722</v>
      </c>
      <c r="E16035" s="15">
        <v>10</v>
      </c>
      <c r="F16035" s="42">
        <v>42592</v>
      </c>
    </row>
    <row r="16036" spans="1:6" x14ac:dyDescent="0.3">
      <c r="A16036" s="15" t="s">
        <v>34125</v>
      </c>
      <c r="B16036" s="15" t="s">
        <v>29723</v>
      </c>
      <c r="C16036" s="15" t="s">
        <v>800</v>
      </c>
      <c r="D16036" s="15" t="s">
        <v>29724</v>
      </c>
      <c r="E16036" s="15">
        <v>14.646699999999999</v>
      </c>
      <c r="F16036" s="42">
        <v>43276</v>
      </c>
    </row>
    <row r="16037" spans="1:6" x14ac:dyDescent="0.3">
      <c r="A16037" s="15" t="s">
        <v>34124</v>
      </c>
      <c r="B16037" s="15" t="s">
        <v>29725</v>
      </c>
      <c r="C16037" s="15" t="s">
        <v>800</v>
      </c>
      <c r="D16037" s="15" t="s">
        <v>29726</v>
      </c>
      <c r="E16037" s="15">
        <v>10</v>
      </c>
      <c r="F16037" s="42">
        <v>42627</v>
      </c>
    </row>
    <row r="16038" spans="1:6" x14ac:dyDescent="0.3">
      <c r="A16038" s="15" t="s">
        <v>34123</v>
      </c>
      <c r="B16038" s="15" t="s">
        <v>29727</v>
      </c>
      <c r="C16038" s="15" t="s">
        <v>800</v>
      </c>
      <c r="D16038" s="15" t="s">
        <v>29728</v>
      </c>
      <c r="E16038" s="15">
        <v>15.0266</v>
      </c>
      <c r="F16038" s="42">
        <v>43283</v>
      </c>
    </row>
    <row r="16039" spans="1:6" x14ac:dyDescent="0.3">
      <c r="A16039" s="15" t="s">
        <v>34122</v>
      </c>
      <c r="B16039" s="15" t="s">
        <v>29729</v>
      </c>
      <c r="C16039" s="15" t="s">
        <v>800</v>
      </c>
      <c r="D16039" s="15" t="s">
        <v>29730</v>
      </c>
      <c r="E16039" s="15">
        <v>10</v>
      </c>
      <c r="F16039" s="42">
        <v>42627</v>
      </c>
    </row>
    <row r="16040" spans="1:6" x14ac:dyDescent="0.3">
      <c r="A16040" s="15" t="s">
        <v>34121</v>
      </c>
      <c r="B16040" s="15" t="s">
        <v>29731</v>
      </c>
      <c r="C16040" s="15" t="s">
        <v>800</v>
      </c>
      <c r="D16040" s="15" t="s">
        <v>29732</v>
      </c>
      <c r="E16040" s="15">
        <v>14.888400000000001</v>
      </c>
      <c r="F16040" s="42">
        <v>43283</v>
      </c>
    </row>
    <row r="16041" spans="1:6" x14ac:dyDescent="0.3">
      <c r="A16041" s="15" t="s">
        <v>34120</v>
      </c>
      <c r="B16041" s="15" t="s">
        <v>29733</v>
      </c>
      <c r="C16041" s="15" t="s">
        <v>800</v>
      </c>
      <c r="D16041" s="15" t="s">
        <v>29734</v>
      </c>
      <c r="E16041" s="15">
        <v>10</v>
      </c>
      <c r="F16041" s="42">
        <v>42235</v>
      </c>
    </row>
    <row r="16042" spans="1:6" x14ac:dyDescent="0.3">
      <c r="A16042" s="15" t="s">
        <v>34119</v>
      </c>
      <c r="B16042" s="15" t="s">
        <v>29735</v>
      </c>
      <c r="C16042" s="15" t="s">
        <v>800</v>
      </c>
      <c r="D16042" s="15" t="s">
        <v>29736</v>
      </c>
      <c r="E16042" s="15">
        <v>12.9811</v>
      </c>
      <c r="F16042" s="42">
        <v>42605</v>
      </c>
    </row>
    <row r="16043" spans="1:6" x14ac:dyDescent="0.3">
      <c r="A16043" s="15" t="s">
        <v>34118</v>
      </c>
      <c r="B16043" s="15" t="s">
        <v>29737</v>
      </c>
      <c r="C16043" s="15" t="s">
        <v>800</v>
      </c>
      <c r="D16043" s="15" t="s">
        <v>29738</v>
      </c>
      <c r="E16043" s="15">
        <v>10</v>
      </c>
      <c r="F16043" s="42">
        <v>42605</v>
      </c>
    </row>
    <row r="16044" spans="1:6" x14ac:dyDescent="0.3">
      <c r="A16044" s="15" t="s">
        <v>34117</v>
      </c>
      <c r="B16044" s="15" t="s">
        <v>29739</v>
      </c>
      <c r="C16044" s="15" t="s">
        <v>800</v>
      </c>
      <c r="D16044" s="15" t="s">
        <v>29740</v>
      </c>
      <c r="E16044" s="15">
        <v>12.9048</v>
      </c>
      <c r="F16044" s="42">
        <v>42605</v>
      </c>
    </row>
    <row r="16045" spans="1:6" x14ac:dyDescent="0.3">
      <c r="A16045" s="15" t="s">
        <v>34116</v>
      </c>
      <c r="B16045" s="15" t="s">
        <v>29741</v>
      </c>
      <c r="C16045" s="15" t="s">
        <v>800</v>
      </c>
      <c r="D16045" s="15" t="s">
        <v>29742</v>
      </c>
      <c r="E16045" s="15">
        <v>10</v>
      </c>
      <c r="F16045" s="42">
        <v>42137</v>
      </c>
    </row>
    <row r="16046" spans="1:6" x14ac:dyDescent="0.3">
      <c r="A16046" s="15" t="s">
        <v>34115</v>
      </c>
      <c r="B16046" s="15" t="s">
        <v>29743</v>
      </c>
      <c r="C16046" s="15" t="s">
        <v>800</v>
      </c>
      <c r="D16046" s="15" t="s">
        <v>29744</v>
      </c>
      <c r="E16046" s="15">
        <v>13.2349</v>
      </c>
      <c r="F16046" s="42">
        <v>42633</v>
      </c>
    </row>
    <row r="16047" spans="1:6" x14ac:dyDescent="0.3">
      <c r="A16047" s="15" t="s">
        <v>34114</v>
      </c>
      <c r="B16047" s="15" t="s">
        <v>29745</v>
      </c>
      <c r="C16047" s="15" t="s">
        <v>800</v>
      </c>
      <c r="D16047" s="15" t="s">
        <v>29746</v>
      </c>
      <c r="E16047" s="15">
        <v>10</v>
      </c>
      <c r="F16047" s="42">
        <v>42633</v>
      </c>
    </row>
    <row r="16048" spans="1:6" x14ac:dyDescent="0.3">
      <c r="A16048" s="15" t="s">
        <v>34113</v>
      </c>
      <c r="B16048" s="15" t="s">
        <v>29747</v>
      </c>
      <c r="C16048" s="15" t="s">
        <v>800</v>
      </c>
      <c r="D16048" s="15" t="s">
        <v>29748</v>
      </c>
      <c r="E16048" s="15">
        <v>13.1584</v>
      </c>
      <c r="F16048" s="42">
        <v>42633</v>
      </c>
    </row>
    <row r="16049" spans="1:6" x14ac:dyDescent="0.3">
      <c r="A16049" s="15" t="s">
        <v>34112</v>
      </c>
      <c r="B16049" s="15" t="s">
        <v>29749</v>
      </c>
      <c r="C16049" s="15" t="s">
        <v>800</v>
      </c>
      <c r="D16049" s="15" t="s">
        <v>29750</v>
      </c>
      <c r="E16049" s="15">
        <v>10</v>
      </c>
      <c r="F16049" s="42">
        <v>42615</v>
      </c>
    </row>
    <row r="16050" spans="1:6" x14ac:dyDescent="0.3">
      <c r="A16050" s="15" t="s">
        <v>34111</v>
      </c>
      <c r="B16050" s="15" t="s">
        <v>29751</v>
      </c>
      <c r="C16050" s="15" t="s">
        <v>800</v>
      </c>
      <c r="D16050" s="15" t="s">
        <v>29752</v>
      </c>
      <c r="E16050" s="15">
        <v>13.27</v>
      </c>
      <c r="F16050" s="42">
        <v>42615</v>
      </c>
    </row>
    <row r="16051" spans="1:6" x14ac:dyDescent="0.3">
      <c r="A16051" s="15" t="s">
        <v>34110</v>
      </c>
      <c r="B16051" s="15" t="s">
        <v>29753</v>
      </c>
      <c r="C16051" s="15" t="s">
        <v>800</v>
      </c>
      <c r="D16051" s="15" t="s">
        <v>29754</v>
      </c>
      <c r="E16051" s="15">
        <v>10</v>
      </c>
      <c r="F16051" s="42">
        <v>42615</v>
      </c>
    </row>
    <row r="16052" spans="1:6" x14ac:dyDescent="0.3">
      <c r="A16052" s="15" t="s">
        <v>34109</v>
      </c>
      <c r="B16052" s="15" t="s">
        <v>29755</v>
      </c>
      <c r="C16052" s="15" t="s">
        <v>800</v>
      </c>
      <c r="D16052" s="15" t="s">
        <v>29756</v>
      </c>
      <c r="E16052" s="15">
        <v>13.110300000000001</v>
      </c>
      <c r="F16052" s="42">
        <v>42615</v>
      </c>
    </row>
    <row r="16053" spans="1:6" x14ac:dyDescent="0.3">
      <c r="A16053" s="15" t="s">
        <v>34108</v>
      </c>
      <c r="B16053" s="15" t="s">
        <v>29757</v>
      </c>
      <c r="C16053" s="15" t="s">
        <v>800</v>
      </c>
      <c r="D16053" s="15" t="s">
        <v>29758</v>
      </c>
      <c r="E16053" s="15">
        <v>13.274100000000001</v>
      </c>
      <c r="F16053" s="42">
        <v>42614</v>
      </c>
    </row>
    <row r="16054" spans="1:6" x14ac:dyDescent="0.3">
      <c r="A16054" s="15" t="s">
        <v>34107</v>
      </c>
      <c r="B16054" s="15" t="s">
        <v>29759</v>
      </c>
      <c r="C16054" s="15" t="s">
        <v>800</v>
      </c>
      <c r="D16054" s="15" t="s">
        <v>29760</v>
      </c>
      <c r="E16054" s="15">
        <v>10</v>
      </c>
      <c r="F16054" s="42">
        <v>42614</v>
      </c>
    </row>
    <row r="16055" spans="1:6" x14ac:dyDescent="0.3">
      <c r="A16055" s="15" t="s">
        <v>34106</v>
      </c>
      <c r="B16055" s="15" t="s">
        <v>29761</v>
      </c>
      <c r="C16055" s="15" t="s">
        <v>800</v>
      </c>
      <c r="D16055" s="15" t="s">
        <v>29762</v>
      </c>
      <c r="E16055" s="15">
        <v>13.203200000000001</v>
      </c>
      <c r="F16055" s="42">
        <v>42614</v>
      </c>
    </row>
    <row r="16056" spans="1:6" x14ac:dyDescent="0.3">
      <c r="A16056" s="15" t="s">
        <v>34105</v>
      </c>
      <c r="B16056" s="15" t="s">
        <v>29763</v>
      </c>
      <c r="C16056" s="15" t="s">
        <v>800</v>
      </c>
      <c r="D16056" s="15" t="s">
        <v>29764</v>
      </c>
      <c r="E16056" s="15">
        <v>13.287100000000001</v>
      </c>
      <c r="F16056" s="42">
        <v>42627</v>
      </c>
    </row>
    <row r="16057" spans="1:6" x14ac:dyDescent="0.3">
      <c r="A16057" s="15" t="s">
        <v>34104</v>
      </c>
      <c r="B16057" s="15" t="s">
        <v>29765</v>
      </c>
      <c r="C16057" s="15" t="s">
        <v>800</v>
      </c>
      <c r="D16057" s="15" t="s">
        <v>29766</v>
      </c>
      <c r="E16057" s="15">
        <v>10</v>
      </c>
      <c r="F16057" s="42">
        <v>42627</v>
      </c>
    </row>
    <row r="16058" spans="1:6" x14ac:dyDescent="0.3">
      <c r="A16058" s="15" t="s">
        <v>34103</v>
      </c>
      <c r="B16058" s="15" t="s">
        <v>29767</v>
      </c>
      <c r="C16058" s="15" t="s">
        <v>800</v>
      </c>
      <c r="D16058" s="15" t="s">
        <v>29768</v>
      </c>
      <c r="E16058" s="15">
        <v>13.101599999999999</v>
      </c>
      <c r="F16058" s="42">
        <v>42627</v>
      </c>
    </row>
    <row r="16059" spans="1:6" x14ac:dyDescent="0.3">
      <c r="A16059" s="15" t="s">
        <v>34102</v>
      </c>
      <c r="B16059" s="15" t="s">
        <v>29769</v>
      </c>
      <c r="C16059" s="15" t="s">
        <v>800</v>
      </c>
      <c r="D16059" s="15" t="s">
        <v>29770</v>
      </c>
      <c r="E16059" s="15">
        <v>10</v>
      </c>
      <c r="F16059" s="42">
        <v>42187</v>
      </c>
    </row>
    <row r="16060" spans="1:6" x14ac:dyDescent="0.3">
      <c r="A16060" s="15" t="s">
        <v>34101</v>
      </c>
      <c r="B16060" s="15" t="s">
        <v>29771</v>
      </c>
      <c r="C16060" s="15" t="s">
        <v>800</v>
      </c>
      <c r="D16060" s="15" t="s">
        <v>29772</v>
      </c>
      <c r="E16060" s="15">
        <v>13.616199999999999</v>
      </c>
      <c r="F16060" s="42">
        <v>42940</v>
      </c>
    </row>
    <row r="16061" spans="1:6" x14ac:dyDescent="0.3">
      <c r="A16061" s="15" t="s">
        <v>34100</v>
      </c>
      <c r="B16061" s="15" t="s">
        <v>29773</v>
      </c>
      <c r="C16061" s="15" t="s">
        <v>800</v>
      </c>
      <c r="D16061" s="15" t="s">
        <v>29774</v>
      </c>
      <c r="E16061" s="15">
        <v>10</v>
      </c>
      <c r="F16061" s="42">
        <v>42187</v>
      </c>
    </row>
    <row r="16062" spans="1:6" x14ac:dyDescent="0.3">
      <c r="A16062" s="15" t="s">
        <v>34099</v>
      </c>
      <c r="B16062" s="15" t="s">
        <v>29775</v>
      </c>
      <c r="C16062" s="15" t="s">
        <v>800</v>
      </c>
      <c r="D16062" s="15" t="s">
        <v>29776</v>
      </c>
      <c r="E16062" s="15">
        <v>13.527100000000001</v>
      </c>
      <c r="F16062" s="42">
        <v>42940</v>
      </c>
    </row>
    <row r="16063" spans="1:6" x14ac:dyDescent="0.3">
      <c r="A16063" s="15" t="s">
        <v>34098</v>
      </c>
      <c r="B16063" s="15" t="s">
        <v>29777</v>
      </c>
      <c r="C16063" s="15" t="s">
        <v>800</v>
      </c>
      <c r="D16063" s="15" t="s">
        <v>29778</v>
      </c>
      <c r="E16063" s="15">
        <v>13.193300000000001</v>
      </c>
      <c r="F16063" s="42">
        <v>42852</v>
      </c>
    </row>
    <row r="16064" spans="1:6" x14ac:dyDescent="0.3">
      <c r="A16064" s="15" t="s">
        <v>34097</v>
      </c>
      <c r="B16064" s="15" t="s">
        <v>29779</v>
      </c>
      <c r="C16064" s="15" t="s">
        <v>800</v>
      </c>
      <c r="D16064" s="15" t="s">
        <v>29780</v>
      </c>
      <c r="E16064" s="15">
        <v>13.114100000000001</v>
      </c>
      <c r="F16064" s="42">
        <v>42852</v>
      </c>
    </row>
    <row r="16065" spans="1:6" x14ac:dyDescent="0.3">
      <c r="A16065" s="15" t="s">
        <v>34096</v>
      </c>
      <c r="B16065" s="15" t="s">
        <v>29781</v>
      </c>
      <c r="C16065" s="15" t="s">
        <v>800</v>
      </c>
      <c r="D16065" s="15" t="s">
        <v>29782</v>
      </c>
      <c r="E16065" s="15">
        <v>13.179500000000001</v>
      </c>
      <c r="F16065" s="42">
        <v>42852</v>
      </c>
    </row>
    <row r="16066" spans="1:6" x14ac:dyDescent="0.3">
      <c r="A16066" s="15" t="s">
        <v>34095</v>
      </c>
      <c r="B16066" s="15" t="s">
        <v>29783</v>
      </c>
      <c r="C16066" s="15" t="s">
        <v>800</v>
      </c>
      <c r="D16066" s="15" t="s">
        <v>29784</v>
      </c>
      <c r="E16066" s="15">
        <v>10</v>
      </c>
      <c r="F16066" s="42">
        <v>42852</v>
      </c>
    </row>
    <row r="16067" spans="1:6" x14ac:dyDescent="0.3">
      <c r="A16067" s="15" t="s">
        <v>34094</v>
      </c>
      <c r="B16067" s="15" t="s">
        <v>29785</v>
      </c>
      <c r="C16067" s="15" t="s">
        <v>800</v>
      </c>
      <c r="D16067" s="15" t="s">
        <v>29786</v>
      </c>
      <c r="E16067" s="15">
        <v>13.1014</v>
      </c>
      <c r="F16067" s="42">
        <v>42852</v>
      </c>
    </row>
    <row r="16068" spans="1:6" x14ac:dyDescent="0.3">
      <c r="A16068" s="15" t="s">
        <v>34093</v>
      </c>
      <c r="B16068" s="15" t="s">
        <v>29787</v>
      </c>
      <c r="C16068" s="15" t="s">
        <v>800</v>
      </c>
      <c r="D16068" s="15" t="s">
        <v>29788</v>
      </c>
      <c r="E16068" s="15">
        <v>13.128500000000001</v>
      </c>
      <c r="F16068" s="42">
        <v>42852</v>
      </c>
    </row>
    <row r="16069" spans="1:6" x14ac:dyDescent="0.3">
      <c r="A16069" s="15" t="s">
        <v>34092</v>
      </c>
      <c r="B16069" s="15" t="s">
        <v>29789</v>
      </c>
      <c r="C16069" s="15" t="s">
        <v>800</v>
      </c>
      <c r="D16069" s="15" t="s">
        <v>29790</v>
      </c>
      <c r="E16069" s="15">
        <v>10</v>
      </c>
      <c r="F16069" s="42">
        <v>42852</v>
      </c>
    </row>
    <row r="16070" spans="1:6" x14ac:dyDescent="0.3">
      <c r="A16070" s="15" t="s">
        <v>34091</v>
      </c>
      <c r="B16070" s="15" t="s">
        <v>29791</v>
      </c>
      <c r="C16070" s="15" t="s">
        <v>800</v>
      </c>
      <c r="D16070" s="15" t="s">
        <v>29792</v>
      </c>
      <c r="E16070" s="15">
        <v>13.036199999999999</v>
      </c>
      <c r="F16070" s="42">
        <v>42852</v>
      </c>
    </row>
    <row r="16071" spans="1:6" x14ac:dyDescent="0.3">
      <c r="A16071" s="15" t="s">
        <v>34090</v>
      </c>
      <c r="B16071" s="15" t="s">
        <v>29793</v>
      </c>
      <c r="C16071" s="15" t="s">
        <v>800</v>
      </c>
      <c r="D16071" s="15" t="s">
        <v>29794</v>
      </c>
      <c r="E16071" s="15">
        <v>12.8223</v>
      </c>
      <c r="F16071" s="42">
        <v>42759</v>
      </c>
    </row>
    <row r="16072" spans="1:6" x14ac:dyDescent="0.3">
      <c r="A16072" s="15" t="s">
        <v>34089</v>
      </c>
      <c r="B16072" s="15" t="s">
        <v>29795</v>
      </c>
      <c r="C16072" s="15" t="s">
        <v>800</v>
      </c>
      <c r="D16072" s="15" t="s">
        <v>29796</v>
      </c>
      <c r="E16072" s="15">
        <v>12.7842</v>
      </c>
      <c r="F16072" s="42">
        <v>42759</v>
      </c>
    </row>
    <row r="16073" spans="1:6" x14ac:dyDescent="0.3">
      <c r="A16073" s="15" t="s">
        <v>34088</v>
      </c>
      <c r="B16073" s="15" t="s">
        <v>29797</v>
      </c>
      <c r="C16073" s="15" t="s">
        <v>800</v>
      </c>
      <c r="D16073" s="15" t="s">
        <v>29798</v>
      </c>
      <c r="E16073" s="15">
        <v>10</v>
      </c>
      <c r="F16073" s="42">
        <v>42110</v>
      </c>
    </row>
    <row r="16074" spans="1:6" x14ac:dyDescent="0.3">
      <c r="A16074" s="15" t="s">
        <v>34087</v>
      </c>
      <c r="B16074" s="15" t="s">
        <v>29799</v>
      </c>
      <c r="C16074" s="15" t="s">
        <v>800</v>
      </c>
      <c r="D16074" s="15" t="s">
        <v>29800</v>
      </c>
      <c r="E16074" s="15">
        <v>13.093999999999999</v>
      </c>
      <c r="F16074" s="42">
        <v>42850</v>
      </c>
    </row>
    <row r="16075" spans="1:6" x14ac:dyDescent="0.3">
      <c r="A16075" s="15" t="s">
        <v>34086</v>
      </c>
      <c r="B16075" s="15" t="s">
        <v>29801</v>
      </c>
      <c r="C16075" s="15" t="s">
        <v>800</v>
      </c>
      <c r="D16075" s="15" t="s">
        <v>29802</v>
      </c>
      <c r="E16075" s="15">
        <v>10</v>
      </c>
      <c r="F16075" s="42">
        <v>42110</v>
      </c>
    </row>
    <row r="16076" spans="1:6" x14ac:dyDescent="0.3">
      <c r="A16076" s="15" t="s">
        <v>34085</v>
      </c>
      <c r="B16076" s="15" t="s">
        <v>29803</v>
      </c>
      <c r="C16076" s="15" t="s">
        <v>800</v>
      </c>
      <c r="D16076" s="15" t="s">
        <v>29804</v>
      </c>
      <c r="E16076" s="15">
        <v>13.007300000000001</v>
      </c>
      <c r="F16076" s="42">
        <v>42850</v>
      </c>
    </row>
    <row r="16077" spans="1:6" x14ac:dyDescent="0.3">
      <c r="A16077" s="15" t="s">
        <v>34084</v>
      </c>
      <c r="B16077" s="15" t="s">
        <v>29805</v>
      </c>
      <c r="C16077" s="15" t="s">
        <v>800</v>
      </c>
      <c r="D16077" s="15" t="s">
        <v>29806</v>
      </c>
      <c r="E16077" s="15">
        <v>10</v>
      </c>
      <c r="F16077" s="42">
        <v>42110</v>
      </c>
    </row>
    <row r="16078" spans="1:6" x14ac:dyDescent="0.3">
      <c r="A16078" s="15" t="s">
        <v>34083</v>
      </c>
      <c r="B16078" s="15" t="s">
        <v>29807</v>
      </c>
      <c r="C16078" s="15" t="s">
        <v>800</v>
      </c>
      <c r="D16078" s="15" t="s">
        <v>29808</v>
      </c>
      <c r="E16078" s="15">
        <v>13.0662</v>
      </c>
      <c r="F16078" s="42">
        <v>42850</v>
      </c>
    </row>
    <row r="16079" spans="1:6" x14ac:dyDescent="0.3">
      <c r="A16079" s="15" t="s">
        <v>34082</v>
      </c>
      <c r="B16079" s="15" t="s">
        <v>29809</v>
      </c>
      <c r="C16079" s="15" t="s">
        <v>800</v>
      </c>
      <c r="D16079" s="15" t="s">
        <v>29810</v>
      </c>
      <c r="E16079" s="15">
        <v>12.9818</v>
      </c>
      <c r="F16079" s="42">
        <v>42850</v>
      </c>
    </row>
    <row r="16080" spans="1:6" x14ac:dyDescent="0.3">
      <c r="A16080" s="15" t="s">
        <v>34081</v>
      </c>
      <c r="B16080" s="15" t="s">
        <v>29811</v>
      </c>
      <c r="C16080" s="15" t="s">
        <v>800</v>
      </c>
      <c r="D16080" s="15" t="s">
        <v>29812</v>
      </c>
      <c r="E16080" s="15">
        <v>13.0639</v>
      </c>
      <c r="F16080" s="42">
        <v>42863</v>
      </c>
    </row>
    <row r="16081" spans="1:6" x14ac:dyDescent="0.3">
      <c r="A16081" s="15" t="s">
        <v>34080</v>
      </c>
      <c r="B16081" s="15" t="s">
        <v>29813</v>
      </c>
      <c r="C16081" s="15" t="s">
        <v>800</v>
      </c>
      <c r="D16081" s="15" t="s">
        <v>29814</v>
      </c>
      <c r="E16081" s="15">
        <v>13.027900000000001</v>
      </c>
      <c r="F16081" s="42">
        <v>42863</v>
      </c>
    </row>
    <row r="16082" spans="1:6" x14ac:dyDescent="0.3">
      <c r="A16082" s="15" t="s">
        <v>34079</v>
      </c>
      <c r="B16082" s="15" t="s">
        <v>29815</v>
      </c>
      <c r="C16082" s="15" t="s">
        <v>800</v>
      </c>
      <c r="D16082" s="15" t="s">
        <v>29816</v>
      </c>
      <c r="E16082" s="15">
        <v>11.1432</v>
      </c>
      <c r="F16082" s="42">
        <v>42107</v>
      </c>
    </row>
    <row r="16083" spans="1:6" x14ac:dyDescent="0.3">
      <c r="A16083" s="15" t="s">
        <v>34078</v>
      </c>
      <c r="B16083" s="15" t="s">
        <v>29817</v>
      </c>
      <c r="C16083" s="15" t="s">
        <v>800</v>
      </c>
      <c r="D16083" s="15" t="s">
        <v>29818</v>
      </c>
      <c r="E16083" s="15">
        <v>10</v>
      </c>
      <c r="F16083" s="42">
        <v>42107</v>
      </c>
    </row>
    <row r="16084" spans="1:6" x14ac:dyDescent="0.3">
      <c r="A16084" s="15" t="s">
        <v>34077</v>
      </c>
      <c r="B16084" s="15" t="s">
        <v>29819</v>
      </c>
      <c r="C16084" s="15" t="s">
        <v>800</v>
      </c>
      <c r="D16084" s="15" t="s">
        <v>29820</v>
      </c>
      <c r="E16084" s="15">
        <v>11.1249</v>
      </c>
      <c r="F16084" s="42">
        <v>42107</v>
      </c>
    </row>
    <row r="16085" spans="1:6" x14ac:dyDescent="0.3">
      <c r="A16085" s="15" t="s">
        <v>34076</v>
      </c>
      <c r="B16085" s="15" t="s">
        <v>29821</v>
      </c>
      <c r="C16085" s="15" t="s">
        <v>800</v>
      </c>
      <c r="D16085" s="15" t="s">
        <v>29822</v>
      </c>
      <c r="E16085" s="15">
        <v>10</v>
      </c>
      <c r="F16085" s="42">
        <v>42710</v>
      </c>
    </row>
    <row r="16086" spans="1:6" x14ac:dyDescent="0.3">
      <c r="A16086" s="15" t="s">
        <v>34075</v>
      </c>
      <c r="B16086" s="15" t="s">
        <v>29823</v>
      </c>
      <c r="C16086" s="15" t="s">
        <v>800</v>
      </c>
      <c r="D16086" s="15" t="s">
        <v>29824</v>
      </c>
      <c r="E16086" s="15">
        <v>12.871700000000001</v>
      </c>
      <c r="F16086" s="42">
        <v>42710</v>
      </c>
    </row>
    <row r="16087" spans="1:6" x14ac:dyDescent="0.3">
      <c r="A16087" s="15" t="s">
        <v>34074</v>
      </c>
      <c r="B16087" s="15" t="s">
        <v>29825</v>
      </c>
      <c r="C16087" s="15" t="s">
        <v>800</v>
      </c>
      <c r="D16087" s="15" t="s">
        <v>29826</v>
      </c>
      <c r="E16087" s="15">
        <v>10</v>
      </c>
      <c r="F16087" s="42">
        <v>42710</v>
      </c>
    </row>
    <row r="16088" spans="1:6" x14ac:dyDescent="0.3">
      <c r="A16088" s="15" t="s">
        <v>34073</v>
      </c>
      <c r="B16088" s="15" t="s">
        <v>29827</v>
      </c>
      <c r="C16088" s="15" t="s">
        <v>800</v>
      </c>
      <c r="D16088" s="15" t="s">
        <v>29828</v>
      </c>
      <c r="E16088" s="15">
        <v>12.819699999999999</v>
      </c>
      <c r="F16088" s="42">
        <v>42710</v>
      </c>
    </row>
    <row r="16089" spans="1:6" x14ac:dyDescent="0.3">
      <c r="A16089" s="15" t="s">
        <v>34072</v>
      </c>
      <c r="B16089" s="15" t="s">
        <v>29829</v>
      </c>
      <c r="C16089" s="15" t="s">
        <v>800</v>
      </c>
      <c r="D16089" s="15" t="s">
        <v>29830</v>
      </c>
      <c r="E16089" s="15">
        <v>12.0258</v>
      </c>
      <c r="F16089" s="42">
        <v>43283</v>
      </c>
    </row>
    <row r="16090" spans="1:6" x14ac:dyDescent="0.3">
      <c r="A16090" s="15" t="s">
        <v>34071</v>
      </c>
      <c r="B16090" s="15" t="s">
        <v>29831</v>
      </c>
      <c r="C16090" s="15" t="s">
        <v>800</v>
      </c>
      <c r="D16090" s="15" t="s">
        <v>29832</v>
      </c>
      <c r="E16090" s="15">
        <v>15.084899999999999</v>
      </c>
      <c r="F16090" s="42">
        <v>43283</v>
      </c>
    </row>
    <row r="16091" spans="1:6" x14ac:dyDescent="0.3">
      <c r="A16091" s="15" t="s">
        <v>34070</v>
      </c>
      <c r="B16091" s="15" t="s">
        <v>29833</v>
      </c>
      <c r="C16091" s="15" t="s">
        <v>800</v>
      </c>
      <c r="D16091" s="15" t="s">
        <v>29834</v>
      </c>
      <c r="E16091" s="15">
        <v>11.9505</v>
      </c>
      <c r="F16091" s="42">
        <v>43283</v>
      </c>
    </row>
    <row r="16092" spans="1:6" x14ac:dyDescent="0.3">
      <c r="A16092" s="15" t="s">
        <v>34069</v>
      </c>
      <c r="B16092" s="15" t="s">
        <v>29835</v>
      </c>
      <c r="C16092" s="15" t="s">
        <v>800</v>
      </c>
      <c r="D16092" s="15" t="s">
        <v>29836</v>
      </c>
      <c r="E16092" s="15">
        <v>14.8256</v>
      </c>
      <c r="F16092" s="42">
        <v>43283</v>
      </c>
    </row>
    <row r="16093" spans="1:6" x14ac:dyDescent="0.3">
      <c r="A16093" s="15" t="s">
        <v>34068</v>
      </c>
      <c r="B16093" s="15" t="s">
        <v>29837</v>
      </c>
      <c r="C16093" s="15" t="s">
        <v>800</v>
      </c>
      <c r="D16093" s="15" t="s">
        <v>29838</v>
      </c>
      <c r="E16093" s="15">
        <v>10</v>
      </c>
      <c r="F16093" s="42">
        <v>42850</v>
      </c>
    </row>
    <row r="16094" spans="1:6" x14ac:dyDescent="0.3">
      <c r="A16094" s="15" t="s">
        <v>34067</v>
      </c>
      <c r="B16094" s="15" t="s">
        <v>29839</v>
      </c>
      <c r="C16094" s="15" t="s">
        <v>800</v>
      </c>
      <c r="D16094" s="15" t="s">
        <v>29840</v>
      </c>
      <c r="E16094" s="15">
        <v>13.0344</v>
      </c>
      <c r="F16094" s="42">
        <v>42850</v>
      </c>
    </row>
    <row r="16095" spans="1:6" x14ac:dyDescent="0.3">
      <c r="A16095" s="15" t="s">
        <v>34066</v>
      </c>
      <c r="B16095" s="15" t="s">
        <v>29841</v>
      </c>
      <c r="C16095" s="15" t="s">
        <v>800</v>
      </c>
      <c r="D16095" s="15" t="s">
        <v>29842</v>
      </c>
      <c r="E16095" s="15">
        <v>10</v>
      </c>
      <c r="F16095" s="42">
        <v>42114</v>
      </c>
    </row>
    <row r="16096" spans="1:6" x14ac:dyDescent="0.3">
      <c r="A16096" s="15" t="s">
        <v>34065</v>
      </c>
      <c r="B16096" s="15" t="s">
        <v>29843</v>
      </c>
      <c r="C16096" s="15" t="s">
        <v>800</v>
      </c>
      <c r="D16096" s="15" t="s">
        <v>29844</v>
      </c>
      <c r="E16096" s="15">
        <v>12.9155</v>
      </c>
      <c r="F16096" s="42">
        <v>42850</v>
      </c>
    </row>
    <row r="16097" spans="1:6" x14ac:dyDescent="0.3">
      <c r="A16097" s="15" t="s">
        <v>34064</v>
      </c>
      <c r="B16097" s="15" t="s">
        <v>29845</v>
      </c>
      <c r="C16097" s="15" t="s">
        <v>800</v>
      </c>
      <c r="D16097" s="15" t="s">
        <v>29846</v>
      </c>
      <c r="E16097" s="15">
        <v>10</v>
      </c>
      <c r="F16097" s="42">
        <v>42111</v>
      </c>
    </row>
    <row r="16098" spans="1:6" x14ac:dyDescent="0.3">
      <c r="A16098" s="15" t="s">
        <v>34063</v>
      </c>
      <c r="B16098" s="15" t="s">
        <v>29847</v>
      </c>
      <c r="C16098" s="15" t="s">
        <v>800</v>
      </c>
      <c r="D16098" s="15" t="s">
        <v>29848</v>
      </c>
      <c r="E16098" s="15">
        <v>13.0616</v>
      </c>
      <c r="F16098" s="42">
        <v>42850</v>
      </c>
    </row>
    <row r="16099" spans="1:6" x14ac:dyDescent="0.3">
      <c r="A16099" s="15" t="s">
        <v>34062</v>
      </c>
      <c r="B16099" s="15" t="s">
        <v>29849</v>
      </c>
      <c r="C16099" s="15" t="s">
        <v>800</v>
      </c>
      <c r="D16099" s="15" t="s">
        <v>29850</v>
      </c>
      <c r="E16099" s="15">
        <v>10</v>
      </c>
      <c r="F16099" s="42">
        <v>42850</v>
      </c>
    </row>
    <row r="16100" spans="1:6" x14ac:dyDescent="0.3">
      <c r="A16100" s="15" t="s">
        <v>34061</v>
      </c>
      <c r="B16100" s="15" t="s">
        <v>29851</v>
      </c>
      <c r="C16100" s="15" t="s">
        <v>800</v>
      </c>
      <c r="D16100" s="15" t="s">
        <v>29852</v>
      </c>
      <c r="E16100" s="15">
        <v>12.9419</v>
      </c>
      <c r="F16100" s="42">
        <v>42850</v>
      </c>
    </row>
    <row r="16101" spans="1:6" x14ac:dyDescent="0.3">
      <c r="A16101" s="15" t="s">
        <v>34060</v>
      </c>
      <c r="B16101" s="15" t="s">
        <v>29853</v>
      </c>
      <c r="C16101" s="15" t="s">
        <v>800</v>
      </c>
      <c r="D16101" s="15" t="s">
        <v>29854</v>
      </c>
      <c r="E16101" s="15">
        <v>10</v>
      </c>
      <c r="F16101" s="42">
        <v>42954</v>
      </c>
    </row>
    <row r="16102" spans="1:6" x14ac:dyDescent="0.3">
      <c r="A16102" s="15" t="s">
        <v>34059</v>
      </c>
      <c r="B16102" s="15" t="s">
        <v>29855</v>
      </c>
      <c r="C16102" s="15" t="s">
        <v>800</v>
      </c>
      <c r="D16102" s="15" t="s">
        <v>29856</v>
      </c>
      <c r="E16102" s="15">
        <v>13.5564</v>
      </c>
      <c r="F16102" s="42">
        <v>42954</v>
      </c>
    </row>
    <row r="16103" spans="1:6" x14ac:dyDescent="0.3">
      <c r="A16103" s="15" t="s">
        <v>34058</v>
      </c>
      <c r="B16103" s="15" t="s">
        <v>29857</v>
      </c>
      <c r="C16103" s="15" t="s">
        <v>800</v>
      </c>
      <c r="D16103" s="15" t="s">
        <v>29858</v>
      </c>
      <c r="E16103" s="15">
        <v>10</v>
      </c>
      <c r="F16103" s="42">
        <v>42528</v>
      </c>
    </row>
    <row r="16104" spans="1:6" x14ac:dyDescent="0.3">
      <c r="A16104" s="15" t="s">
        <v>34057</v>
      </c>
      <c r="B16104" s="15" t="s">
        <v>29859</v>
      </c>
      <c r="C16104" s="15" t="s">
        <v>800</v>
      </c>
      <c r="D16104" s="15" t="s">
        <v>29860</v>
      </c>
      <c r="E16104" s="15">
        <v>13.4278</v>
      </c>
      <c r="F16104" s="42">
        <v>42954</v>
      </c>
    </row>
    <row r="16105" spans="1:6" x14ac:dyDescent="0.3">
      <c r="A16105" s="15" t="s">
        <v>34056</v>
      </c>
      <c r="B16105" s="15" t="s">
        <v>29861</v>
      </c>
      <c r="C16105" s="15" t="s">
        <v>800</v>
      </c>
      <c r="D16105" s="15" t="s">
        <v>29862</v>
      </c>
      <c r="E16105" s="15">
        <v>13.0105</v>
      </c>
      <c r="F16105" s="42">
        <v>42835</v>
      </c>
    </row>
    <row r="16106" spans="1:6" x14ac:dyDescent="0.3">
      <c r="A16106" s="15" t="s">
        <v>34055</v>
      </c>
      <c r="B16106" s="15" t="s">
        <v>29863</v>
      </c>
      <c r="C16106" s="15" t="s">
        <v>800</v>
      </c>
      <c r="D16106" s="15" t="s">
        <v>29864</v>
      </c>
      <c r="E16106" s="15">
        <v>12.9758</v>
      </c>
      <c r="F16106" s="42">
        <v>42835</v>
      </c>
    </row>
    <row r="16107" spans="1:6" x14ac:dyDescent="0.3">
      <c r="A16107" s="15" t="s">
        <v>34054</v>
      </c>
      <c r="B16107" s="15" t="s">
        <v>29865</v>
      </c>
      <c r="C16107" s="15" t="s">
        <v>800</v>
      </c>
      <c r="D16107" s="15" t="s">
        <v>29866</v>
      </c>
      <c r="E16107" s="15">
        <v>10</v>
      </c>
      <c r="F16107" s="42">
        <v>42849</v>
      </c>
    </row>
    <row r="16108" spans="1:6" x14ac:dyDescent="0.3">
      <c r="A16108" s="15" t="s">
        <v>34053</v>
      </c>
      <c r="B16108" s="15" t="s">
        <v>29867</v>
      </c>
      <c r="C16108" s="15" t="s">
        <v>800</v>
      </c>
      <c r="D16108" s="15" t="s">
        <v>29868</v>
      </c>
      <c r="E16108" s="15">
        <v>13.2454</v>
      </c>
      <c r="F16108" s="42">
        <v>42849</v>
      </c>
    </row>
    <row r="16109" spans="1:6" x14ac:dyDescent="0.3">
      <c r="A16109" s="15" t="s">
        <v>34052</v>
      </c>
      <c r="B16109" s="15" t="s">
        <v>29869</v>
      </c>
      <c r="C16109" s="15" t="s">
        <v>800</v>
      </c>
      <c r="D16109" s="15" t="s">
        <v>29870</v>
      </c>
      <c r="E16109" s="15">
        <v>10</v>
      </c>
      <c r="F16109" s="42">
        <v>42849</v>
      </c>
    </row>
    <row r="16110" spans="1:6" x14ac:dyDescent="0.3">
      <c r="A16110" s="15" t="s">
        <v>34051</v>
      </c>
      <c r="B16110" s="15" t="s">
        <v>29871</v>
      </c>
      <c r="C16110" s="15" t="s">
        <v>800</v>
      </c>
      <c r="D16110" s="15" t="s">
        <v>29872</v>
      </c>
      <c r="E16110" s="15">
        <v>13.008100000000001</v>
      </c>
      <c r="F16110" s="42">
        <v>42849</v>
      </c>
    </row>
    <row r="16111" spans="1:6" x14ac:dyDescent="0.3">
      <c r="A16111" s="15" t="s">
        <v>34050</v>
      </c>
      <c r="B16111" s="15" t="s">
        <v>29873</v>
      </c>
      <c r="C16111" s="15" t="s">
        <v>800</v>
      </c>
      <c r="D16111" s="15" t="s">
        <v>29874</v>
      </c>
      <c r="E16111" s="15">
        <v>14.0991</v>
      </c>
      <c r="F16111" s="42">
        <v>43283</v>
      </c>
    </row>
    <row r="16112" spans="1:6" x14ac:dyDescent="0.3">
      <c r="A16112" s="15" t="s">
        <v>34049</v>
      </c>
      <c r="B16112" s="15" t="s">
        <v>29875</v>
      </c>
      <c r="C16112" s="15" t="s">
        <v>800</v>
      </c>
      <c r="D16112" s="15" t="s">
        <v>29876</v>
      </c>
      <c r="E16112" s="15">
        <v>14.024100000000001</v>
      </c>
      <c r="F16112" s="42">
        <v>43283</v>
      </c>
    </row>
    <row r="16113" spans="1:6" x14ac:dyDescent="0.3">
      <c r="A16113" s="15" t="s">
        <v>34048</v>
      </c>
      <c r="B16113" s="15" t="s">
        <v>29877</v>
      </c>
      <c r="C16113" s="15" t="s">
        <v>800</v>
      </c>
      <c r="D16113" s="15" t="s">
        <v>29878</v>
      </c>
      <c r="E16113" s="15">
        <v>10</v>
      </c>
      <c r="F16113" s="42">
        <v>42101</v>
      </c>
    </row>
    <row r="16114" spans="1:6" x14ac:dyDescent="0.3">
      <c r="A16114" s="15" t="s">
        <v>34047</v>
      </c>
      <c r="B16114" s="15" t="s">
        <v>29879</v>
      </c>
      <c r="C16114" s="15" t="s">
        <v>800</v>
      </c>
      <c r="D16114" s="15" t="s">
        <v>29880</v>
      </c>
      <c r="E16114" s="15">
        <v>14.2798</v>
      </c>
      <c r="F16114" s="42">
        <v>43262</v>
      </c>
    </row>
    <row r="16115" spans="1:6" x14ac:dyDescent="0.3">
      <c r="A16115" s="15" t="s">
        <v>34046</v>
      </c>
      <c r="B16115" s="15" t="s">
        <v>29881</v>
      </c>
      <c r="C16115" s="15" t="s">
        <v>800</v>
      </c>
      <c r="D16115" s="15" t="s">
        <v>29882</v>
      </c>
      <c r="E16115" s="15">
        <v>10</v>
      </c>
      <c r="F16115" s="42">
        <v>42101</v>
      </c>
    </row>
    <row r="16116" spans="1:6" x14ac:dyDescent="0.3">
      <c r="A16116" s="15" t="s">
        <v>34045</v>
      </c>
      <c r="B16116" s="15" t="s">
        <v>29883</v>
      </c>
      <c r="C16116" s="15" t="s">
        <v>800</v>
      </c>
      <c r="D16116" s="15" t="s">
        <v>29884</v>
      </c>
      <c r="E16116" s="15">
        <v>14.1195</v>
      </c>
      <c r="F16116" s="42">
        <v>43262</v>
      </c>
    </row>
    <row r="16117" spans="1:6" x14ac:dyDescent="0.3">
      <c r="A16117" s="15" t="s">
        <v>34044</v>
      </c>
      <c r="B16117" s="15" t="s">
        <v>29885</v>
      </c>
      <c r="C16117" s="15" t="s">
        <v>800</v>
      </c>
      <c r="D16117" s="15" t="s">
        <v>29886</v>
      </c>
      <c r="E16117" s="15">
        <v>10</v>
      </c>
      <c r="F16117" s="42">
        <v>42101</v>
      </c>
    </row>
    <row r="16118" spans="1:6" x14ac:dyDescent="0.3">
      <c r="A16118" s="15" t="s">
        <v>34043</v>
      </c>
      <c r="B16118" s="15" t="s">
        <v>29887</v>
      </c>
      <c r="C16118" s="15" t="s">
        <v>800</v>
      </c>
      <c r="D16118" s="15" t="s">
        <v>29888</v>
      </c>
      <c r="E16118" s="15">
        <v>14.267799999999999</v>
      </c>
      <c r="F16118" s="42">
        <v>43262</v>
      </c>
    </row>
    <row r="16119" spans="1:6" x14ac:dyDescent="0.3">
      <c r="A16119" s="15" t="s">
        <v>34042</v>
      </c>
      <c r="B16119" s="15" t="s">
        <v>29889</v>
      </c>
      <c r="C16119" s="15" t="s">
        <v>800</v>
      </c>
      <c r="D16119" s="15" t="s">
        <v>29890</v>
      </c>
      <c r="E16119" s="15">
        <v>10</v>
      </c>
      <c r="F16119" s="42">
        <v>43262</v>
      </c>
    </row>
    <row r="16120" spans="1:6" x14ac:dyDescent="0.3">
      <c r="A16120" s="15" t="s">
        <v>34041</v>
      </c>
      <c r="B16120" s="15" t="s">
        <v>29891</v>
      </c>
      <c r="C16120" s="15" t="s">
        <v>800</v>
      </c>
      <c r="D16120" s="15" t="s">
        <v>29892</v>
      </c>
      <c r="E16120" s="15">
        <v>14.1798</v>
      </c>
      <c r="F16120" s="42">
        <v>43262</v>
      </c>
    </row>
    <row r="16121" spans="1:6" x14ac:dyDescent="0.3">
      <c r="A16121" s="15" t="s">
        <v>34040</v>
      </c>
      <c r="B16121" s="15" t="s">
        <v>29893</v>
      </c>
      <c r="C16121" s="15" t="s">
        <v>800</v>
      </c>
      <c r="D16121" s="15" t="s">
        <v>29894</v>
      </c>
      <c r="E16121" s="15">
        <v>10</v>
      </c>
      <c r="F16121" s="42">
        <v>42184</v>
      </c>
    </row>
    <row r="16122" spans="1:6" x14ac:dyDescent="0.3">
      <c r="A16122" s="15" t="s">
        <v>34039</v>
      </c>
      <c r="B16122" s="15" t="s">
        <v>29895</v>
      </c>
      <c r="C16122" s="15" t="s">
        <v>800</v>
      </c>
      <c r="D16122" s="15" t="s">
        <v>29896</v>
      </c>
      <c r="E16122" s="15">
        <v>10</v>
      </c>
      <c r="F16122" s="42">
        <v>42940</v>
      </c>
    </row>
    <row r="16123" spans="1:6" x14ac:dyDescent="0.3">
      <c r="A16123" s="15" t="s">
        <v>34038</v>
      </c>
      <c r="B16123" s="15" t="s">
        <v>29897</v>
      </c>
      <c r="C16123" s="15" t="s">
        <v>800</v>
      </c>
      <c r="D16123" s="15" t="s">
        <v>29898</v>
      </c>
      <c r="E16123" s="15">
        <v>13.539400000000001</v>
      </c>
      <c r="F16123" s="42">
        <v>42940</v>
      </c>
    </row>
    <row r="16124" spans="1:6" x14ac:dyDescent="0.3">
      <c r="A16124" s="15" t="s">
        <v>34037</v>
      </c>
      <c r="B16124" s="15" t="s">
        <v>29899</v>
      </c>
      <c r="C16124" s="15" t="s">
        <v>800</v>
      </c>
      <c r="D16124" s="15" t="s">
        <v>29900</v>
      </c>
      <c r="E16124" s="15">
        <v>13.4468</v>
      </c>
      <c r="F16124" s="42">
        <v>42940</v>
      </c>
    </row>
    <row r="16125" spans="1:6" x14ac:dyDescent="0.3">
      <c r="A16125" s="15" t="s">
        <v>34036</v>
      </c>
      <c r="B16125" s="15" t="s">
        <v>29901</v>
      </c>
      <c r="C16125" s="15" t="s">
        <v>800</v>
      </c>
      <c r="D16125" s="15" t="s">
        <v>29902</v>
      </c>
      <c r="E16125" s="15">
        <v>10</v>
      </c>
      <c r="F16125" s="42">
        <v>43262</v>
      </c>
    </row>
    <row r="16126" spans="1:6" x14ac:dyDescent="0.3">
      <c r="A16126" s="15" t="s">
        <v>34035</v>
      </c>
      <c r="B16126" s="15" t="s">
        <v>29903</v>
      </c>
      <c r="C16126" s="15" t="s">
        <v>800</v>
      </c>
      <c r="D16126" s="15" t="s">
        <v>29904</v>
      </c>
      <c r="E16126" s="15">
        <v>14.1942</v>
      </c>
      <c r="F16126" s="42">
        <v>43262</v>
      </c>
    </row>
    <row r="16127" spans="1:6" x14ac:dyDescent="0.3">
      <c r="A16127" s="15" t="s">
        <v>34034</v>
      </c>
      <c r="B16127" s="15" t="s">
        <v>29905</v>
      </c>
      <c r="C16127" s="15" t="s">
        <v>800</v>
      </c>
      <c r="D16127" s="15" t="s">
        <v>29906</v>
      </c>
      <c r="E16127" s="15">
        <v>10</v>
      </c>
      <c r="F16127" s="42">
        <v>43262</v>
      </c>
    </row>
    <row r="16128" spans="1:6" x14ac:dyDescent="0.3">
      <c r="A16128" s="15" t="s">
        <v>34033</v>
      </c>
      <c r="B16128" s="15" t="s">
        <v>29907</v>
      </c>
      <c r="C16128" s="15" t="s">
        <v>800</v>
      </c>
      <c r="D16128" s="15" t="s">
        <v>29908</v>
      </c>
      <c r="E16128" s="15">
        <v>14.015000000000001</v>
      </c>
      <c r="F16128" s="42">
        <v>43262</v>
      </c>
    </row>
    <row r="16129" spans="1:6" x14ac:dyDescent="0.3">
      <c r="A16129" s="15" t="s">
        <v>34032</v>
      </c>
      <c r="B16129" s="15" t="s">
        <v>29909</v>
      </c>
      <c r="C16129" s="15" t="s">
        <v>800</v>
      </c>
      <c r="D16129" s="15" t="s">
        <v>29910</v>
      </c>
      <c r="E16129" s="15">
        <v>12.9815</v>
      </c>
      <c r="F16129" s="42">
        <v>42849</v>
      </c>
    </row>
    <row r="16130" spans="1:6" x14ac:dyDescent="0.3">
      <c r="A16130" s="15" t="s">
        <v>34031</v>
      </c>
      <c r="B16130" s="15" t="s">
        <v>29911</v>
      </c>
      <c r="C16130" s="15" t="s">
        <v>800</v>
      </c>
      <c r="D16130" s="15" t="s">
        <v>29912</v>
      </c>
      <c r="E16130" s="15">
        <v>10</v>
      </c>
      <c r="F16130" s="42">
        <v>42101</v>
      </c>
    </row>
    <row r="16131" spans="1:6" x14ac:dyDescent="0.3">
      <c r="A16131" s="15" t="s">
        <v>34030</v>
      </c>
      <c r="B16131" s="15" t="s">
        <v>29913</v>
      </c>
      <c r="C16131" s="15" t="s">
        <v>800</v>
      </c>
      <c r="D16131" s="15" t="s">
        <v>29914</v>
      </c>
      <c r="E16131" s="15">
        <v>12.9373</v>
      </c>
      <c r="F16131" s="42">
        <v>42849</v>
      </c>
    </row>
    <row r="16132" spans="1:6" x14ac:dyDescent="0.3">
      <c r="A16132" s="15" t="s">
        <v>34029</v>
      </c>
      <c r="B16132" s="15" t="s">
        <v>29915</v>
      </c>
      <c r="C16132" s="15" t="s">
        <v>800</v>
      </c>
      <c r="D16132" s="15" t="s">
        <v>29916</v>
      </c>
      <c r="E16132" s="15">
        <v>12.9565</v>
      </c>
      <c r="F16132" s="42">
        <v>42852</v>
      </c>
    </row>
    <row r="16133" spans="1:6" x14ac:dyDescent="0.3">
      <c r="A16133" s="15" t="s">
        <v>34028</v>
      </c>
      <c r="B16133" s="15" t="s">
        <v>29917</v>
      </c>
      <c r="C16133" s="15" t="s">
        <v>800</v>
      </c>
      <c r="D16133" s="15" t="s">
        <v>29918</v>
      </c>
      <c r="E16133" s="15">
        <v>12.9162</v>
      </c>
      <c r="F16133" s="42">
        <v>42852</v>
      </c>
    </row>
    <row r="16134" spans="1:6" x14ac:dyDescent="0.3">
      <c r="A16134" s="15" t="s">
        <v>34027</v>
      </c>
      <c r="B16134" s="15" t="s">
        <v>29919</v>
      </c>
      <c r="C16134" s="15" t="s">
        <v>800</v>
      </c>
      <c r="D16134" s="15" t="s">
        <v>29920</v>
      </c>
      <c r="E16134" s="15">
        <v>12.904</v>
      </c>
      <c r="F16134" s="42">
        <v>42850</v>
      </c>
    </row>
    <row r="16135" spans="1:6" x14ac:dyDescent="0.3">
      <c r="A16135" s="15" t="s">
        <v>34026</v>
      </c>
      <c r="B16135" s="15" t="s">
        <v>29921</v>
      </c>
      <c r="C16135" s="15" t="s">
        <v>800</v>
      </c>
      <c r="D16135" s="15" t="s">
        <v>29922</v>
      </c>
      <c r="E16135" s="15">
        <v>10</v>
      </c>
      <c r="F16135" s="42">
        <v>42850</v>
      </c>
    </row>
    <row r="16136" spans="1:6" x14ac:dyDescent="0.3">
      <c r="A16136" s="15" t="s">
        <v>34025</v>
      </c>
      <c r="B16136" s="15" t="s">
        <v>29923</v>
      </c>
      <c r="C16136" s="15" t="s">
        <v>800</v>
      </c>
      <c r="D16136" s="15" t="s">
        <v>29924</v>
      </c>
      <c r="E16136" s="15">
        <v>12.864000000000001</v>
      </c>
      <c r="F16136" s="42">
        <v>42850</v>
      </c>
    </row>
    <row r="16137" spans="1:6" x14ac:dyDescent="0.3">
      <c r="A16137" s="15" t="s">
        <v>34024</v>
      </c>
      <c r="B16137" s="15" t="s">
        <v>29925</v>
      </c>
      <c r="C16137" s="15" t="s">
        <v>800</v>
      </c>
      <c r="D16137" s="15" t="s">
        <v>29926</v>
      </c>
      <c r="E16137" s="15">
        <v>12.930300000000001</v>
      </c>
      <c r="F16137" s="42">
        <v>42852</v>
      </c>
    </row>
    <row r="16138" spans="1:6" x14ac:dyDescent="0.3">
      <c r="A16138" s="15" t="s">
        <v>34023</v>
      </c>
      <c r="B16138" s="15" t="s">
        <v>29927</v>
      </c>
      <c r="C16138" s="15" t="s">
        <v>800</v>
      </c>
      <c r="D16138" s="15" t="s">
        <v>29928</v>
      </c>
      <c r="E16138" s="15">
        <v>12.889699999999999</v>
      </c>
      <c r="F16138" s="42">
        <v>42852</v>
      </c>
    </row>
    <row r="16139" spans="1:6" x14ac:dyDescent="0.3">
      <c r="A16139" s="15" t="s">
        <v>34022</v>
      </c>
      <c r="B16139" s="15" t="s">
        <v>29929</v>
      </c>
      <c r="C16139" s="15" t="s">
        <v>800</v>
      </c>
      <c r="D16139" s="15" t="s">
        <v>29930</v>
      </c>
      <c r="E16139" s="15">
        <v>10</v>
      </c>
      <c r="F16139" s="42">
        <v>43557</v>
      </c>
    </row>
    <row r="16140" spans="1:6" x14ac:dyDescent="0.3">
      <c r="A16140" s="15" t="s">
        <v>34021</v>
      </c>
      <c r="B16140" s="15" t="s">
        <v>29931</v>
      </c>
      <c r="C16140" s="15" t="s">
        <v>800</v>
      </c>
      <c r="D16140" s="15" t="s">
        <v>29932</v>
      </c>
      <c r="E16140" s="15">
        <v>15.6265</v>
      </c>
      <c r="F16140" s="42">
        <v>43557</v>
      </c>
    </row>
    <row r="16141" spans="1:6" x14ac:dyDescent="0.3">
      <c r="A16141" s="15" t="s">
        <v>34020</v>
      </c>
      <c r="B16141" s="15" t="s">
        <v>29933</v>
      </c>
      <c r="C16141" s="15" t="s">
        <v>800</v>
      </c>
      <c r="D16141" s="15" t="s">
        <v>29934</v>
      </c>
      <c r="E16141" s="15">
        <v>10</v>
      </c>
      <c r="F16141" s="42">
        <v>43557</v>
      </c>
    </row>
    <row r="16142" spans="1:6" x14ac:dyDescent="0.3">
      <c r="A16142" s="15" t="s">
        <v>34019</v>
      </c>
      <c r="B16142" s="15" t="s">
        <v>29935</v>
      </c>
      <c r="C16142" s="15" t="s">
        <v>800</v>
      </c>
      <c r="D16142" s="15" t="s">
        <v>29936</v>
      </c>
      <c r="E16142" s="15">
        <v>15.2705</v>
      </c>
      <c r="F16142" s="42">
        <v>43557</v>
      </c>
    </row>
    <row r="16143" spans="1:6" x14ac:dyDescent="0.3">
      <c r="A16143" s="15" t="s">
        <v>34018</v>
      </c>
      <c r="B16143" s="15" t="s">
        <v>29937</v>
      </c>
      <c r="C16143" s="15" t="s">
        <v>800</v>
      </c>
      <c r="D16143" s="15" t="s">
        <v>29938</v>
      </c>
      <c r="E16143" s="15">
        <v>10</v>
      </c>
      <c r="F16143" s="42">
        <v>42719</v>
      </c>
    </row>
    <row r="16144" spans="1:6" x14ac:dyDescent="0.3">
      <c r="A16144" s="15" t="s">
        <v>34017</v>
      </c>
      <c r="B16144" s="15" t="s">
        <v>29939</v>
      </c>
      <c r="C16144" s="15" t="s">
        <v>800</v>
      </c>
      <c r="D16144" s="15" t="s">
        <v>29940</v>
      </c>
      <c r="E16144" s="15">
        <v>12.873100000000001</v>
      </c>
      <c r="F16144" s="42">
        <v>42719</v>
      </c>
    </row>
    <row r="16145" spans="1:6" x14ac:dyDescent="0.3">
      <c r="A16145" s="15" t="s">
        <v>34016</v>
      </c>
      <c r="B16145" s="15" t="s">
        <v>29941</v>
      </c>
      <c r="C16145" s="15" t="s">
        <v>800</v>
      </c>
      <c r="D16145" s="15" t="s">
        <v>29942</v>
      </c>
      <c r="E16145" s="15">
        <v>12.813800000000001</v>
      </c>
      <c r="F16145" s="42">
        <v>42719</v>
      </c>
    </row>
    <row r="16146" spans="1:6" x14ac:dyDescent="0.3">
      <c r="A16146" s="15" t="s">
        <v>34015</v>
      </c>
      <c r="B16146" s="15" t="s">
        <v>29943</v>
      </c>
      <c r="C16146" s="15" t="s">
        <v>800</v>
      </c>
      <c r="D16146" s="15" t="s">
        <v>29944</v>
      </c>
      <c r="E16146" s="15">
        <v>10</v>
      </c>
      <c r="F16146" s="42">
        <v>42184</v>
      </c>
    </row>
    <row r="16147" spans="1:6" x14ac:dyDescent="0.3">
      <c r="A16147" s="15" t="s">
        <v>34014</v>
      </c>
      <c r="B16147" s="15" t="s">
        <v>29945</v>
      </c>
      <c r="C16147" s="15" t="s">
        <v>800</v>
      </c>
      <c r="D16147" s="15" t="s">
        <v>29946</v>
      </c>
      <c r="E16147" s="15">
        <v>13.536799999999999</v>
      </c>
      <c r="F16147" s="42">
        <v>42940</v>
      </c>
    </row>
    <row r="16148" spans="1:6" x14ac:dyDescent="0.3">
      <c r="A16148" s="15" t="s">
        <v>34013</v>
      </c>
      <c r="B16148" s="15" t="s">
        <v>29947</v>
      </c>
      <c r="C16148" s="15" t="s">
        <v>800</v>
      </c>
      <c r="D16148" s="15" t="s">
        <v>29948</v>
      </c>
      <c r="E16148" s="15">
        <v>10</v>
      </c>
      <c r="F16148" s="42">
        <v>42184</v>
      </c>
    </row>
    <row r="16149" spans="1:6" x14ac:dyDescent="0.3">
      <c r="A16149" s="15" t="s">
        <v>34012</v>
      </c>
      <c r="B16149" s="15" t="s">
        <v>29949</v>
      </c>
      <c r="C16149" s="15" t="s">
        <v>800</v>
      </c>
      <c r="D16149" s="15" t="s">
        <v>29950</v>
      </c>
      <c r="E16149" s="15">
        <v>13.4506</v>
      </c>
      <c r="F16149" s="42">
        <v>42940</v>
      </c>
    </row>
    <row r="16150" spans="1:6" x14ac:dyDescent="0.3">
      <c r="A16150" s="15" t="s">
        <v>34011</v>
      </c>
      <c r="B16150" s="15" t="s">
        <v>29951</v>
      </c>
      <c r="C16150" s="15" t="s">
        <v>800</v>
      </c>
      <c r="D16150" s="15" t="s">
        <v>29952</v>
      </c>
      <c r="E16150" s="15">
        <v>11.913</v>
      </c>
      <c r="F16150" s="42">
        <v>43283</v>
      </c>
    </row>
    <row r="16151" spans="1:6" x14ac:dyDescent="0.3">
      <c r="A16151" s="15" t="s">
        <v>34010</v>
      </c>
      <c r="B16151" s="15" t="s">
        <v>29953</v>
      </c>
      <c r="C16151" s="15" t="s">
        <v>800</v>
      </c>
      <c r="D16151" s="15" t="s">
        <v>29954</v>
      </c>
      <c r="E16151" s="15">
        <v>14.832800000000001</v>
      </c>
      <c r="F16151" s="42">
        <v>43283</v>
      </c>
    </row>
    <row r="16152" spans="1:6" x14ac:dyDescent="0.3">
      <c r="A16152" s="15" t="s">
        <v>34009</v>
      </c>
      <c r="B16152" s="15" t="s">
        <v>29955</v>
      </c>
      <c r="C16152" s="15" t="s">
        <v>800</v>
      </c>
      <c r="D16152" s="15" t="s">
        <v>29956</v>
      </c>
      <c r="E16152" s="15">
        <v>11.8741</v>
      </c>
      <c r="F16152" s="42">
        <v>43283</v>
      </c>
    </row>
    <row r="16153" spans="1:6" x14ac:dyDescent="0.3">
      <c r="A16153" s="15" t="s">
        <v>34008</v>
      </c>
      <c r="B16153" s="15" t="s">
        <v>29957</v>
      </c>
      <c r="C16153" s="15" t="s">
        <v>800</v>
      </c>
      <c r="D16153" s="15" t="s">
        <v>29958</v>
      </c>
      <c r="E16153" s="15">
        <v>14.652100000000001</v>
      </c>
      <c r="F16153" s="42">
        <v>43283</v>
      </c>
    </row>
    <row r="16154" spans="1:6" x14ac:dyDescent="0.3">
      <c r="A16154" s="15" t="s">
        <v>34007</v>
      </c>
      <c r="B16154" s="15" t="s">
        <v>29959</v>
      </c>
      <c r="C16154" s="15" t="s">
        <v>800</v>
      </c>
      <c r="D16154" s="15" t="s">
        <v>29960</v>
      </c>
      <c r="E16154" s="15">
        <v>10</v>
      </c>
      <c r="F16154" s="42">
        <v>42536</v>
      </c>
    </row>
    <row r="16155" spans="1:6" x14ac:dyDescent="0.3">
      <c r="A16155" s="15" t="s">
        <v>34006</v>
      </c>
      <c r="B16155" s="15" t="s">
        <v>29961</v>
      </c>
      <c r="C16155" s="15" t="s">
        <v>800</v>
      </c>
      <c r="D16155" s="15" t="s">
        <v>29962</v>
      </c>
      <c r="E16155" s="15">
        <v>14.6448</v>
      </c>
      <c r="F16155" s="42">
        <v>43283</v>
      </c>
    </row>
    <row r="16156" spans="1:6" x14ac:dyDescent="0.3">
      <c r="A16156" s="15" t="s">
        <v>34005</v>
      </c>
      <c r="B16156" s="15" t="s">
        <v>29963</v>
      </c>
      <c r="C16156" s="15" t="s">
        <v>800</v>
      </c>
      <c r="D16156" s="15" t="s">
        <v>29964</v>
      </c>
      <c r="E16156" s="15">
        <v>11.8004</v>
      </c>
      <c r="F16156" s="42">
        <v>43283</v>
      </c>
    </row>
    <row r="16157" spans="1:6" x14ac:dyDescent="0.3">
      <c r="A16157" s="15" t="s">
        <v>34004</v>
      </c>
      <c r="B16157" s="15" t="s">
        <v>29965</v>
      </c>
      <c r="C16157" s="15" t="s">
        <v>800</v>
      </c>
      <c r="D16157" s="15" t="s">
        <v>29966</v>
      </c>
      <c r="E16157" s="15">
        <v>14.394</v>
      </c>
      <c r="F16157" s="42">
        <v>43283</v>
      </c>
    </row>
    <row r="16158" spans="1:6" x14ac:dyDescent="0.3">
      <c r="A16158" s="15" t="s">
        <v>34003</v>
      </c>
      <c r="B16158" s="15" t="s">
        <v>29967</v>
      </c>
      <c r="C16158" s="15" t="s">
        <v>800</v>
      </c>
      <c r="D16158" s="15" t="s">
        <v>29968</v>
      </c>
      <c r="E16158" s="15">
        <v>12.8672</v>
      </c>
      <c r="F16158" s="42">
        <v>42879</v>
      </c>
    </row>
    <row r="16159" spans="1:6" x14ac:dyDescent="0.3">
      <c r="A16159" s="15" t="s">
        <v>34002</v>
      </c>
      <c r="B16159" s="15" t="s">
        <v>29969</v>
      </c>
      <c r="C16159" s="15" t="s">
        <v>800</v>
      </c>
      <c r="D16159" s="15" t="s">
        <v>29970</v>
      </c>
      <c r="E16159" s="15">
        <v>10</v>
      </c>
      <c r="F16159" s="42">
        <v>42129</v>
      </c>
    </row>
    <row r="16160" spans="1:6" x14ac:dyDescent="0.3">
      <c r="A16160" s="15" t="s">
        <v>34001</v>
      </c>
      <c r="B16160" s="15" t="s">
        <v>29971</v>
      </c>
      <c r="C16160" s="15" t="s">
        <v>800</v>
      </c>
      <c r="D16160" s="15" t="s">
        <v>29972</v>
      </c>
      <c r="E16160" s="15">
        <v>12.821300000000001</v>
      </c>
      <c r="F16160" s="42">
        <v>42879</v>
      </c>
    </row>
    <row r="16161" spans="1:6" x14ac:dyDescent="0.3">
      <c r="A16161" s="15" t="s">
        <v>34000</v>
      </c>
      <c r="B16161" s="15" t="s">
        <v>29973</v>
      </c>
      <c r="C16161" s="15" t="s">
        <v>800</v>
      </c>
      <c r="D16161" s="15" t="s">
        <v>29974</v>
      </c>
      <c r="E16161" s="15">
        <v>10</v>
      </c>
      <c r="F16161" s="42">
        <v>42879</v>
      </c>
    </row>
    <row r="16162" spans="1:6" x14ac:dyDescent="0.3">
      <c r="A16162" s="15" t="s">
        <v>33999</v>
      </c>
      <c r="B16162" s="15" t="s">
        <v>29975</v>
      </c>
      <c r="C16162" s="15" t="s">
        <v>800</v>
      </c>
      <c r="D16162" s="15" t="s">
        <v>29976</v>
      </c>
      <c r="E16162" s="15">
        <v>12.837400000000001</v>
      </c>
      <c r="F16162" s="42">
        <v>42879</v>
      </c>
    </row>
    <row r="16163" spans="1:6" x14ac:dyDescent="0.3">
      <c r="A16163" s="15" t="s">
        <v>33998</v>
      </c>
      <c r="B16163" s="15" t="s">
        <v>29977</v>
      </c>
      <c r="C16163" s="15" t="s">
        <v>800</v>
      </c>
      <c r="D16163" s="15" t="s">
        <v>29978</v>
      </c>
      <c r="E16163" s="15">
        <v>10</v>
      </c>
      <c r="F16163" s="42">
        <v>42879</v>
      </c>
    </row>
    <row r="16164" spans="1:6" x14ac:dyDescent="0.3">
      <c r="A16164" s="15" t="s">
        <v>33997</v>
      </c>
      <c r="B16164" s="15" t="s">
        <v>29979</v>
      </c>
      <c r="C16164" s="15" t="s">
        <v>800</v>
      </c>
      <c r="D16164" s="15" t="s">
        <v>29980</v>
      </c>
      <c r="E16164" s="15">
        <v>12.782500000000001</v>
      </c>
      <c r="F16164" s="42">
        <v>42879</v>
      </c>
    </row>
    <row r="16165" spans="1:6" x14ac:dyDescent="0.3">
      <c r="A16165" s="15" t="s">
        <v>33996</v>
      </c>
      <c r="B16165" s="15" t="s">
        <v>29981</v>
      </c>
      <c r="C16165" s="15" t="s">
        <v>800</v>
      </c>
      <c r="D16165" s="15" t="s">
        <v>29982</v>
      </c>
      <c r="E16165" s="15">
        <v>14.020200000000001</v>
      </c>
      <c r="F16165" s="42">
        <v>43283</v>
      </c>
    </row>
    <row r="16166" spans="1:6" x14ac:dyDescent="0.3">
      <c r="A16166" s="15" t="s">
        <v>33995</v>
      </c>
      <c r="B16166" s="15" t="s">
        <v>29983</v>
      </c>
      <c r="C16166" s="15" t="s">
        <v>800</v>
      </c>
      <c r="D16166" s="15" t="s">
        <v>29984</v>
      </c>
      <c r="E16166" s="15">
        <v>10</v>
      </c>
      <c r="F16166" s="42">
        <v>42101</v>
      </c>
    </row>
    <row r="16167" spans="1:6" x14ac:dyDescent="0.3">
      <c r="A16167" s="15" t="s">
        <v>33994</v>
      </c>
      <c r="B16167" s="15" t="s">
        <v>29985</v>
      </c>
      <c r="C16167" s="15" t="s">
        <v>800</v>
      </c>
      <c r="D16167" s="15" t="s">
        <v>29986</v>
      </c>
      <c r="E16167" s="15">
        <v>13.953099999999999</v>
      </c>
      <c r="F16167" s="42">
        <v>43283</v>
      </c>
    </row>
    <row r="16168" spans="1:6" x14ac:dyDescent="0.3">
      <c r="A16168" s="15" t="s">
        <v>33993</v>
      </c>
      <c r="B16168" s="15" t="s">
        <v>29987</v>
      </c>
      <c r="C16168" s="15" t="s">
        <v>800</v>
      </c>
      <c r="D16168" s="15" t="s">
        <v>29988</v>
      </c>
      <c r="E16168" s="15">
        <v>10</v>
      </c>
      <c r="F16168" s="42">
        <v>42940</v>
      </c>
    </row>
    <row r="16169" spans="1:6" x14ac:dyDescent="0.3">
      <c r="A16169" s="15" t="s">
        <v>33992</v>
      </c>
      <c r="B16169" s="15" t="s">
        <v>29989</v>
      </c>
      <c r="C16169" s="15" t="s">
        <v>800</v>
      </c>
      <c r="D16169" s="15" t="s">
        <v>29990</v>
      </c>
      <c r="E16169" s="15">
        <v>12.832100000000001</v>
      </c>
      <c r="F16169" s="42">
        <v>42940</v>
      </c>
    </row>
    <row r="16170" spans="1:6" x14ac:dyDescent="0.3">
      <c r="A16170" s="15" t="s">
        <v>33991</v>
      </c>
      <c r="B16170" s="15" t="s">
        <v>29991</v>
      </c>
      <c r="C16170" s="15" t="s">
        <v>800</v>
      </c>
      <c r="D16170" s="15" t="s">
        <v>29992</v>
      </c>
      <c r="E16170" s="15">
        <v>10</v>
      </c>
      <c r="F16170" s="42">
        <v>42940</v>
      </c>
    </row>
    <row r="16171" spans="1:6" x14ac:dyDescent="0.3">
      <c r="A16171" s="15" t="s">
        <v>33990</v>
      </c>
      <c r="B16171" s="15" t="s">
        <v>29993</v>
      </c>
      <c r="C16171" s="15" t="s">
        <v>800</v>
      </c>
      <c r="D16171" s="15" t="s">
        <v>29994</v>
      </c>
      <c r="E16171" s="15">
        <v>12.7925</v>
      </c>
      <c r="F16171" s="42">
        <v>42940</v>
      </c>
    </row>
    <row r="16172" spans="1:6" x14ac:dyDescent="0.3">
      <c r="A16172" s="15" t="s">
        <v>33989</v>
      </c>
      <c r="B16172" s="15" t="s">
        <v>29995</v>
      </c>
      <c r="C16172" s="15" t="s">
        <v>800</v>
      </c>
      <c r="D16172" s="15" t="s">
        <v>29996</v>
      </c>
      <c r="E16172" s="15">
        <v>11.7218</v>
      </c>
      <c r="F16172" s="42">
        <v>43283</v>
      </c>
    </row>
    <row r="16173" spans="1:6" x14ac:dyDescent="0.3">
      <c r="A16173" s="15" t="s">
        <v>33988</v>
      </c>
      <c r="B16173" s="15" t="s">
        <v>29997</v>
      </c>
      <c r="C16173" s="15" t="s">
        <v>800</v>
      </c>
      <c r="D16173" s="15" t="s">
        <v>29998</v>
      </c>
      <c r="E16173" s="15">
        <v>14.148</v>
      </c>
      <c r="F16173" s="42">
        <v>43283</v>
      </c>
    </row>
    <row r="16174" spans="1:6" x14ac:dyDescent="0.3">
      <c r="A16174" s="15" t="s">
        <v>33987</v>
      </c>
      <c r="B16174" s="15" t="s">
        <v>29999</v>
      </c>
      <c r="C16174" s="15" t="s">
        <v>800</v>
      </c>
      <c r="D16174" s="15" t="s">
        <v>30000</v>
      </c>
      <c r="E16174" s="15">
        <v>11.639699999999999</v>
      </c>
      <c r="F16174" s="42">
        <v>43283</v>
      </c>
    </row>
    <row r="16175" spans="1:6" x14ac:dyDescent="0.3">
      <c r="A16175" s="15" t="s">
        <v>33986</v>
      </c>
      <c r="B16175" s="15" t="s">
        <v>30001</v>
      </c>
      <c r="C16175" s="15" t="s">
        <v>800</v>
      </c>
      <c r="D16175" s="15" t="s">
        <v>30002</v>
      </c>
      <c r="E16175" s="15">
        <v>13.9314</v>
      </c>
      <c r="F16175" s="42">
        <v>43283</v>
      </c>
    </row>
    <row r="16176" spans="1:6" x14ac:dyDescent="0.3">
      <c r="A16176" s="15" t="s">
        <v>33985</v>
      </c>
      <c r="B16176" s="15" t="s">
        <v>30003</v>
      </c>
      <c r="C16176" s="15" t="s">
        <v>800</v>
      </c>
      <c r="D16176" s="15" t="s">
        <v>30004</v>
      </c>
      <c r="E16176" s="15">
        <v>10</v>
      </c>
      <c r="F16176" s="42">
        <v>42940</v>
      </c>
    </row>
    <row r="16177" spans="1:6" x14ac:dyDescent="0.3">
      <c r="A16177" s="15" t="s">
        <v>33984</v>
      </c>
      <c r="B16177" s="15" t="s">
        <v>30005</v>
      </c>
      <c r="C16177" s="15" t="s">
        <v>800</v>
      </c>
      <c r="D16177" s="15" t="s">
        <v>30006</v>
      </c>
      <c r="E16177" s="15">
        <v>12.843</v>
      </c>
      <c r="F16177" s="42">
        <v>42940</v>
      </c>
    </row>
    <row r="16178" spans="1:6" x14ac:dyDescent="0.3">
      <c r="A16178" s="15" t="s">
        <v>33983</v>
      </c>
      <c r="B16178" s="15" t="s">
        <v>30007</v>
      </c>
      <c r="C16178" s="15" t="s">
        <v>800</v>
      </c>
      <c r="D16178" s="15" t="s">
        <v>30008</v>
      </c>
      <c r="E16178" s="15">
        <v>10</v>
      </c>
      <c r="F16178" s="42">
        <v>42940</v>
      </c>
    </row>
    <row r="16179" spans="1:6" x14ac:dyDescent="0.3">
      <c r="A16179" s="15" t="s">
        <v>33982</v>
      </c>
      <c r="B16179" s="15" t="s">
        <v>30009</v>
      </c>
      <c r="C16179" s="15" t="s">
        <v>800</v>
      </c>
      <c r="D16179" s="15" t="s">
        <v>30010</v>
      </c>
      <c r="E16179" s="15">
        <v>12.804600000000001</v>
      </c>
      <c r="F16179" s="42">
        <v>42940</v>
      </c>
    </row>
    <row r="16180" spans="1:6" x14ac:dyDescent="0.3">
      <c r="A16180" s="15" t="s">
        <v>33981</v>
      </c>
      <c r="B16180" s="15" t="s">
        <v>30011</v>
      </c>
      <c r="C16180" s="15" t="s">
        <v>800</v>
      </c>
      <c r="D16180" s="15" t="s">
        <v>30012</v>
      </c>
      <c r="E16180" s="15">
        <v>10</v>
      </c>
      <c r="F16180" s="42">
        <v>42818</v>
      </c>
    </row>
    <row r="16181" spans="1:6" x14ac:dyDescent="0.3">
      <c r="A16181" s="15" t="s">
        <v>33980</v>
      </c>
      <c r="B16181" s="15" t="s">
        <v>30013</v>
      </c>
      <c r="C16181" s="15" t="s">
        <v>800</v>
      </c>
      <c r="D16181" s="15" t="s">
        <v>30014</v>
      </c>
      <c r="E16181" s="15">
        <v>13.190200000000001</v>
      </c>
      <c r="F16181" s="42">
        <v>42849</v>
      </c>
    </row>
    <row r="16182" spans="1:6" x14ac:dyDescent="0.3">
      <c r="A16182" s="15" t="s">
        <v>33979</v>
      </c>
      <c r="B16182" s="15" t="s">
        <v>30015</v>
      </c>
      <c r="C16182" s="15" t="s">
        <v>800</v>
      </c>
      <c r="D16182" s="15" t="s">
        <v>30016</v>
      </c>
      <c r="E16182" s="15">
        <v>10</v>
      </c>
      <c r="F16182" s="42">
        <v>42818</v>
      </c>
    </row>
    <row r="16183" spans="1:6" x14ac:dyDescent="0.3">
      <c r="A16183" s="15" t="s">
        <v>33978</v>
      </c>
      <c r="B16183" s="15" t="s">
        <v>30017</v>
      </c>
      <c r="C16183" s="15" t="s">
        <v>800</v>
      </c>
      <c r="D16183" s="15" t="s">
        <v>30018</v>
      </c>
      <c r="E16183" s="15">
        <v>12.9725</v>
      </c>
      <c r="F16183" s="42">
        <v>42849</v>
      </c>
    </row>
    <row r="16184" spans="1:6" x14ac:dyDescent="0.3">
      <c r="A16184" s="15" t="s">
        <v>33977</v>
      </c>
      <c r="B16184" s="15" t="s">
        <v>30019</v>
      </c>
      <c r="C16184" s="15" t="s">
        <v>800</v>
      </c>
      <c r="D16184" s="15" t="s">
        <v>30020</v>
      </c>
      <c r="E16184" s="15">
        <v>13.0503</v>
      </c>
      <c r="F16184" s="42">
        <v>43006</v>
      </c>
    </row>
    <row r="16185" spans="1:6" x14ac:dyDescent="0.3">
      <c r="A16185" s="15" t="s">
        <v>33976</v>
      </c>
      <c r="B16185" s="15" t="s">
        <v>30021</v>
      </c>
      <c r="C16185" s="15" t="s">
        <v>800</v>
      </c>
      <c r="D16185" s="15" t="s">
        <v>30022</v>
      </c>
      <c r="E16185" s="15">
        <v>10</v>
      </c>
      <c r="F16185" s="42">
        <v>43006</v>
      </c>
    </row>
    <row r="16186" spans="1:6" x14ac:dyDescent="0.3">
      <c r="A16186" s="15" t="s">
        <v>33975</v>
      </c>
      <c r="B16186" s="15" t="s">
        <v>30023</v>
      </c>
      <c r="C16186" s="15" t="s">
        <v>800</v>
      </c>
      <c r="D16186" s="15" t="s">
        <v>30024</v>
      </c>
      <c r="E16186" s="15">
        <v>12.8712</v>
      </c>
      <c r="F16186" s="42">
        <v>43006</v>
      </c>
    </row>
    <row r="16187" spans="1:6" x14ac:dyDescent="0.3">
      <c r="A16187" s="15" t="s">
        <v>33974</v>
      </c>
      <c r="B16187" s="15" t="s">
        <v>30025</v>
      </c>
      <c r="C16187" s="15" t="s">
        <v>800</v>
      </c>
      <c r="D16187" s="15" t="s">
        <v>30026</v>
      </c>
      <c r="E16187" s="15">
        <v>12.775499999999999</v>
      </c>
      <c r="F16187" s="42">
        <v>43084</v>
      </c>
    </row>
    <row r="16188" spans="1:6" x14ac:dyDescent="0.3">
      <c r="A16188" s="15" t="s">
        <v>33973</v>
      </c>
      <c r="B16188" s="15" t="s">
        <v>30027</v>
      </c>
      <c r="C16188" s="15" t="s">
        <v>800</v>
      </c>
      <c r="D16188" s="15" t="s">
        <v>30028</v>
      </c>
      <c r="E16188" s="15">
        <v>14.7569</v>
      </c>
      <c r="F16188" s="42">
        <v>43084</v>
      </c>
    </row>
    <row r="16189" spans="1:6" x14ac:dyDescent="0.3">
      <c r="A16189" s="15" t="s">
        <v>33972</v>
      </c>
      <c r="B16189" s="15" t="s">
        <v>30029</v>
      </c>
      <c r="C16189" s="15" t="s">
        <v>800</v>
      </c>
      <c r="D16189" s="15" t="s">
        <v>30030</v>
      </c>
      <c r="E16189" s="15">
        <v>12.823600000000001</v>
      </c>
      <c r="F16189" s="42">
        <v>42499</v>
      </c>
    </row>
    <row r="16190" spans="1:6" x14ac:dyDescent="0.3">
      <c r="A16190" s="15" t="s">
        <v>33971</v>
      </c>
      <c r="B16190" s="15" t="s">
        <v>30031</v>
      </c>
      <c r="C16190" s="15" t="s">
        <v>800</v>
      </c>
      <c r="D16190" s="15" t="s">
        <v>30032</v>
      </c>
      <c r="E16190" s="15">
        <v>10</v>
      </c>
      <c r="F16190" s="42">
        <v>42499</v>
      </c>
    </row>
    <row r="16191" spans="1:6" x14ac:dyDescent="0.3">
      <c r="A16191" s="15" t="s">
        <v>33970</v>
      </c>
      <c r="B16191" s="15" t="s">
        <v>30033</v>
      </c>
      <c r="C16191" s="15" t="s">
        <v>800</v>
      </c>
      <c r="D16191" s="15" t="s">
        <v>30034</v>
      </c>
      <c r="E16191" s="15">
        <v>12.797700000000001</v>
      </c>
      <c r="F16191" s="42">
        <v>42499</v>
      </c>
    </row>
    <row r="16192" spans="1:6" x14ac:dyDescent="0.3">
      <c r="A16192" s="15" t="s">
        <v>33969</v>
      </c>
      <c r="B16192" s="15" t="s">
        <v>30035</v>
      </c>
      <c r="C16192" s="15" t="s">
        <v>800</v>
      </c>
      <c r="D16192" s="15" t="s">
        <v>30036</v>
      </c>
      <c r="E16192" s="15">
        <v>12.5884</v>
      </c>
      <c r="F16192" s="42">
        <v>43283</v>
      </c>
    </row>
    <row r="16193" spans="1:6" x14ac:dyDescent="0.3">
      <c r="A16193" s="15" t="s">
        <v>33968</v>
      </c>
      <c r="B16193" s="15" t="s">
        <v>30037</v>
      </c>
      <c r="C16193" s="15" t="s">
        <v>800</v>
      </c>
      <c r="D16193" s="15" t="s">
        <v>30038</v>
      </c>
      <c r="E16193" s="15">
        <v>12.5884</v>
      </c>
      <c r="F16193" s="42">
        <v>43283</v>
      </c>
    </row>
    <row r="16194" spans="1:6" x14ac:dyDescent="0.3">
      <c r="A16194" s="15" t="s">
        <v>33967</v>
      </c>
      <c r="B16194" s="15" t="s">
        <v>30039</v>
      </c>
      <c r="C16194" s="15" t="s">
        <v>800</v>
      </c>
      <c r="D16194" s="15" t="s">
        <v>30040</v>
      </c>
      <c r="E16194" s="15">
        <v>12.4765</v>
      </c>
      <c r="F16194" s="42">
        <v>43283</v>
      </c>
    </row>
    <row r="16195" spans="1:6" x14ac:dyDescent="0.3">
      <c r="A16195" s="15" t="s">
        <v>33966</v>
      </c>
      <c r="B16195" s="15" t="s">
        <v>30041</v>
      </c>
      <c r="C16195" s="15" t="s">
        <v>800</v>
      </c>
      <c r="D16195" s="15" t="s">
        <v>30042</v>
      </c>
      <c r="E16195" s="15">
        <v>12.476599999999999</v>
      </c>
      <c r="F16195" s="42">
        <v>43283</v>
      </c>
    </row>
    <row r="16196" spans="1:6" x14ac:dyDescent="0.3">
      <c r="A16196" s="15" t="s">
        <v>33965</v>
      </c>
      <c r="B16196" s="15" t="s">
        <v>30043</v>
      </c>
      <c r="C16196" s="15" t="s">
        <v>800</v>
      </c>
      <c r="D16196" s="15" t="s">
        <v>30044</v>
      </c>
      <c r="E16196" s="15">
        <v>12.635400000000001</v>
      </c>
      <c r="F16196" s="42">
        <v>43283</v>
      </c>
    </row>
    <row r="16197" spans="1:6" x14ac:dyDescent="0.3">
      <c r="A16197" s="15" t="s">
        <v>33964</v>
      </c>
      <c r="B16197" s="15" t="s">
        <v>30045</v>
      </c>
      <c r="C16197" s="15" t="s">
        <v>800</v>
      </c>
      <c r="D16197" s="15" t="s">
        <v>30046</v>
      </c>
      <c r="E16197" s="15">
        <v>12.635400000000001</v>
      </c>
      <c r="F16197" s="42">
        <v>43283</v>
      </c>
    </row>
    <row r="16198" spans="1:6" x14ac:dyDescent="0.3">
      <c r="A16198" s="15" t="s">
        <v>33963</v>
      </c>
      <c r="B16198" s="15" t="s">
        <v>30047</v>
      </c>
      <c r="C16198" s="15" t="s">
        <v>800</v>
      </c>
      <c r="D16198" s="15" t="s">
        <v>30048</v>
      </c>
      <c r="E16198" s="15">
        <v>12.512</v>
      </c>
      <c r="F16198" s="42">
        <v>43283</v>
      </c>
    </row>
    <row r="16199" spans="1:6" x14ac:dyDescent="0.3">
      <c r="A16199" s="15" t="s">
        <v>33962</v>
      </c>
      <c r="B16199" s="15" t="s">
        <v>30049</v>
      </c>
      <c r="C16199" s="15" t="s">
        <v>800</v>
      </c>
      <c r="D16199" s="15" t="s">
        <v>30050</v>
      </c>
      <c r="E16199" s="15">
        <v>12.511900000000001</v>
      </c>
      <c r="F16199" s="42">
        <v>43283</v>
      </c>
    </row>
    <row r="16200" spans="1:6" x14ac:dyDescent="0.3">
      <c r="A16200" s="15" t="s">
        <v>33961</v>
      </c>
      <c r="B16200" s="15" t="s">
        <v>30051</v>
      </c>
      <c r="C16200" s="15" t="s">
        <v>800</v>
      </c>
      <c r="D16200" s="15" t="s">
        <v>30052</v>
      </c>
      <c r="E16200" s="15">
        <v>12.314299999999999</v>
      </c>
      <c r="F16200" s="42">
        <v>43283</v>
      </c>
    </row>
    <row r="16201" spans="1:6" x14ac:dyDescent="0.3">
      <c r="A16201" s="15" t="s">
        <v>33960</v>
      </c>
      <c r="B16201" s="15" t="s">
        <v>30053</v>
      </c>
      <c r="C16201" s="15" t="s">
        <v>800</v>
      </c>
      <c r="D16201" s="15" t="s">
        <v>30054</v>
      </c>
      <c r="E16201" s="15">
        <v>12.2836</v>
      </c>
      <c r="F16201" s="42">
        <v>43283</v>
      </c>
    </row>
    <row r="16202" spans="1:6" x14ac:dyDescent="0.3">
      <c r="A16202" s="15" t="s">
        <v>33959</v>
      </c>
      <c r="B16202" s="15" t="s">
        <v>30055</v>
      </c>
      <c r="C16202" s="15" t="s">
        <v>800</v>
      </c>
      <c r="D16202" s="15" t="s">
        <v>30056</v>
      </c>
      <c r="E16202" s="15">
        <v>12.2836</v>
      </c>
      <c r="F16202" s="42">
        <v>43283</v>
      </c>
    </row>
    <row r="16203" spans="1:6" x14ac:dyDescent="0.3">
      <c r="A16203" s="15" t="s">
        <v>33958</v>
      </c>
      <c r="B16203" s="15" t="s">
        <v>30057</v>
      </c>
      <c r="C16203" s="15" t="s">
        <v>800</v>
      </c>
      <c r="D16203" s="15" t="s">
        <v>30058</v>
      </c>
      <c r="E16203" s="15">
        <v>12.662699999999999</v>
      </c>
      <c r="F16203" s="42">
        <v>43283</v>
      </c>
    </row>
    <row r="16204" spans="1:6" x14ac:dyDescent="0.3">
      <c r="A16204" s="15" t="s">
        <v>33957</v>
      </c>
      <c r="B16204" s="15" t="s">
        <v>30059</v>
      </c>
      <c r="C16204" s="15" t="s">
        <v>800</v>
      </c>
      <c r="D16204" s="15" t="s">
        <v>30060</v>
      </c>
      <c r="E16204" s="15">
        <v>12.662699999999999</v>
      </c>
      <c r="F16204" s="42">
        <v>43283</v>
      </c>
    </row>
    <row r="16205" spans="1:6" x14ac:dyDescent="0.3">
      <c r="A16205" s="15" t="s">
        <v>33956</v>
      </c>
      <c r="B16205" s="15" t="s">
        <v>30061</v>
      </c>
      <c r="C16205" s="15" t="s">
        <v>800</v>
      </c>
      <c r="D16205" s="15" t="s">
        <v>30062</v>
      </c>
      <c r="E16205" s="15">
        <v>12.482100000000001</v>
      </c>
      <c r="F16205" s="42">
        <v>43283</v>
      </c>
    </row>
    <row r="16206" spans="1:6" x14ac:dyDescent="0.3">
      <c r="A16206" s="15" t="s">
        <v>33955</v>
      </c>
      <c r="B16206" s="15" t="s">
        <v>30063</v>
      </c>
      <c r="C16206" s="15" t="s">
        <v>800</v>
      </c>
      <c r="D16206" s="15" t="s">
        <v>30064</v>
      </c>
      <c r="E16206" s="15">
        <v>12.481999999999999</v>
      </c>
      <c r="F16206" s="42">
        <v>43283</v>
      </c>
    </row>
    <row r="16207" spans="1:6" x14ac:dyDescent="0.3">
      <c r="A16207" s="15" t="s">
        <v>33954</v>
      </c>
      <c r="B16207" s="15" t="s">
        <v>30065</v>
      </c>
      <c r="C16207" s="15" t="s">
        <v>800</v>
      </c>
      <c r="D16207" s="15" t="s">
        <v>30066</v>
      </c>
      <c r="E16207" s="15">
        <v>12.2988</v>
      </c>
      <c r="F16207" s="42">
        <v>43283</v>
      </c>
    </row>
    <row r="16208" spans="1:6" x14ac:dyDescent="0.3">
      <c r="A16208" s="15" t="s">
        <v>33953</v>
      </c>
      <c r="B16208" s="15" t="s">
        <v>30067</v>
      </c>
      <c r="C16208" s="15" t="s">
        <v>800</v>
      </c>
      <c r="D16208" s="15" t="s">
        <v>30068</v>
      </c>
      <c r="E16208" s="15">
        <v>12.260199999999999</v>
      </c>
      <c r="F16208" s="42">
        <v>43283</v>
      </c>
    </row>
    <row r="16209" spans="1:6" x14ac:dyDescent="0.3">
      <c r="A16209" s="15" t="s">
        <v>33952</v>
      </c>
      <c r="B16209" s="15" t="s">
        <v>30069</v>
      </c>
      <c r="C16209" s="15" t="s">
        <v>800</v>
      </c>
      <c r="D16209" s="15" t="s">
        <v>30070</v>
      </c>
      <c r="E16209" s="15">
        <v>12.2989</v>
      </c>
      <c r="F16209" s="42">
        <v>43283</v>
      </c>
    </row>
    <row r="16210" spans="1:6" x14ac:dyDescent="0.3">
      <c r="A16210" s="15" t="s">
        <v>33951</v>
      </c>
      <c r="B16210" s="15" t="s">
        <v>30071</v>
      </c>
      <c r="C16210" s="15" t="s">
        <v>800</v>
      </c>
      <c r="D16210" s="15" t="s">
        <v>30072</v>
      </c>
      <c r="E16210" s="15">
        <v>12.260199999999999</v>
      </c>
      <c r="F16210" s="42">
        <v>43283</v>
      </c>
    </row>
    <row r="16211" spans="1:6" x14ac:dyDescent="0.3">
      <c r="A16211" s="15" t="s">
        <v>33950</v>
      </c>
      <c r="B16211" s="15" t="s">
        <v>30073</v>
      </c>
      <c r="C16211" s="15" t="s">
        <v>800</v>
      </c>
      <c r="D16211" s="15" t="s">
        <v>30074</v>
      </c>
      <c r="E16211" s="15">
        <v>10</v>
      </c>
      <c r="F16211" s="42">
        <v>43564</v>
      </c>
    </row>
    <row r="16212" spans="1:6" x14ac:dyDescent="0.3">
      <c r="A16212" s="15" t="s">
        <v>33949</v>
      </c>
      <c r="B16212" s="15" t="s">
        <v>30075</v>
      </c>
      <c r="C16212" s="15" t="s">
        <v>800</v>
      </c>
      <c r="D16212" s="15" t="s">
        <v>30076</v>
      </c>
      <c r="E16212" s="15">
        <v>12.9634</v>
      </c>
      <c r="F16212" s="42">
        <v>43564</v>
      </c>
    </row>
    <row r="16213" spans="1:6" x14ac:dyDescent="0.3">
      <c r="A16213" s="15" t="s">
        <v>33948</v>
      </c>
      <c r="B16213" s="15" t="s">
        <v>30077</v>
      </c>
      <c r="C16213" s="15" t="s">
        <v>800</v>
      </c>
      <c r="D16213" s="15" t="s">
        <v>30078</v>
      </c>
      <c r="E16213" s="15">
        <v>12.805199999999999</v>
      </c>
      <c r="F16213" s="42">
        <v>43564</v>
      </c>
    </row>
    <row r="16214" spans="1:6" x14ac:dyDescent="0.3">
      <c r="A16214" s="15" t="s">
        <v>33947</v>
      </c>
      <c r="B16214" s="15" t="s">
        <v>30079</v>
      </c>
      <c r="C16214" s="15" t="s">
        <v>800</v>
      </c>
      <c r="D16214" s="15" t="s">
        <v>30080</v>
      </c>
      <c r="E16214" s="15">
        <v>10</v>
      </c>
      <c r="F16214" s="42">
        <v>43622</v>
      </c>
    </row>
    <row r="16215" spans="1:6" x14ac:dyDescent="0.3">
      <c r="A16215" s="15" t="s">
        <v>33946</v>
      </c>
      <c r="B16215" s="15" t="s">
        <v>30081</v>
      </c>
      <c r="C16215" s="15" t="s">
        <v>800</v>
      </c>
      <c r="D16215" s="15" t="s">
        <v>30082</v>
      </c>
      <c r="E16215" s="15">
        <v>12.0769</v>
      </c>
      <c r="F16215" s="42">
        <v>43622</v>
      </c>
    </row>
    <row r="16216" spans="1:6" x14ac:dyDescent="0.3">
      <c r="A16216" s="15" t="s">
        <v>33945</v>
      </c>
      <c r="B16216" s="15" t="s">
        <v>30083</v>
      </c>
      <c r="C16216" s="15" t="s">
        <v>800</v>
      </c>
      <c r="D16216" s="15" t="s">
        <v>30084</v>
      </c>
      <c r="E16216" s="15">
        <v>10</v>
      </c>
      <c r="F16216" s="42">
        <v>43622</v>
      </c>
    </row>
    <row r="16217" spans="1:6" x14ac:dyDescent="0.3">
      <c r="A16217" s="15" t="s">
        <v>33944</v>
      </c>
      <c r="B16217" s="15" t="s">
        <v>30085</v>
      </c>
      <c r="C16217" s="15" t="s">
        <v>800</v>
      </c>
      <c r="D16217" s="15" t="s">
        <v>30086</v>
      </c>
      <c r="E16217" s="15">
        <v>11.9741</v>
      </c>
      <c r="F16217" s="42">
        <v>43622</v>
      </c>
    </row>
    <row r="16218" spans="1:6" x14ac:dyDescent="0.3">
      <c r="A16218" s="15" t="s">
        <v>33943</v>
      </c>
      <c r="B16218" s="15" t="s">
        <v>30087</v>
      </c>
      <c r="C16218" s="15" t="s">
        <v>800</v>
      </c>
      <c r="D16218" s="15" t="s">
        <v>30088</v>
      </c>
      <c r="E16218" s="15">
        <v>10</v>
      </c>
      <c r="F16218" s="42">
        <v>43564</v>
      </c>
    </row>
    <row r="16219" spans="1:6" x14ac:dyDescent="0.3">
      <c r="A16219" s="15" t="s">
        <v>33942</v>
      </c>
      <c r="B16219" s="15" t="s">
        <v>30089</v>
      </c>
      <c r="C16219" s="15" t="s">
        <v>800</v>
      </c>
      <c r="D16219" s="15" t="s">
        <v>30090</v>
      </c>
      <c r="E16219" s="15">
        <v>12.9527</v>
      </c>
      <c r="F16219" s="42">
        <v>43564</v>
      </c>
    </row>
    <row r="16220" spans="1:6" x14ac:dyDescent="0.3">
      <c r="A16220" s="15" t="s">
        <v>33941</v>
      </c>
      <c r="B16220" s="15" t="s">
        <v>30091</v>
      </c>
      <c r="C16220" s="15" t="s">
        <v>800</v>
      </c>
      <c r="D16220" s="15" t="s">
        <v>30092</v>
      </c>
      <c r="E16220" s="15">
        <v>10</v>
      </c>
      <c r="F16220" s="42">
        <v>43564</v>
      </c>
    </row>
    <row r="16221" spans="1:6" x14ac:dyDescent="0.3">
      <c r="A16221" s="15" t="s">
        <v>33940</v>
      </c>
      <c r="B16221" s="15" t="s">
        <v>30093</v>
      </c>
      <c r="C16221" s="15" t="s">
        <v>800</v>
      </c>
      <c r="D16221" s="15" t="s">
        <v>30094</v>
      </c>
      <c r="E16221" s="15">
        <v>12.9101</v>
      </c>
      <c r="F16221" s="42">
        <v>43564</v>
      </c>
    </row>
    <row r="16222" spans="1:6" x14ac:dyDescent="0.3">
      <c r="A16222" s="15" t="s">
        <v>33939</v>
      </c>
      <c r="B16222" s="15" t="s">
        <v>30095</v>
      </c>
      <c r="C16222" s="15" t="s">
        <v>800</v>
      </c>
      <c r="D16222" s="15" t="s">
        <v>30096</v>
      </c>
      <c r="E16222" s="15">
        <v>12.9116</v>
      </c>
      <c r="F16222" s="42">
        <v>43564</v>
      </c>
    </row>
    <row r="16223" spans="1:6" x14ac:dyDescent="0.3">
      <c r="A16223" s="15" t="s">
        <v>33938</v>
      </c>
      <c r="B16223" s="15" t="s">
        <v>30097</v>
      </c>
      <c r="C16223" s="15" t="s">
        <v>800</v>
      </c>
      <c r="D16223" s="15" t="s">
        <v>30098</v>
      </c>
      <c r="E16223" s="15">
        <v>10</v>
      </c>
      <c r="F16223" s="42">
        <v>43564</v>
      </c>
    </row>
    <row r="16224" spans="1:6" x14ac:dyDescent="0.3">
      <c r="A16224" s="15" t="s">
        <v>33937</v>
      </c>
      <c r="B16224" s="15" t="s">
        <v>30099</v>
      </c>
      <c r="C16224" s="15" t="s">
        <v>800</v>
      </c>
      <c r="D16224" s="15" t="s">
        <v>30100</v>
      </c>
      <c r="E16224" s="15">
        <v>12.8375</v>
      </c>
      <c r="F16224" s="42">
        <v>43564</v>
      </c>
    </row>
    <row r="16225" spans="1:6" x14ac:dyDescent="0.3">
      <c r="A16225" s="15" t="s">
        <v>33936</v>
      </c>
      <c r="B16225" s="15" t="s">
        <v>30101</v>
      </c>
      <c r="C16225" s="15" t="s">
        <v>800</v>
      </c>
      <c r="D16225" s="15" t="s">
        <v>30102</v>
      </c>
      <c r="E16225" s="15">
        <v>13.0151</v>
      </c>
      <c r="F16225" s="42">
        <v>43283</v>
      </c>
    </row>
    <row r="16226" spans="1:6" x14ac:dyDescent="0.3">
      <c r="A16226" s="15" t="s">
        <v>33935</v>
      </c>
      <c r="B16226" s="15" t="s">
        <v>30103</v>
      </c>
      <c r="C16226" s="15" t="s">
        <v>800</v>
      </c>
      <c r="D16226" s="15" t="s">
        <v>30104</v>
      </c>
      <c r="E16226" s="15">
        <v>13.0151</v>
      </c>
      <c r="F16226" s="42">
        <v>43283</v>
      </c>
    </row>
    <row r="16227" spans="1:6" x14ac:dyDescent="0.3">
      <c r="A16227" s="15" t="s">
        <v>33934</v>
      </c>
      <c r="B16227" s="15" t="s">
        <v>30105</v>
      </c>
      <c r="C16227" s="15" t="s">
        <v>800</v>
      </c>
      <c r="D16227" s="15" t="s">
        <v>30106</v>
      </c>
      <c r="E16227" s="15">
        <v>12.8156</v>
      </c>
      <c r="F16227" s="42">
        <v>43283</v>
      </c>
    </row>
    <row r="16228" spans="1:6" x14ac:dyDescent="0.3">
      <c r="A16228" s="15" t="s">
        <v>33933</v>
      </c>
      <c r="B16228" s="15" t="s">
        <v>30107</v>
      </c>
      <c r="C16228" s="15" t="s">
        <v>800</v>
      </c>
      <c r="D16228" s="15" t="s">
        <v>30108</v>
      </c>
      <c r="E16228" s="15">
        <v>12.8156</v>
      </c>
      <c r="F16228" s="42">
        <v>43283</v>
      </c>
    </row>
    <row r="16229" spans="1:6" x14ac:dyDescent="0.3">
      <c r="A16229" s="15" t="s">
        <v>33932</v>
      </c>
      <c r="B16229" s="15" t="s">
        <v>30109</v>
      </c>
      <c r="C16229" s="15" t="s">
        <v>800</v>
      </c>
      <c r="D16229" s="15" t="s">
        <v>30110</v>
      </c>
      <c r="E16229" s="15">
        <v>12.532</v>
      </c>
      <c r="F16229" s="42">
        <v>43283</v>
      </c>
    </row>
    <row r="16230" spans="1:6" x14ac:dyDescent="0.3">
      <c r="A16230" s="15" t="s">
        <v>33931</v>
      </c>
      <c r="B16230" s="15" t="s">
        <v>30111</v>
      </c>
      <c r="C16230" s="15" t="s">
        <v>800</v>
      </c>
      <c r="D16230" s="15" t="s">
        <v>30112</v>
      </c>
      <c r="E16230" s="15">
        <v>12.4969</v>
      </c>
      <c r="F16230" s="42">
        <v>43283</v>
      </c>
    </row>
    <row r="16231" spans="1:6" x14ac:dyDescent="0.3">
      <c r="A16231" s="15" t="s">
        <v>33930</v>
      </c>
      <c r="B16231" s="15" t="s">
        <v>30113</v>
      </c>
      <c r="C16231" s="15" t="s">
        <v>800</v>
      </c>
      <c r="D16231" s="15" t="s">
        <v>30114</v>
      </c>
      <c r="E16231" s="15">
        <v>12.4969</v>
      </c>
      <c r="F16231" s="42">
        <v>43283</v>
      </c>
    </row>
    <row r="16232" spans="1:6" x14ac:dyDescent="0.3">
      <c r="A16232" s="15" t="s">
        <v>33929</v>
      </c>
      <c r="B16232" s="15" t="s">
        <v>30115</v>
      </c>
      <c r="C16232" s="15" t="s">
        <v>800</v>
      </c>
      <c r="D16232" s="15" t="s">
        <v>30116</v>
      </c>
      <c r="E16232" s="15">
        <v>12.894600000000001</v>
      </c>
      <c r="F16232" s="42">
        <v>43283</v>
      </c>
    </row>
    <row r="16233" spans="1:6" x14ac:dyDescent="0.3">
      <c r="A16233" s="15" t="s">
        <v>33928</v>
      </c>
      <c r="B16233" s="15" t="s">
        <v>30117</v>
      </c>
      <c r="C16233" s="15" t="s">
        <v>800</v>
      </c>
      <c r="D16233" s="15" t="s">
        <v>30118</v>
      </c>
      <c r="E16233" s="15">
        <v>12.6837</v>
      </c>
      <c r="F16233" s="42">
        <v>43283</v>
      </c>
    </row>
    <row r="16234" spans="1:6" x14ac:dyDescent="0.3">
      <c r="A16234" s="15" t="s">
        <v>33927</v>
      </c>
      <c r="B16234" s="15" t="s">
        <v>30119</v>
      </c>
      <c r="C16234" s="15" t="s">
        <v>800</v>
      </c>
      <c r="D16234" s="15" t="s">
        <v>30120</v>
      </c>
      <c r="E16234" s="15">
        <v>12.6837</v>
      </c>
      <c r="F16234" s="42">
        <v>43283</v>
      </c>
    </row>
    <row r="16235" spans="1:6" x14ac:dyDescent="0.3">
      <c r="A16235" s="15" t="s">
        <v>33926</v>
      </c>
      <c r="B16235" s="15" t="s">
        <v>30121</v>
      </c>
      <c r="C16235" s="15" t="s">
        <v>800</v>
      </c>
      <c r="D16235" s="15" t="s">
        <v>30122</v>
      </c>
      <c r="E16235" s="15">
        <v>12.492699999999999</v>
      </c>
      <c r="F16235" s="42">
        <v>43283</v>
      </c>
    </row>
    <row r="16236" spans="1:6" x14ac:dyDescent="0.3">
      <c r="A16236" s="15" t="s">
        <v>33925</v>
      </c>
      <c r="B16236" s="15" t="s">
        <v>30123</v>
      </c>
      <c r="C16236" s="15" t="s">
        <v>800</v>
      </c>
      <c r="D16236" s="15" t="s">
        <v>30124</v>
      </c>
      <c r="E16236" s="15">
        <v>12.4582</v>
      </c>
      <c r="F16236" s="42">
        <v>43283</v>
      </c>
    </row>
    <row r="16237" spans="1:6" x14ac:dyDescent="0.3">
      <c r="A16237" s="15" t="s">
        <v>33924</v>
      </c>
      <c r="B16237" s="15" t="s">
        <v>30125</v>
      </c>
      <c r="C16237" s="15" t="s">
        <v>800</v>
      </c>
      <c r="D16237" s="15" t="s">
        <v>30126</v>
      </c>
      <c r="E16237" s="15">
        <v>12.4582</v>
      </c>
      <c r="F16237" s="42">
        <v>43283</v>
      </c>
    </row>
    <row r="16238" spans="1:6" x14ac:dyDescent="0.3">
      <c r="A16238" s="15" t="s">
        <v>33923</v>
      </c>
      <c r="B16238" s="15" t="s">
        <v>30127</v>
      </c>
      <c r="C16238" s="15" t="s">
        <v>800</v>
      </c>
      <c r="D16238" s="15" t="s">
        <v>30128</v>
      </c>
      <c r="E16238" s="15">
        <v>12.3826</v>
      </c>
      <c r="F16238" s="42">
        <v>43283</v>
      </c>
    </row>
    <row r="16239" spans="1:6" x14ac:dyDescent="0.3">
      <c r="A16239" s="15" t="s">
        <v>33922</v>
      </c>
      <c r="B16239" s="15" t="s">
        <v>30129</v>
      </c>
      <c r="C16239" s="15" t="s">
        <v>800</v>
      </c>
      <c r="D16239" s="15" t="s">
        <v>30130</v>
      </c>
      <c r="E16239" s="15">
        <v>12.348699999999999</v>
      </c>
      <c r="F16239" s="42">
        <v>43283</v>
      </c>
    </row>
    <row r="16240" spans="1:6" x14ac:dyDescent="0.3">
      <c r="A16240" s="15" t="s">
        <v>33921</v>
      </c>
      <c r="B16240" s="15" t="s">
        <v>30131</v>
      </c>
      <c r="C16240" s="15" t="s">
        <v>800</v>
      </c>
      <c r="D16240" s="15" t="s">
        <v>30132</v>
      </c>
      <c r="E16240" s="15">
        <v>12.348699999999999</v>
      </c>
      <c r="F16240" s="42">
        <v>43283</v>
      </c>
    </row>
    <row r="16241" spans="1:6" x14ac:dyDescent="0.3">
      <c r="A16241" s="15" t="s">
        <v>33920</v>
      </c>
      <c r="B16241" s="15" t="s">
        <v>30133</v>
      </c>
      <c r="C16241" s="15" t="s">
        <v>800</v>
      </c>
      <c r="D16241" s="15" t="s">
        <v>30134</v>
      </c>
      <c r="E16241" s="15">
        <v>10</v>
      </c>
      <c r="F16241" s="42">
        <v>42508</v>
      </c>
    </row>
    <row r="16242" spans="1:6" x14ac:dyDescent="0.3">
      <c r="A16242" s="15" t="s">
        <v>33919</v>
      </c>
      <c r="B16242" s="15" t="s">
        <v>30135</v>
      </c>
      <c r="C16242" s="15" t="s">
        <v>800</v>
      </c>
      <c r="D16242" s="15" t="s">
        <v>30136</v>
      </c>
      <c r="E16242" s="15">
        <v>12.911799999999999</v>
      </c>
      <c r="F16242" s="42">
        <v>42879</v>
      </c>
    </row>
    <row r="16243" spans="1:6" x14ac:dyDescent="0.3">
      <c r="A16243" s="15" t="s">
        <v>33918</v>
      </c>
      <c r="B16243" s="15" t="s">
        <v>30137</v>
      </c>
      <c r="C16243" s="15" t="s">
        <v>800</v>
      </c>
      <c r="D16243" s="15" t="s">
        <v>30138</v>
      </c>
      <c r="E16243" s="15">
        <v>10</v>
      </c>
      <c r="F16243" s="42">
        <v>42879</v>
      </c>
    </row>
    <row r="16244" spans="1:6" x14ac:dyDescent="0.3">
      <c r="A16244" s="15" t="s">
        <v>33917</v>
      </c>
      <c r="B16244" s="15" t="s">
        <v>30139</v>
      </c>
      <c r="C16244" s="15" t="s">
        <v>800</v>
      </c>
      <c r="D16244" s="15" t="s">
        <v>30140</v>
      </c>
      <c r="E16244" s="15">
        <v>12.8329</v>
      </c>
      <c r="F16244" s="42">
        <v>42879</v>
      </c>
    </row>
    <row r="16245" spans="1:6" x14ac:dyDescent="0.3">
      <c r="A16245" s="15" t="s">
        <v>33916</v>
      </c>
      <c r="B16245" s="15" t="s">
        <v>30141</v>
      </c>
      <c r="C16245" s="15" t="s">
        <v>800</v>
      </c>
      <c r="D16245" s="15" t="s">
        <v>30142</v>
      </c>
      <c r="E16245" s="15">
        <v>12.8141</v>
      </c>
      <c r="F16245" s="42">
        <v>42879</v>
      </c>
    </row>
    <row r="16246" spans="1:6" x14ac:dyDescent="0.3">
      <c r="A16246" s="15" t="s">
        <v>33915</v>
      </c>
      <c r="B16246" s="15" t="s">
        <v>30143</v>
      </c>
      <c r="C16246" s="15" t="s">
        <v>800</v>
      </c>
      <c r="D16246" s="15" t="s">
        <v>30144</v>
      </c>
      <c r="E16246" s="15">
        <v>10</v>
      </c>
      <c r="F16246" s="42">
        <v>42143</v>
      </c>
    </row>
    <row r="16247" spans="1:6" x14ac:dyDescent="0.3">
      <c r="A16247" s="15" t="s">
        <v>33914</v>
      </c>
      <c r="B16247" s="15" t="s">
        <v>30145</v>
      </c>
      <c r="C16247" s="15" t="s">
        <v>800</v>
      </c>
      <c r="D16247" s="15" t="s">
        <v>30146</v>
      </c>
      <c r="E16247" s="15">
        <v>12.7728</v>
      </c>
      <c r="F16247" s="42">
        <v>42879</v>
      </c>
    </row>
    <row r="16248" spans="1:6" x14ac:dyDescent="0.3">
      <c r="A16248" s="15" t="s">
        <v>33913</v>
      </c>
      <c r="B16248" s="15" t="s">
        <v>30147</v>
      </c>
      <c r="C16248" s="15" t="s">
        <v>800</v>
      </c>
      <c r="D16248" s="15" t="s">
        <v>30148</v>
      </c>
      <c r="E16248" s="15">
        <v>10</v>
      </c>
      <c r="F16248" s="42">
        <v>42879</v>
      </c>
    </row>
    <row r="16249" spans="1:6" x14ac:dyDescent="0.3">
      <c r="A16249" s="15" t="s">
        <v>33912</v>
      </c>
      <c r="B16249" s="15" t="s">
        <v>30149</v>
      </c>
      <c r="C16249" s="15" t="s">
        <v>800</v>
      </c>
      <c r="D16249" s="15" t="s">
        <v>30150</v>
      </c>
      <c r="E16249" s="15">
        <v>12.809799999999999</v>
      </c>
      <c r="F16249" s="42">
        <v>42879</v>
      </c>
    </row>
    <row r="16250" spans="1:6" x14ac:dyDescent="0.3">
      <c r="A16250" s="15" t="s">
        <v>33911</v>
      </c>
      <c r="B16250" s="15" t="s">
        <v>30151</v>
      </c>
      <c r="C16250" s="15" t="s">
        <v>800</v>
      </c>
      <c r="D16250" s="15" t="s">
        <v>30152</v>
      </c>
      <c r="E16250" s="15">
        <v>10</v>
      </c>
      <c r="F16250" s="42">
        <v>42145</v>
      </c>
    </row>
    <row r="16251" spans="1:6" x14ac:dyDescent="0.3">
      <c r="A16251" s="15" t="s">
        <v>33910</v>
      </c>
      <c r="B16251" s="15" t="s">
        <v>30153</v>
      </c>
      <c r="C16251" s="15" t="s">
        <v>800</v>
      </c>
      <c r="D16251" s="15" t="s">
        <v>30154</v>
      </c>
      <c r="E16251" s="15">
        <v>12.7691</v>
      </c>
      <c r="F16251" s="42">
        <v>42879</v>
      </c>
    </row>
    <row r="16252" spans="1:6" x14ac:dyDescent="0.3">
      <c r="A16252" s="15" t="s">
        <v>33909</v>
      </c>
      <c r="B16252" s="15" t="s">
        <v>30155</v>
      </c>
      <c r="C16252" s="15" t="s">
        <v>800</v>
      </c>
      <c r="D16252" s="15" t="s">
        <v>30156</v>
      </c>
      <c r="E16252" s="15">
        <v>10</v>
      </c>
      <c r="F16252" s="42">
        <v>42150</v>
      </c>
    </row>
    <row r="16253" spans="1:6" x14ac:dyDescent="0.3">
      <c r="A16253" s="15" t="s">
        <v>33908</v>
      </c>
      <c r="B16253" s="15" t="s">
        <v>30157</v>
      </c>
      <c r="C16253" s="15" t="s">
        <v>800</v>
      </c>
      <c r="D16253" s="15" t="s">
        <v>30158</v>
      </c>
      <c r="E16253" s="15">
        <v>12.799099999999999</v>
      </c>
      <c r="F16253" s="42">
        <v>42886</v>
      </c>
    </row>
    <row r="16254" spans="1:6" x14ac:dyDescent="0.3">
      <c r="A16254" s="15" t="s">
        <v>33907</v>
      </c>
      <c r="B16254" s="15" t="s">
        <v>30159</v>
      </c>
      <c r="C16254" s="15" t="s">
        <v>800</v>
      </c>
      <c r="D16254" s="15" t="s">
        <v>30160</v>
      </c>
      <c r="E16254" s="15">
        <v>10</v>
      </c>
      <c r="F16254" s="42">
        <v>42150</v>
      </c>
    </row>
    <row r="16255" spans="1:6" x14ac:dyDescent="0.3">
      <c r="A16255" s="15" t="s">
        <v>33906</v>
      </c>
      <c r="B16255" s="15" t="s">
        <v>30161</v>
      </c>
      <c r="C16255" s="15" t="s">
        <v>800</v>
      </c>
      <c r="D16255" s="15" t="s">
        <v>30162</v>
      </c>
      <c r="E16255" s="15">
        <v>12.7605</v>
      </c>
      <c r="F16255" s="42">
        <v>42886</v>
      </c>
    </row>
    <row r="16256" spans="1:6" x14ac:dyDescent="0.3">
      <c r="A16256" s="15" t="s">
        <v>33905</v>
      </c>
      <c r="B16256" s="15" t="s">
        <v>30163</v>
      </c>
      <c r="C16256" s="15" t="s">
        <v>800</v>
      </c>
      <c r="D16256" s="15" t="s">
        <v>30164</v>
      </c>
      <c r="E16256" s="15">
        <v>10</v>
      </c>
      <c r="F16256" s="42">
        <v>42899</v>
      </c>
    </row>
    <row r="16257" spans="1:6" x14ac:dyDescent="0.3">
      <c r="A16257" s="15" t="s">
        <v>33904</v>
      </c>
      <c r="B16257" s="15" t="s">
        <v>30165</v>
      </c>
      <c r="C16257" s="15" t="s">
        <v>800</v>
      </c>
      <c r="D16257" s="15" t="s">
        <v>30166</v>
      </c>
      <c r="E16257" s="15">
        <v>13.2179</v>
      </c>
      <c r="F16257" s="42">
        <v>42899</v>
      </c>
    </row>
    <row r="16258" spans="1:6" x14ac:dyDescent="0.3">
      <c r="A16258" s="15" t="s">
        <v>33903</v>
      </c>
      <c r="B16258" s="15" t="s">
        <v>30167</v>
      </c>
      <c r="C16258" s="15" t="s">
        <v>800</v>
      </c>
      <c r="D16258" s="15" t="s">
        <v>30168</v>
      </c>
      <c r="E16258" s="15">
        <v>10</v>
      </c>
      <c r="F16258" s="42">
        <v>42899</v>
      </c>
    </row>
    <row r="16259" spans="1:6" x14ac:dyDescent="0.3">
      <c r="A16259" s="15" t="s">
        <v>33902</v>
      </c>
      <c r="B16259" s="15" t="s">
        <v>30169</v>
      </c>
      <c r="C16259" s="15" t="s">
        <v>800</v>
      </c>
      <c r="D16259" s="15" t="s">
        <v>30170</v>
      </c>
      <c r="E16259" s="15">
        <v>12.9998</v>
      </c>
      <c r="F16259" s="42">
        <v>42899</v>
      </c>
    </row>
    <row r="16260" spans="1:6" x14ac:dyDescent="0.3">
      <c r="A16260" s="15" t="s">
        <v>33901</v>
      </c>
      <c r="B16260" s="15" t="s">
        <v>30171</v>
      </c>
      <c r="C16260" s="15" t="s">
        <v>800</v>
      </c>
      <c r="D16260" s="15" t="s">
        <v>30172</v>
      </c>
      <c r="E16260" s="15">
        <v>13.0877</v>
      </c>
      <c r="F16260" s="42">
        <v>42940</v>
      </c>
    </row>
    <row r="16261" spans="1:6" x14ac:dyDescent="0.3">
      <c r="A16261" s="15" t="s">
        <v>33900</v>
      </c>
      <c r="B16261" s="15" t="s">
        <v>30173</v>
      </c>
      <c r="C16261" s="15" t="s">
        <v>800</v>
      </c>
      <c r="D16261" s="15" t="s">
        <v>30174</v>
      </c>
      <c r="E16261" s="15">
        <v>10</v>
      </c>
      <c r="F16261" s="42">
        <v>42919</v>
      </c>
    </row>
    <row r="16262" spans="1:6" x14ac:dyDescent="0.3">
      <c r="A16262" s="15" t="s">
        <v>33899</v>
      </c>
      <c r="B16262" s="15" t="s">
        <v>30175</v>
      </c>
      <c r="C16262" s="15" t="s">
        <v>800</v>
      </c>
      <c r="D16262" s="15" t="s">
        <v>30176</v>
      </c>
      <c r="E16262" s="15">
        <v>12.8918</v>
      </c>
      <c r="F16262" s="42">
        <v>42940</v>
      </c>
    </row>
    <row r="16263" spans="1:6" x14ac:dyDescent="0.3">
      <c r="A16263" s="15" t="s">
        <v>33898</v>
      </c>
      <c r="B16263" s="15" t="s">
        <v>30177</v>
      </c>
      <c r="C16263" s="15" t="s">
        <v>800</v>
      </c>
      <c r="D16263" s="15" t="s">
        <v>30178</v>
      </c>
      <c r="E16263" s="15">
        <v>10</v>
      </c>
      <c r="F16263" s="42">
        <v>42940</v>
      </c>
    </row>
    <row r="16264" spans="1:6" x14ac:dyDescent="0.3">
      <c r="A16264" s="15" t="s">
        <v>33897</v>
      </c>
      <c r="B16264" s="15" t="s">
        <v>30179</v>
      </c>
      <c r="C16264" s="15" t="s">
        <v>800</v>
      </c>
      <c r="D16264" s="15" t="s">
        <v>30180</v>
      </c>
      <c r="E16264" s="15">
        <v>10</v>
      </c>
      <c r="F16264" s="42">
        <v>42940</v>
      </c>
    </row>
    <row r="16265" spans="1:6" x14ac:dyDescent="0.3">
      <c r="A16265" s="15" t="s">
        <v>33896</v>
      </c>
      <c r="B16265" s="15" t="s">
        <v>30181</v>
      </c>
      <c r="C16265" s="15" t="s">
        <v>800</v>
      </c>
      <c r="D16265" s="15" t="s">
        <v>30182</v>
      </c>
      <c r="E16265" s="15">
        <v>12.771699999999999</v>
      </c>
      <c r="F16265" s="42">
        <v>42940</v>
      </c>
    </row>
    <row r="16266" spans="1:6" x14ac:dyDescent="0.3">
      <c r="A16266" s="15" t="s">
        <v>33895</v>
      </c>
      <c r="B16266" s="15" t="s">
        <v>30183</v>
      </c>
      <c r="C16266" s="15" t="s">
        <v>800</v>
      </c>
      <c r="D16266" s="15" t="s">
        <v>30184</v>
      </c>
      <c r="E16266" s="15">
        <v>12.728300000000001</v>
      </c>
      <c r="F16266" s="42">
        <v>42940</v>
      </c>
    </row>
    <row r="16267" spans="1:6" x14ac:dyDescent="0.3">
      <c r="A16267" s="15" t="s">
        <v>33894</v>
      </c>
      <c r="B16267" s="15" t="s">
        <v>30185</v>
      </c>
      <c r="C16267" s="15" t="s">
        <v>800</v>
      </c>
      <c r="D16267" s="15" t="s">
        <v>30186</v>
      </c>
      <c r="E16267" s="15">
        <v>13.148099999999999</v>
      </c>
      <c r="F16267" s="42">
        <v>42955</v>
      </c>
    </row>
    <row r="16268" spans="1:6" x14ac:dyDescent="0.3">
      <c r="A16268" s="15" t="s">
        <v>33893</v>
      </c>
      <c r="B16268" s="15" t="s">
        <v>30187</v>
      </c>
      <c r="C16268" s="15" t="s">
        <v>800</v>
      </c>
      <c r="D16268" s="15" t="s">
        <v>30188</v>
      </c>
      <c r="E16268" s="15">
        <v>10</v>
      </c>
      <c r="F16268" s="42">
        <v>42955</v>
      </c>
    </row>
    <row r="16269" spans="1:6" x14ac:dyDescent="0.3">
      <c r="A16269" s="15" t="s">
        <v>33892</v>
      </c>
      <c r="B16269" s="15" t="s">
        <v>30189</v>
      </c>
      <c r="C16269" s="15" t="s">
        <v>800</v>
      </c>
      <c r="D16269" s="15" t="s">
        <v>30190</v>
      </c>
      <c r="E16269" s="15">
        <v>10</v>
      </c>
      <c r="F16269" s="42">
        <v>42955</v>
      </c>
    </row>
    <row r="16270" spans="1:6" x14ac:dyDescent="0.3">
      <c r="A16270" s="15" t="s">
        <v>33891</v>
      </c>
      <c r="B16270" s="15" t="s">
        <v>30191</v>
      </c>
      <c r="C16270" s="15" t="s">
        <v>800</v>
      </c>
      <c r="D16270" s="15" t="s">
        <v>30192</v>
      </c>
      <c r="E16270" s="15">
        <v>12.9773</v>
      </c>
      <c r="F16270" s="42">
        <v>42955</v>
      </c>
    </row>
    <row r="16271" spans="1:6" x14ac:dyDescent="0.3">
      <c r="A16271" s="15" t="s">
        <v>33890</v>
      </c>
      <c r="B16271" s="15" t="s">
        <v>30193</v>
      </c>
      <c r="C16271" s="15" t="s">
        <v>800</v>
      </c>
      <c r="D16271" s="15" t="s">
        <v>30194</v>
      </c>
      <c r="E16271" s="15">
        <v>10</v>
      </c>
      <c r="F16271" s="42">
        <v>43068</v>
      </c>
    </row>
    <row r="16272" spans="1:6" x14ac:dyDescent="0.3">
      <c r="A16272" s="15" t="s">
        <v>33889</v>
      </c>
      <c r="B16272" s="15" t="s">
        <v>30195</v>
      </c>
      <c r="C16272" s="15" t="s">
        <v>800</v>
      </c>
      <c r="D16272" s="15" t="s">
        <v>30196</v>
      </c>
      <c r="E16272" s="15">
        <v>12.8157</v>
      </c>
      <c r="F16272" s="42">
        <v>43068</v>
      </c>
    </row>
    <row r="16273" spans="1:6" x14ac:dyDescent="0.3">
      <c r="A16273" s="15" t="s">
        <v>33888</v>
      </c>
      <c r="B16273" s="15" t="s">
        <v>30197</v>
      </c>
      <c r="C16273" s="15" t="s">
        <v>800</v>
      </c>
      <c r="D16273" s="15" t="s">
        <v>30198</v>
      </c>
      <c r="E16273" s="15">
        <v>12.781599999999999</v>
      </c>
      <c r="F16273" s="42">
        <v>43068</v>
      </c>
    </row>
    <row r="16274" spans="1:6" x14ac:dyDescent="0.3">
      <c r="A16274" s="15" t="s">
        <v>33887</v>
      </c>
      <c r="B16274" s="15" t="s">
        <v>30199</v>
      </c>
      <c r="C16274" s="15" t="s">
        <v>800</v>
      </c>
      <c r="D16274" s="15" t="s">
        <v>30200</v>
      </c>
      <c r="E16274" s="15">
        <v>10</v>
      </c>
      <c r="F16274" s="42">
        <v>43195</v>
      </c>
    </row>
    <row r="16275" spans="1:6" x14ac:dyDescent="0.3">
      <c r="A16275" s="15" t="s">
        <v>33886</v>
      </c>
      <c r="B16275" s="15" t="s">
        <v>30201</v>
      </c>
      <c r="C16275" s="15" t="s">
        <v>800</v>
      </c>
      <c r="D16275" s="15" t="s">
        <v>30202</v>
      </c>
      <c r="E16275" s="15">
        <v>13.2003</v>
      </c>
      <c r="F16275" s="42">
        <v>43195</v>
      </c>
    </row>
    <row r="16276" spans="1:6" x14ac:dyDescent="0.3">
      <c r="A16276" s="15" t="s">
        <v>33885</v>
      </c>
      <c r="B16276" s="15" t="s">
        <v>30203</v>
      </c>
      <c r="C16276" s="15" t="s">
        <v>800</v>
      </c>
      <c r="D16276" s="15" t="s">
        <v>30204</v>
      </c>
      <c r="E16276" s="15">
        <v>10</v>
      </c>
      <c r="F16276" s="42">
        <v>43195</v>
      </c>
    </row>
    <row r="16277" spans="1:6" x14ac:dyDescent="0.3">
      <c r="A16277" s="15" t="s">
        <v>33884</v>
      </c>
      <c r="B16277" s="15" t="s">
        <v>30205</v>
      </c>
      <c r="C16277" s="15" t="s">
        <v>800</v>
      </c>
      <c r="D16277" s="15" t="s">
        <v>30206</v>
      </c>
      <c r="E16277" s="15">
        <v>13.001200000000001</v>
      </c>
      <c r="F16277" s="42">
        <v>43195</v>
      </c>
    </row>
    <row r="16278" spans="1:6" x14ac:dyDescent="0.3">
      <c r="A16278" s="15" t="s">
        <v>33883</v>
      </c>
      <c r="B16278" s="15" t="s">
        <v>30207</v>
      </c>
      <c r="C16278" s="15" t="s">
        <v>800</v>
      </c>
      <c r="D16278" s="15" t="s">
        <v>30208</v>
      </c>
      <c r="E16278" s="15">
        <v>10</v>
      </c>
      <c r="F16278" s="42">
        <v>42989</v>
      </c>
    </row>
    <row r="16279" spans="1:6" x14ac:dyDescent="0.3">
      <c r="A16279" s="15" t="s">
        <v>33882</v>
      </c>
      <c r="B16279" s="15" t="s">
        <v>30209</v>
      </c>
      <c r="C16279" s="15" t="s">
        <v>800</v>
      </c>
      <c r="D16279" s="15" t="s">
        <v>30210</v>
      </c>
      <c r="E16279" s="15">
        <v>13.270899999999999</v>
      </c>
      <c r="F16279" s="42">
        <v>42989</v>
      </c>
    </row>
    <row r="16280" spans="1:6" x14ac:dyDescent="0.3">
      <c r="A16280" s="15" t="s">
        <v>33881</v>
      </c>
      <c r="B16280" s="15" t="s">
        <v>30211</v>
      </c>
      <c r="C16280" s="15" t="s">
        <v>800</v>
      </c>
      <c r="D16280" s="15" t="s">
        <v>30212</v>
      </c>
      <c r="E16280" s="15">
        <v>10</v>
      </c>
      <c r="F16280" s="42">
        <v>42989</v>
      </c>
    </row>
    <row r="16281" spans="1:6" x14ac:dyDescent="0.3">
      <c r="A16281" s="15" t="s">
        <v>33880</v>
      </c>
      <c r="B16281" s="15" t="s">
        <v>30213</v>
      </c>
      <c r="C16281" s="15" t="s">
        <v>800</v>
      </c>
      <c r="D16281" s="15" t="s">
        <v>30214</v>
      </c>
      <c r="E16281" s="15">
        <v>13.089600000000001</v>
      </c>
      <c r="F16281" s="42">
        <v>42989</v>
      </c>
    </row>
    <row r="16282" spans="1:6" x14ac:dyDescent="0.3">
      <c r="A16282" s="15" t="s">
        <v>33879</v>
      </c>
      <c r="B16282" s="15" t="s">
        <v>30215</v>
      </c>
      <c r="C16282" s="15" t="s">
        <v>800</v>
      </c>
      <c r="D16282" s="15" t="s">
        <v>30216</v>
      </c>
      <c r="E16282" s="15">
        <v>13.0113</v>
      </c>
      <c r="F16282" s="42">
        <v>42992</v>
      </c>
    </row>
    <row r="16283" spans="1:6" x14ac:dyDescent="0.3">
      <c r="A16283" s="15" t="s">
        <v>33878</v>
      </c>
      <c r="B16283" s="15" t="s">
        <v>30217</v>
      </c>
      <c r="C16283" s="15" t="s">
        <v>800</v>
      </c>
      <c r="D16283" s="15" t="s">
        <v>30218</v>
      </c>
      <c r="E16283" s="15">
        <v>10</v>
      </c>
      <c r="F16283" s="42">
        <v>42992</v>
      </c>
    </row>
    <row r="16284" spans="1:6" x14ac:dyDescent="0.3">
      <c r="A16284" s="15" t="s">
        <v>33877</v>
      </c>
      <c r="B16284" s="15" t="s">
        <v>30219</v>
      </c>
      <c r="C16284" s="15" t="s">
        <v>800</v>
      </c>
      <c r="D16284" s="15" t="s">
        <v>30220</v>
      </c>
      <c r="E16284" s="15">
        <v>12.971</v>
      </c>
      <c r="F16284" s="42">
        <v>42992</v>
      </c>
    </row>
    <row r="16285" spans="1:6" x14ac:dyDescent="0.3">
      <c r="A16285" s="15" t="s">
        <v>33876</v>
      </c>
      <c r="B16285" s="15" t="s">
        <v>30221</v>
      </c>
      <c r="C16285" s="15" t="s">
        <v>800</v>
      </c>
      <c r="D16285" s="15" t="s">
        <v>30222</v>
      </c>
      <c r="E16285" s="15">
        <v>13.002000000000001</v>
      </c>
      <c r="F16285" s="42">
        <v>43006</v>
      </c>
    </row>
    <row r="16286" spans="1:6" x14ac:dyDescent="0.3">
      <c r="A16286" s="15" t="s">
        <v>33875</v>
      </c>
      <c r="B16286" s="15" t="s">
        <v>30223</v>
      </c>
      <c r="C16286" s="15" t="s">
        <v>800</v>
      </c>
      <c r="D16286" s="15" t="s">
        <v>30224</v>
      </c>
      <c r="E16286" s="15">
        <v>12.9689</v>
      </c>
      <c r="F16286" s="42">
        <v>43006</v>
      </c>
    </row>
    <row r="16287" spans="1:6" x14ac:dyDescent="0.3">
      <c r="A16287" s="15" t="s">
        <v>33874</v>
      </c>
      <c r="B16287" s="15" t="s">
        <v>30225</v>
      </c>
      <c r="C16287" s="15" t="s">
        <v>800</v>
      </c>
      <c r="D16287" s="15" t="s">
        <v>30226</v>
      </c>
      <c r="E16287" s="15">
        <v>12.969799999999999</v>
      </c>
      <c r="F16287" s="42">
        <v>43006</v>
      </c>
    </row>
    <row r="16288" spans="1:6" x14ac:dyDescent="0.3">
      <c r="A16288" s="15" t="s">
        <v>33873</v>
      </c>
      <c r="B16288" s="15" t="s">
        <v>30227</v>
      </c>
      <c r="C16288" s="15" t="s">
        <v>800</v>
      </c>
      <c r="D16288" s="15" t="s">
        <v>30228</v>
      </c>
      <c r="E16288" s="15">
        <v>10</v>
      </c>
      <c r="F16288" s="42">
        <v>43006</v>
      </c>
    </row>
    <row r="16289" spans="1:6" x14ac:dyDescent="0.3">
      <c r="A16289" s="15" t="s">
        <v>33872</v>
      </c>
      <c r="B16289" s="15" t="s">
        <v>30229</v>
      </c>
      <c r="C16289" s="15" t="s">
        <v>800</v>
      </c>
      <c r="D16289" s="15" t="s">
        <v>30230</v>
      </c>
      <c r="E16289" s="15">
        <v>12.930899999999999</v>
      </c>
      <c r="F16289" s="42">
        <v>43006</v>
      </c>
    </row>
    <row r="16290" spans="1:6" x14ac:dyDescent="0.3">
      <c r="A16290" s="15" t="s">
        <v>33871</v>
      </c>
      <c r="B16290" s="15" t="s">
        <v>30231</v>
      </c>
      <c r="C16290" s="15" t="s">
        <v>800</v>
      </c>
      <c r="D16290" s="15" t="s">
        <v>30232</v>
      </c>
      <c r="E16290" s="15">
        <v>10</v>
      </c>
      <c r="F16290" s="42">
        <v>43031</v>
      </c>
    </row>
    <row r="16291" spans="1:6" x14ac:dyDescent="0.3">
      <c r="A16291" s="15" t="s">
        <v>33870</v>
      </c>
      <c r="B16291" s="15" t="s">
        <v>30225</v>
      </c>
      <c r="C16291" s="15" t="s">
        <v>800</v>
      </c>
      <c r="D16291" s="15" t="s">
        <v>30233</v>
      </c>
      <c r="E16291" s="15">
        <v>12.9193</v>
      </c>
      <c r="F16291" s="42">
        <v>43031</v>
      </c>
    </row>
    <row r="16292" spans="1:6" x14ac:dyDescent="0.3">
      <c r="A16292" s="15" t="s">
        <v>33869</v>
      </c>
      <c r="B16292" s="15" t="s">
        <v>30229</v>
      </c>
      <c r="C16292" s="15" t="s">
        <v>800</v>
      </c>
      <c r="D16292" s="15" t="s">
        <v>30234</v>
      </c>
      <c r="E16292" s="15">
        <v>12.884</v>
      </c>
      <c r="F16292" s="42">
        <v>43031</v>
      </c>
    </row>
    <row r="16293" spans="1:6" x14ac:dyDescent="0.3">
      <c r="A16293" s="15" t="s">
        <v>33868</v>
      </c>
      <c r="B16293" s="15" t="s">
        <v>30235</v>
      </c>
      <c r="C16293" s="15" t="s">
        <v>800</v>
      </c>
      <c r="D16293" s="15" t="s">
        <v>30236</v>
      </c>
      <c r="E16293" s="15">
        <v>10</v>
      </c>
      <c r="F16293" s="42">
        <v>43054</v>
      </c>
    </row>
    <row r="16294" spans="1:6" x14ac:dyDescent="0.3">
      <c r="A16294" s="15" t="s">
        <v>33867</v>
      </c>
      <c r="B16294" s="15" t="s">
        <v>30237</v>
      </c>
      <c r="C16294" s="15" t="s">
        <v>800</v>
      </c>
      <c r="D16294" s="15" t="s">
        <v>30238</v>
      </c>
      <c r="E16294" s="15">
        <v>12.9023</v>
      </c>
      <c r="F16294" s="42">
        <v>43054</v>
      </c>
    </row>
    <row r="16295" spans="1:6" x14ac:dyDescent="0.3">
      <c r="A16295" s="15" t="s">
        <v>33866</v>
      </c>
      <c r="B16295" s="15" t="s">
        <v>30239</v>
      </c>
      <c r="C16295" s="15" t="s">
        <v>800</v>
      </c>
      <c r="D16295" s="15" t="s">
        <v>30240</v>
      </c>
      <c r="E16295" s="15">
        <v>10</v>
      </c>
      <c r="F16295" s="42">
        <v>43054</v>
      </c>
    </row>
    <row r="16296" spans="1:6" x14ac:dyDescent="0.3">
      <c r="A16296" s="15" t="s">
        <v>33865</v>
      </c>
      <c r="B16296" s="15" t="s">
        <v>30241</v>
      </c>
      <c r="C16296" s="15" t="s">
        <v>800</v>
      </c>
      <c r="D16296" s="15" t="s">
        <v>30242</v>
      </c>
      <c r="E16296" s="15">
        <v>12.6912</v>
      </c>
      <c r="F16296" s="42">
        <v>43054</v>
      </c>
    </row>
    <row r="16297" spans="1:6" x14ac:dyDescent="0.3">
      <c r="A16297" s="15" t="s">
        <v>33864</v>
      </c>
      <c r="B16297" s="15" t="s">
        <v>30243</v>
      </c>
      <c r="C16297" s="15" t="s">
        <v>800</v>
      </c>
      <c r="D16297" s="15" t="s">
        <v>30244</v>
      </c>
      <c r="E16297" s="15">
        <v>12.915699999999999</v>
      </c>
      <c r="F16297" s="42">
        <v>43216</v>
      </c>
    </row>
    <row r="16298" spans="1:6" x14ac:dyDescent="0.3">
      <c r="A16298" s="15" t="s">
        <v>33863</v>
      </c>
      <c r="B16298" s="15" t="s">
        <v>30245</v>
      </c>
      <c r="C16298" s="15" t="s">
        <v>800</v>
      </c>
      <c r="D16298" s="15" t="s">
        <v>30246</v>
      </c>
      <c r="E16298" s="15">
        <v>10</v>
      </c>
      <c r="F16298" s="42">
        <v>43216</v>
      </c>
    </row>
    <row r="16299" spans="1:6" x14ac:dyDescent="0.3">
      <c r="A16299" s="15" t="s">
        <v>33862</v>
      </c>
      <c r="B16299" s="15" t="s">
        <v>30247</v>
      </c>
      <c r="C16299" s="15" t="s">
        <v>800</v>
      </c>
      <c r="D16299" s="15" t="s">
        <v>30248</v>
      </c>
      <c r="E16299" s="15">
        <v>12.88</v>
      </c>
      <c r="F16299" s="42">
        <v>43216</v>
      </c>
    </row>
    <row r="16300" spans="1:6" x14ac:dyDescent="0.3">
      <c r="A16300" s="15" t="s">
        <v>33861</v>
      </c>
      <c r="B16300" s="15" t="s">
        <v>30249</v>
      </c>
      <c r="C16300" s="15" t="s">
        <v>800</v>
      </c>
      <c r="D16300" s="15" t="s">
        <v>30250</v>
      </c>
      <c r="E16300" s="15">
        <v>10</v>
      </c>
      <c r="F16300" s="42">
        <v>43216</v>
      </c>
    </row>
    <row r="16301" spans="1:6" x14ac:dyDescent="0.3">
      <c r="A16301" s="15" t="s">
        <v>33860</v>
      </c>
      <c r="B16301" s="15" t="s">
        <v>30251</v>
      </c>
      <c r="C16301" s="15" t="s">
        <v>800</v>
      </c>
      <c r="D16301" s="15" t="s">
        <v>30252</v>
      </c>
      <c r="E16301" s="15">
        <v>13.2676</v>
      </c>
      <c r="F16301" s="42">
        <v>43216</v>
      </c>
    </row>
    <row r="16302" spans="1:6" x14ac:dyDescent="0.3">
      <c r="A16302" s="15" t="s">
        <v>33859</v>
      </c>
      <c r="B16302" s="15" t="s">
        <v>30253</v>
      </c>
      <c r="C16302" s="15" t="s">
        <v>800</v>
      </c>
      <c r="D16302" s="15" t="s">
        <v>30254</v>
      </c>
      <c r="E16302" s="15">
        <v>10</v>
      </c>
      <c r="F16302" s="42">
        <v>43216</v>
      </c>
    </row>
    <row r="16303" spans="1:6" x14ac:dyDescent="0.3">
      <c r="A16303" s="15" t="s">
        <v>33858</v>
      </c>
      <c r="B16303" s="15" t="s">
        <v>30255</v>
      </c>
      <c r="C16303" s="15" t="s">
        <v>800</v>
      </c>
      <c r="D16303" s="15" t="s">
        <v>30256</v>
      </c>
      <c r="E16303" s="15">
        <v>13.1105</v>
      </c>
      <c r="F16303" s="42">
        <v>43216</v>
      </c>
    </row>
    <row r="16304" spans="1:6" x14ac:dyDescent="0.3">
      <c r="A16304" s="15" t="s">
        <v>33857</v>
      </c>
      <c r="B16304" s="15" t="s">
        <v>30257</v>
      </c>
      <c r="C16304" s="15" t="s">
        <v>800</v>
      </c>
      <c r="D16304" s="15" t="s">
        <v>30258</v>
      </c>
      <c r="E16304" s="15">
        <v>10</v>
      </c>
      <c r="F16304" s="42">
        <v>43264</v>
      </c>
    </row>
    <row r="16305" spans="1:6" x14ac:dyDescent="0.3">
      <c r="A16305" s="15" t="s">
        <v>33856</v>
      </c>
      <c r="B16305" s="15" t="s">
        <v>30259</v>
      </c>
      <c r="C16305" s="15" t="s">
        <v>800</v>
      </c>
      <c r="D16305" s="15" t="s">
        <v>30260</v>
      </c>
      <c r="E16305" s="15">
        <v>13.2326</v>
      </c>
      <c r="F16305" s="42">
        <v>43264</v>
      </c>
    </row>
    <row r="16306" spans="1:6" x14ac:dyDescent="0.3">
      <c r="A16306" s="15" t="s">
        <v>33855</v>
      </c>
      <c r="B16306" s="15" t="s">
        <v>30261</v>
      </c>
      <c r="C16306" s="15" t="s">
        <v>800</v>
      </c>
      <c r="D16306" s="15" t="s">
        <v>30262</v>
      </c>
      <c r="E16306" s="15">
        <v>10</v>
      </c>
      <c r="F16306" s="42">
        <v>43264</v>
      </c>
    </row>
    <row r="16307" spans="1:6" x14ac:dyDescent="0.3">
      <c r="A16307" s="15" t="s">
        <v>33854</v>
      </c>
      <c r="B16307" s="15" t="s">
        <v>30263</v>
      </c>
      <c r="C16307" s="15" t="s">
        <v>800</v>
      </c>
      <c r="D16307" s="15" t="s">
        <v>30264</v>
      </c>
      <c r="E16307" s="15">
        <v>13.029</v>
      </c>
      <c r="F16307" s="42">
        <v>43264</v>
      </c>
    </row>
    <row r="16308" spans="1:6" x14ac:dyDescent="0.3">
      <c r="A16308" s="15" t="s">
        <v>33853</v>
      </c>
      <c r="B16308" s="15" t="s">
        <v>30265</v>
      </c>
      <c r="C16308" s="15" t="s">
        <v>800</v>
      </c>
      <c r="D16308" s="15" t="s">
        <v>30266</v>
      </c>
      <c r="E16308" s="15">
        <v>12.804</v>
      </c>
      <c r="F16308" s="42">
        <v>43271</v>
      </c>
    </row>
    <row r="16309" spans="1:6" x14ac:dyDescent="0.3">
      <c r="A16309" s="15" t="s">
        <v>33852</v>
      </c>
      <c r="B16309" s="15" t="s">
        <v>30267</v>
      </c>
      <c r="C16309" s="15" t="s">
        <v>800</v>
      </c>
      <c r="D16309" s="15" t="s">
        <v>30268</v>
      </c>
      <c r="E16309" s="15">
        <v>10</v>
      </c>
      <c r="F16309" s="42">
        <v>43271</v>
      </c>
    </row>
    <row r="16310" spans="1:6" x14ac:dyDescent="0.3">
      <c r="A16310" s="15" t="s">
        <v>33851</v>
      </c>
      <c r="B16310" s="15" t="s">
        <v>30269</v>
      </c>
      <c r="C16310" s="15" t="s">
        <v>800</v>
      </c>
      <c r="D16310" s="15" t="s">
        <v>30270</v>
      </c>
      <c r="E16310" s="15">
        <v>12.7866</v>
      </c>
      <c r="F16310" s="42">
        <v>43271</v>
      </c>
    </row>
    <row r="16311" spans="1:6" x14ac:dyDescent="0.3">
      <c r="A16311" s="15" t="s">
        <v>33850</v>
      </c>
      <c r="B16311" s="15" t="s">
        <v>30271</v>
      </c>
      <c r="C16311" s="15" t="s">
        <v>800</v>
      </c>
      <c r="D16311" s="15" t="s">
        <v>30272</v>
      </c>
      <c r="E16311" s="15">
        <v>10</v>
      </c>
      <c r="F16311" s="42">
        <v>43206</v>
      </c>
    </row>
    <row r="16312" spans="1:6" x14ac:dyDescent="0.3">
      <c r="A16312" s="15" t="s">
        <v>33849</v>
      </c>
      <c r="B16312" s="15" t="s">
        <v>30273</v>
      </c>
      <c r="C16312" s="15" t="s">
        <v>800</v>
      </c>
      <c r="D16312" s="15" t="s">
        <v>30274</v>
      </c>
      <c r="E16312" s="15">
        <v>13.0748</v>
      </c>
      <c r="F16312" s="42">
        <v>43206</v>
      </c>
    </row>
    <row r="16313" spans="1:6" x14ac:dyDescent="0.3">
      <c r="A16313" s="15" t="s">
        <v>33848</v>
      </c>
      <c r="B16313" s="15" t="s">
        <v>30275</v>
      </c>
      <c r="C16313" s="15" t="s">
        <v>800</v>
      </c>
      <c r="D16313" s="15" t="s">
        <v>30276</v>
      </c>
      <c r="E16313" s="15">
        <v>10</v>
      </c>
      <c r="F16313" s="42">
        <v>43206</v>
      </c>
    </row>
    <row r="16314" spans="1:6" x14ac:dyDescent="0.3">
      <c r="A16314" s="15" t="s">
        <v>33847</v>
      </c>
      <c r="B16314" s="15" t="s">
        <v>30277</v>
      </c>
      <c r="C16314" s="15" t="s">
        <v>800</v>
      </c>
      <c r="D16314" s="15" t="s">
        <v>30278</v>
      </c>
      <c r="E16314" s="15">
        <v>12.9427</v>
      </c>
      <c r="F16314" s="42">
        <v>43206</v>
      </c>
    </row>
    <row r="16315" spans="1:6" x14ac:dyDescent="0.3">
      <c r="A16315" s="15" t="s">
        <v>33846</v>
      </c>
      <c r="B16315" s="15" t="s">
        <v>30279</v>
      </c>
      <c r="C16315" s="15" t="s">
        <v>800</v>
      </c>
      <c r="D16315" s="15" t="s">
        <v>30280</v>
      </c>
      <c r="E16315" s="15">
        <v>10</v>
      </c>
      <c r="F16315" s="42">
        <v>43124</v>
      </c>
    </row>
    <row r="16316" spans="1:6" x14ac:dyDescent="0.3">
      <c r="A16316" s="15" t="s">
        <v>33845</v>
      </c>
      <c r="B16316" s="15" t="s">
        <v>30281</v>
      </c>
      <c r="C16316" s="15" t="s">
        <v>800</v>
      </c>
      <c r="D16316" s="15" t="s">
        <v>30282</v>
      </c>
      <c r="E16316" s="15">
        <v>10</v>
      </c>
      <c r="F16316" s="42">
        <v>43124</v>
      </c>
    </row>
    <row r="16317" spans="1:6" x14ac:dyDescent="0.3">
      <c r="A16317" s="15" t="s">
        <v>33844</v>
      </c>
      <c r="B16317" s="15" t="s">
        <v>30283</v>
      </c>
      <c r="C16317" s="15" t="s">
        <v>800</v>
      </c>
      <c r="D16317" s="15" t="s">
        <v>30284</v>
      </c>
      <c r="E16317" s="15">
        <v>12.621</v>
      </c>
      <c r="F16317" s="42">
        <v>43124</v>
      </c>
    </row>
    <row r="16318" spans="1:6" x14ac:dyDescent="0.3">
      <c r="A16318" s="15" t="s">
        <v>33843</v>
      </c>
      <c r="B16318" s="15" t="s">
        <v>30285</v>
      </c>
      <c r="C16318" s="15" t="s">
        <v>800</v>
      </c>
      <c r="D16318" s="15" t="s">
        <v>30286</v>
      </c>
      <c r="E16318" s="15">
        <v>12.735200000000001</v>
      </c>
      <c r="F16318" s="42">
        <v>43124</v>
      </c>
    </row>
    <row r="16319" spans="1:6" x14ac:dyDescent="0.3">
      <c r="A16319" s="15" t="s">
        <v>33842</v>
      </c>
      <c r="B16319" s="15" t="s">
        <v>30287</v>
      </c>
      <c r="C16319" s="15" t="s">
        <v>800</v>
      </c>
      <c r="D16319" s="15" t="s">
        <v>30288</v>
      </c>
      <c r="E16319" s="15">
        <v>12.802300000000001</v>
      </c>
      <c r="F16319" s="42">
        <v>43164</v>
      </c>
    </row>
    <row r="16320" spans="1:6" x14ac:dyDescent="0.3">
      <c r="A16320" s="15" t="s">
        <v>33841</v>
      </c>
      <c r="B16320" s="15" t="s">
        <v>30289</v>
      </c>
      <c r="C16320" s="15" t="s">
        <v>800</v>
      </c>
      <c r="D16320" s="15" t="s">
        <v>30290</v>
      </c>
      <c r="E16320" s="15">
        <v>10</v>
      </c>
      <c r="F16320" s="42">
        <v>43164</v>
      </c>
    </row>
    <row r="16321" spans="1:6" x14ac:dyDescent="0.3">
      <c r="A16321" s="15" t="s">
        <v>33840</v>
      </c>
      <c r="B16321" s="15" t="s">
        <v>30291</v>
      </c>
      <c r="C16321" s="15" t="s">
        <v>800</v>
      </c>
      <c r="D16321" s="15" t="s">
        <v>30292</v>
      </c>
      <c r="E16321" s="15">
        <v>12.744300000000001</v>
      </c>
      <c r="F16321" s="42">
        <v>43164</v>
      </c>
    </row>
    <row r="16322" spans="1:6" x14ac:dyDescent="0.3">
      <c r="A16322" s="15" t="s">
        <v>33839</v>
      </c>
      <c r="B16322" s="15" t="s">
        <v>30293</v>
      </c>
      <c r="C16322" s="15" t="s">
        <v>800</v>
      </c>
      <c r="D16322" s="15" t="s">
        <v>30294</v>
      </c>
      <c r="E16322" s="15">
        <v>10</v>
      </c>
      <c r="F16322" s="42">
        <v>43564</v>
      </c>
    </row>
    <row r="16323" spans="1:6" x14ac:dyDescent="0.3">
      <c r="A16323" s="15" t="s">
        <v>33838</v>
      </c>
      <c r="B16323" s="15" t="s">
        <v>30295</v>
      </c>
      <c r="C16323" s="15" t="s">
        <v>800</v>
      </c>
      <c r="D16323" s="15" t="s">
        <v>30296</v>
      </c>
      <c r="E16323" s="15">
        <v>10</v>
      </c>
      <c r="F16323" s="42">
        <v>43564</v>
      </c>
    </row>
    <row r="16324" spans="1:6" x14ac:dyDescent="0.3">
      <c r="A16324" s="15" t="s">
        <v>33837</v>
      </c>
      <c r="B16324" s="15" t="s">
        <v>30297</v>
      </c>
      <c r="C16324" s="15" t="s">
        <v>800</v>
      </c>
      <c r="D16324" s="15" t="s">
        <v>30298</v>
      </c>
      <c r="E16324" s="15">
        <v>12.882899999999999</v>
      </c>
      <c r="F16324" s="42">
        <v>43564</v>
      </c>
    </row>
    <row r="16325" spans="1:6" x14ac:dyDescent="0.3">
      <c r="A16325" s="15" t="s">
        <v>33836</v>
      </c>
      <c r="B16325" s="15" t="s">
        <v>30299</v>
      </c>
      <c r="C16325" s="15" t="s">
        <v>800</v>
      </c>
      <c r="D16325" s="15" t="s">
        <v>30300</v>
      </c>
      <c r="E16325" s="15">
        <v>12.8307</v>
      </c>
      <c r="F16325" s="42">
        <v>43564</v>
      </c>
    </row>
    <row r="16326" spans="1:6" x14ac:dyDescent="0.3">
      <c r="A16326" s="15" t="s">
        <v>33835</v>
      </c>
      <c r="B16326" s="15" t="s">
        <v>30301</v>
      </c>
      <c r="C16326" s="15" t="s">
        <v>800</v>
      </c>
      <c r="D16326" s="15" t="s">
        <v>30302</v>
      </c>
      <c r="E16326" s="15">
        <v>10</v>
      </c>
      <c r="F16326" s="42">
        <v>43570</v>
      </c>
    </row>
    <row r="16327" spans="1:6" x14ac:dyDescent="0.3">
      <c r="A16327" s="15" t="s">
        <v>33834</v>
      </c>
      <c r="B16327" s="15" t="s">
        <v>30303</v>
      </c>
      <c r="C16327" s="15" t="s">
        <v>800</v>
      </c>
      <c r="D16327" s="15" t="s">
        <v>30304</v>
      </c>
      <c r="E16327" s="15">
        <v>12.7301</v>
      </c>
      <c r="F16327" s="42">
        <v>43570</v>
      </c>
    </row>
    <row r="16328" spans="1:6" x14ac:dyDescent="0.3">
      <c r="A16328" s="15" t="s">
        <v>33833</v>
      </c>
      <c r="B16328" s="15" t="s">
        <v>30305</v>
      </c>
      <c r="C16328" s="15" t="s">
        <v>800</v>
      </c>
      <c r="D16328" s="15" t="s">
        <v>30306</v>
      </c>
      <c r="E16328" s="15">
        <v>10</v>
      </c>
      <c r="F16328" s="42">
        <v>43570</v>
      </c>
    </row>
    <row r="16329" spans="1:6" x14ac:dyDescent="0.3">
      <c r="A16329" s="15" t="s">
        <v>33832</v>
      </c>
      <c r="B16329" s="15" t="s">
        <v>30307</v>
      </c>
      <c r="C16329" s="15" t="s">
        <v>800</v>
      </c>
      <c r="D16329" s="15" t="s">
        <v>30308</v>
      </c>
      <c r="E16329" s="15">
        <v>12.6495</v>
      </c>
      <c r="F16329" s="42">
        <v>43570</v>
      </c>
    </row>
    <row r="16330" spans="1:6" x14ac:dyDescent="0.3">
      <c r="A16330" s="15" t="s">
        <v>33831</v>
      </c>
      <c r="B16330" s="15" t="s">
        <v>30309</v>
      </c>
      <c r="C16330" s="15" t="s">
        <v>800</v>
      </c>
      <c r="D16330" s="15" t="s">
        <v>30310</v>
      </c>
      <c r="E16330" s="15">
        <v>11.9604</v>
      </c>
      <c r="F16330" s="42">
        <v>43622</v>
      </c>
    </row>
    <row r="16331" spans="1:6" x14ac:dyDescent="0.3">
      <c r="A16331" s="15" t="s">
        <v>33830</v>
      </c>
      <c r="B16331" s="15" t="s">
        <v>30311</v>
      </c>
      <c r="C16331" s="15" t="s">
        <v>800</v>
      </c>
      <c r="D16331" s="15" t="s">
        <v>30312</v>
      </c>
      <c r="E16331" s="15">
        <v>10</v>
      </c>
      <c r="F16331" s="42">
        <v>43622</v>
      </c>
    </row>
    <row r="16332" spans="1:6" x14ac:dyDescent="0.3">
      <c r="A16332" s="15" t="s">
        <v>33829</v>
      </c>
      <c r="B16332" s="15" t="s">
        <v>30313</v>
      </c>
      <c r="C16332" s="15" t="s">
        <v>800</v>
      </c>
      <c r="D16332" s="15" t="s">
        <v>30314</v>
      </c>
      <c r="E16332" s="15">
        <v>12.118600000000001</v>
      </c>
      <c r="F16332" s="42">
        <v>43622</v>
      </c>
    </row>
    <row r="16333" spans="1:6" x14ac:dyDescent="0.3">
      <c r="A16333" s="15" t="s">
        <v>33828</v>
      </c>
      <c r="B16333" s="15" t="s">
        <v>30315</v>
      </c>
      <c r="C16333" s="15" t="s">
        <v>800</v>
      </c>
      <c r="D16333" s="15" t="s">
        <v>30316</v>
      </c>
      <c r="E16333" s="15">
        <v>10</v>
      </c>
      <c r="F16333" s="42">
        <v>43622</v>
      </c>
    </row>
    <row r="16334" spans="1:6" x14ac:dyDescent="0.3">
      <c r="A16334" s="15" t="s">
        <v>33827</v>
      </c>
      <c r="B16334" s="15" t="s">
        <v>30317</v>
      </c>
      <c r="C16334" s="15" t="s">
        <v>800</v>
      </c>
      <c r="D16334" s="15" t="s">
        <v>30318</v>
      </c>
      <c r="E16334" s="15">
        <v>10</v>
      </c>
      <c r="F16334" s="42">
        <v>43564</v>
      </c>
    </row>
    <row r="16335" spans="1:6" x14ac:dyDescent="0.3">
      <c r="A16335" s="15" t="s">
        <v>33826</v>
      </c>
      <c r="B16335" s="15" t="s">
        <v>30319</v>
      </c>
      <c r="C16335" s="15" t="s">
        <v>800</v>
      </c>
      <c r="D16335" s="15" t="s">
        <v>30320</v>
      </c>
      <c r="E16335" s="15">
        <v>12.829000000000001</v>
      </c>
      <c r="F16335" s="42">
        <v>43564</v>
      </c>
    </row>
    <row r="16336" spans="1:6" x14ac:dyDescent="0.3">
      <c r="A16336" s="15" t="s">
        <v>33825</v>
      </c>
      <c r="B16336" s="15" t="s">
        <v>30321</v>
      </c>
      <c r="C16336" s="15" t="s">
        <v>800</v>
      </c>
      <c r="D16336" s="15" t="s">
        <v>30322</v>
      </c>
      <c r="E16336" s="15">
        <v>10</v>
      </c>
      <c r="F16336" s="42">
        <v>43564</v>
      </c>
    </row>
    <row r="16337" spans="1:6" x14ac:dyDescent="0.3">
      <c r="A16337" s="15" t="s">
        <v>33824</v>
      </c>
      <c r="B16337" s="15" t="s">
        <v>30323</v>
      </c>
      <c r="C16337" s="15" t="s">
        <v>800</v>
      </c>
      <c r="D16337" s="15" t="s">
        <v>30324</v>
      </c>
      <c r="E16337" s="15">
        <v>12.881600000000001</v>
      </c>
      <c r="F16337" s="42">
        <v>43564</v>
      </c>
    </row>
    <row r="16338" spans="1:6" x14ac:dyDescent="0.3">
      <c r="A16338" s="15" t="s">
        <v>33823</v>
      </c>
      <c r="B16338" s="15" t="s">
        <v>30325</v>
      </c>
      <c r="C16338" s="15" t="s">
        <v>800</v>
      </c>
      <c r="D16338" s="15" t="s">
        <v>30326</v>
      </c>
      <c r="E16338" s="15">
        <v>10</v>
      </c>
      <c r="F16338" s="42">
        <v>43564</v>
      </c>
    </row>
    <row r="16339" spans="1:6" x14ac:dyDescent="0.3">
      <c r="A16339" s="15" t="s">
        <v>33822</v>
      </c>
      <c r="B16339" s="15" t="s">
        <v>30327</v>
      </c>
      <c r="C16339" s="15" t="s">
        <v>800</v>
      </c>
      <c r="D16339" s="15" t="s">
        <v>30328</v>
      </c>
      <c r="E16339" s="15">
        <v>12.850300000000001</v>
      </c>
      <c r="F16339" s="42">
        <v>43564</v>
      </c>
    </row>
    <row r="16340" spans="1:6" x14ac:dyDescent="0.3">
      <c r="A16340" s="15" t="s">
        <v>33821</v>
      </c>
      <c r="B16340" s="15" t="s">
        <v>30329</v>
      </c>
      <c r="C16340" s="15" t="s">
        <v>800</v>
      </c>
      <c r="D16340" s="15" t="s">
        <v>30330</v>
      </c>
      <c r="E16340" s="15">
        <v>10</v>
      </c>
      <c r="F16340" s="42">
        <v>43564</v>
      </c>
    </row>
    <row r="16341" spans="1:6" x14ac:dyDescent="0.3">
      <c r="A16341" s="15" t="s">
        <v>33820</v>
      </c>
      <c r="B16341" s="15" t="s">
        <v>30331</v>
      </c>
      <c r="C16341" s="15" t="s">
        <v>800</v>
      </c>
      <c r="D16341" s="15" t="s">
        <v>30332</v>
      </c>
      <c r="E16341" s="15">
        <v>12.792299999999999</v>
      </c>
      <c r="F16341" s="42">
        <v>43564</v>
      </c>
    </row>
    <row r="16342" spans="1:6" x14ac:dyDescent="0.3">
      <c r="A16342" s="15" t="s">
        <v>33819</v>
      </c>
      <c r="B16342" s="15" t="s">
        <v>30333</v>
      </c>
      <c r="C16342" s="15" t="s">
        <v>800</v>
      </c>
      <c r="D16342" s="15" t="s">
        <v>30334</v>
      </c>
      <c r="E16342" s="15">
        <v>10</v>
      </c>
      <c r="F16342" s="42">
        <v>43570</v>
      </c>
    </row>
    <row r="16343" spans="1:6" x14ac:dyDescent="0.3">
      <c r="A16343" s="15" t="s">
        <v>33818</v>
      </c>
      <c r="B16343" s="15" t="s">
        <v>30335</v>
      </c>
      <c r="C16343" s="15" t="s">
        <v>800</v>
      </c>
      <c r="D16343" s="15" t="s">
        <v>30336</v>
      </c>
      <c r="E16343" s="15">
        <v>12.8041</v>
      </c>
      <c r="F16343" s="42">
        <v>43570</v>
      </c>
    </row>
    <row r="16344" spans="1:6" x14ac:dyDescent="0.3">
      <c r="A16344" s="15" t="s">
        <v>33817</v>
      </c>
      <c r="B16344" s="15" t="s">
        <v>30337</v>
      </c>
      <c r="C16344" s="15" t="s">
        <v>800</v>
      </c>
      <c r="D16344" s="15" t="s">
        <v>30338</v>
      </c>
      <c r="E16344" s="15">
        <v>12.753399999999999</v>
      </c>
      <c r="F16344" s="42">
        <v>43570</v>
      </c>
    </row>
    <row r="16345" spans="1:6" x14ac:dyDescent="0.3">
      <c r="A16345" s="15" t="s">
        <v>33816</v>
      </c>
      <c r="B16345" s="15" t="s">
        <v>30339</v>
      </c>
      <c r="C16345" s="15" t="s">
        <v>800</v>
      </c>
      <c r="D16345" s="15" t="s">
        <v>30340</v>
      </c>
      <c r="E16345" s="15">
        <v>10</v>
      </c>
      <c r="F16345" s="42">
        <v>43622</v>
      </c>
    </row>
    <row r="16346" spans="1:6" x14ac:dyDescent="0.3">
      <c r="A16346" s="15" t="s">
        <v>33815</v>
      </c>
      <c r="B16346" s="15" t="s">
        <v>30341</v>
      </c>
      <c r="C16346" s="15" t="s">
        <v>800</v>
      </c>
      <c r="D16346" s="15" t="s">
        <v>30342</v>
      </c>
      <c r="E16346" s="15">
        <v>12.656000000000001</v>
      </c>
      <c r="F16346" s="42">
        <v>43622</v>
      </c>
    </row>
    <row r="16347" spans="1:6" x14ac:dyDescent="0.3">
      <c r="A16347" s="15" t="s">
        <v>33814</v>
      </c>
      <c r="B16347" s="15" t="s">
        <v>30343</v>
      </c>
      <c r="C16347" s="15" t="s">
        <v>800</v>
      </c>
      <c r="D16347" s="15" t="s">
        <v>30344</v>
      </c>
      <c r="E16347" s="15">
        <v>10</v>
      </c>
      <c r="F16347" s="42">
        <v>43622</v>
      </c>
    </row>
    <row r="16348" spans="1:6" x14ac:dyDescent="0.3">
      <c r="A16348" s="15" t="s">
        <v>33813</v>
      </c>
      <c r="B16348" s="15" t="s">
        <v>30345</v>
      </c>
      <c r="C16348" s="15" t="s">
        <v>800</v>
      </c>
      <c r="D16348" s="15" t="s">
        <v>30346</v>
      </c>
      <c r="E16348" s="15">
        <v>12.323399999999999</v>
      </c>
      <c r="F16348" s="42">
        <v>43622</v>
      </c>
    </row>
    <row r="16349" spans="1:6" x14ac:dyDescent="0.3">
      <c r="A16349" s="15" t="s">
        <v>33812</v>
      </c>
      <c r="B16349" s="15" t="s">
        <v>30347</v>
      </c>
      <c r="C16349" s="15" t="s">
        <v>800</v>
      </c>
      <c r="D16349" s="15" t="s">
        <v>30348</v>
      </c>
      <c r="E16349" s="15">
        <v>12.7241</v>
      </c>
      <c r="F16349" s="42">
        <v>43570</v>
      </c>
    </row>
    <row r="16350" spans="1:6" x14ac:dyDescent="0.3">
      <c r="A16350" s="15" t="s">
        <v>33811</v>
      </c>
      <c r="B16350" s="15" t="s">
        <v>30349</v>
      </c>
      <c r="C16350" s="15" t="s">
        <v>800</v>
      </c>
      <c r="D16350" s="15" t="s">
        <v>30350</v>
      </c>
      <c r="E16350" s="15">
        <v>12.757099999999999</v>
      </c>
      <c r="F16350" s="42">
        <v>43570</v>
      </c>
    </row>
    <row r="16351" spans="1:6" x14ac:dyDescent="0.3">
      <c r="A16351" s="15" t="s">
        <v>33810</v>
      </c>
      <c r="B16351" s="15" t="s">
        <v>30351</v>
      </c>
      <c r="C16351" s="15" t="s">
        <v>800</v>
      </c>
      <c r="D16351" s="15" t="s">
        <v>30352</v>
      </c>
      <c r="E16351" s="15">
        <v>12.6266</v>
      </c>
      <c r="F16351" s="42">
        <v>43570</v>
      </c>
    </row>
    <row r="16352" spans="1:6" x14ac:dyDescent="0.3">
      <c r="A16352" s="15" t="s">
        <v>33809</v>
      </c>
      <c r="B16352" s="15" t="s">
        <v>30353</v>
      </c>
      <c r="C16352" s="15" t="s">
        <v>800</v>
      </c>
      <c r="D16352" s="15" t="s">
        <v>30354</v>
      </c>
      <c r="E16352" s="15">
        <v>12.657400000000001</v>
      </c>
      <c r="F16352" s="42">
        <v>43570</v>
      </c>
    </row>
    <row r="16353" spans="1:6" x14ac:dyDescent="0.3">
      <c r="A16353" s="15" t="s">
        <v>33808</v>
      </c>
      <c r="B16353" s="15" t="s">
        <v>30355</v>
      </c>
      <c r="C16353" s="15" t="s">
        <v>800</v>
      </c>
      <c r="D16353" s="15" t="s">
        <v>30356</v>
      </c>
      <c r="E16353" s="15">
        <v>10</v>
      </c>
      <c r="F16353" s="42">
        <v>43570</v>
      </c>
    </row>
    <row r="16354" spans="1:6" x14ac:dyDescent="0.3">
      <c r="A16354" s="15" t="s">
        <v>33807</v>
      </c>
      <c r="B16354" s="15" t="s">
        <v>30357</v>
      </c>
      <c r="C16354" s="15" t="s">
        <v>800</v>
      </c>
      <c r="D16354" s="15" t="s">
        <v>30358</v>
      </c>
      <c r="E16354" s="15">
        <v>12.674200000000001</v>
      </c>
      <c r="F16354" s="42">
        <v>43570</v>
      </c>
    </row>
    <row r="16355" spans="1:6" x14ac:dyDescent="0.3">
      <c r="A16355" s="15" t="s">
        <v>33806</v>
      </c>
      <c r="B16355" s="15" t="s">
        <v>30359</v>
      </c>
      <c r="C16355" s="15" t="s">
        <v>800</v>
      </c>
      <c r="D16355" s="15" t="s">
        <v>30360</v>
      </c>
      <c r="E16355" s="15">
        <v>10</v>
      </c>
      <c r="F16355" s="42">
        <v>43570</v>
      </c>
    </row>
    <row r="16356" spans="1:6" x14ac:dyDescent="0.3">
      <c r="A16356" s="15" t="s">
        <v>33805</v>
      </c>
      <c r="B16356" s="15" t="s">
        <v>30361</v>
      </c>
      <c r="C16356" s="15" t="s">
        <v>800</v>
      </c>
      <c r="D16356" s="15" t="s">
        <v>30362</v>
      </c>
      <c r="E16356" s="15">
        <v>12.516400000000001</v>
      </c>
      <c r="F16356" s="42">
        <v>43570</v>
      </c>
    </row>
    <row r="16357" spans="1:6" x14ac:dyDescent="0.3">
      <c r="A16357" s="15" t="s">
        <v>33804</v>
      </c>
      <c r="B16357" s="15" t="s">
        <v>30363</v>
      </c>
      <c r="C16357" s="15" t="s">
        <v>800</v>
      </c>
      <c r="D16357" s="15" t="s">
        <v>30364</v>
      </c>
      <c r="E16357" s="15">
        <v>10</v>
      </c>
      <c r="F16357" s="42">
        <v>43622</v>
      </c>
    </row>
    <row r="16358" spans="1:6" x14ac:dyDescent="0.3">
      <c r="A16358" s="15" t="s">
        <v>33803</v>
      </c>
      <c r="B16358" s="15" t="s">
        <v>30365</v>
      </c>
      <c r="C16358" s="15" t="s">
        <v>800</v>
      </c>
      <c r="D16358" s="15" t="s">
        <v>30366</v>
      </c>
      <c r="E16358" s="15">
        <v>12.443199999999999</v>
      </c>
      <c r="F16358" s="42">
        <v>43622</v>
      </c>
    </row>
    <row r="16359" spans="1:6" x14ac:dyDescent="0.3">
      <c r="A16359" s="15" t="s">
        <v>33802</v>
      </c>
      <c r="B16359" s="15" t="s">
        <v>30367</v>
      </c>
      <c r="C16359" s="15" t="s">
        <v>800</v>
      </c>
      <c r="D16359" s="15" t="s">
        <v>30368</v>
      </c>
      <c r="E16359" s="15">
        <v>10</v>
      </c>
      <c r="F16359" s="42">
        <v>43622</v>
      </c>
    </row>
    <row r="16360" spans="1:6" x14ac:dyDescent="0.3">
      <c r="A16360" s="15" t="s">
        <v>33801</v>
      </c>
      <c r="B16360" s="15" t="s">
        <v>30369</v>
      </c>
      <c r="C16360" s="15" t="s">
        <v>800</v>
      </c>
      <c r="D16360" s="15" t="s">
        <v>30370</v>
      </c>
      <c r="E16360" s="15">
        <v>12.2058</v>
      </c>
      <c r="F16360" s="42">
        <v>43622</v>
      </c>
    </row>
    <row r="16361" spans="1:6" x14ac:dyDescent="0.3">
      <c r="A16361" s="15" t="s">
        <v>33800</v>
      </c>
      <c r="B16361" s="15" t="s">
        <v>30371</v>
      </c>
      <c r="C16361" s="15" t="s">
        <v>800</v>
      </c>
      <c r="D16361" s="15" t="s">
        <v>30372</v>
      </c>
      <c r="E16361" s="15">
        <v>10</v>
      </c>
      <c r="F16361" s="42">
        <v>43615</v>
      </c>
    </row>
    <row r="16362" spans="1:6" x14ac:dyDescent="0.3">
      <c r="A16362" s="15" t="s">
        <v>33799</v>
      </c>
      <c r="B16362" s="15" t="s">
        <v>30373</v>
      </c>
      <c r="C16362" s="15" t="s">
        <v>800</v>
      </c>
      <c r="D16362" s="15" t="s">
        <v>30374</v>
      </c>
      <c r="E16362" s="15">
        <v>12.662100000000001</v>
      </c>
      <c r="F16362" s="42">
        <v>43615</v>
      </c>
    </row>
    <row r="16363" spans="1:6" x14ac:dyDescent="0.3">
      <c r="A16363" s="15" t="s">
        <v>33798</v>
      </c>
      <c r="B16363" s="15" t="s">
        <v>30375</v>
      </c>
      <c r="C16363" s="15" t="s">
        <v>800</v>
      </c>
      <c r="D16363" s="15" t="s">
        <v>30376</v>
      </c>
      <c r="E16363" s="15">
        <v>10</v>
      </c>
      <c r="F16363" s="42">
        <v>43615</v>
      </c>
    </row>
    <row r="16364" spans="1:6" x14ac:dyDescent="0.3">
      <c r="A16364" s="15" t="s">
        <v>33797</v>
      </c>
      <c r="B16364" s="15" t="s">
        <v>30377</v>
      </c>
      <c r="C16364" s="15" t="s">
        <v>800</v>
      </c>
      <c r="D16364" s="15" t="s">
        <v>30378</v>
      </c>
      <c r="E16364" s="15">
        <v>12.625400000000001</v>
      </c>
      <c r="F16364" s="42">
        <v>43615</v>
      </c>
    </row>
    <row r="16365" spans="1:6" x14ac:dyDescent="0.3">
      <c r="A16365" s="15" t="s">
        <v>33796</v>
      </c>
      <c r="B16365" s="15" t="s">
        <v>30379</v>
      </c>
      <c r="C16365" s="15" t="s">
        <v>800</v>
      </c>
      <c r="D16365" s="15" t="s">
        <v>30380</v>
      </c>
      <c r="E16365" s="15">
        <v>10</v>
      </c>
      <c r="F16365" s="42">
        <v>43627</v>
      </c>
    </row>
    <row r="16366" spans="1:6" x14ac:dyDescent="0.3">
      <c r="A16366" s="15" t="s">
        <v>33795</v>
      </c>
      <c r="B16366" s="15" t="s">
        <v>30381</v>
      </c>
      <c r="C16366" s="15" t="s">
        <v>800</v>
      </c>
      <c r="D16366" s="15" t="s">
        <v>30382</v>
      </c>
      <c r="E16366" s="15">
        <v>13.182399999999999</v>
      </c>
      <c r="F16366" s="42">
        <v>43627</v>
      </c>
    </row>
    <row r="16367" spans="1:6" x14ac:dyDescent="0.3">
      <c r="A16367" s="15" t="s">
        <v>33794</v>
      </c>
      <c r="B16367" s="15" t="s">
        <v>30383</v>
      </c>
      <c r="C16367" s="15" t="s">
        <v>800</v>
      </c>
      <c r="D16367" s="15" t="s">
        <v>30384</v>
      </c>
      <c r="E16367" s="15">
        <v>10</v>
      </c>
      <c r="F16367" s="42">
        <v>43627</v>
      </c>
    </row>
    <row r="16368" spans="1:6" x14ac:dyDescent="0.3">
      <c r="A16368" s="15" t="s">
        <v>33793</v>
      </c>
      <c r="B16368" s="15" t="s">
        <v>30385</v>
      </c>
      <c r="C16368" s="15" t="s">
        <v>800</v>
      </c>
      <c r="D16368" s="15" t="s">
        <v>30386</v>
      </c>
      <c r="E16368" s="15">
        <v>12.9663</v>
      </c>
      <c r="F16368" s="42">
        <v>43627</v>
      </c>
    </row>
    <row r="16369" spans="1:6" x14ac:dyDescent="0.3">
      <c r="A16369" s="15" t="s">
        <v>33792</v>
      </c>
      <c r="B16369" s="15" t="s">
        <v>30387</v>
      </c>
      <c r="C16369" s="15" t="s">
        <v>800</v>
      </c>
      <c r="D16369" s="15" t="s">
        <v>30388</v>
      </c>
      <c r="E16369" s="15">
        <v>10</v>
      </c>
      <c r="F16369" s="42">
        <v>43626</v>
      </c>
    </row>
    <row r="16370" spans="1:6" x14ac:dyDescent="0.3">
      <c r="A16370" s="15" t="s">
        <v>33791</v>
      </c>
      <c r="B16370" s="15" t="s">
        <v>30389</v>
      </c>
      <c r="C16370" s="15" t="s">
        <v>800</v>
      </c>
      <c r="D16370" s="15" t="s">
        <v>30390</v>
      </c>
      <c r="E16370" s="15">
        <v>13.5631</v>
      </c>
      <c r="F16370" s="42">
        <v>43626</v>
      </c>
    </row>
    <row r="16371" spans="1:6" x14ac:dyDescent="0.3">
      <c r="A16371" s="15" t="s">
        <v>33790</v>
      </c>
      <c r="B16371" s="15" t="s">
        <v>30391</v>
      </c>
      <c r="C16371" s="15" t="s">
        <v>800</v>
      </c>
      <c r="D16371" s="15" t="s">
        <v>30392</v>
      </c>
      <c r="E16371" s="15">
        <v>10</v>
      </c>
      <c r="F16371" s="42">
        <v>43626</v>
      </c>
    </row>
    <row r="16372" spans="1:6" x14ac:dyDescent="0.3">
      <c r="A16372" s="15" t="s">
        <v>33789</v>
      </c>
      <c r="B16372" s="15" t="s">
        <v>30393</v>
      </c>
      <c r="C16372" s="15" t="s">
        <v>800</v>
      </c>
      <c r="D16372" s="15" t="s">
        <v>30394</v>
      </c>
      <c r="E16372" s="15">
        <v>13.3375</v>
      </c>
      <c r="F16372" s="42">
        <v>43626</v>
      </c>
    </row>
    <row r="16373" spans="1:6" x14ac:dyDescent="0.3">
      <c r="A16373" s="15" t="s">
        <v>33788</v>
      </c>
      <c r="B16373" s="15" t="s">
        <v>30395</v>
      </c>
      <c r="C16373" s="15" t="s">
        <v>800</v>
      </c>
      <c r="D16373" s="15" t="s">
        <v>30396</v>
      </c>
      <c r="E16373" s="15">
        <v>12.8444</v>
      </c>
      <c r="F16373" s="42">
        <v>43564</v>
      </c>
    </row>
    <row r="16374" spans="1:6" x14ac:dyDescent="0.3">
      <c r="A16374" s="15" t="s">
        <v>33787</v>
      </c>
      <c r="B16374" s="15" t="s">
        <v>30397</v>
      </c>
      <c r="C16374" s="15" t="s">
        <v>800</v>
      </c>
      <c r="D16374" s="15" t="s">
        <v>30398</v>
      </c>
      <c r="E16374" s="15">
        <v>12.727499999999999</v>
      </c>
      <c r="F16374" s="42">
        <v>43564</v>
      </c>
    </row>
    <row r="16375" spans="1:6" x14ac:dyDescent="0.3">
      <c r="A16375" s="15" t="s">
        <v>33786</v>
      </c>
      <c r="B16375" s="15" t="s">
        <v>30399</v>
      </c>
      <c r="C16375" s="15" t="s">
        <v>800</v>
      </c>
      <c r="D16375" s="15" t="s">
        <v>30400</v>
      </c>
      <c r="E16375" s="15">
        <v>12.6868</v>
      </c>
      <c r="F16375" s="42">
        <v>43564</v>
      </c>
    </row>
    <row r="16376" spans="1:6" x14ac:dyDescent="0.3">
      <c r="A16376" s="15" t="s">
        <v>33785</v>
      </c>
      <c r="B16376" s="15" t="s">
        <v>30401</v>
      </c>
      <c r="C16376" s="15" t="s">
        <v>800</v>
      </c>
      <c r="D16376" s="15" t="s">
        <v>30402</v>
      </c>
      <c r="E16376" s="15">
        <v>12.7994</v>
      </c>
      <c r="F16376" s="42">
        <v>43564</v>
      </c>
    </row>
    <row r="16377" spans="1:6" x14ac:dyDescent="0.3">
      <c r="A16377" s="15" t="s">
        <v>33784</v>
      </c>
      <c r="B16377" s="15" t="s">
        <v>30403</v>
      </c>
      <c r="C16377" s="15" t="s">
        <v>800</v>
      </c>
      <c r="D16377" s="15" t="s">
        <v>30404</v>
      </c>
      <c r="E16377" s="15">
        <v>12.7438</v>
      </c>
      <c r="F16377" s="42">
        <v>43570</v>
      </c>
    </row>
    <row r="16378" spans="1:6" x14ac:dyDescent="0.3">
      <c r="A16378" s="15" t="s">
        <v>33783</v>
      </c>
      <c r="B16378" s="15" t="s">
        <v>30405</v>
      </c>
      <c r="C16378" s="15" t="s">
        <v>800</v>
      </c>
      <c r="D16378" s="15" t="s">
        <v>30406</v>
      </c>
      <c r="E16378" s="15">
        <v>12.830500000000001</v>
      </c>
      <c r="F16378" s="42">
        <v>43570</v>
      </c>
    </row>
    <row r="16379" spans="1:6" x14ac:dyDescent="0.3">
      <c r="A16379" s="15" t="s">
        <v>33782</v>
      </c>
      <c r="B16379" s="15" t="s">
        <v>30407</v>
      </c>
      <c r="C16379" s="15" t="s">
        <v>800</v>
      </c>
      <c r="D16379" s="15" t="s">
        <v>30408</v>
      </c>
      <c r="E16379" s="15">
        <v>12.780099999999999</v>
      </c>
      <c r="F16379" s="42">
        <v>43570</v>
      </c>
    </row>
    <row r="16380" spans="1:6" x14ac:dyDescent="0.3">
      <c r="A16380" s="15" t="s">
        <v>33781</v>
      </c>
      <c r="B16380" s="15" t="s">
        <v>30409</v>
      </c>
      <c r="C16380" s="15" t="s">
        <v>800</v>
      </c>
      <c r="D16380" s="15" t="s">
        <v>30410</v>
      </c>
      <c r="E16380" s="15">
        <v>12.8299</v>
      </c>
      <c r="F16380" s="42">
        <v>43570</v>
      </c>
    </row>
    <row r="16381" spans="1:6" x14ac:dyDescent="0.3">
      <c r="A16381" s="15" t="s">
        <v>33780</v>
      </c>
      <c r="B16381" s="15" t="s">
        <v>30411</v>
      </c>
      <c r="C16381" s="15" t="s">
        <v>800</v>
      </c>
      <c r="D16381" s="15" t="s">
        <v>30412</v>
      </c>
      <c r="E16381" s="15">
        <v>12.778700000000001</v>
      </c>
      <c r="F16381" s="42">
        <v>43570</v>
      </c>
    </row>
    <row r="16382" spans="1:6" x14ac:dyDescent="0.3">
      <c r="A16382" s="15" t="s">
        <v>33779</v>
      </c>
      <c r="B16382" s="15" t="s">
        <v>30413</v>
      </c>
      <c r="C16382" s="15" t="s">
        <v>800</v>
      </c>
      <c r="D16382" s="15" t="s">
        <v>30414</v>
      </c>
      <c r="E16382" s="15">
        <v>10</v>
      </c>
      <c r="F16382" s="42">
        <v>43622</v>
      </c>
    </row>
    <row r="16383" spans="1:6" x14ac:dyDescent="0.3">
      <c r="A16383" s="15" t="s">
        <v>33778</v>
      </c>
      <c r="B16383" s="15" t="s">
        <v>30415</v>
      </c>
      <c r="C16383" s="15" t="s">
        <v>800</v>
      </c>
      <c r="D16383" s="15" t="s">
        <v>30416</v>
      </c>
      <c r="E16383" s="15">
        <v>12.6914</v>
      </c>
      <c r="F16383" s="42">
        <v>43622</v>
      </c>
    </row>
    <row r="16384" spans="1:6" x14ac:dyDescent="0.3">
      <c r="A16384" s="15" t="s">
        <v>33777</v>
      </c>
      <c r="B16384" s="15" t="s">
        <v>30417</v>
      </c>
      <c r="C16384" s="15" t="s">
        <v>800</v>
      </c>
      <c r="D16384" s="15" t="s">
        <v>30418</v>
      </c>
      <c r="E16384" s="15">
        <v>10</v>
      </c>
      <c r="F16384" s="42">
        <v>43622</v>
      </c>
    </row>
    <row r="16385" spans="1:6" x14ac:dyDescent="0.3">
      <c r="A16385" s="15" t="s">
        <v>33776</v>
      </c>
      <c r="B16385" s="15" t="s">
        <v>30419</v>
      </c>
      <c r="C16385" s="15" t="s">
        <v>800</v>
      </c>
      <c r="D16385" s="15" t="s">
        <v>30420</v>
      </c>
      <c r="E16385" s="15">
        <v>12.463800000000001</v>
      </c>
      <c r="F16385" s="42">
        <v>43622</v>
      </c>
    </row>
    <row r="16386" spans="1:6" x14ac:dyDescent="0.3">
      <c r="A16386" s="15" t="s">
        <v>33775</v>
      </c>
      <c r="B16386" s="15" t="s">
        <v>30421</v>
      </c>
      <c r="C16386" s="15" t="s">
        <v>800</v>
      </c>
      <c r="D16386" s="15" t="s">
        <v>30422</v>
      </c>
      <c r="E16386" s="15">
        <v>10</v>
      </c>
      <c r="F16386" s="42">
        <v>42516</v>
      </c>
    </row>
    <row r="16387" spans="1:6" x14ac:dyDescent="0.3">
      <c r="A16387" s="15" t="s">
        <v>33774</v>
      </c>
      <c r="B16387" s="15" t="s">
        <v>30423</v>
      </c>
      <c r="C16387" s="15" t="s">
        <v>800</v>
      </c>
      <c r="D16387" s="15" t="s">
        <v>30424</v>
      </c>
      <c r="E16387" s="15">
        <v>10.212899999999999</v>
      </c>
      <c r="F16387" s="42">
        <v>42516</v>
      </c>
    </row>
    <row r="16388" spans="1:6" x14ac:dyDescent="0.3">
      <c r="A16388" s="15" t="s">
        <v>33773</v>
      </c>
      <c r="B16388" s="15" t="s">
        <v>30425</v>
      </c>
      <c r="C16388" s="15" t="s">
        <v>800</v>
      </c>
      <c r="D16388" s="15" t="s">
        <v>30426</v>
      </c>
      <c r="E16388" s="15">
        <v>10</v>
      </c>
      <c r="F16388" s="42">
        <v>42516</v>
      </c>
    </row>
    <row r="16389" spans="1:6" x14ac:dyDescent="0.3">
      <c r="A16389" s="15" t="s">
        <v>33772</v>
      </c>
      <c r="B16389" s="15" t="s">
        <v>30427</v>
      </c>
      <c r="C16389" s="15" t="s">
        <v>800</v>
      </c>
      <c r="D16389" s="15" t="s">
        <v>30428</v>
      </c>
      <c r="E16389" s="15">
        <v>10.2082</v>
      </c>
      <c r="F16389" s="42">
        <v>42516</v>
      </c>
    </row>
    <row r="16390" spans="1:6" x14ac:dyDescent="0.3">
      <c r="A16390" s="15" t="s">
        <v>33771</v>
      </c>
      <c r="B16390" s="15" t="s">
        <v>30429</v>
      </c>
      <c r="C16390" s="15" t="s">
        <v>800</v>
      </c>
      <c r="D16390" s="15" t="s">
        <v>30430</v>
      </c>
      <c r="E16390" s="15">
        <v>10</v>
      </c>
      <c r="F16390" s="42">
        <v>43661</v>
      </c>
    </row>
    <row r="16391" spans="1:6" x14ac:dyDescent="0.3">
      <c r="A16391" s="15" t="s">
        <v>33770</v>
      </c>
      <c r="B16391" s="15" t="s">
        <v>30431</v>
      </c>
      <c r="C16391" s="15" t="s">
        <v>800</v>
      </c>
      <c r="D16391" s="15" t="s">
        <v>30432</v>
      </c>
      <c r="E16391" s="15">
        <v>13.1105</v>
      </c>
      <c r="F16391" s="42">
        <v>43661</v>
      </c>
    </row>
    <row r="16392" spans="1:6" x14ac:dyDescent="0.3">
      <c r="A16392" s="15" t="s">
        <v>33769</v>
      </c>
      <c r="B16392" s="15" t="s">
        <v>30433</v>
      </c>
      <c r="C16392" s="15" t="s">
        <v>800</v>
      </c>
      <c r="D16392" s="15" t="s">
        <v>30434</v>
      </c>
      <c r="E16392" s="15">
        <v>10</v>
      </c>
      <c r="F16392" s="42">
        <v>43661</v>
      </c>
    </row>
    <row r="16393" spans="1:6" x14ac:dyDescent="0.3">
      <c r="A16393" s="15" t="s">
        <v>33768</v>
      </c>
      <c r="B16393" s="15" t="s">
        <v>30435</v>
      </c>
      <c r="C16393" s="15" t="s">
        <v>800</v>
      </c>
      <c r="D16393" s="15" t="s">
        <v>30436</v>
      </c>
      <c r="E16393" s="15">
        <v>12.913</v>
      </c>
      <c r="F16393" s="42">
        <v>43661</v>
      </c>
    </row>
    <row r="16394" spans="1:6" x14ac:dyDescent="0.3">
      <c r="A16394" s="15" t="s">
        <v>33767</v>
      </c>
      <c r="B16394" s="15" t="s">
        <v>30437</v>
      </c>
      <c r="C16394" s="15" t="s">
        <v>800</v>
      </c>
      <c r="D16394" s="15" t="s">
        <v>30438</v>
      </c>
      <c r="E16394" s="15">
        <v>10</v>
      </c>
      <c r="F16394" s="42">
        <v>43640</v>
      </c>
    </row>
    <row r="16395" spans="1:6" x14ac:dyDescent="0.3">
      <c r="A16395" s="15" t="s">
        <v>33766</v>
      </c>
      <c r="B16395" s="15" t="s">
        <v>30439</v>
      </c>
      <c r="C16395" s="15" t="s">
        <v>800</v>
      </c>
      <c r="D16395" s="15" t="s">
        <v>30440</v>
      </c>
      <c r="E16395" s="15">
        <v>12.645899999999999</v>
      </c>
      <c r="F16395" s="42">
        <v>43640</v>
      </c>
    </row>
    <row r="16396" spans="1:6" x14ac:dyDescent="0.3">
      <c r="A16396" s="15" t="s">
        <v>33765</v>
      </c>
      <c r="B16396" s="15" t="s">
        <v>30441</v>
      </c>
      <c r="C16396" s="15" t="s">
        <v>800</v>
      </c>
      <c r="D16396" s="15" t="s">
        <v>30442</v>
      </c>
      <c r="E16396" s="15">
        <v>12.468999999999999</v>
      </c>
      <c r="F16396" s="42">
        <v>43640</v>
      </c>
    </row>
    <row r="16397" spans="1:6" x14ac:dyDescent="0.3">
      <c r="A16397" s="15" t="s">
        <v>33764</v>
      </c>
      <c r="B16397" s="15" t="s">
        <v>30443</v>
      </c>
      <c r="C16397" s="15" t="s">
        <v>800</v>
      </c>
      <c r="D16397" s="15" t="s">
        <v>30444</v>
      </c>
      <c r="E16397" s="15">
        <v>10</v>
      </c>
      <c r="F16397" s="42">
        <v>43731</v>
      </c>
    </row>
    <row r="16398" spans="1:6" x14ac:dyDescent="0.3">
      <c r="A16398" s="15" t="s">
        <v>33763</v>
      </c>
      <c r="B16398" s="15" t="s">
        <v>30445</v>
      </c>
      <c r="C16398" s="15" t="s">
        <v>800</v>
      </c>
      <c r="D16398" s="15" t="s">
        <v>30446</v>
      </c>
      <c r="E16398" s="15">
        <v>11.8264</v>
      </c>
      <c r="F16398" s="42">
        <v>43731</v>
      </c>
    </row>
    <row r="16399" spans="1:6" x14ac:dyDescent="0.3">
      <c r="A16399" s="15" t="s">
        <v>33762</v>
      </c>
      <c r="B16399" s="15" t="s">
        <v>30447</v>
      </c>
      <c r="C16399" s="15" t="s">
        <v>800</v>
      </c>
      <c r="D16399" s="15" t="s">
        <v>30448</v>
      </c>
      <c r="E16399" s="15">
        <v>10</v>
      </c>
      <c r="F16399" s="42">
        <v>43731</v>
      </c>
    </row>
    <row r="16400" spans="1:6" x14ac:dyDescent="0.3">
      <c r="A16400" s="15" t="s">
        <v>33761</v>
      </c>
      <c r="B16400" s="15" t="s">
        <v>30449</v>
      </c>
      <c r="C16400" s="15" t="s">
        <v>800</v>
      </c>
      <c r="D16400" s="15" t="s">
        <v>30450</v>
      </c>
      <c r="E16400" s="15">
        <v>11.729799999999999</v>
      </c>
      <c r="F16400" s="42">
        <v>43731</v>
      </c>
    </row>
    <row r="16401" spans="1:6" x14ac:dyDescent="0.3">
      <c r="A16401" s="15" t="s">
        <v>33760</v>
      </c>
      <c r="B16401" s="15" t="s">
        <v>30451</v>
      </c>
      <c r="C16401" s="15" t="s">
        <v>800</v>
      </c>
      <c r="D16401" s="15" t="s">
        <v>30452</v>
      </c>
      <c r="E16401" s="15">
        <v>10</v>
      </c>
      <c r="F16401" s="42">
        <v>43661</v>
      </c>
    </row>
    <row r="16402" spans="1:6" x14ac:dyDescent="0.3">
      <c r="A16402" s="15" t="s">
        <v>33759</v>
      </c>
      <c r="B16402" s="15" t="s">
        <v>30453</v>
      </c>
      <c r="C16402" s="15" t="s">
        <v>800</v>
      </c>
      <c r="D16402" s="15" t="s">
        <v>30454</v>
      </c>
      <c r="E16402" s="15">
        <v>13.1174</v>
      </c>
      <c r="F16402" s="42">
        <v>43661</v>
      </c>
    </row>
    <row r="16403" spans="1:6" x14ac:dyDescent="0.3">
      <c r="A16403" s="15" t="s">
        <v>33758</v>
      </c>
      <c r="B16403" s="15" t="s">
        <v>30455</v>
      </c>
      <c r="C16403" s="15" t="s">
        <v>800</v>
      </c>
      <c r="D16403" s="15" t="s">
        <v>30456</v>
      </c>
      <c r="E16403" s="15">
        <v>10</v>
      </c>
      <c r="F16403" s="42">
        <v>43661</v>
      </c>
    </row>
    <row r="16404" spans="1:6" x14ac:dyDescent="0.3">
      <c r="A16404" s="15" t="s">
        <v>33757</v>
      </c>
      <c r="B16404" s="15" t="s">
        <v>30457</v>
      </c>
      <c r="C16404" s="15" t="s">
        <v>800</v>
      </c>
      <c r="D16404" s="15" t="s">
        <v>30458</v>
      </c>
      <c r="E16404" s="15">
        <v>12.917199999999999</v>
      </c>
      <c r="F16404" s="42">
        <v>43661</v>
      </c>
    </row>
    <row r="16405" spans="1:6" x14ac:dyDescent="0.3">
      <c r="A16405" s="15" t="s">
        <v>33756</v>
      </c>
      <c r="B16405" s="15" t="s">
        <v>30459</v>
      </c>
      <c r="C16405" s="15" t="s">
        <v>800</v>
      </c>
      <c r="D16405" s="15" t="s">
        <v>30460</v>
      </c>
      <c r="E16405" s="15">
        <v>12.5318</v>
      </c>
      <c r="F16405" s="42">
        <v>43675</v>
      </c>
    </row>
    <row r="16406" spans="1:6" x14ac:dyDescent="0.3">
      <c r="A16406" s="15" t="s">
        <v>33755</v>
      </c>
      <c r="B16406" s="15" t="s">
        <v>30461</v>
      </c>
      <c r="C16406" s="15" t="s">
        <v>800</v>
      </c>
      <c r="D16406" s="15" t="s">
        <v>30462</v>
      </c>
      <c r="E16406" s="15">
        <v>10</v>
      </c>
      <c r="F16406" s="42">
        <v>43675</v>
      </c>
    </row>
    <row r="16407" spans="1:6" x14ac:dyDescent="0.3">
      <c r="A16407" s="15" t="s">
        <v>33754</v>
      </c>
      <c r="B16407" s="15" t="s">
        <v>30463</v>
      </c>
      <c r="C16407" s="15" t="s">
        <v>800</v>
      </c>
      <c r="D16407" s="15" t="s">
        <v>30464</v>
      </c>
      <c r="E16407" s="15">
        <v>12.3949</v>
      </c>
      <c r="F16407" s="42">
        <v>43675</v>
      </c>
    </row>
    <row r="16408" spans="1:6" x14ac:dyDescent="0.3">
      <c r="A16408" s="15" t="s">
        <v>33753</v>
      </c>
      <c r="B16408" s="15" t="s">
        <v>30465</v>
      </c>
      <c r="C16408" s="15" t="s">
        <v>800</v>
      </c>
      <c r="D16408" s="15" t="s">
        <v>30466</v>
      </c>
      <c r="E16408" s="15">
        <v>10</v>
      </c>
      <c r="F16408" s="42">
        <v>43727</v>
      </c>
    </row>
    <row r="16409" spans="1:6" x14ac:dyDescent="0.3">
      <c r="A16409" s="15" t="s">
        <v>33752</v>
      </c>
      <c r="B16409" s="15" t="s">
        <v>30467</v>
      </c>
      <c r="C16409" s="15" t="s">
        <v>800</v>
      </c>
      <c r="D16409" s="15" t="s">
        <v>30468</v>
      </c>
      <c r="E16409" s="15">
        <v>11.977</v>
      </c>
      <c r="F16409" s="42">
        <v>43727</v>
      </c>
    </row>
    <row r="16410" spans="1:6" x14ac:dyDescent="0.3">
      <c r="A16410" s="15" t="s">
        <v>33751</v>
      </c>
      <c r="B16410" s="15" t="s">
        <v>30469</v>
      </c>
      <c r="C16410" s="15" t="s">
        <v>800</v>
      </c>
      <c r="D16410" s="15" t="s">
        <v>30470</v>
      </c>
      <c r="E16410" s="15">
        <v>10</v>
      </c>
      <c r="F16410" s="42">
        <v>43727</v>
      </c>
    </row>
    <row r="16411" spans="1:6" x14ac:dyDescent="0.3">
      <c r="A16411" s="15" t="s">
        <v>33750</v>
      </c>
      <c r="B16411" s="15" t="s">
        <v>30471</v>
      </c>
      <c r="C16411" s="15" t="s">
        <v>800</v>
      </c>
      <c r="D16411" s="15" t="s">
        <v>30472</v>
      </c>
      <c r="E16411" s="15">
        <v>11.788600000000001</v>
      </c>
      <c r="F16411" s="42">
        <v>43727</v>
      </c>
    </row>
    <row r="16412" spans="1:6" x14ac:dyDescent="0.3">
      <c r="A16412" s="15" t="s">
        <v>33749</v>
      </c>
      <c r="B16412" s="15" t="s">
        <v>30473</v>
      </c>
      <c r="C16412" s="15" t="s">
        <v>800</v>
      </c>
      <c r="D16412" s="15" t="s">
        <v>30474</v>
      </c>
      <c r="E16412" s="15">
        <v>12.489699999999999</v>
      </c>
      <c r="F16412" s="42">
        <v>43677</v>
      </c>
    </row>
    <row r="16413" spans="1:6" x14ac:dyDescent="0.3">
      <c r="A16413" s="15" t="s">
        <v>33748</v>
      </c>
      <c r="B16413" s="15" t="s">
        <v>30475</v>
      </c>
      <c r="C16413" s="15" t="s">
        <v>800</v>
      </c>
      <c r="D16413" s="15" t="s">
        <v>30476</v>
      </c>
      <c r="E16413" s="15">
        <v>12.489699999999999</v>
      </c>
      <c r="F16413" s="42">
        <v>43677</v>
      </c>
    </row>
    <row r="16414" spans="1:6" x14ac:dyDescent="0.3">
      <c r="A16414" s="15" t="s">
        <v>33747</v>
      </c>
      <c r="B16414" s="15" t="s">
        <v>30477</v>
      </c>
      <c r="C16414" s="15" t="s">
        <v>800</v>
      </c>
      <c r="D16414" s="15" t="s">
        <v>30478</v>
      </c>
      <c r="E16414" s="15">
        <v>12.284000000000001</v>
      </c>
      <c r="F16414" s="42">
        <v>43677</v>
      </c>
    </row>
    <row r="16415" spans="1:6" x14ac:dyDescent="0.3">
      <c r="A16415" s="15" t="s">
        <v>33746</v>
      </c>
      <c r="B16415" s="15" t="s">
        <v>30479</v>
      </c>
      <c r="C16415" s="15" t="s">
        <v>800</v>
      </c>
      <c r="D16415" s="15" t="s">
        <v>30480</v>
      </c>
      <c r="E16415" s="15">
        <v>12.284000000000001</v>
      </c>
      <c r="F16415" s="42">
        <v>43677</v>
      </c>
    </row>
    <row r="16416" spans="1:6" x14ac:dyDescent="0.3">
      <c r="A16416" s="15" t="s">
        <v>33745</v>
      </c>
      <c r="B16416" s="15" t="s">
        <v>30481</v>
      </c>
      <c r="C16416" s="15" t="s">
        <v>800</v>
      </c>
      <c r="D16416" s="15" t="s">
        <v>30482</v>
      </c>
      <c r="E16416" s="15">
        <v>10.362399999999999</v>
      </c>
      <c r="F16416" s="42">
        <v>43551</v>
      </c>
    </row>
    <row r="16417" spans="1:6" x14ac:dyDescent="0.3">
      <c r="A16417" s="15" t="s">
        <v>33744</v>
      </c>
      <c r="B16417" s="15" t="s">
        <v>30483</v>
      </c>
      <c r="C16417" s="15" t="s">
        <v>800</v>
      </c>
      <c r="D16417" s="15" t="s">
        <v>30484</v>
      </c>
      <c r="E16417" s="15">
        <v>10</v>
      </c>
      <c r="F16417" s="42">
        <v>43551</v>
      </c>
    </row>
    <row r="16418" spans="1:6" x14ac:dyDescent="0.3">
      <c r="A16418" s="15" t="s">
        <v>33743</v>
      </c>
      <c r="B16418" s="15" t="s">
        <v>30485</v>
      </c>
      <c r="C16418" s="15" t="s">
        <v>800</v>
      </c>
      <c r="D16418" s="15" t="s">
        <v>30486</v>
      </c>
      <c r="E16418" s="15">
        <v>10</v>
      </c>
      <c r="F16418" s="42">
        <v>43551</v>
      </c>
    </row>
    <row r="16419" spans="1:6" x14ac:dyDescent="0.3">
      <c r="A16419" s="15" t="s">
        <v>33742</v>
      </c>
      <c r="B16419" s="15" t="s">
        <v>30487</v>
      </c>
      <c r="C16419" s="15" t="s">
        <v>800</v>
      </c>
      <c r="D16419" s="15" t="s">
        <v>30488</v>
      </c>
      <c r="E16419" s="15">
        <v>10.3529</v>
      </c>
      <c r="F16419" s="42">
        <v>43551</v>
      </c>
    </row>
    <row r="16420" spans="1:6" x14ac:dyDescent="0.3">
      <c r="A16420" s="15" t="s">
        <v>33741</v>
      </c>
      <c r="B16420" s="15" t="s">
        <v>30489</v>
      </c>
      <c r="C16420" s="15" t="s">
        <v>800</v>
      </c>
      <c r="D16420" s="15" t="s">
        <v>30490</v>
      </c>
      <c r="E16420" s="15">
        <v>10</v>
      </c>
      <c r="F16420" s="42">
        <v>43538</v>
      </c>
    </row>
    <row r="16421" spans="1:6" x14ac:dyDescent="0.3">
      <c r="A16421" s="15" t="s">
        <v>33740</v>
      </c>
      <c r="B16421" s="15" t="s">
        <v>30491</v>
      </c>
      <c r="C16421" s="15" t="s">
        <v>800</v>
      </c>
      <c r="D16421" s="15" t="s">
        <v>30492</v>
      </c>
      <c r="E16421" s="15">
        <v>10.411199999999999</v>
      </c>
      <c r="F16421" s="42">
        <v>43538</v>
      </c>
    </row>
    <row r="16422" spans="1:6" x14ac:dyDescent="0.3">
      <c r="A16422" s="15" t="s">
        <v>33739</v>
      </c>
      <c r="B16422" s="15" t="s">
        <v>30493</v>
      </c>
      <c r="C16422" s="15" t="s">
        <v>800</v>
      </c>
      <c r="D16422" s="15" t="s">
        <v>30494</v>
      </c>
      <c r="E16422" s="15">
        <v>10</v>
      </c>
      <c r="F16422" s="42">
        <v>43538</v>
      </c>
    </row>
    <row r="16423" spans="1:6" x14ac:dyDescent="0.3">
      <c r="A16423" s="15" t="s">
        <v>33738</v>
      </c>
      <c r="B16423" s="15" t="s">
        <v>30495</v>
      </c>
      <c r="C16423" s="15" t="s">
        <v>800</v>
      </c>
      <c r="D16423" s="15" t="s">
        <v>30496</v>
      </c>
      <c r="E16423" s="15">
        <v>10.3996</v>
      </c>
      <c r="F16423" s="42">
        <v>43538</v>
      </c>
    </row>
    <row r="16424" spans="1:6" x14ac:dyDescent="0.3">
      <c r="A16424" s="15" t="s">
        <v>33737</v>
      </c>
      <c r="B16424" s="15" t="s">
        <v>30497</v>
      </c>
      <c r="C16424" s="15" t="s">
        <v>800</v>
      </c>
      <c r="D16424" s="15" t="s">
        <v>30498</v>
      </c>
      <c r="E16424" s="15">
        <v>10</v>
      </c>
      <c r="F16424" s="42">
        <v>43538</v>
      </c>
    </row>
    <row r="16425" spans="1:6" x14ac:dyDescent="0.3">
      <c r="A16425" s="15" t="s">
        <v>33736</v>
      </c>
      <c r="B16425" s="15" t="s">
        <v>30499</v>
      </c>
      <c r="C16425" s="15" t="s">
        <v>800</v>
      </c>
      <c r="D16425" s="15" t="s">
        <v>30500</v>
      </c>
      <c r="E16425" s="15">
        <v>10.3934</v>
      </c>
      <c r="F16425" s="42">
        <v>43538</v>
      </c>
    </row>
    <row r="16426" spans="1:6" x14ac:dyDescent="0.3">
      <c r="A16426" s="15" t="s">
        <v>33735</v>
      </c>
      <c r="B16426" s="15" t="s">
        <v>30501</v>
      </c>
      <c r="C16426" s="15" t="s">
        <v>800</v>
      </c>
      <c r="D16426" s="15" t="s">
        <v>30502</v>
      </c>
      <c r="E16426" s="15">
        <v>10.381600000000001</v>
      </c>
      <c r="F16426" s="42">
        <v>43538</v>
      </c>
    </row>
    <row r="16427" spans="1:6" x14ac:dyDescent="0.3">
      <c r="A16427" s="15" t="s">
        <v>33734</v>
      </c>
      <c r="B16427" s="15" t="s">
        <v>30503</v>
      </c>
      <c r="C16427" s="15" t="s">
        <v>800</v>
      </c>
      <c r="D16427" s="15" t="s">
        <v>30504</v>
      </c>
      <c r="E16427" s="15">
        <v>10.077299999999999</v>
      </c>
      <c r="F16427" s="42">
        <v>43283</v>
      </c>
    </row>
    <row r="16428" spans="1:6" x14ac:dyDescent="0.3">
      <c r="A16428" s="15" t="s">
        <v>33733</v>
      </c>
      <c r="B16428" s="15" t="s">
        <v>30505</v>
      </c>
      <c r="C16428" s="15" t="s">
        <v>800</v>
      </c>
      <c r="D16428" s="15" t="s">
        <v>30506</v>
      </c>
      <c r="E16428" s="15">
        <v>10.273400000000001</v>
      </c>
      <c r="F16428" s="42">
        <v>43283</v>
      </c>
    </row>
    <row r="16429" spans="1:6" x14ac:dyDescent="0.3">
      <c r="A16429" s="15" t="s">
        <v>33732</v>
      </c>
      <c r="B16429" s="15" t="s">
        <v>30507</v>
      </c>
      <c r="C16429" s="15" t="s">
        <v>800</v>
      </c>
      <c r="D16429" s="15" t="s">
        <v>30508</v>
      </c>
      <c r="E16429" s="15">
        <v>10</v>
      </c>
      <c r="F16429" s="42">
        <v>43251</v>
      </c>
    </row>
    <row r="16430" spans="1:6" x14ac:dyDescent="0.3">
      <c r="A16430" s="15" t="s">
        <v>33731</v>
      </c>
      <c r="B16430" s="15" t="s">
        <v>30509</v>
      </c>
      <c r="C16430" s="15" t="s">
        <v>800</v>
      </c>
      <c r="D16430" s="15" t="s">
        <v>30510</v>
      </c>
      <c r="E16430" s="15">
        <v>10.266400000000001</v>
      </c>
      <c r="F16430" s="42">
        <v>43283</v>
      </c>
    </row>
    <row r="16431" spans="1:6" x14ac:dyDescent="0.3">
      <c r="A16431" s="15" t="s">
        <v>33730</v>
      </c>
      <c r="B16431" s="15" t="s">
        <v>30511</v>
      </c>
      <c r="C16431" s="15" t="s">
        <v>800</v>
      </c>
      <c r="D16431" s="15" t="s">
        <v>30512</v>
      </c>
      <c r="E16431" s="15">
        <v>10</v>
      </c>
      <c r="F16431" s="42">
        <v>43552</v>
      </c>
    </row>
    <row r="16432" spans="1:6" x14ac:dyDescent="0.3">
      <c r="A16432" s="15" t="s">
        <v>33729</v>
      </c>
      <c r="B16432" s="15" t="s">
        <v>30513</v>
      </c>
      <c r="C16432" s="15" t="s">
        <v>800</v>
      </c>
      <c r="D16432" s="15" t="s">
        <v>30514</v>
      </c>
      <c r="E16432" s="15">
        <v>10.650600000000001</v>
      </c>
      <c r="F16432" s="42">
        <v>43552</v>
      </c>
    </row>
    <row r="16433" spans="1:6" x14ac:dyDescent="0.3">
      <c r="A16433" s="15" t="s">
        <v>33728</v>
      </c>
      <c r="B16433" s="15" t="s">
        <v>30515</v>
      </c>
      <c r="C16433" s="15" t="s">
        <v>800</v>
      </c>
      <c r="D16433" s="15" t="s">
        <v>30516</v>
      </c>
      <c r="E16433" s="15">
        <v>10</v>
      </c>
      <c r="F16433" s="42">
        <v>43552</v>
      </c>
    </row>
    <row r="16434" spans="1:6" x14ac:dyDescent="0.3">
      <c r="A16434" s="15" t="s">
        <v>33727</v>
      </c>
      <c r="B16434" s="15" t="s">
        <v>30517</v>
      </c>
      <c r="C16434" s="15" t="s">
        <v>800</v>
      </c>
      <c r="D16434" s="15" t="s">
        <v>30518</v>
      </c>
      <c r="E16434" s="15">
        <v>10.632</v>
      </c>
      <c r="F16434" s="42">
        <v>43552</v>
      </c>
    </row>
    <row r="16435" spans="1:6" x14ac:dyDescent="0.3">
      <c r="A16435" s="15" t="s">
        <v>33726</v>
      </c>
      <c r="B16435" s="15" t="s">
        <v>30519</v>
      </c>
      <c r="C16435" s="15" t="s">
        <v>800</v>
      </c>
      <c r="D16435" s="15" t="s">
        <v>30520</v>
      </c>
      <c r="E16435" s="15">
        <v>10</v>
      </c>
      <c r="F16435" s="42">
        <v>43452</v>
      </c>
    </row>
    <row r="16436" spans="1:6" x14ac:dyDescent="0.3">
      <c r="A16436" s="15" t="s">
        <v>33725</v>
      </c>
      <c r="B16436" s="15" t="s">
        <v>30521</v>
      </c>
      <c r="C16436" s="15" t="s">
        <v>800</v>
      </c>
      <c r="D16436" s="15" t="s">
        <v>30522</v>
      </c>
      <c r="E16436" s="15">
        <v>10.398</v>
      </c>
      <c r="F16436" s="42">
        <v>43452</v>
      </c>
    </row>
    <row r="16437" spans="1:6" x14ac:dyDescent="0.3">
      <c r="A16437" s="15" t="s">
        <v>33724</v>
      </c>
      <c r="B16437" s="15" t="s">
        <v>30523</v>
      </c>
      <c r="C16437" s="15" t="s">
        <v>800</v>
      </c>
      <c r="D16437" s="15" t="s">
        <v>30524</v>
      </c>
      <c r="E16437" s="15">
        <v>10</v>
      </c>
      <c r="F16437" s="42">
        <v>43452</v>
      </c>
    </row>
    <row r="16438" spans="1:6" x14ac:dyDescent="0.3">
      <c r="A16438" s="15" t="s">
        <v>33723</v>
      </c>
      <c r="B16438" s="15" t="s">
        <v>30525</v>
      </c>
      <c r="C16438" s="15" t="s">
        <v>800</v>
      </c>
      <c r="D16438" s="15" t="s">
        <v>30526</v>
      </c>
      <c r="E16438" s="15">
        <v>10.387</v>
      </c>
      <c r="F16438" s="42">
        <v>43452</v>
      </c>
    </row>
    <row r="16439" spans="1:6" x14ac:dyDescent="0.3">
      <c r="A16439" s="15" t="s">
        <v>33722</v>
      </c>
      <c r="B16439" s="15" t="s">
        <v>30527</v>
      </c>
      <c r="C16439" s="15" t="s">
        <v>800</v>
      </c>
      <c r="D16439" s="15" t="s">
        <v>30528</v>
      </c>
      <c r="E16439" s="15">
        <v>10.111800000000001</v>
      </c>
      <c r="F16439" s="42">
        <v>43283</v>
      </c>
    </row>
    <row r="16440" spans="1:6" x14ac:dyDescent="0.3">
      <c r="A16440" s="15" t="s">
        <v>33721</v>
      </c>
      <c r="B16440" s="15" t="s">
        <v>30529</v>
      </c>
      <c r="C16440" s="15" t="s">
        <v>800</v>
      </c>
      <c r="D16440" s="15" t="s">
        <v>30530</v>
      </c>
      <c r="E16440" s="15">
        <v>10.111800000000001</v>
      </c>
      <c r="F16440" s="42">
        <v>43283</v>
      </c>
    </row>
    <row r="16441" spans="1:6" x14ac:dyDescent="0.3">
      <c r="A16441" s="15" t="s">
        <v>33720</v>
      </c>
      <c r="B16441" s="15" t="s">
        <v>30531</v>
      </c>
      <c r="C16441" s="15" t="s">
        <v>800</v>
      </c>
      <c r="D16441" s="15" t="s">
        <v>30532</v>
      </c>
      <c r="E16441" s="15">
        <v>10.1097</v>
      </c>
      <c r="F16441" s="42">
        <v>43283</v>
      </c>
    </row>
    <row r="16442" spans="1:6" x14ac:dyDescent="0.3">
      <c r="A16442" s="15" t="s">
        <v>33719</v>
      </c>
      <c r="B16442" s="15" t="s">
        <v>30533</v>
      </c>
      <c r="C16442" s="15" t="s">
        <v>800</v>
      </c>
      <c r="D16442" s="15" t="s">
        <v>30534</v>
      </c>
      <c r="E16442" s="15">
        <v>10.1097</v>
      </c>
      <c r="F16442" s="42">
        <v>43283</v>
      </c>
    </row>
    <row r="16443" spans="1:6" x14ac:dyDescent="0.3">
      <c r="A16443" s="15" t="s">
        <v>33718</v>
      </c>
      <c r="B16443" s="15" t="s">
        <v>30535</v>
      </c>
      <c r="C16443" s="15" t="s">
        <v>800</v>
      </c>
      <c r="D16443" s="15" t="s">
        <v>30536</v>
      </c>
      <c r="E16443" s="15">
        <v>10.0974</v>
      </c>
      <c r="F16443" s="42">
        <v>43283</v>
      </c>
    </row>
    <row r="16444" spans="1:6" x14ac:dyDescent="0.3">
      <c r="A16444" s="15" t="s">
        <v>33717</v>
      </c>
      <c r="B16444" s="15" t="s">
        <v>30537</v>
      </c>
      <c r="C16444" s="15" t="s">
        <v>800</v>
      </c>
      <c r="D16444" s="15" t="s">
        <v>30538</v>
      </c>
      <c r="E16444" s="15">
        <v>10.0974</v>
      </c>
      <c r="F16444" s="42">
        <v>43283</v>
      </c>
    </row>
    <row r="16445" spans="1:6" x14ac:dyDescent="0.3">
      <c r="A16445" s="15" t="s">
        <v>33716</v>
      </c>
      <c r="B16445" s="15" t="s">
        <v>30539</v>
      </c>
      <c r="C16445" s="15" t="s">
        <v>800</v>
      </c>
      <c r="D16445" s="15" t="s">
        <v>30540</v>
      </c>
      <c r="E16445" s="15">
        <v>10.0952</v>
      </c>
      <c r="F16445" s="42">
        <v>43283</v>
      </c>
    </row>
    <row r="16446" spans="1:6" x14ac:dyDescent="0.3">
      <c r="A16446" s="15" t="s">
        <v>33715</v>
      </c>
      <c r="B16446" s="15" t="s">
        <v>30541</v>
      </c>
      <c r="C16446" s="15" t="s">
        <v>800</v>
      </c>
      <c r="D16446" s="15" t="s">
        <v>30542</v>
      </c>
      <c r="E16446" s="15">
        <v>10.0952</v>
      </c>
      <c r="F16446" s="42">
        <v>43283</v>
      </c>
    </row>
    <row r="16447" spans="1:6" x14ac:dyDescent="0.3">
      <c r="A16447" s="15" t="s">
        <v>33714</v>
      </c>
      <c r="B16447" s="15" t="s">
        <v>30543</v>
      </c>
      <c r="C16447" s="15" t="s">
        <v>800</v>
      </c>
      <c r="D16447" s="15" t="s">
        <v>30544</v>
      </c>
      <c r="E16447" s="15">
        <v>10</v>
      </c>
      <c r="F16447" s="42">
        <v>43538</v>
      </c>
    </row>
    <row r="16448" spans="1:6" x14ac:dyDescent="0.3">
      <c r="A16448" s="15" t="s">
        <v>33713</v>
      </c>
      <c r="B16448" s="15" t="s">
        <v>30545</v>
      </c>
      <c r="C16448" s="15" t="s">
        <v>800</v>
      </c>
      <c r="D16448" s="15" t="s">
        <v>30546</v>
      </c>
      <c r="E16448" s="15">
        <v>10.4354</v>
      </c>
      <c r="F16448" s="42">
        <v>43538</v>
      </c>
    </row>
    <row r="16449" spans="1:6" x14ac:dyDescent="0.3">
      <c r="A16449" s="15" t="s">
        <v>33712</v>
      </c>
      <c r="B16449" s="15" t="s">
        <v>30547</v>
      </c>
      <c r="C16449" s="15" t="s">
        <v>800</v>
      </c>
      <c r="D16449" s="15" t="s">
        <v>30548</v>
      </c>
      <c r="E16449" s="15">
        <v>10</v>
      </c>
      <c r="F16449" s="42">
        <v>43538</v>
      </c>
    </row>
    <row r="16450" spans="1:6" x14ac:dyDescent="0.3">
      <c r="A16450" s="15" t="s">
        <v>33711</v>
      </c>
      <c r="B16450" s="15" t="s">
        <v>30549</v>
      </c>
      <c r="C16450" s="15" t="s">
        <v>800</v>
      </c>
      <c r="D16450" s="15" t="s">
        <v>30550</v>
      </c>
      <c r="E16450" s="15">
        <v>10.4232</v>
      </c>
      <c r="F16450" s="42">
        <v>43538</v>
      </c>
    </row>
    <row r="16451" spans="1:6" x14ac:dyDescent="0.3">
      <c r="A16451" s="15" t="s">
        <v>33710</v>
      </c>
      <c r="B16451" s="15" t="s">
        <v>30551</v>
      </c>
      <c r="C16451" s="15" t="s">
        <v>800</v>
      </c>
      <c r="D16451" s="15" t="s">
        <v>30552</v>
      </c>
      <c r="E16451" s="15">
        <v>10</v>
      </c>
      <c r="F16451" s="42">
        <v>43437</v>
      </c>
    </row>
    <row r="16452" spans="1:6" x14ac:dyDescent="0.3">
      <c r="A16452" s="15" t="s">
        <v>33709</v>
      </c>
      <c r="B16452" s="15" t="s">
        <v>30553</v>
      </c>
      <c r="C16452" s="15" t="s">
        <v>800</v>
      </c>
      <c r="D16452" s="15" t="s">
        <v>30554</v>
      </c>
      <c r="E16452" s="15">
        <v>10.1998</v>
      </c>
      <c r="F16452" s="42">
        <v>43437</v>
      </c>
    </row>
    <row r="16453" spans="1:6" x14ac:dyDescent="0.3">
      <c r="A16453" s="15" t="s">
        <v>33708</v>
      </c>
      <c r="B16453" s="15" t="s">
        <v>30555</v>
      </c>
      <c r="C16453" s="15" t="s">
        <v>800</v>
      </c>
      <c r="D16453" s="15" t="s">
        <v>30556</v>
      </c>
      <c r="E16453" s="15">
        <v>10</v>
      </c>
      <c r="F16453" s="42">
        <v>43437</v>
      </c>
    </row>
    <row r="16454" spans="1:6" x14ac:dyDescent="0.3">
      <c r="A16454" s="15" t="s">
        <v>33707</v>
      </c>
      <c r="B16454" s="15" t="s">
        <v>30557</v>
      </c>
      <c r="C16454" s="15" t="s">
        <v>800</v>
      </c>
      <c r="D16454" s="15" t="s">
        <v>30558</v>
      </c>
      <c r="E16454" s="15">
        <v>10.1944</v>
      </c>
      <c r="F16454" s="42">
        <v>43437</v>
      </c>
    </row>
    <row r="16455" spans="1:6" x14ac:dyDescent="0.3">
      <c r="A16455" s="15" t="s">
        <v>33706</v>
      </c>
      <c r="B16455" s="15" t="s">
        <v>30559</v>
      </c>
      <c r="C16455" s="15" t="s">
        <v>800</v>
      </c>
      <c r="D16455" s="15" t="s">
        <v>30560</v>
      </c>
      <c r="E16455" s="15">
        <v>10</v>
      </c>
      <c r="F16455" s="42">
        <v>43448</v>
      </c>
    </row>
    <row r="16456" spans="1:6" x14ac:dyDescent="0.3">
      <c r="A16456" s="15" t="s">
        <v>33705</v>
      </c>
      <c r="B16456" s="15" t="s">
        <v>30561</v>
      </c>
      <c r="C16456" s="15" t="s">
        <v>800</v>
      </c>
      <c r="D16456" s="15" t="s">
        <v>30562</v>
      </c>
      <c r="E16456" s="15">
        <v>10.347099999999999</v>
      </c>
      <c r="F16456" s="42">
        <v>43448</v>
      </c>
    </row>
    <row r="16457" spans="1:6" x14ac:dyDescent="0.3">
      <c r="A16457" s="15" t="s">
        <v>33704</v>
      </c>
      <c r="B16457" s="15" t="s">
        <v>30563</v>
      </c>
      <c r="C16457" s="15" t="s">
        <v>800</v>
      </c>
      <c r="D16457" s="15" t="s">
        <v>30564</v>
      </c>
      <c r="E16457" s="15">
        <v>10.3375</v>
      </c>
      <c r="F16457" s="42">
        <v>43448</v>
      </c>
    </row>
    <row r="16458" spans="1:6" x14ac:dyDescent="0.3">
      <c r="A16458" s="15" t="s">
        <v>33703</v>
      </c>
      <c r="B16458" s="15" t="s">
        <v>30565</v>
      </c>
      <c r="C16458" s="15" t="s">
        <v>800</v>
      </c>
      <c r="D16458" s="15" t="s">
        <v>30566</v>
      </c>
      <c r="E16458" s="15">
        <v>10</v>
      </c>
      <c r="F16458" s="42">
        <v>43538</v>
      </c>
    </row>
    <row r="16459" spans="1:6" x14ac:dyDescent="0.3">
      <c r="A16459" s="15" t="s">
        <v>33702</v>
      </c>
      <c r="B16459" s="15" t="s">
        <v>30567</v>
      </c>
      <c r="C16459" s="15" t="s">
        <v>800</v>
      </c>
      <c r="D16459" s="15" t="s">
        <v>30568</v>
      </c>
      <c r="E16459" s="15">
        <v>10.505100000000001</v>
      </c>
      <c r="F16459" s="42">
        <v>43538</v>
      </c>
    </row>
    <row r="16460" spans="1:6" x14ac:dyDescent="0.3">
      <c r="A16460" s="15" t="s">
        <v>33701</v>
      </c>
      <c r="B16460" s="15" t="s">
        <v>30569</v>
      </c>
      <c r="C16460" s="15" t="s">
        <v>800</v>
      </c>
      <c r="D16460" s="15" t="s">
        <v>30570</v>
      </c>
      <c r="E16460" s="15">
        <v>10</v>
      </c>
      <c r="F16460" s="42">
        <v>43538</v>
      </c>
    </row>
    <row r="16461" spans="1:6" x14ac:dyDescent="0.3">
      <c r="A16461" s="15" t="s">
        <v>33700</v>
      </c>
      <c r="B16461" s="15" t="s">
        <v>30571</v>
      </c>
      <c r="C16461" s="15" t="s">
        <v>800</v>
      </c>
      <c r="D16461" s="15" t="s">
        <v>30572</v>
      </c>
      <c r="E16461" s="15">
        <v>10.4918</v>
      </c>
      <c r="F16461" s="42">
        <v>43538</v>
      </c>
    </row>
    <row r="16462" spans="1:6" x14ac:dyDescent="0.3">
      <c r="A16462" s="15" t="s">
        <v>33699</v>
      </c>
      <c r="B16462" s="15" t="s">
        <v>30573</v>
      </c>
      <c r="C16462" s="15" t="s">
        <v>800</v>
      </c>
      <c r="D16462" s="15" t="s">
        <v>30574</v>
      </c>
      <c r="E16462" s="15">
        <v>10</v>
      </c>
      <c r="F16462" s="42">
        <v>42109</v>
      </c>
    </row>
    <row r="16463" spans="1:6" x14ac:dyDescent="0.3">
      <c r="A16463" s="15" t="s">
        <v>33698</v>
      </c>
      <c r="B16463" s="15" t="s">
        <v>30575</v>
      </c>
      <c r="C16463" s="15" t="s">
        <v>800</v>
      </c>
      <c r="D16463" s="15" t="s">
        <v>30576</v>
      </c>
      <c r="E16463" s="15">
        <v>12.810600000000001</v>
      </c>
      <c r="F16463" s="42">
        <v>42850</v>
      </c>
    </row>
    <row r="16464" spans="1:6" x14ac:dyDescent="0.3">
      <c r="A16464" s="15" t="s">
        <v>33697</v>
      </c>
      <c r="B16464" s="15" t="s">
        <v>30577</v>
      </c>
      <c r="C16464" s="15" t="s">
        <v>800</v>
      </c>
      <c r="D16464" s="15" t="s">
        <v>30578</v>
      </c>
      <c r="E16464" s="15">
        <v>10</v>
      </c>
      <c r="F16464" s="42">
        <v>42109</v>
      </c>
    </row>
    <row r="16465" spans="1:6" x14ac:dyDescent="0.3">
      <c r="A16465" s="15" t="s">
        <v>33696</v>
      </c>
      <c r="B16465" s="15" t="s">
        <v>30579</v>
      </c>
      <c r="C16465" s="15" t="s">
        <v>800</v>
      </c>
      <c r="D16465" s="15" t="s">
        <v>30580</v>
      </c>
      <c r="E16465" s="15">
        <v>12.751799999999999</v>
      </c>
      <c r="F16465" s="42">
        <v>42850</v>
      </c>
    </row>
    <row r="16466" spans="1:6" x14ac:dyDescent="0.3">
      <c r="A16466" s="15" t="s">
        <v>33695</v>
      </c>
      <c r="B16466" s="15" t="s">
        <v>30581</v>
      </c>
      <c r="C16466" s="15" t="s">
        <v>800</v>
      </c>
      <c r="D16466" s="15" t="s">
        <v>30582</v>
      </c>
      <c r="E16466" s="15">
        <v>10</v>
      </c>
      <c r="F16466" s="42">
        <v>42114</v>
      </c>
    </row>
    <row r="16467" spans="1:6" x14ac:dyDescent="0.3">
      <c r="A16467" s="15" t="s">
        <v>33694</v>
      </c>
      <c r="B16467" s="15" t="s">
        <v>30583</v>
      </c>
      <c r="C16467" s="15" t="s">
        <v>800</v>
      </c>
      <c r="D16467" s="15" t="s">
        <v>30584</v>
      </c>
      <c r="E16467" s="15">
        <v>12.8003</v>
      </c>
      <c r="F16467" s="42">
        <v>42850</v>
      </c>
    </row>
    <row r="16468" spans="1:6" x14ac:dyDescent="0.3">
      <c r="A16468" s="15" t="s">
        <v>33693</v>
      </c>
      <c r="B16468" s="15" t="s">
        <v>30585</v>
      </c>
      <c r="C16468" s="15" t="s">
        <v>800</v>
      </c>
      <c r="D16468" s="15" t="s">
        <v>30586</v>
      </c>
      <c r="E16468" s="15">
        <v>10</v>
      </c>
      <c r="F16468" s="42">
        <v>42114</v>
      </c>
    </row>
    <row r="16469" spans="1:6" x14ac:dyDescent="0.3">
      <c r="A16469" s="15" t="s">
        <v>33692</v>
      </c>
      <c r="B16469" s="15" t="s">
        <v>30587</v>
      </c>
      <c r="C16469" s="15" t="s">
        <v>800</v>
      </c>
      <c r="D16469" s="15" t="s">
        <v>30588</v>
      </c>
      <c r="E16469" s="15">
        <v>12.7439</v>
      </c>
      <c r="F16469" s="42">
        <v>42850</v>
      </c>
    </row>
    <row r="16470" spans="1:6" x14ac:dyDescent="0.3">
      <c r="A16470" s="15" t="s">
        <v>33691</v>
      </c>
      <c r="B16470" s="15" t="s">
        <v>30589</v>
      </c>
      <c r="C16470" s="15" t="s">
        <v>800</v>
      </c>
      <c r="D16470" s="15" t="s">
        <v>30590</v>
      </c>
      <c r="E16470" s="15">
        <v>10</v>
      </c>
      <c r="F16470" s="42">
        <v>42852</v>
      </c>
    </row>
    <row r="16471" spans="1:6" x14ac:dyDescent="0.3">
      <c r="A16471" s="15" t="s">
        <v>33690</v>
      </c>
      <c r="B16471" s="15" t="s">
        <v>30591</v>
      </c>
      <c r="C16471" s="15" t="s">
        <v>800</v>
      </c>
      <c r="D16471" s="15" t="s">
        <v>30592</v>
      </c>
      <c r="E16471" s="15">
        <v>13.305400000000001</v>
      </c>
      <c r="F16471" s="42">
        <v>42863</v>
      </c>
    </row>
    <row r="16472" spans="1:6" x14ac:dyDescent="0.3">
      <c r="A16472" s="15" t="s">
        <v>33689</v>
      </c>
      <c r="B16472" s="15" t="s">
        <v>30593</v>
      </c>
      <c r="C16472" s="15" t="s">
        <v>800</v>
      </c>
      <c r="D16472" s="15" t="s">
        <v>30594</v>
      </c>
      <c r="E16472" s="15">
        <v>10</v>
      </c>
      <c r="F16472" s="42">
        <v>42863</v>
      </c>
    </row>
    <row r="16473" spans="1:6" x14ac:dyDescent="0.3">
      <c r="A16473" s="15" t="s">
        <v>33688</v>
      </c>
      <c r="B16473" s="15" t="s">
        <v>30595</v>
      </c>
      <c r="C16473" s="15" t="s">
        <v>800</v>
      </c>
      <c r="D16473" s="15" t="s">
        <v>30596</v>
      </c>
      <c r="E16473" s="15">
        <v>13.0883</v>
      </c>
      <c r="F16473" s="42">
        <v>42863</v>
      </c>
    </row>
    <row r="16474" spans="1:6" x14ac:dyDescent="0.3">
      <c r="A16474" s="15" t="s">
        <v>33687</v>
      </c>
      <c r="B16474" s="15" t="s">
        <v>30597</v>
      </c>
      <c r="C16474" s="15" t="s">
        <v>800</v>
      </c>
      <c r="D16474" s="15" t="s">
        <v>30598</v>
      </c>
      <c r="E16474" s="15">
        <v>12.8424</v>
      </c>
      <c r="F16474" s="42">
        <v>42879</v>
      </c>
    </row>
    <row r="16475" spans="1:6" x14ac:dyDescent="0.3">
      <c r="A16475" s="15" t="s">
        <v>33686</v>
      </c>
      <c r="B16475" s="15" t="s">
        <v>30599</v>
      </c>
      <c r="C16475" s="15" t="s">
        <v>800</v>
      </c>
      <c r="D16475" s="15" t="s">
        <v>30600</v>
      </c>
      <c r="E16475" s="15">
        <v>10</v>
      </c>
      <c r="F16475" s="42">
        <v>42135</v>
      </c>
    </row>
    <row r="16476" spans="1:6" x14ac:dyDescent="0.3">
      <c r="A16476" s="15" t="s">
        <v>33685</v>
      </c>
      <c r="B16476" s="15" t="s">
        <v>30601</v>
      </c>
      <c r="C16476" s="15" t="s">
        <v>800</v>
      </c>
      <c r="D16476" s="15" t="s">
        <v>30602</v>
      </c>
      <c r="E16476" s="15">
        <v>12.8033</v>
      </c>
      <c r="F16476" s="42">
        <v>42879</v>
      </c>
    </row>
    <row r="16477" spans="1:6" x14ac:dyDescent="0.3">
      <c r="A16477" s="15" t="s">
        <v>33684</v>
      </c>
      <c r="B16477" s="15" t="s">
        <v>30603</v>
      </c>
      <c r="C16477" s="15" t="s">
        <v>800</v>
      </c>
      <c r="D16477" s="15" t="s">
        <v>30604</v>
      </c>
      <c r="E16477" s="15">
        <v>13.145099999999999</v>
      </c>
      <c r="F16477" s="42">
        <v>42885</v>
      </c>
    </row>
    <row r="16478" spans="1:6" x14ac:dyDescent="0.3">
      <c r="A16478" s="15" t="s">
        <v>33683</v>
      </c>
      <c r="B16478" s="15" t="s">
        <v>30605</v>
      </c>
      <c r="C16478" s="15" t="s">
        <v>800</v>
      </c>
      <c r="D16478" s="15" t="s">
        <v>30606</v>
      </c>
      <c r="E16478" s="15">
        <v>10</v>
      </c>
      <c r="F16478" s="42">
        <v>42885</v>
      </c>
    </row>
    <row r="16479" spans="1:6" x14ac:dyDescent="0.3">
      <c r="A16479" s="15" t="s">
        <v>33682</v>
      </c>
      <c r="B16479" s="15" t="s">
        <v>30607</v>
      </c>
      <c r="C16479" s="15" t="s">
        <v>800</v>
      </c>
      <c r="D16479" s="15" t="s">
        <v>30608</v>
      </c>
      <c r="E16479" s="15">
        <v>13.0905</v>
      </c>
      <c r="F16479" s="42">
        <v>42885</v>
      </c>
    </row>
    <row r="16480" spans="1:6" x14ac:dyDescent="0.3">
      <c r="A16480" s="15" t="s">
        <v>33681</v>
      </c>
      <c r="B16480" s="15" t="s">
        <v>30609</v>
      </c>
      <c r="C16480" s="15" t="s">
        <v>800</v>
      </c>
      <c r="D16480" s="15" t="s">
        <v>30610</v>
      </c>
      <c r="E16480" s="15">
        <v>14.4627</v>
      </c>
      <c r="F16480" s="42">
        <v>43283</v>
      </c>
    </row>
    <row r="16481" spans="1:6" x14ac:dyDescent="0.3">
      <c r="A16481" s="15" t="s">
        <v>33680</v>
      </c>
      <c r="B16481" s="15" t="s">
        <v>30611</v>
      </c>
      <c r="C16481" s="15" t="s">
        <v>800</v>
      </c>
      <c r="D16481" s="15" t="s">
        <v>30612</v>
      </c>
      <c r="E16481" s="15">
        <v>11.8942</v>
      </c>
      <c r="F16481" s="42">
        <v>43283</v>
      </c>
    </row>
    <row r="16482" spans="1:6" x14ac:dyDescent="0.3">
      <c r="A16482" s="15" t="s">
        <v>33679</v>
      </c>
      <c r="B16482" s="15" t="s">
        <v>30613</v>
      </c>
      <c r="C16482" s="15" t="s">
        <v>800</v>
      </c>
      <c r="D16482" s="15" t="s">
        <v>30614</v>
      </c>
      <c r="E16482" s="15">
        <v>11.768599999999999</v>
      </c>
      <c r="F16482" s="42">
        <v>43283</v>
      </c>
    </row>
    <row r="16483" spans="1:6" x14ac:dyDescent="0.3">
      <c r="A16483" s="15" t="s">
        <v>33678</v>
      </c>
      <c r="B16483" s="15" t="s">
        <v>30615</v>
      </c>
      <c r="C16483" s="15" t="s">
        <v>800</v>
      </c>
      <c r="D16483" s="15" t="s">
        <v>30616</v>
      </c>
      <c r="E16483" s="15">
        <v>14.1739</v>
      </c>
      <c r="F16483" s="42">
        <v>43283</v>
      </c>
    </row>
    <row r="16484" spans="1:6" x14ac:dyDescent="0.3">
      <c r="A16484" s="15" t="s">
        <v>33677</v>
      </c>
      <c r="B16484" s="15" t="s">
        <v>30617</v>
      </c>
      <c r="C16484" s="15" t="s">
        <v>800</v>
      </c>
      <c r="D16484" s="15" t="s">
        <v>30618</v>
      </c>
      <c r="E16484" s="15">
        <v>10</v>
      </c>
      <c r="F16484" s="42">
        <v>42940</v>
      </c>
    </row>
    <row r="16485" spans="1:6" x14ac:dyDescent="0.3">
      <c r="A16485" s="15" t="s">
        <v>33676</v>
      </c>
      <c r="B16485" s="15" t="s">
        <v>30619</v>
      </c>
      <c r="C16485" s="15" t="s">
        <v>800</v>
      </c>
      <c r="D16485" s="15" t="s">
        <v>30620</v>
      </c>
      <c r="E16485" s="15">
        <v>12.939399999999999</v>
      </c>
      <c r="F16485" s="42">
        <v>42940</v>
      </c>
    </row>
    <row r="16486" spans="1:6" x14ac:dyDescent="0.3">
      <c r="A16486" s="15" t="s">
        <v>33675</v>
      </c>
      <c r="B16486" s="15" t="s">
        <v>30621</v>
      </c>
      <c r="C16486" s="15" t="s">
        <v>800</v>
      </c>
      <c r="D16486" s="15" t="s">
        <v>30622</v>
      </c>
      <c r="E16486" s="15">
        <v>10</v>
      </c>
      <c r="F16486" s="42">
        <v>42157</v>
      </c>
    </row>
    <row r="16487" spans="1:6" x14ac:dyDescent="0.3">
      <c r="A16487" s="15" t="s">
        <v>33674</v>
      </c>
      <c r="B16487" s="15" t="s">
        <v>30623</v>
      </c>
      <c r="C16487" s="15" t="s">
        <v>800</v>
      </c>
      <c r="D16487" s="15" t="s">
        <v>30624</v>
      </c>
      <c r="E16487" s="15">
        <v>12.8986</v>
      </c>
      <c r="F16487" s="42">
        <v>42940</v>
      </c>
    </row>
    <row r="16488" spans="1:6" x14ac:dyDescent="0.3">
      <c r="A16488" s="15" t="s">
        <v>33673</v>
      </c>
      <c r="B16488" s="15" t="s">
        <v>30625</v>
      </c>
      <c r="C16488" s="15" t="s">
        <v>800</v>
      </c>
      <c r="D16488" s="15" t="s">
        <v>30626</v>
      </c>
      <c r="E16488" s="15">
        <v>10.9566</v>
      </c>
      <c r="F16488" s="42">
        <v>42100</v>
      </c>
    </row>
    <row r="16489" spans="1:6" x14ac:dyDescent="0.3">
      <c r="A16489" s="15" t="s">
        <v>33672</v>
      </c>
      <c r="B16489" s="15" t="s">
        <v>30627</v>
      </c>
      <c r="C16489" s="15" t="s">
        <v>800</v>
      </c>
      <c r="D16489" s="15" t="s">
        <v>30628</v>
      </c>
      <c r="E16489" s="15">
        <v>10</v>
      </c>
      <c r="F16489" s="42">
        <v>42100</v>
      </c>
    </row>
    <row r="16490" spans="1:6" x14ac:dyDescent="0.3">
      <c r="A16490" s="15" t="s">
        <v>33671</v>
      </c>
      <c r="B16490" s="15" t="s">
        <v>30629</v>
      </c>
      <c r="C16490" s="15" t="s">
        <v>800</v>
      </c>
      <c r="D16490" s="15" t="s">
        <v>30630</v>
      </c>
      <c r="E16490" s="15">
        <v>10.9078</v>
      </c>
      <c r="F16490" s="42">
        <v>42100</v>
      </c>
    </row>
    <row r="16491" spans="1:6" x14ac:dyDescent="0.3">
      <c r="A16491" s="15" t="s">
        <v>33670</v>
      </c>
      <c r="B16491" s="15" t="s">
        <v>30631</v>
      </c>
      <c r="C16491" s="15" t="s">
        <v>800</v>
      </c>
      <c r="D16491" s="15" t="s">
        <v>30632</v>
      </c>
      <c r="E16491" s="15">
        <v>13.946099999999999</v>
      </c>
      <c r="F16491" s="42">
        <v>43283</v>
      </c>
    </row>
    <row r="16492" spans="1:6" x14ac:dyDescent="0.3">
      <c r="A16492" s="15" t="s">
        <v>33669</v>
      </c>
      <c r="B16492" s="15" t="s">
        <v>30633</v>
      </c>
      <c r="C16492" s="15" t="s">
        <v>800</v>
      </c>
      <c r="D16492" s="15" t="s">
        <v>30634</v>
      </c>
      <c r="E16492" s="15">
        <v>10</v>
      </c>
      <c r="F16492" s="42">
        <v>42852</v>
      </c>
    </row>
    <row r="16493" spans="1:6" x14ac:dyDescent="0.3">
      <c r="A16493" s="15" t="s">
        <v>33668</v>
      </c>
      <c r="B16493" s="15" t="s">
        <v>30635</v>
      </c>
      <c r="C16493" s="15" t="s">
        <v>800</v>
      </c>
      <c r="D16493" s="15" t="s">
        <v>30636</v>
      </c>
      <c r="E16493" s="15">
        <v>13.983499999999999</v>
      </c>
      <c r="F16493" s="42">
        <v>43283</v>
      </c>
    </row>
    <row r="16494" spans="1:6" x14ac:dyDescent="0.3">
      <c r="A16494" s="15" t="s">
        <v>33667</v>
      </c>
      <c r="B16494" s="15" t="s">
        <v>30637</v>
      </c>
      <c r="C16494" s="15" t="s">
        <v>800</v>
      </c>
      <c r="D16494" s="15" t="s">
        <v>30638</v>
      </c>
      <c r="E16494" s="15">
        <v>10</v>
      </c>
      <c r="F16494" s="42">
        <v>42844</v>
      </c>
    </row>
    <row r="16495" spans="1:6" x14ac:dyDescent="0.3">
      <c r="A16495" s="15" t="s">
        <v>33666</v>
      </c>
      <c r="B16495" s="15" t="s">
        <v>30639</v>
      </c>
      <c r="C16495" s="15" t="s">
        <v>800</v>
      </c>
      <c r="D16495" s="15" t="s">
        <v>30640</v>
      </c>
      <c r="E16495" s="15">
        <v>12.8447</v>
      </c>
      <c r="F16495" s="42">
        <v>42844</v>
      </c>
    </row>
    <row r="16496" spans="1:6" x14ac:dyDescent="0.3">
      <c r="A16496" s="15" t="s">
        <v>33665</v>
      </c>
      <c r="B16496" s="15" t="s">
        <v>30641</v>
      </c>
      <c r="C16496" s="15" t="s">
        <v>800</v>
      </c>
      <c r="D16496" s="15" t="s">
        <v>30642</v>
      </c>
      <c r="E16496" s="15">
        <v>10</v>
      </c>
      <c r="F16496" s="42">
        <v>42844</v>
      </c>
    </row>
    <row r="16497" spans="1:6" x14ac:dyDescent="0.3">
      <c r="A16497" s="15" t="s">
        <v>33664</v>
      </c>
      <c r="B16497" s="15" t="s">
        <v>30643</v>
      </c>
      <c r="C16497" s="15" t="s">
        <v>800</v>
      </c>
      <c r="D16497" s="15" t="s">
        <v>30644</v>
      </c>
      <c r="E16497" s="15">
        <v>12.808400000000001</v>
      </c>
      <c r="F16497" s="42">
        <v>42844</v>
      </c>
    </row>
    <row r="16498" spans="1:6" x14ac:dyDescent="0.3">
      <c r="A16498" s="15" t="s">
        <v>33663</v>
      </c>
      <c r="B16498" s="15" t="s">
        <v>30645</v>
      </c>
      <c r="C16498" s="15" t="s">
        <v>800</v>
      </c>
      <c r="D16498" s="15" t="s">
        <v>30646</v>
      </c>
      <c r="E16498" s="15">
        <v>10</v>
      </c>
      <c r="F16498" s="42">
        <v>42101</v>
      </c>
    </row>
    <row r="16499" spans="1:6" x14ac:dyDescent="0.3">
      <c r="A16499" s="15" t="s">
        <v>33662</v>
      </c>
      <c r="B16499" s="15" t="s">
        <v>30647</v>
      </c>
      <c r="C16499" s="15" t="s">
        <v>800</v>
      </c>
      <c r="D16499" s="15" t="s">
        <v>30648</v>
      </c>
      <c r="E16499" s="15">
        <v>10.936400000000001</v>
      </c>
      <c r="F16499" s="42">
        <v>42101</v>
      </c>
    </row>
    <row r="16500" spans="1:6" x14ac:dyDescent="0.3">
      <c r="A16500" s="15" t="s">
        <v>33661</v>
      </c>
      <c r="B16500" s="15" t="s">
        <v>30649</v>
      </c>
      <c r="C16500" s="15" t="s">
        <v>800</v>
      </c>
      <c r="D16500" s="15" t="s">
        <v>30650</v>
      </c>
      <c r="E16500" s="15">
        <v>10</v>
      </c>
      <c r="F16500" s="42">
        <v>42101</v>
      </c>
    </row>
    <row r="16501" spans="1:6" x14ac:dyDescent="0.3">
      <c r="A16501" s="15" t="s">
        <v>33660</v>
      </c>
      <c r="B16501" s="15" t="s">
        <v>30651</v>
      </c>
      <c r="C16501" s="15" t="s">
        <v>800</v>
      </c>
      <c r="D16501" s="15" t="s">
        <v>30652</v>
      </c>
      <c r="E16501" s="15">
        <v>10.923299999999999</v>
      </c>
      <c r="F16501" s="42">
        <v>42101</v>
      </c>
    </row>
    <row r="16502" spans="1:6" x14ac:dyDescent="0.3">
      <c r="A16502" s="15" t="s">
        <v>33659</v>
      </c>
      <c r="B16502" s="15" t="s">
        <v>30653</v>
      </c>
      <c r="C16502" s="15" t="s">
        <v>800</v>
      </c>
      <c r="D16502" s="15" t="s">
        <v>30654</v>
      </c>
      <c r="E16502" s="15">
        <v>13.9199</v>
      </c>
      <c r="F16502" s="42">
        <v>43283</v>
      </c>
    </row>
    <row r="16503" spans="1:6" x14ac:dyDescent="0.3">
      <c r="A16503" s="15" t="s">
        <v>33658</v>
      </c>
      <c r="B16503" s="15" t="s">
        <v>30655</v>
      </c>
      <c r="C16503" s="15" t="s">
        <v>800</v>
      </c>
      <c r="D16503" s="15" t="s">
        <v>30656</v>
      </c>
      <c r="E16503" s="15">
        <v>10</v>
      </c>
      <c r="F16503" s="42">
        <v>42101</v>
      </c>
    </row>
    <row r="16504" spans="1:6" x14ac:dyDescent="0.3">
      <c r="A16504" s="15" t="s">
        <v>33657</v>
      </c>
      <c r="B16504" s="15" t="s">
        <v>30657</v>
      </c>
      <c r="C16504" s="15" t="s">
        <v>800</v>
      </c>
      <c r="D16504" s="15" t="s">
        <v>30658</v>
      </c>
      <c r="E16504" s="15">
        <v>13.8508</v>
      </c>
      <c r="F16504" s="42">
        <v>43283</v>
      </c>
    </row>
    <row r="16505" spans="1:6" x14ac:dyDescent="0.3">
      <c r="A16505" s="15" t="s">
        <v>33656</v>
      </c>
      <c r="B16505" s="15" t="s">
        <v>30659</v>
      </c>
      <c r="C16505" s="15" t="s">
        <v>800</v>
      </c>
      <c r="D16505" s="15" t="s">
        <v>30660</v>
      </c>
      <c r="E16505" s="15">
        <v>12.898400000000001</v>
      </c>
      <c r="F16505" s="42">
        <v>42940</v>
      </c>
    </row>
    <row r="16506" spans="1:6" x14ac:dyDescent="0.3">
      <c r="A16506" s="15" t="s">
        <v>33655</v>
      </c>
      <c r="B16506" s="15" t="s">
        <v>30661</v>
      </c>
      <c r="C16506" s="15" t="s">
        <v>800</v>
      </c>
      <c r="D16506" s="15" t="s">
        <v>30662</v>
      </c>
      <c r="E16506" s="15">
        <v>10</v>
      </c>
      <c r="F16506" s="42">
        <v>42940</v>
      </c>
    </row>
    <row r="16507" spans="1:6" x14ac:dyDescent="0.3">
      <c r="A16507" s="15" t="s">
        <v>33654</v>
      </c>
      <c r="B16507" s="15" t="s">
        <v>30663</v>
      </c>
      <c r="C16507" s="15" t="s">
        <v>800</v>
      </c>
      <c r="D16507" s="15" t="s">
        <v>30664</v>
      </c>
      <c r="E16507" s="15">
        <v>12.8386</v>
      </c>
      <c r="F16507" s="42">
        <v>42940</v>
      </c>
    </row>
    <row r="16508" spans="1:6" x14ac:dyDescent="0.3">
      <c r="A16508" s="15" t="s">
        <v>33653</v>
      </c>
      <c r="B16508" s="15" t="s">
        <v>30665</v>
      </c>
      <c r="C16508" s="15" t="s">
        <v>800</v>
      </c>
      <c r="D16508" s="15" t="s">
        <v>30666</v>
      </c>
      <c r="E16508" s="15">
        <v>12.560600000000001</v>
      </c>
      <c r="F16508" s="42">
        <v>43014</v>
      </c>
    </row>
    <row r="16509" spans="1:6" x14ac:dyDescent="0.3">
      <c r="A16509" s="15" t="s">
        <v>33652</v>
      </c>
      <c r="B16509" s="15" t="s">
        <v>30667</v>
      </c>
      <c r="C16509" s="15" t="s">
        <v>800</v>
      </c>
      <c r="D16509" s="15" t="s">
        <v>30668</v>
      </c>
      <c r="E16509" s="15">
        <v>12.525399999999999</v>
      </c>
      <c r="F16509" s="42">
        <v>43014</v>
      </c>
    </row>
    <row r="16510" spans="1:6" x14ac:dyDescent="0.3">
      <c r="A16510" s="15" t="s">
        <v>33651</v>
      </c>
      <c r="B16510" s="15" t="s">
        <v>30669</v>
      </c>
      <c r="C16510" s="15" t="s">
        <v>800</v>
      </c>
      <c r="D16510" s="15" t="s">
        <v>30670</v>
      </c>
      <c r="E16510" s="15">
        <v>14.1912</v>
      </c>
      <c r="F16510" s="42">
        <v>42810</v>
      </c>
    </row>
    <row r="16511" spans="1:6" x14ac:dyDescent="0.3">
      <c r="A16511" s="15" t="s">
        <v>33650</v>
      </c>
      <c r="B16511" s="15" t="s">
        <v>30671</v>
      </c>
      <c r="C16511" s="15" t="s">
        <v>30672</v>
      </c>
      <c r="D16511" s="15" t="s">
        <v>30673</v>
      </c>
      <c r="E16511" s="15">
        <v>10.000299999999999</v>
      </c>
      <c r="F16511" s="42">
        <v>42810</v>
      </c>
    </row>
    <row r="16512" spans="1:6" x14ac:dyDescent="0.3">
      <c r="A16512" s="15" t="s">
        <v>33649</v>
      </c>
      <c r="B16512" s="15" t="s">
        <v>30674</v>
      </c>
      <c r="C16512" s="15" t="s">
        <v>800</v>
      </c>
      <c r="D16512" s="15" t="s">
        <v>30675</v>
      </c>
      <c r="E16512" s="15">
        <v>14.145</v>
      </c>
      <c r="F16512" s="42">
        <v>42810</v>
      </c>
    </row>
    <row r="16513" spans="1:6" x14ac:dyDescent="0.3">
      <c r="A16513" s="15" t="s">
        <v>33648</v>
      </c>
      <c r="B16513" s="15" t="s">
        <v>30676</v>
      </c>
      <c r="C16513" s="15" t="s">
        <v>30677</v>
      </c>
      <c r="D16513" s="15" t="s">
        <v>30678</v>
      </c>
      <c r="E16513" s="15">
        <v>10</v>
      </c>
      <c r="F16513" s="42">
        <v>42850</v>
      </c>
    </row>
    <row r="16514" spans="1:6" x14ac:dyDescent="0.3">
      <c r="A16514" s="15" t="s">
        <v>33647</v>
      </c>
      <c r="B16514" s="15" t="s">
        <v>30679</v>
      </c>
      <c r="C16514" s="15" t="s">
        <v>800</v>
      </c>
      <c r="D16514" s="15" t="s">
        <v>30680</v>
      </c>
      <c r="E16514" s="15">
        <v>13.8881</v>
      </c>
      <c r="F16514" s="42">
        <v>42850</v>
      </c>
    </row>
    <row r="16515" spans="1:6" x14ac:dyDescent="0.3">
      <c r="A16515" s="15" t="s">
        <v>33646</v>
      </c>
      <c r="B16515" s="15" t="s">
        <v>30681</v>
      </c>
      <c r="C16515" s="15" t="s">
        <v>30682</v>
      </c>
      <c r="D16515" s="15" t="s">
        <v>30683</v>
      </c>
      <c r="E16515" s="15">
        <v>10.765000000000001</v>
      </c>
      <c r="F16515" s="42">
        <v>42451</v>
      </c>
    </row>
    <row r="16516" spans="1:6" x14ac:dyDescent="0.3">
      <c r="A16516" s="15" t="s">
        <v>33645</v>
      </c>
      <c r="B16516" s="15" t="s">
        <v>30684</v>
      </c>
      <c r="C16516" s="15" t="s">
        <v>800</v>
      </c>
      <c r="D16516" s="15" t="s">
        <v>30685</v>
      </c>
      <c r="E16516" s="15">
        <v>13.837999999999999</v>
      </c>
      <c r="F16516" s="42">
        <v>42850</v>
      </c>
    </row>
    <row r="16517" spans="1:6" x14ac:dyDescent="0.3">
      <c r="A16517" s="15" t="s">
        <v>33644</v>
      </c>
      <c r="B16517" s="15" t="s">
        <v>30686</v>
      </c>
      <c r="C16517" s="15" t="s">
        <v>30687</v>
      </c>
      <c r="D16517" s="15" t="s">
        <v>30688</v>
      </c>
      <c r="E16517" s="15">
        <v>10.000400000000001</v>
      </c>
      <c r="F16517" s="42">
        <v>42867</v>
      </c>
    </row>
    <row r="16518" spans="1:6" x14ac:dyDescent="0.3">
      <c r="A16518" s="15" t="s">
        <v>33643</v>
      </c>
      <c r="B16518" s="15" t="s">
        <v>30689</v>
      </c>
      <c r="C16518" s="15" t="s">
        <v>800</v>
      </c>
      <c r="D16518" s="15" t="s">
        <v>30690</v>
      </c>
      <c r="E16518" s="15">
        <v>13.9099</v>
      </c>
      <c r="F16518" s="42">
        <v>42867</v>
      </c>
    </row>
    <row r="16519" spans="1:6" x14ac:dyDescent="0.3">
      <c r="A16519" s="15" t="s">
        <v>33642</v>
      </c>
      <c r="B16519" s="15" t="s">
        <v>30691</v>
      </c>
      <c r="C16519" s="15" t="s">
        <v>30692</v>
      </c>
      <c r="D16519" s="15" t="s">
        <v>30693</v>
      </c>
      <c r="E16519" s="15">
        <v>10.000400000000001</v>
      </c>
      <c r="F16519" s="42">
        <v>42867</v>
      </c>
    </row>
    <row r="16520" spans="1:6" x14ac:dyDescent="0.3">
      <c r="A16520" s="15" t="s">
        <v>33641</v>
      </c>
      <c r="B16520" s="15" t="s">
        <v>30694</v>
      </c>
      <c r="C16520" s="15" t="s">
        <v>800</v>
      </c>
      <c r="D16520" s="15" t="s">
        <v>30695</v>
      </c>
      <c r="E16520" s="15">
        <v>13.858000000000001</v>
      </c>
      <c r="F16520" s="42">
        <v>42867</v>
      </c>
    </row>
    <row r="16521" spans="1:6" x14ac:dyDescent="0.3">
      <c r="A16521" s="15" t="s">
        <v>33640</v>
      </c>
      <c r="B16521" s="15" t="s">
        <v>30696</v>
      </c>
      <c r="C16521" s="15" t="s">
        <v>30697</v>
      </c>
      <c r="D16521" s="15" t="s">
        <v>30698</v>
      </c>
      <c r="E16521" s="15">
        <v>10</v>
      </c>
      <c r="F16521" s="42">
        <v>42814</v>
      </c>
    </row>
    <row r="16522" spans="1:6" x14ac:dyDescent="0.3">
      <c r="A16522" s="15" t="s">
        <v>33639</v>
      </c>
      <c r="B16522" s="15" t="s">
        <v>30699</v>
      </c>
      <c r="C16522" s="15" t="s">
        <v>800</v>
      </c>
      <c r="D16522" s="15" t="s">
        <v>30700</v>
      </c>
      <c r="E16522" s="15">
        <v>14.0084</v>
      </c>
      <c r="F16522" s="42">
        <v>42814</v>
      </c>
    </row>
    <row r="16523" spans="1:6" x14ac:dyDescent="0.3">
      <c r="A16523" s="15" t="s">
        <v>33638</v>
      </c>
      <c r="B16523" s="15" t="s">
        <v>30701</v>
      </c>
      <c r="C16523" s="15" t="s">
        <v>30702</v>
      </c>
      <c r="D16523" s="15" t="s">
        <v>30703</v>
      </c>
      <c r="E16523" s="15">
        <v>10</v>
      </c>
      <c r="F16523" s="42">
        <v>42814</v>
      </c>
    </row>
    <row r="16524" spans="1:6" x14ac:dyDescent="0.3">
      <c r="A16524" s="15" t="s">
        <v>33637</v>
      </c>
      <c r="B16524" s="15" t="s">
        <v>30704</v>
      </c>
      <c r="C16524" s="15" t="s">
        <v>800</v>
      </c>
      <c r="D16524" s="15" t="s">
        <v>30705</v>
      </c>
      <c r="E16524" s="15">
        <v>13.9529</v>
      </c>
      <c r="F16524" s="42">
        <v>42814</v>
      </c>
    </row>
    <row r="16525" spans="1:6" x14ac:dyDescent="0.3">
      <c r="A16525" s="15" t="s">
        <v>33499</v>
      </c>
      <c r="B16525" s="15" t="s">
        <v>795</v>
      </c>
      <c r="C16525" s="15" t="s">
        <v>795</v>
      </c>
      <c r="D16525" s="15" t="s">
        <v>795</v>
      </c>
      <c r="F16525" s="42"/>
    </row>
    <row r="16526" spans="1:6" x14ac:dyDescent="0.3">
      <c r="A16526" s="15" t="s">
        <v>33636</v>
      </c>
      <c r="B16526" s="15" t="s">
        <v>795</v>
      </c>
      <c r="C16526" s="15" t="s">
        <v>795</v>
      </c>
      <c r="D16526" s="15" t="s">
        <v>795</v>
      </c>
      <c r="F16526" s="42"/>
    </row>
    <row r="16527" spans="1:6" x14ac:dyDescent="0.3">
      <c r="A16527" s="15" t="s">
        <v>33499</v>
      </c>
      <c r="B16527" s="15" t="s">
        <v>795</v>
      </c>
      <c r="C16527" s="15" t="s">
        <v>795</v>
      </c>
      <c r="D16527" s="15" t="s">
        <v>795</v>
      </c>
      <c r="F16527" s="42"/>
    </row>
    <row r="16528" spans="1:6" x14ac:dyDescent="0.3">
      <c r="A16528" s="15" t="s">
        <v>33635</v>
      </c>
      <c r="B16528" s="15" t="s">
        <v>30706</v>
      </c>
      <c r="C16528" s="15" t="s">
        <v>800</v>
      </c>
      <c r="D16528" s="15" t="s">
        <v>30707</v>
      </c>
      <c r="E16528" s="15">
        <v>17.620100000000001</v>
      </c>
      <c r="F16528" s="42">
        <v>46198</v>
      </c>
    </row>
    <row r="16529" spans="1:6" x14ac:dyDescent="0.3">
      <c r="A16529" s="15" t="s">
        <v>33634</v>
      </c>
      <c r="B16529" s="15" t="s">
        <v>30708</v>
      </c>
      <c r="C16529" s="15" t="s">
        <v>800</v>
      </c>
      <c r="D16529" s="15" t="s">
        <v>30709</v>
      </c>
      <c r="E16529" s="15">
        <v>17.637599999999999</v>
      </c>
      <c r="F16529" s="42">
        <v>46198</v>
      </c>
    </row>
    <row r="16530" spans="1:6" x14ac:dyDescent="0.3">
      <c r="A16530" s="15" t="s">
        <v>33633</v>
      </c>
      <c r="B16530" s="15" t="s">
        <v>30710</v>
      </c>
      <c r="C16530" s="15" t="s">
        <v>800</v>
      </c>
      <c r="D16530" s="15" t="s">
        <v>30711</v>
      </c>
      <c r="E16530" s="15">
        <v>17.396699999999999</v>
      </c>
      <c r="F16530" s="42">
        <v>46198</v>
      </c>
    </row>
    <row r="16531" spans="1:6" x14ac:dyDescent="0.3">
      <c r="A16531" s="15" t="s">
        <v>33632</v>
      </c>
      <c r="B16531" s="15" t="s">
        <v>30712</v>
      </c>
      <c r="C16531" s="15" t="s">
        <v>800</v>
      </c>
      <c r="D16531" s="15" t="s">
        <v>30713</v>
      </c>
      <c r="E16531" s="15">
        <v>17.396799999999999</v>
      </c>
      <c r="F16531" s="42">
        <v>46198</v>
      </c>
    </row>
    <row r="16532" spans="1:6" x14ac:dyDescent="0.3">
      <c r="A16532" s="15" t="s">
        <v>33631</v>
      </c>
      <c r="B16532" s="15" t="s">
        <v>30714</v>
      </c>
      <c r="C16532" s="15" t="s">
        <v>800</v>
      </c>
      <c r="D16532" s="15" t="s">
        <v>30715</v>
      </c>
      <c r="E16532" s="15">
        <v>14.7965</v>
      </c>
      <c r="F16532" s="42">
        <v>46198</v>
      </c>
    </row>
    <row r="16533" spans="1:6" x14ac:dyDescent="0.3">
      <c r="A16533" s="15" t="s">
        <v>33630</v>
      </c>
      <c r="B16533" s="15" t="s">
        <v>30716</v>
      </c>
      <c r="C16533" s="15" t="s">
        <v>800</v>
      </c>
      <c r="D16533" s="15" t="s">
        <v>30717</v>
      </c>
      <c r="E16533" s="15">
        <v>14.7965</v>
      </c>
      <c r="F16533" s="42">
        <v>46198</v>
      </c>
    </row>
    <row r="16534" spans="1:6" x14ac:dyDescent="0.3">
      <c r="A16534" s="15" t="s">
        <v>33629</v>
      </c>
      <c r="B16534" s="15" t="s">
        <v>30718</v>
      </c>
      <c r="C16534" s="15" t="s">
        <v>800</v>
      </c>
      <c r="D16534" s="15" t="s">
        <v>30719</v>
      </c>
      <c r="E16534" s="15">
        <v>14.593400000000001</v>
      </c>
      <c r="F16534" s="42">
        <v>46198</v>
      </c>
    </row>
    <row r="16535" spans="1:6" x14ac:dyDescent="0.3">
      <c r="A16535" s="15" t="s">
        <v>33628</v>
      </c>
      <c r="B16535" s="15" t="s">
        <v>30720</v>
      </c>
      <c r="C16535" s="15" t="s">
        <v>800</v>
      </c>
      <c r="D16535" s="15" t="s">
        <v>30721</v>
      </c>
      <c r="E16535" s="15">
        <v>14.593500000000001</v>
      </c>
      <c r="F16535" s="42">
        <v>46198</v>
      </c>
    </row>
    <row r="16536" spans="1:6" x14ac:dyDescent="0.3">
      <c r="A16536" s="15" t="s">
        <v>33627</v>
      </c>
      <c r="B16536" s="15" t="s">
        <v>30722</v>
      </c>
      <c r="C16536" s="15" t="s">
        <v>800</v>
      </c>
      <c r="D16536" s="15" t="s">
        <v>30723</v>
      </c>
      <c r="E16536" s="15">
        <v>13.511200000000001</v>
      </c>
      <c r="F16536" s="42">
        <v>46198</v>
      </c>
    </row>
    <row r="16537" spans="1:6" x14ac:dyDescent="0.3">
      <c r="A16537" s="15" t="s">
        <v>33626</v>
      </c>
      <c r="B16537" s="15" t="s">
        <v>30724</v>
      </c>
      <c r="C16537" s="15" t="s">
        <v>800</v>
      </c>
      <c r="D16537" s="15" t="s">
        <v>30725</v>
      </c>
      <c r="E16537" s="15">
        <v>13.5113</v>
      </c>
      <c r="F16537" s="42">
        <v>46198</v>
      </c>
    </row>
    <row r="16538" spans="1:6" x14ac:dyDescent="0.3">
      <c r="A16538" s="15" t="s">
        <v>33625</v>
      </c>
      <c r="B16538" s="15" t="s">
        <v>30726</v>
      </c>
      <c r="C16538" s="15" t="s">
        <v>800</v>
      </c>
      <c r="D16538" s="15" t="s">
        <v>30727</v>
      </c>
      <c r="E16538" s="15">
        <v>13.4176</v>
      </c>
      <c r="F16538" s="42">
        <v>46198</v>
      </c>
    </row>
    <row r="16539" spans="1:6" x14ac:dyDescent="0.3">
      <c r="A16539" s="15" t="s">
        <v>33624</v>
      </c>
      <c r="B16539" s="15" t="s">
        <v>30728</v>
      </c>
      <c r="C16539" s="15" t="s">
        <v>800</v>
      </c>
      <c r="D16539" s="15" t="s">
        <v>30729</v>
      </c>
      <c r="E16539" s="15">
        <v>13.4177</v>
      </c>
      <c r="F16539" s="42">
        <v>46198</v>
      </c>
    </row>
    <row r="16540" spans="1:6" x14ac:dyDescent="0.3">
      <c r="A16540" s="15" t="s">
        <v>33623</v>
      </c>
      <c r="B16540" s="15" t="s">
        <v>30730</v>
      </c>
      <c r="C16540" s="15" t="s">
        <v>800</v>
      </c>
      <c r="D16540" s="15" t="s">
        <v>30731</v>
      </c>
      <c r="E16540" s="15">
        <v>13.4011</v>
      </c>
      <c r="F16540" s="42">
        <v>46198</v>
      </c>
    </row>
    <row r="16541" spans="1:6" x14ac:dyDescent="0.3">
      <c r="A16541" s="15" t="s">
        <v>33622</v>
      </c>
      <c r="B16541" s="15" t="s">
        <v>30732</v>
      </c>
      <c r="C16541" s="15" t="s">
        <v>800</v>
      </c>
      <c r="D16541" s="15" t="s">
        <v>30733</v>
      </c>
      <c r="E16541" s="15">
        <v>13.4011</v>
      </c>
      <c r="F16541" s="42">
        <v>46198</v>
      </c>
    </row>
    <row r="16542" spans="1:6" x14ac:dyDescent="0.3">
      <c r="A16542" s="15" t="s">
        <v>33621</v>
      </c>
      <c r="B16542" s="15" t="s">
        <v>30734</v>
      </c>
      <c r="C16542" s="15" t="s">
        <v>800</v>
      </c>
      <c r="D16542" s="15" t="s">
        <v>30735</v>
      </c>
      <c r="E16542" s="15">
        <v>13.313700000000001</v>
      </c>
      <c r="F16542" s="42">
        <v>46198</v>
      </c>
    </row>
    <row r="16543" spans="1:6" x14ac:dyDescent="0.3">
      <c r="A16543" s="15" t="s">
        <v>33620</v>
      </c>
      <c r="B16543" s="15" t="s">
        <v>30736</v>
      </c>
      <c r="C16543" s="15" t="s">
        <v>800</v>
      </c>
      <c r="D16543" s="15" t="s">
        <v>30737</v>
      </c>
      <c r="E16543" s="15">
        <v>13.313700000000001</v>
      </c>
      <c r="F16543" s="42">
        <v>46198</v>
      </c>
    </row>
    <row r="16544" spans="1:6" x14ac:dyDescent="0.3">
      <c r="A16544" s="15" t="s">
        <v>33619</v>
      </c>
      <c r="B16544" s="15" t="s">
        <v>30738</v>
      </c>
      <c r="C16544" s="15" t="s">
        <v>800</v>
      </c>
      <c r="D16544" s="15" t="s">
        <v>30739</v>
      </c>
      <c r="E16544" s="15">
        <v>13.269500000000001</v>
      </c>
      <c r="F16544" s="42">
        <v>46198</v>
      </c>
    </row>
    <row r="16545" spans="1:6" x14ac:dyDescent="0.3">
      <c r="A16545" s="15" t="s">
        <v>33618</v>
      </c>
      <c r="B16545" s="15" t="s">
        <v>30740</v>
      </c>
      <c r="C16545" s="15" t="s">
        <v>800</v>
      </c>
      <c r="D16545" s="15" t="s">
        <v>30741</v>
      </c>
      <c r="E16545" s="15">
        <v>13.269500000000001</v>
      </c>
      <c r="F16545" s="42">
        <v>46198</v>
      </c>
    </row>
    <row r="16546" spans="1:6" x14ac:dyDescent="0.3">
      <c r="A16546" s="15" t="s">
        <v>33617</v>
      </c>
      <c r="B16546" s="15" t="s">
        <v>30742</v>
      </c>
      <c r="C16546" s="15" t="s">
        <v>800</v>
      </c>
      <c r="D16546" s="15" t="s">
        <v>30743</v>
      </c>
      <c r="E16546" s="15">
        <v>13.1661</v>
      </c>
      <c r="F16546" s="42">
        <v>46198</v>
      </c>
    </row>
    <row r="16547" spans="1:6" x14ac:dyDescent="0.3">
      <c r="A16547" s="15" t="s">
        <v>33616</v>
      </c>
      <c r="B16547" s="15" t="s">
        <v>30744</v>
      </c>
      <c r="C16547" s="15" t="s">
        <v>800</v>
      </c>
      <c r="D16547" s="15" t="s">
        <v>30745</v>
      </c>
      <c r="E16547" s="15">
        <v>13.1661</v>
      </c>
      <c r="F16547" s="42">
        <v>46198</v>
      </c>
    </row>
    <row r="16548" spans="1:6" x14ac:dyDescent="0.3">
      <c r="A16548" s="15" t="s">
        <v>33615</v>
      </c>
      <c r="B16548" s="15" t="s">
        <v>30746</v>
      </c>
      <c r="C16548" s="15" t="s">
        <v>800</v>
      </c>
      <c r="D16548" s="15" t="s">
        <v>30747</v>
      </c>
      <c r="E16548" s="15">
        <v>13.259600000000001</v>
      </c>
      <c r="F16548" s="42">
        <v>46198</v>
      </c>
    </row>
    <row r="16549" spans="1:6" x14ac:dyDescent="0.3">
      <c r="A16549" s="15" t="s">
        <v>33614</v>
      </c>
      <c r="B16549" s="15" t="s">
        <v>30748</v>
      </c>
      <c r="C16549" s="15" t="s">
        <v>800</v>
      </c>
      <c r="D16549" s="15" t="s">
        <v>30749</v>
      </c>
      <c r="E16549" s="15">
        <v>13.2601</v>
      </c>
      <c r="F16549" s="42">
        <v>46198</v>
      </c>
    </row>
    <row r="16550" spans="1:6" x14ac:dyDescent="0.3">
      <c r="A16550" s="15" t="s">
        <v>33613</v>
      </c>
      <c r="B16550" s="15" t="s">
        <v>30750</v>
      </c>
      <c r="C16550" s="15" t="s">
        <v>800</v>
      </c>
      <c r="D16550" s="15" t="s">
        <v>30751</v>
      </c>
      <c r="E16550" s="15">
        <v>13.1755</v>
      </c>
      <c r="F16550" s="42">
        <v>46198</v>
      </c>
    </row>
    <row r="16551" spans="1:6" x14ac:dyDescent="0.3">
      <c r="A16551" s="15" t="s">
        <v>33612</v>
      </c>
      <c r="B16551" s="15" t="s">
        <v>30752</v>
      </c>
      <c r="C16551" s="15" t="s">
        <v>800</v>
      </c>
      <c r="D16551" s="15" t="s">
        <v>30753</v>
      </c>
      <c r="E16551" s="15">
        <v>13.175599999999999</v>
      </c>
      <c r="F16551" s="42">
        <v>46198</v>
      </c>
    </row>
    <row r="16552" spans="1:6" x14ac:dyDescent="0.3">
      <c r="A16552" s="15" t="s">
        <v>33611</v>
      </c>
      <c r="B16552" s="15" t="s">
        <v>30754</v>
      </c>
      <c r="C16552" s="15" t="s">
        <v>800</v>
      </c>
      <c r="D16552" s="15" t="s">
        <v>30755</v>
      </c>
      <c r="E16552" s="15">
        <v>13.2393</v>
      </c>
      <c r="F16552" s="42">
        <v>46198</v>
      </c>
    </row>
    <row r="16553" spans="1:6" x14ac:dyDescent="0.3">
      <c r="A16553" s="15" t="s">
        <v>33610</v>
      </c>
      <c r="B16553" s="15" t="s">
        <v>30756</v>
      </c>
      <c r="C16553" s="15" t="s">
        <v>800</v>
      </c>
      <c r="D16553" s="15" t="s">
        <v>30757</v>
      </c>
      <c r="E16553" s="15">
        <v>13.2393</v>
      </c>
      <c r="F16553" s="42">
        <v>46198</v>
      </c>
    </row>
    <row r="16554" spans="1:6" x14ac:dyDescent="0.3">
      <c r="A16554" s="15" t="s">
        <v>33609</v>
      </c>
      <c r="B16554" s="15" t="s">
        <v>30758</v>
      </c>
      <c r="C16554" s="15" t="s">
        <v>800</v>
      </c>
      <c r="D16554" s="15" t="s">
        <v>30759</v>
      </c>
      <c r="E16554" s="15">
        <v>13.157999999999999</v>
      </c>
      <c r="F16554" s="42">
        <v>46198</v>
      </c>
    </row>
    <row r="16555" spans="1:6" x14ac:dyDescent="0.3">
      <c r="A16555" s="15" t="s">
        <v>33608</v>
      </c>
      <c r="B16555" s="15" t="s">
        <v>30760</v>
      </c>
      <c r="C16555" s="15" t="s">
        <v>800</v>
      </c>
      <c r="D16555" s="15" t="s">
        <v>30761</v>
      </c>
      <c r="E16555" s="15">
        <v>13.157999999999999</v>
      </c>
      <c r="F16555" s="42">
        <v>46198</v>
      </c>
    </row>
    <row r="16556" spans="1:6" x14ac:dyDescent="0.3">
      <c r="A16556" s="15" t="s">
        <v>33607</v>
      </c>
      <c r="B16556" s="15" t="s">
        <v>30762</v>
      </c>
      <c r="C16556" s="15" t="s">
        <v>800</v>
      </c>
      <c r="D16556" s="15" t="s">
        <v>30763</v>
      </c>
      <c r="E16556" s="15">
        <v>13.2585</v>
      </c>
      <c r="F16556" s="42">
        <v>46198</v>
      </c>
    </row>
    <row r="16557" spans="1:6" x14ac:dyDescent="0.3">
      <c r="A16557" s="15" t="s">
        <v>33606</v>
      </c>
      <c r="B16557" s="15" t="s">
        <v>30764</v>
      </c>
      <c r="C16557" s="15" t="s">
        <v>800</v>
      </c>
      <c r="D16557" s="15" t="s">
        <v>30765</v>
      </c>
      <c r="E16557" s="15">
        <v>13.2585</v>
      </c>
      <c r="F16557" s="42">
        <v>46198</v>
      </c>
    </row>
    <row r="16558" spans="1:6" x14ac:dyDescent="0.3">
      <c r="A16558" s="15" t="s">
        <v>33605</v>
      </c>
      <c r="B16558" s="15" t="s">
        <v>30766</v>
      </c>
      <c r="C16558" s="15" t="s">
        <v>800</v>
      </c>
      <c r="D16558" s="15" t="s">
        <v>30767</v>
      </c>
      <c r="E16558" s="15">
        <v>13.189399999999999</v>
      </c>
      <c r="F16558" s="42">
        <v>46198</v>
      </c>
    </row>
    <row r="16559" spans="1:6" x14ac:dyDescent="0.3">
      <c r="A16559" s="15" t="s">
        <v>33604</v>
      </c>
      <c r="B16559" s="15" t="s">
        <v>30768</v>
      </c>
      <c r="C16559" s="15" t="s">
        <v>800</v>
      </c>
      <c r="D16559" s="15" t="s">
        <v>30769</v>
      </c>
      <c r="E16559" s="15">
        <v>13.189399999999999</v>
      </c>
      <c r="F16559" s="42">
        <v>46198</v>
      </c>
    </row>
    <row r="16560" spans="1:6" x14ac:dyDescent="0.3">
      <c r="A16560" s="15" t="s">
        <v>33603</v>
      </c>
      <c r="B16560" s="15" t="s">
        <v>30770</v>
      </c>
      <c r="C16560" s="15" t="s">
        <v>800</v>
      </c>
      <c r="D16560" s="15" t="s">
        <v>30771</v>
      </c>
      <c r="E16560" s="15">
        <v>13.2416</v>
      </c>
      <c r="F16560" s="42">
        <v>46198</v>
      </c>
    </row>
    <row r="16561" spans="1:6" x14ac:dyDescent="0.3">
      <c r="A16561" s="15" t="s">
        <v>33602</v>
      </c>
      <c r="B16561" s="15" t="s">
        <v>30772</v>
      </c>
      <c r="C16561" s="15" t="s">
        <v>800</v>
      </c>
      <c r="D16561" s="15" t="s">
        <v>30773</v>
      </c>
      <c r="E16561" s="15">
        <v>13.242100000000001</v>
      </c>
      <c r="F16561" s="42">
        <v>46198</v>
      </c>
    </row>
    <row r="16562" spans="1:6" x14ac:dyDescent="0.3">
      <c r="A16562" s="15" t="s">
        <v>33601</v>
      </c>
      <c r="B16562" s="15" t="s">
        <v>30774</v>
      </c>
      <c r="C16562" s="15" t="s">
        <v>800</v>
      </c>
      <c r="D16562" s="15" t="s">
        <v>30775</v>
      </c>
      <c r="E16562" s="15">
        <v>13.168799999999999</v>
      </c>
      <c r="F16562" s="42">
        <v>46198</v>
      </c>
    </row>
    <row r="16563" spans="1:6" x14ac:dyDescent="0.3">
      <c r="A16563" s="15" t="s">
        <v>33600</v>
      </c>
      <c r="B16563" s="15" t="s">
        <v>30776</v>
      </c>
      <c r="C16563" s="15" t="s">
        <v>800</v>
      </c>
      <c r="D16563" s="15" t="s">
        <v>30777</v>
      </c>
      <c r="E16563" s="15">
        <v>13.168799999999999</v>
      </c>
      <c r="F16563" s="42">
        <v>46198</v>
      </c>
    </row>
    <row r="16564" spans="1:6" x14ac:dyDescent="0.3">
      <c r="A16564" s="15" t="s">
        <v>33599</v>
      </c>
      <c r="B16564" s="15" t="s">
        <v>30778</v>
      </c>
      <c r="C16564" s="15" t="s">
        <v>800</v>
      </c>
      <c r="D16564" s="15" t="s">
        <v>30779</v>
      </c>
      <c r="E16564" s="15">
        <v>13.212199999999999</v>
      </c>
      <c r="F16564" s="42">
        <v>46198</v>
      </c>
    </row>
    <row r="16565" spans="1:6" x14ac:dyDescent="0.3">
      <c r="A16565" s="15" t="s">
        <v>33598</v>
      </c>
      <c r="B16565" s="15" t="s">
        <v>30780</v>
      </c>
      <c r="C16565" s="15" t="s">
        <v>800</v>
      </c>
      <c r="D16565" s="15" t="s">
        <v>30781</v>
      </c>
      <c r="E16565" s="15">
        <v>13.212199999999999</v>
      </c>
      <c r="F16565" s="42">
        <v>46198</v>
      </c>
    </row>
    <row r="16566" spans="1:6" x14ac:dyDescent="0.3">
      <c r="A16566" s="15" t="s">
        <v>33597</v>
      </c>
      <c r="B16566" s="15" t="s">
        <v>30782</v>
      </c>
      <c r="C16566" s="15" t="s">
        <v>800</v>
      </c>
      <c r="D16566" s="15" t="s">
        <v>30783</v>
      </c>
      <c r="E16566" s="15">
        <v>13.140599999999999</v>
      </c>
      <c r="F16566" s="42">
        <v>46198</v>
      </c>
    </row>
    <row r="16567" spans="1:6" x14ac:dyDescent="0.3">
      <c r="A16567" s="15" t="s">
        <v>33596</v>
      </c>
      <c r="B16567" s="15" t="s">
        <v>30784</v>
      </c>
      <c r="C16567" s="15" t="s">
        <v>800</v>
      </c>
      <c r="D16567" s="15" t="s">
        <v>30785</v>
      </c>
      <c r="E16567" s="15">
        <v>13.140499999999999</v>
      </c>
      <c r="F16567" s="42">
        <v>46198</v>
      </c>
    </row>
    <row r="16568" spans="1:6" x14ac:dyDescent="0.3">
      <c r="A16568" s="15" t="s">
        <v>33595</v>
      </c>
      <c r="B16568" s="15" t="s">
        <v>30786</v>
      </c>
      <c r="C16568" s="15" t="s">
        <v>800</v>
      </c>
      <c r="D16568" s="15" t="s">
        <v>30787</v>
      </c>
      <c r="E16568" s="15">
        <v>13.1286</v>
      </c>
      <c r="F16568" s="42">
        <v>46198</v>
      </c>
    </row>
    <row r="16569" spans="1:6" x14ac:dyDescent="0.3">
      <c r="A16569" s="15" t="s">
        <v>33594</v>
      </c>
      <c r="B16569" s="15" t="s">
        <v>30788</v>
      </c>
      <c r="C16569" s="15" t="s">
        <v>800</v>
      </c>
      <c r="D16569" s="15" t="s">
        <v>30789</v>
      </c>
      <c r="E16569" s="15">
        <v>13.1289</v>
      </c>
      <c r="F16569" s="42">
        <v>46198</v>
      </c>
    </row>
    <row r="16570" spans="1:6" x14ac:dyDescent="0.3">
      <c r="A16570" s="15" t="s">
        <v>33593</v>
      </c>
      <c r="B16570" s="15" t="s">
        <v>30790</v>
      </c>
      <c r="C16570" s="15" t="s">
        <v>800</v>
      </c>
      <c r="D16570" s="15" t="s">
        <v>30791</v>
      </c>
      <c r="E16570" s="15">
        <v>13.0585</v>
      </c>
      <c r="F16570" s="42">
        <v>46198</v>
      </c>
    </row>
    <row r="16571" spans="1:6" x14ac:dyDescent="0.3">
      <c r="A16571" s="15" t="s">
        <v>33592</v>
      </c>
      <c r="B16571" s="15" t="s">
        <v>30792</v>
      </c>
      <c r="C16571" s="15" t="s">
        <v>800</v>
      </c>
      <c r="D16571" s="15" t="s">
        <v>30793</v>
      </c>
      <c r="E16571" s="15">
        <v>13.0589</v>
      </c>
      <c r="F16571" s="42">
        <v>46198</v>
      </c>
    </row>
    <row r="16572" spans="1:6" x14ac:dyDescent="0.3">
      <c r="A16572" s="15" t="s">
        <v>33591</v>
      </c>
      <c r="B16572" s="15" t="s">
        <v>30794</v>
      </c>
      <c r="C16572" s="15" t="s">
        <v>800</v>
      </c>
      <c r="D16572" s="15" t="s">
        <v>30795</v>
      </c>
      <c r="E16572" s="15">
        <v>13.2438</v>
      </c>
      <c r="F16572" s="42">
        <v>46198</v>
      </c>
    </row>
    <row r="16573" spans="1:6" x14ac:dyDescent="0.3">
      <c r="A16573" s="15" t="s">
        <v>33590</v>
      </c>
      <c r="B16573" s="15" t="s">
        <v>30796</v>
      </c>
      <c r="C16573" s="15" t="s">
        <v>800</v>
      </c>
      <c r="D16573" s="15" t="s">
        <v>30797</v>
      </c>
      <c r="E16573" s="15">
        <v>13.2441</v>
      </c>
      <c r="F16573" s="42">
        <v>46198</v>
      </c>
    </row>
    <row r="16574" spans="1:6" x14ac:dyDescent="0.3">
      <c r="A16574" s="15" t="s">
        <v>33589</v>
      </c>
      <c r="B16574" s="15" t="s">
        <v>30798</v>
      </c>
      <c r="C16574" s="15" t="s">
        <v>800</v>
      </c>
      <c r="D16574" s="15" t="s">
        <v>30799</v>
      </c>
      <c r="E16574" s="15">
        <v>13.1751</v>
      </c>
      <c r="F16574" s="42">
        <v>46198</v>
      </c>
    </row>
    <row r="16575" spans="1:6" x14ac:dyDescent="0.3">
      <c r="A16575" s="15" t="s">
        <v>33588</v>
      </c>
      <c r="B16575" s="15" t="s">
        <v>30800</v>
      </c>
      <c r="C16575" s="15" t="s">
        <v>800</v>
      </c>
      <c r="D16575" s="15" t="s">
        <v>30801</v>
      </c>
      <c r="E16575" s="15">
        <v>13.1751</v>
      </c>
      <c r="F16575" s="42">
        <v>46198</v>
      </c>
    </row>
    <row r="16576" spans="1:6" x14ac:dyDescent="0.3">
      <c r="A16576" s="15" t="s">
        <v>33587</v>
      </c>
      <c r="B16576" s="15" t="s">
        <v>30802</v>
      </c>
      <c r="C16576" s="15" t="s">
        <v>800</v>
      </c>
      <c r="D16576" s="15" t="s">
        <v>30803</v>
      </c>
      <c r="E16576" s="15">
        <v>12.9964</v>
      </c>
      <c r="F16576" s="42">
        <v>46198</v>
      </c>
    </row>
    <row r="16577" spans="1:6" x14ac:dyDescent="0.3">
      <c r="A16577" s="15" t="s">
        <v>33586</v>
      </c>
      <c r="B16577" s="15" t="s">
        <v>30804</v>
      </c>
      <c r="C16577" s="15" t="s">
        <v>800</v>
      </c>
      <c r="D16577" s="15" t="s">
        <v>30805</v>
      </c>
      <c r="E16577" s="15">
        <v>12.995900000000001</v>
      </c>
      <c r="F16577" s="42">
        <v>46198</v>
      </c>
    </row>
    <row r="16578" spans="1:6" x14ac:dyDescent="0.3">
      <c r="A16578" s="15" t="s">
        <v>33585</v>
      </c>
      <c r="B16578" s="15" t="s">
        <v>30806</v>
      </c>
      <c r="C16578" s="15" t="s">
        <v>800</v>
      </c>
      <c r="D16578" s="15" t="s">
        <v>30807</v>
      </c>
      <c r="E16578" s="15">
        <v>12.9322</v>
      </c>
      <c r="F16578" s="42">
        <v>46198</v>
      </c>
    </row>
    <row r="16579" spans="1:6" x14ac:dyDescent="0.3">
      <c r="A16579" s="15" t="s">
        <v>33584</v>
      </c>
      <c r="B16579" s="15" t="s">
        <v>30808</v>
      </c>
      <c r="C16579" s="15" t="s">
        <v>800</v>
      </c>
      <c r="D16579" s="15" t="s">
        <v>30809</v>
      </c>
      <c r="E16579" s="15">
        <v>12.9322</v>
      </c>
      <c r="F16579" s="42">
        <v>46198</v>
      </c>
    </row>
    <row r="16580" spans="1:6" x14ac:dyDescent="0.3">
      <c r="A16580" s="15" t="s">
        <v>33583</v>
      </c>
      <c r="B16580" s="15" t="s">
        <v>30810</v>
      </c>
      <c r="C16580" s="15" t="s">
        <v>800</v>
      </c>
      <c r="D16580" s="15" t="s">
        <v>30811</v>
      </c>
      <c r="E16580" s="15">
        <v>17.136600000000001</v>
      </c>
      <c r="F16580" s="42">
        <v>46198</v>
      </c>
    </row>
    <row r="16581" spans="1:6" x14ac:dyDescent="0.3">
      <c r="A16581" s="15" t="s">
        <v>33582</v>
      </c>
      <c r="B16581" s="15" t="s">
        <v>30812</v>
      </c>
      <c r="C16581" s="15" t="s">
        <v>800</v>
      </c>
      <c r="D16581" s="15" t="s">
        <v>30813</v>
      </c>
      <c r="E16581" s="15">
        <v>17.136900000000001</v>
      </c>
      <c r="F16581" s="42">
        <v>46198</v>
      </c>
    </row>
    <row r="16582" spans="1:6" x14ac:dyDescent="0.3">
      <c r="A16582" s="15" t="s">
        <v>33581</v>
      </c>
      <c r="B16582" s="15" t="s">
        <v>30814</v>
      </c>
      <c r="C16582" s="15" t="s">
        <v>800</v>
      </c>
      <c r="D16582" s="15" t="s">
        <v>30815</v>
      </c>
      <c r="E16582" s="15">
        <v>16.848400000000002</v>
      </c>
      <c r="F16582" s="42">
        <v>46198</v>
      </c>
    </row>
    <row r="16583" spans="1:6" x14ac:dyDescent="0.3">
      <c r="A16583" s="15" t="s">
        <v>33580</v>
      </c>
      <c r="B16583" s="15" t="s">
        <v>30816</v>
      </c>
      <c r="C16583" s="15" t="s">
        <v>800</v>
      </c>
      <c r="D16583" s="15" t="s">
        <v>30817</v>
      </c>
      <c r="E16583" s="15">
        <v>16.8508</v>
      </c>
      <c r="F16583" s="42">
        <v>46198</v>
      </c>
    </row>
    <row r="16584" spans="1:6" x14ac:dyDescent="0.3">
      <c r="A16584" s="15" t="s">
        <v>33579</v>
      </c>
      <c r="B16584" s="15" t="s">
        <v>30818</v>
      </c>
      <c r="C16584" s="15" t="s">
        <v>800</v>
      </c>
      <c r="D16584" s="15" t="s">
        <v>30819</v>
      </c>
      <c r="E16584" s="15">
        <v>13.156599999999999</v>
      </c>
      <c r="F16584" s="42">
        <v>46198</v>
      </c>
    </row>
    <row r="16585" spans="1:6" x14ac:dyDescent="0.3">
      <c r="A16585" s="15" t="s">
        <v>33578</v>
      </c>
      <c r="B16585" s="15" t="s">
        <v>30820</v>
      </c>
      <c r="C16585" s="15" t="s">
        <v>800</v>
      </c>
      <c r="D16585" s="15" t="s">
        <v>30821</v>
      </c>
      <c r="E16585" s="15">
        <v>13.157</v>
      </c>
      <c r="F16585" s="42">
        <v>46198</v>
      </c>
    </row>
    <row r="16586" spans="1:6" x14ac:dyDescent="0.3">
      <c r="A16586" s="15" t="s">
        <v>33577</v>
      </c>
      <c r="B16586" s="15" t="s">
        <v>30822</v>
      </c>
      <c r="C16586" s="15" t="s">
        <v>800</v>
      </c>
      <c r="D16586" s="15" t="s">
        <v>30823</v>
      </c>
      <c r="E16586" s="15">
        <v>13.0893</v>
      </c>
      <c r="F16586" s="42">
        <v>46198</v>
      </c>
    </row>
    <row r="16587" spans="1:6" x14ac:dyDescent="0.3">
      <c r="A16587" s="15" t="s">
        <v>33576</v>
      </c>
      <c r="B16587" s="15" t="s">
        <v>30824</v>
      </c>
      <c r="C16587" s="15" t="s">
        <v>800</v>
      </c>
      <c r="D16587" s="15" t="s">
        <v>30825</v>
      </c>
      <c r="E16587" s="15">
        <v>13.0893</v>
      </c>
      <c r="F16587" s="42">
        <v>46198</v>
      </c>
    </row>
    <row r="16588" spans="1:6" x14ac:dyDescent="0.3">
      <c r="A16588" s="15" t="s">
        <v>33575</v>
      </c>
      <c r="B16588" s="15" t="s">
        <v>30826</v>
      </c>
      <c r="C16588" s="15" t="s">
        <v>800</v>
      </c>
      <c r="D16588" s="15" t="s">
        <v>30827</v>
      </c>
      <c r="E16588" s="15">
        <v>13.2028</v>
      </c>
      <c r="F16588" s="42">
        <v>46198</v>
      </c>
    </row>
    <row r="16589" spans="1:6" x14ac:dyDescent="0.3">
      <c r="A16589" s="15" t="s">
        <v>33574</v>
      </c>
      <c r="B16589" s="15" t="s">
        <v>30828</v>
      </c>
      <c r="C16589" s="15" t="s">
        <v>800</v>
      </c>
      <c r="D16589" s="15" t="s">
        <v>30829</v>
      </c>
      <c r="E16589" s="15">
        <v>13.202999999999999</v>
      </c>
      <c r="F16589" s="42">
        <v>46198</v>
      </c>
    </row>
    <row r="16590" spans="1:6" x14ac:dyDescent="0.3">
      <c r="A16590" s="15" t="s">
        <v>33573</v>
      </c>
      <c r="B16590" s="15" t="s">
        <v>30830</v>
      </c>
      <c r="C16590" s="15" t="s">
        <v>800</v>
      </c>
      <c r="D16590" s="15" t="s">
        <v>30831</v>
      </c>
      <c r="E16590" s="15">
        <v>13.1372</v>
      </c>
      <c r="F16590" s="42">
        <v>46198</v>
      </c>
    </row>
    <row r="16591" spans="1:6" x14ac:dyDescent="0.3">
      <c r="A16591" s="15" t="s">
        <v>33572</v>
      </c>
      <c r="B16591" s="15" t="s">
        <v>30832</v>
      </c>
      <c r="C16591" s="15" t="s">
        <v>800</v>
      </c>
      <c r="D16591" s="15" t="s">
        <v>30833</v>
      </c>
      <c r="E16591" s="15">
        <v>13.1371</v>
      </c>
      <c r="F16591" s="42">
        <v>46198</v>
      </c>
    </row>
    <row r="16592" spans="1:6" x14ac:dyDescent="0.3">
      <c r="A16592" s="15" t="s">
        <v>33571</v>
      </c>
      <c r="B16592" s="15" t="s">
        <v>30834</v>
      </c>
      <c r="C16592" s="15" t="s">
        <v>800</v>
      </c>
      <c r="D16592" s="15" t="s">
        <v>30835</v>
      </c>
      <c r="E16592" s="15">
        <v>12.9282</v>
      </c>
      <c r="F16592" s="42">
        <v>46121</v>
      </c>
    </row>
    <row r="16593" spans="1:6" x14ac:dyDescent="0.3">
      <c r="A16593" s="15" t="s">
        <v>33570</v>
      </c>
      <c r="B16593" s="15" t="s">
        <v>30836</v>
      </c>
      <c r="C16593" s="15" t="s">
        <v>800</v>
      </c>
      <c r="D16593" s="15" t="s">
        <v>30837</v>
      </c>
      <c r="E16593" s="15">
        <v>12.9282</v>
      </c>
      <c r="F16593" s="42">
        <v>46121</v>
      </c>
    </row>
    <row r="16594" spans="1:6" x14ac:dyDescent="0.3">
      <c r="A16594" s="15" t="s">
        <v>33569</v>
      </c>
      <c r="B16594" s="15" t="s">
        <v>30838</v>
      </c>
      <c r="C16594" s="15" t="s">
        <v>800</v>
      </c>
      <c r="D16594" s="15" t="s">
        <v>30839</v>
      </c>
      <c r="E16594" s="15">
        <v>12.873900000000001</v>
      </c>
      <c r="F16594" s="42">
        <v>46121</v>
      </c>
    </row>
    <row r="16595" spans="1:6" x14ac:dyDescent="0.3">
      <c r="A16595" s="15" t="s">
        <v>33568</v>
      </c>
      <c r="B16595" s="15" t="s">
        <v>30840</v>
      </c>
      <c r="C16595" s="15" t="s">
        <v>800</v>
      </c>
      <c r="D16595" s="15" t="s">
        <v>30841</v>
      </c>
      <c r="E16595" s="15">
        <v>12.873900000000001</v>
      </c>
      <c r="F16595" s="42">
        <v>46121</v>
      </c>
    </row>
    <row r="16596" spans="1:6" x14ac:dyDescent="0.3">
      <c r="A16596" s="15" t="s">
        <v>33567</v>
      </c>
      <c r="B16596" s="15" t="s">
        <v>30842</v>
      </c>
      <c r="C16596" s="15" t="s">
        <v>800</v>
      </c>
      <c r="D16596" s="15" t="s">
        <v>30843</v>
      </c>
      <c r="E16596" s="15">
        <v>13.084</v>
      </c>
      <c r="F16596" s="42">
        <v>46198</v>
      </c>
    </row>
    <row r="16597" spans="1:6" x14ac:dyDescent="0.3">
      <c r="A16597" s="15" t="s">
        <v>33566</v>
      </c>
      <c r="B16597" s="15" t="s">
        <v>30844</v>
      </c>
      <c r="C16597" s="15" t="s">
        <v>800</v>
      </c>
      <c r="D16597" s="15" t="s">
        <v>30845</v>
      </c>
      <c r="E16597" s="15">
        <v>13.084</v>
      </c>
      <c r="F16597" s="42">
        <v>46198</v>
      </c>
    </row>
    <row r="16598" spans="1:6" x14ac:dyDescent="0.3">
      <c r="A16598" s="15" t="s">
        <v>33565</v>
      </c>
      <c r="B16598" s="15" t="s">
        <v>30846</v>
      </c>
      <c r="C16598" s="15" t="s">
        <v>800</v>
      </c>
      <c r="D16598" s="15" t="s">
        <v>30847</v>
      </c>
      <c r="E16598" s="15">
        <v>13.027799999999999</v>
      </c>
      <c r="F16598" s="42">
        <v>46198</v>
      </c>
    </row>
    <row r="16599" spans="1:6" x14ac:dyDescent="0.3">
      <c r="A16599" s="15" t="s">
        <v>33564</v>
      </c>
      <c r="B16599" s="15" t="s">
        <v>30848</v>
      </c>
      <c r="C16599" s="15" t="s">
        <v>800</v>
      </c>
      <c r="D16599" s="15" t="s">
        <v>30849</v>
      </c>
      <c r="E16599" s="15">
        <v>13.0282</v>
      </c>
      <c r="F16599" s="42">
        <v>46198</v>
      </c>
    </row>
    <row r="16600" spans="1:6" x14ac:dyDescent="0.3">
      <c r="A16600" s="15" t="s">
        <v>33563</v>
      </c>
      <c r="B16600" s="15" t="s">
        <v>30850</v>
      </c>
      <c r="C16600" s="15" t="s">
        <v>800</v>
      </c>
      <c r="D16600" s="15" t="s">
        <v>30851</v>
      </c>
      <c r="E16600" s="15">
        <v>12.7681</v>
      </c>
      <c r="F16600" s="42">
        <v>46127</v>
      </c>
    </row>
    <row r="16601" spans="1:6" x14ac:dyDescent="0.3">
      <c r="A16601" s="15" t="s">
        <v>33562</v>
      </c>
      <c r="B16601" s="15" t="s">
        <v>30852</v>
      </c>
      <c r="C16601" s="15" t="s">
        <v>800</v>
      </c>
      <c r="D16601" s="15" t="s">
        <v>30853</v>
      </c>
      <c r="E16601" s="15">
        <v>12.7706</v>
      </c>
      <c r="F16601" s="42">
        <v>46127</v>
      </c>
    </row>
    <row r="16602" spans="1:6" x14ac:dyDescent="0.3">
      <c r="A16602" s="15" t="s">
        <v>33561</v>
      </c>
      <c r="B16602" s="15" t="s">
        <v>30854</v>
      </c>
      <c r="C16602" s="15" t="s">
        <v>800</v>
      </c>
      <c r="D16602" s="15" t="s">
        <v>30855</v>
      </c>
      <c r="E16602" s="15">
        <v>12.716100000000001</v>
      </c>
      <c r="F16602" s="42">
        <v>46127</v>
      </c>
    </row>
    <row r="16603" spans="1:6" x14ac:dyDescent="0.3">
      <c r="A16603" s="15" t="s">
        <v>33560</v>
      </c>
      <c r="B16603" s="15" t="s">
        <v>30856</v>
      </c>
      <c r="C16603" s="15" t="s">
        <v>800</v>
      </c>
      <c r="D16603" s="15" t="s">
        <v>30857</v>
      </c>
      <c r="E16603" s="15">
        <v>12.716100000000001</v>
      </c>
      <c r="F16603" s="42">
        <v>46127</v>
      </c>
    </row>
    <row r="16604" spans="1:6" x14ac:dyDescent="0.3">
      <c r="A16604" s="15" t="s">
        <v>33559</v>
      </c>
      <c r="B16604" s="15" t="s">
        <v>30858</v>
      </c>
      <c r="C16604" s="15" t="s">
        <v>800</v>
      </c>
      <c r="D16604" s="15" t="s">
        <v>30859</v>
      </c>
      <c r="E16604" s="15">
        <v>12.436</v>
      </c>
      <c r="F16604" s="42">
        <v>46128</v>
      </c>
    </row>
    <row r="16605" spans="1:6" x14ac:dyDescent="0.3">
      <c r="A16605" s="15" t="s">
        <v>33558</v>
      </c>
      <c r="B16605" s="15" t="s">
        <v>30860</v>
      </c>
      <c r="C16605" s="15" t="s">
        <v>800</v>
      </c>
      <c r="D16605" s="15" t="s">
        <v>30861</v>
      </c>
      <c r="E16605" s="15">
        <v>12.436299999999999</v>
      </c>
      <c r="F16605" s="42">
        <v>46128</v>
      </c>
    </row>
    <row r="16606" spans="1:6" x14ac:dyDescent="0.3">
      <c r="A16606" s="15" t="s">
        <v>33557</v>
      </c>
      <c r="B16606" s="15" t="s">
        <v>30862</v>
      </c>
      <c r="C16606" s="15" t="s">
        <v>800</v>
      </c>
      <c r="D16606" s="15" t="s">
        <v>30863</v>
      </c>
      <c r="E16606" s="15">
        <v>12.390499999999999</v>
      </c>
      <c r="F16606" s="42">
        <v>46128</v>
      </c>
    </row>
    <row r="16607" spans="1:6" x14ac:dyDescent="0.3">
      <c r="A16607" s="15" t="s">
        <v>33556</v>
      </c>
      <c r="B16607" s="15" t="s">
        <v>30864</v>
      </c>
      <c r="C16607" s="15" t="s">
        <v>800</v>
      </c>
      <c r="D16607" s="15" t="s">
        <v>30865</v>
      </c>
      <c r="E16607" s="15">
        <v>12.390599999999999</v>
      </c>
      <c r="F16607" s="42">
        <v>46128</v>
      </c>
    </row>
    <row r="16608" spans="1:6" x14ac:dyDescent="0.3">
      <c r="A16608" s="15" t="s">
        <v>33555</v>
      </c>
      <c r="B16608" s="15" t="s">
        <v>30866</v>
      </c>
      <c r="C16608" s="15" t="s">
        <v>800</v>
      </c>
      <c r="D16608" s="15" t="s">
        <v>30867</v>
      </c>
      <c r="E16608" s="15">
        <v>13.583299999999999</v>
      </c>
      <c r="F16608" s="42">
        <v>46141</v>
      </c>
    </row>
    <row r="16609" spans="1:6" x14ac:dyDescent="0.3">
      <c r="A16609" s="15" t="s">
        <v>33554</v>
      </c>
      <c r="B16609" s="15" t="s">
        <v>30868</v>
      </c>
      <c r="C16609" s="15" t="s">
        <v>800</v>
      </c>
      <c r="D16609" s="15" t="s">
        <v>30869</v>
      </c>
      <c r="E16609" s="15">
        <v>13.474399999999999</v>
      </c>
      <c r="F16609" s="42">
        <v>46141</v>
      </c>
    </row>
    <row r="16610" spans="1:6" x14ac:dyDescent="0.3">
      <c r="A16610" s="15" t="s">
        <v>33553</v>
      </c>
      <c r="B16610" s="15" t="s">
        <v>30870</v>
      </c>
      <c r="C16610" s="15" t="s">
        <v>800</v>
      </c>
      <c r="D16610" s="15" t="s">
        <v>30871</v>
      </c>
      <c r="E16610" s="15">
        <v>13.583</v>
      </c>
      <c r="F16610" s="42">
        <v>46141</v>
      </c>
    </row>
    <row r="16611" spans="1:6" x14ac:dyDescent="0.3">
      <c r="A16611" s="15" t="s">
        <v>33552</v>
      </c>
      <c r="B16611" s="15" t="s">
        <v>30872</v>
      </c>
      <c r="C16611" s="15" t="s">
        <v>800</v>
      </c>
      <c r="D16611" s="15" t="s">
        <v>30873</v>
      </c>
      <c r="E16611" s="15">
        <v>13.474399999999999</v>
      </c>
      <c r="F16611" s="42">
        <v>46141</v>
      </c>
    </row>
    <row r="16612" spans="1:6" x14ac:dyDescent="0.3">
      <c r="A16612" s="15" t="s">
        <v>33551</v>
      </c>
      <c r="B16612" s="15" t="s">
        <v>30874</v>
      </c>
      <c r="C16612" s="15" t="s">
        <v>800</v>
      </c>
      <c r="D16612" s="15" t="s">
        <v>30875</v>
      </c>
      <c r="E16612" s="15">
        <v>13.5373</v>
      </c>
      <c r="F16612" s="42">
        <v>46198</v>
      </c>
    </row>
    <row r="16613" spans="1:6" x14ac:dyDescent="0.3">
      <c r="A16613" s="15" t="s">
        <v>33550</v>
      </c>
      <c r="B16613" s="15" t="s">
        <v>30876</v>
      </c>
      <c r="C16613" s="15" t="s">
        <v>800</v>
      </c>
      <c r="D16613" s="15" t="s">
        <v>30877</v>
      </c>
      <c r="E16613" s="15">
        <v>13.5373</v>
      </c>
      <c r="F16613" s="42">
        <v>46198</v>
      </c>
    </row>
    <row r="16614" spans="1:6" x14ac:dyDescent="0.3">
      <c r="A16614" s="15" t="s">
        <v>33549</v>
      </c>
      <c r="B16614" s="15" t="s">
        <v>30878</v>
      </c>
      <c r="C16614" s="15" t="s">
        <v>800</v>
      </c>
      <c r="D16614" s="15" t="s">
        <v>30879</v>
      </c>
      <c r="E16614" s="15">
        <v>13.4474</v>
      </c>
      <c r="F16614" s="42">
        <v>46198</v>
      </c>
    </row>
    <row r="16615" spans="1:6" x14ac:dyDescent="0.3">
      <c r="A16615" s="15" t="s">
        <v>33548</v>
      </c>
      <c r="B16615" s="15" t="s">
        <v>30880</v>
      </c>
      <c r="C16615" s="15" t="s">
        <v>800</v>
      </c>
      <c r="D16615" s="15" t="s">
        <v>30881</v>
      </c>
      <c r="E16615" s="15">
        <v>13.4474</v>
      </c>
      <c r="F16615" s="42">
        <v>46198</v>
      </c>
    </row>
    <row r="16616" spans="1:6" x14ac:dyDescent="0.3">
      <c r="A16616" s="15" t="s">
        <v>33547</v>
      </c>
      <c r="B16616" s="15" t="s">
        <v>30882</v>
      </c>
      <c r="C16616" s="15" t="s">
        <v>800</v>
      </c>
      <c r="D16616" s="15" t="s">
        <v>30883</v>
      </c>
      <c r="E16616" s="15">
        <v>13.5198</v>
      </c>
      <c r="F16616" s="42">
        <v>46198</v>
      </c>
    </row>
    <row r="16617" spans="1:6" x14ac:dyDescent="0.3">
      <c r="A16617" s="15" t="s">
        <v>33546</v>
      </c>
      <c r="B16617" s="15" t="s">
        <v>30884</v>
      </c>
      <c r="C16617" s="15" t="s">
        <v>800</v>
      </c>
      <c r="D16617" s="15" t="s">
        <v>30885</v>
      </c>
      <c r="E16617" s="15">
        <v>13.5198</v>
      </c>
      <c r="F16617" s="42">
        <v>46198</v>
      </c>
    </row>
    <row r="16618" spans="1:6" x14ac:dyDescent="0.3">
      <c r="A16618" s="15" t="s">
        <v>33545</v>
      </c>
      <c r="B16618" s="15" t="s">
        <v>30886</v>
      </c>
      <c r="C16618" s="15" t="s">
        <v>800</v>
      </c>
      <c r="D16618" s="15" t="s">
        <v>30887</v>
      </c>
      <c r="E16618" s="15">
        <v>13.4336</v>
      </c>
      <c r="F16618" s="42">
        <v>46198</v>
      </c>
    </row>
    <row r="16619" spans="1:6" x14ac:dyDescent="0.3">
      <c r="A16619" s="15" t="s">
        <v>33544</v>
      </c>
      <c r="B16619" s="15" t="s">
        <v>30888</v>
      </c>
      <c r="C16619" s="15" t="s">
        <v>800</v>
      </c>
      <c r="D16619" s="15" t="s">
        <v>30889</v>
      </c>
      <c r="E16619" s="15">
        <v>13.4336</v>
      </c>
      <c r="F16619" s="42">
        <v>46198</v>
      </c>
    </row>
    <row r="16620" spans="1:6" x14ac:dyDescent="0.3">
      <c r="A16620" s="15" t="s">
        <v>33543</v>
      </c>
      <c r="B16620" s="15" t="s">
        <v>30890</v>
      </c>
      <c r="C16620" s="15" t="s">
        <v>800</v>
      </c>
      <c r="D16620" s="15" t="s">
        <v>30891</v>
      </c>
      <c r="E16620" s="15">
        <v>12.6349</v>
      </c>
      <c r="F16620" s="42">
        <v>46125</v>
      </c>
    </row>
    <row r="16621" spans="1:6" x14ac:dyDescent="0.3">
      <c r="A16621" s="15" t="s">
        <v>33542</v>
      </c>
      <c r="B16621" s="15" t="s">
        <v>30892</v>
      </c>
      <c r="C16621" s="15" t="s">
        <v>800</v>
      </c>
      <c r="D16621" s="15" t="s">
        <v>30893</v>
      </c>
      <c r="E16621" s="15">
        <v>12.6349</v>
      </c>
      <c r="F16621" s="42">
        <v>46125</v>
      </c>
    </row>
    <row r="16622" spans="1:6" x14ac:dyDescent="0.3">
      <c r="A16622" s="15" t="s">
        <v>33541</v>
      </c>
      <c r="B16622" s="15" t="s">
        <v>30894</v>
      </c>
      <c r="C16622" s="15" t="s">
        <v>800</v>
      </c>
      <c r="D16622" s="15" t="s">
        <v>30895</v>
      </c>
      <c r="E16622" s="15">
        <v>12.5846</v>
      </c>
      <c r="F16622" s="42">
        <v>46125</v>
      </c>
    </row>
    <row r="16623" spans="1:6" x14ac:dyDescent="0.3">
      <c r="A16623" s="15" t="s">
        <v>33540</v>
      </c>
      <c r="B16623" s="15" t="s">
        <v>30896</v>
      </c>
      <c r="C16623" s="15" t="s">
        <v>800</v>
      </c>
      <c r="D16623" s="15" t="s">
        <v>30897</v>
      </c>
      <c r="E16623" s="15">
        <v>12.5845</v>
      </c>
      <c r="F16623" s="42">
        <v>46125</v>
      </c>
    </row>
    <row r="16624" spans="1:6" x14ac:dyDescent="0.3">
      <c r="A16624" s="15" t="s">
        <v>33539</v>
      </c>
      <c r="B16624" s="15" t="s">
        <v>30898</v>
      </c>
      <c r="C16624" s="15" t="s">
        <v>800</v>
      </c>
      <c r="D16624" s="15" t="s">
        <v>30899</v>
      </c>
      <c r="E16624" s="15">
        <v>12.603899999999999</v>
      </c>
      <c r="F16624" s="42">
        <v>46128</v>
      </c>
    </row>
    <row r="16625" spans="1:6" x14ac:dyDescent="0.3">
      <c r="A16625" s="15" t="s">
        <v>33538</v>
      </c>
      <c r="B16625" s="15" t="s">
        <v>30900</v>
      </c>
      <c r="C16625" s="15" t="s">
        <v>800</v>
      </c>
      <c r="D16625" s="15" t="s">
        <v>30901</v>
      </c>
      <c r="E16625" s="15">
        <v>12.6038</v>
      </c>
      <c r="F16625" s="42">
        <v>46128</v>
      </c>
    </row>
    <row r="16626" spans="1:6" x14ac:dyDescent="0.3">
      <c r="A16626" s="15" t="s">
        <v>33537</v>
      </c>
      <c r="B16626" s="15" t="s">
        <v>30902</v>
      </c>
      <c r="C16626" s="15" t="s">
        <v>800</v>
      </c>
      <c r="D16626" s="15" t="s">
        <v>30903</v>
      </c>
      <c r="E16626" s="15">
        <v>12.555199999999999</v>
      </c>
      <c r="F16626" s="42">
        <v>46128</v>
      </c>
    </row>
    <row r="16627" spans="1:6" x14ac:dyDescent="0.3">
      <c r="A16627" s="15" t="s">
        <v>33536</v>
      </c>
      <c r="B16627" s="15" t="s">
        <v>30904</v>
      </c>
      <c r="C16627" s="15" t="s">
        <v>800</v>
      </c>
      <c r="D16627" s="15" t="s">
        <v>30905</v>
      </c>
      <c r="E16627" s="15">
        <v>12.555199999999999</v>
      </c>
      <c r="F16627" s="42">
        <v>46128</v>
      </c>
    </row>
    <row r="16628" spans="1:6" x14ac:dyDescent="0.3">
      <c r="A16628" s="15" t="s">
        <v>33535</v>
      </c>
      <c r="B16628" s="15" t="s">
        <v>30906</v>
      </c>
      <c r="C16628" s="15" t="s">
        <v>800</v>
      </c>
      <c r="D16628" s="15" t="s">
        <v>30907</v>
      </c>
      <c r="E16628" s="15">
        <v>12.6653</v>
      </c>
      <c r="F16628" s="42">
        <v>46171</v>
      </c>
    </row>
    <row r="16629" spans="1:6" x14ac:dyDescent="0.3">
      <c r="A16629" s="15" t="s">
        <v>33534</v>
      </c>
      <c r="B16629" s="15" t="s">
        <v>30908</v>
      </c>
      <c r="C16629" s="15" t="s">
        <v>800</v>
      </c>
      <c r="D16629" s="15" t="s">
        <v>30909</v>
      </c>
      <c r="E16629" s="15">
        <v>12.6653</v>
      </c>
      <c r="F16629" s="42">
        <v>46171</v>
      </c>
    </row>
    <row r="16630" spans="1:6" x14ac:dyDescent="0.3">
      <c r="A16630" s="15" t="s">
        <v>33533</v>
      </c>
      <c r="B16630" s="15" t="s">
        <v>30910</v>
      </c>
      <c r="C16630" s="15" t="s">
        <v>800</v>
      </c>
      <c r="D16630" s="15" t="s">
        <v>30911</v>
      </c>
      <c r="E16630" s="15">
        <v>12.615600000000001</v>
      </c>
      <c r="F16630" s="42">
        <v>46171</v>
      </c>
    </row>
    <row r="16631" spans="1:6" x14ac:dyDescent="0.3">
      <c r="A16631" s="15" t="s">
        <v>33532</v>
      </c>
      <c r="B16631" s="15" t="s">
        <v>30912</v>
      </c>
      <c r="C16631" s="15" t="s">
        <v>800</v>
      </c>
      <c r="D16631" s="15" t="s">
        <v>30913</v>
      </c>
      <c r="E16631" s="15">
        <v>12.615600000000001</v>
      </c>
      <c r="F16631" s="42">
        <v>46171</v>
      </c>
    </row>
    <row r="16632" spans="1:6" x14ac:dyDescent="0.3">
      <c r="A16632" s="15" t="s">
        <v>33531</v>
      </c>
      <c r="B16632" s="15" t="s">
        <v>30914</v>
      </c>
      <c r="C16632" s="15" t="s">
        <v>800</v>
      </c>
      <c r="D16632" s="15" t="s">
        <v>30915</v>
      </c>
      <c r="E16632" s="15">
        <v>12.5688</v>
      </c>
      <c r="F16632" s="42">
        <v>46171</v>
      </c>
    </row>
    <row r="16633" spans="1:6" x14ac:dyDescent="0.3">
      <c r="A16633" s="15" t="s">
        <v>33530</v>
      </c>
      <c r="B16633" s="15" t="s">
        <v>30916</v>
      </c>
      <c r="C16633" s="15" t="s">
        <v>800</v>
      </c>
      <c r="D16633" s="15" t="s">
        <v>30917</v>
      </c>
      <c r="E16633" s="15">
        <v>12.568899999999999</v>
      </c>
      <c r="F16633" s="42">
        <v>46171</v>
      </c>
    </row>
    <row r="16634" spans="1:6" x14ac:dyDescent="0.3">
      <c r="A16634" s="15" t="s">
        <v>33529</v>
      </c>
      <c r="B16634" s="15" t="s">
        <v>30918</v>
      </c>
      <c r="C16634" s="15" t="s">
        <v>800</v>
      </c>
      <c r="D16634" s="15" t="s">
        <v>30919</v>
      </c>
      <c r="E16634" s="15">
        <v>12.5206</v>
      </c>
      <c r="F16634" s="42">
        <v>46171</v>
      </c>
    </row>
    <row r="16635" spans="1:6" x14ac:dyDescent="0.3">
      <c r="A16635" s="15" t="s">
        <v>33528</v>
      </c>
      <c r="B16635" s="15" t="s">
        <v>30920</v>
      </c>
      <c r="C16635" s="15" t="s">
        <v>800</v>
      </c>
      <c r="D16635" s="15" t="s">
        <v>30921</v>
      </c>
      <c r="E16635" s="15">
        <v>12.5206</v>
      </c>
      <c r="F16635" s="42">
        <v>46171</v>
      </c>
    </row>
    <row r="16636" spans="1:6" x14ac:dyDescent="0.3">
      <c r="A16636" s="15" t="s">
        <v>33527</v>
      </c>
      <c r="B16636" s="15" t="s">
        <v>30922</v>
      </c>
      <c r="C16636" s="15" t="s">
        <v>800</v>
      </c>
      <c r="D16636" s="15" t="s">
        <v>30923</v>
      </c>
      <c r="E16636" s="15">
        <v>12.5151</v>
      </c>
      <c r="F16636" s="42">
        <v>46147</v>
      </c>
    </row>
    <row r="16637" spans="1:6" x14ac:dyDescent="0.3">
      <c r="A16637" s="15" t="s">
        <v>33526</v>
      </c>
      <c r="B16637" s="15" t="s">
        <v>30924</v>
      </c>
      <c r="C16637" s="15" t="s">
        <v>800</v>
      </c>
      <c r="D16637" s="15" t="s">
        <v>30925</v>
      </c>
      <c r="E16637" s="15">
        <v>12.5154</v>
      </c>
      <c r="F16637" s="42">
        <v>46147</v>
      </c>
    </row>
    <row r="16638" spans="1:6" x14ac:dyDescent="0.3">
      <c r="A16638" s="15" t="s">
        <v>33525</v>
      </c>
      <c r="B16638" s="15" t="s">
        <v>30926</v>
      </c>
      <c r="C16638" s="15" t="s">
        <v>800</v>
      </c>
      <c r="D16638" s="15" t="s">
        <v>30927</v>
      </c>
      <c r="E16638" s="15">
        <v>12.4673</v>
      </c>
      <c r="F16638" s="42">
        <v>46147</v>
      </c>
    </row>
    <row r="16639" spans="1:6" x14ac:dyDescent="0.3">
      <c r="A16639" s="15" t="s">
        <v>33524</v>
      </c>
      <c r="B16639" s="15" t="s">
        <v>30928</v>
      </c>
      <c r="C16639" s="15" t="s">
        <v>800</v>
      </c>
      <c r="D16639" s="15" t="s">
        <v>30929</v>
      </c>
      <c r="E16639" s="15">
        <v>12.4666</v>
      </c>
      <c r="F16639" s="42">
        <v>46147</v>
      </c>
    </row>
    <row r="16640" spans="1:6" x14ac:dyDescent="0.3">
      <c r="A16640" s="15" t="s">
        <v>33523</v>
      </c>
      <c r="B16640" s="15" t="s">
        <v>30930</v>
      </c>
      <c r="C16640" s="15" t="s">
        <v>800</v>
      </c>
      <c r="D16640" s="15" t="s">
        <v>30931</v>
      </c>
      <c r="E16640" s="15">
        <v>12.4777</v>
      </c>
      <c r="F16640" s="42">
        <v>46174</v>
      </c>
    </row>
    <row r="16641" spans="1:6" x14ac:dyDescent="0.3">
      <c r="A16641" s="15" t="s">
        <v>33522</v>
      </c>
      <c r="B16641" s="15" t="s">
        <v>30932</v>
      </c>
      <c r="C16641" s="15" t="s">
        <v>800</v>
      </c>
      <c r="D16641" s="15" t="s">
        <v>30933</v>
      </c>
      <c r="E16641" s="15">
        <v>12.4778</v>
      </c>
      <c r="F16641" s="42">
        <v>46174</v>
      </c>
    </row>
    <row r="16642" spans="1:6" x14ac:dyDescent="0.3">
      <c r="A16642" s="15" t="s">
        <v>33521</v>
      </c>
      <c r="B16642" s="15" t="s">
        <v>30934</v>
      </c>
      <c r="C16642" s="15" t="s">
        <v>800</v>
      </c>
      <c r="D16642" s="15" t="s">
        <v>30935</v>
      </c>
      <c r="E16642" s="15">
        <v>12.431699999999999</v>
      </c>
      <c r="F16642" s="42">
        <v>46174</v>
      </c>
    </row>
    <row r="16643" spans="1:6" x14ac:dyDescent="0.3">
      <c r="A16643" s="15" t="s">
        <v>33520</v>
      </c>
      <c r="B16643" s="15" t="s">
        <v>30936</v>
      </c>
      <c r="C16643" s="15" t="s">
        <v>800</v>
      </c>
      <c r="D16643" s="15" t="s">
        <v>30937</v>
      </c>
      <c r="E16643" s="15">
        <v>12.431699999999999</v>
      </c>
      <c r="F16643" s="42">
        <v>46174</v>
      </c>
    </row>
    <row r="16644" spans="1:6" x14ac:dyDescent="0.3">
      <c r="A16644" s="15" t="s">
        <v>33499</v>
      </c>
      <c r="B16644" s="15" t="s">
        <v>795</v>
      </c>
      <c r="C16644" s="15" t="s">
        <v>795</v>
      </c>
      <c r="D16644" s="15" t="s">
        <v>795</v>
      </c>
      <c r="F16644" s="42"/>
    </row>
    <row r="16645" spans="1:6" x14ac:dyDescent="0.3">
      <c r="A16645" s="15" t="s">
        <v>33519</v>
      </c>
      <c r="B16645" s="15" t="s">
        <v>795</v>
      </c>
      <c r="C16645" s="15" t="s">
        <v>795</v>
      </c>
      <c r="D16645" s="15" t="s">
        <v>795</v>
      </c>
      <c r="F16645" s="42"/>
    </row>
    <row r="16646" spans="1:6" x14ac:dyDescent="0.3">
      <c r="A16646" s="15" t="s">
        <v>33499</v>
      </c>
      <c r="B16646" s="15" t="s">
        <v>795</v>
      </c>
      <c r="C16646" s="15" t="s">
        <v>795</v>
      </c>
      <c r="D16646" s="15" t="s">
        <v>795</v>
      </c>
      <c r="F16646" s="42"/>
    </row>
    <row r="16647" spans="1:6" x14ac:dyDescent="0.3">
      <c r="A16647" s="15" t="s">
        <v>33518</v>
      </c>
      <c r="B16647" s="15" t="s">
        <v>30938</v>
      </c>
      <c r="C16647" s="15" t="s">
        <v>800</v>
      </c>
      <c r="D16647" s="15" t="s">
        <v>30939</v>
      </c>
      <c r="E16647" s="15">
        <v>10.191800000000001</v>
      </c>
      <c r="F16647" s="42">
        <v>45454</v>
      </c>
    </row>
    <row r="16648" spans="1:6" x14ac:dyDescent="0.3">
      <c r="A16648" s="15" t="s">
        <v>33517</v>
      </c>
      <c r="B16648" s="15" t="s">
        <v>30940</v>
      </c>
      <c r="C16648" s="15" t="s">
        <v>800</v>
      </c>
      <c r="D16648" s="15" t="s">
        <v>30941</v>
      </c>
      <c r="E16648" s="15">
        <v>10.191800000000001</v>
      </c>
      <c r="F16648" s="42">
        <v>45454</v>
      </c>
    </row>
    <row r="16649" spans="1:6" x14ac:dyDescent="0.3">
      <c r="A16649" s="15" t="s">
        <v>33516</v>
      </c>
      <c r="B16649" s="15" t="s">
        <v>800</v>
      </c>
      <c r="C16649" s="15" t="s">
        <v>30942</v>
      </c>
      <c r="D16649" s="15" t="s">
        <v>30943</v>
      </c>
      <c r="E16649" s="15">
        <v>10.191800000000001</v>
      </c>
      <c r="F16649" s="42">
        <v>45454</v>
      </c>
    </row>
    <row r="16650" spans="1:6" x14ac:dyDescent="0.3">
      <c r="A16650" s="15" t="s">
        <v>33515</v>
      </c>
      <c r="B16650" s="15" t="s">
        <v>30944</v>
      </c>
      <c r="C16650" s="15" t="s">
        <v>800</v>
      </c>
      <c r="D16650" s="15" t="s">
        <v>30945</v>
      </c>
      <c r="E16650" s="15">
        <v>10.187200000000001</v>
      </c>
      <c r="F16650" s="42">
        <v>45454</v>
      </c>
    </row>
    <row r="16651" spans="1:6" x14ac:dyDescent="0.3">
      <c r="A16651" s="15" t="s">
        <v>33514</v>
      </c>
      <c r="B16651" s="15" t="s">
        <v>30946</v>
      </c>
      <c r="C16651" s="15" t="s">
        <v>800</v>
      </c>
      <c r="D16651" s="15" t="s">
        <v>30947</v>
      </c>
      <c r="E16651" s="15">
        <v>10.187200000000001</v>
      </c>
      <c r="F16651" s="42">
        <v>45454</v>
      </c>
    </row>
    <row r="16652" spans="1:6" x14ac:dyDescent="0.3">
      <c r="A16652" s="15" t="s">
        <v>33513</v>
      </c>
      <c r="B16652" s="15" t="s">
        <v>800</v>
      </c>
      <c r="C16652" s="15" t="s">
        <v>30948</v>
      </c>
      <c r="D16652" s="15" t="s">
        <v>30949</v>
      </c>
      <c r="E16652" s="15">
        <v>10.187200000000001</v>
      </c>
      <c r="F16652" s="42">
        <v>45454</v>
      </c>
    </row>
    <row r="16653" spans="1:6" x14ac:dyDescent="0.3">
      <c r="A16653" s="15" t="s">
        <v>33512</v>
      </c>
      <c r="B16653" s="15" t="s">
        <v>30950</v>
      </c>
      <c r="C16653" s="15" t="s">
        <v>800</v>
      </c>
      <c r="D16653" s="15" t="s">
        <v>30951</v>
      </c>
      <c r="E16653" s="15">
        <v>10.1778</v>
      </c>
      <c r="F16653" s="42">
        <v>45721</v>
      </c>
    </row>
    <row r="16654" spans="1:6" x14ac:dyDescent="0.3">
      <c r="A16654" s="15" t="s">
        <v>33511</v>
      </c>
      <c r="B16654" s="15" t="s">
        <v>30952</v>
      </c>
      <c r="C16654" s="15" t="s">
        <v>800</v>
      </c>
      <c r="D16654" s="15" t="s">
        <v>30953</v>
      </c>
      <c r="E16654" s="15">
        <v>10.1778</v>
      </c>
      <c r="F16654" s="42">
        <v>45721</v>
      </c>
    </row>
    <row r="16655" spans="1:6" x14ac:dyDescent="0.3">
      <c r="A16655" s="15" t="s">
        <v>33510</v>
      </c>
      <c r="B16655" s="15" t="s">
        <v>30954</v>
      </c>
      <c r="C16655" s="15" t="s">
        <v>800</v>
      </c>
      <c r="D16655" s="15" t="s">
        <v>30955</v>
      </c>
      <c r="E16655" s="15">
        <v>10.1753</v>
      </c>
      <c r="F16655" s="42">
        <v>45721</v>
      </c>
    </row>
    <row r="16656" spans="1:6" x14ac:dyDescent="0.3">
      <c r="A16656" s="15" t="s">
        <v>33509</v>
      </c>
      <c r="B16656" s="15" t="s">
        <v>30956</v>
      </c>
      <c r="C16656" s="15" t="s">
        <v>800</v>
      </c>
      <c r="D16656" s="15" t="s">
        <v>30957</v>
      </c>
      <c r="E16656" s="15">
        <v>10.1753</v>
      </c>
      <c r="F16656" s="42">
        <v>45721</v>
      </c>
    </row>
    <row r="16657" spans="1:6" x14ac:dyDescent="0.3">
      <c r="A16657" s="15" t="s">
        <v>33499</v>
      </c>
      <c r="B16657" s="15" t="s">
        <v>795</v>
      </c>
      <c r="C16657" s="15" t="s">
        <v>795</v>
      </c>
      <c r="D16657" s="15" t="s">
        <v>795</v>
      </c>
      <c r="F16657" s="42"/>
    </row>
    <row r="16658" spans="1:6" x14ac:dyDescent="0.3">
      <c r="A16658" s="15" t="s">
        <v>33508</v>
      </c>
      <c r="B16658" s="15" t="s">
        <v>795</v>
      </c>
      <c r="C16658" s="15" t="s">
        <v>795</v>
      </c>
      <c r="D16658" s="15" t="s">
        <v>795</v>
      </c>
      <c r="F16658" s="42"/>
    </row>
    <row r="16659" spans="1:6" x14ac:dyDescent="0.3">
      <c r="A16659" s="15" t="s">
        <v>33499</v>
      </c>
      <c r="B16659" s="15" t="s">
        <v>795</v>
      </c>
      <c r="C16659" s="15" t="s">
        <v>795</v>
      </c>
      <c r="D16659" s="15" t="s">
        <v>795</v>
      </c>
      <c r="F16659" s="42"/>
    </row>
    <row r="16660" spans="1:6" x14ac:dyDescent="0.3">
      <c r="A16660" s="15" t="s">
        <v>33507</v>
      </c>
      <c r="B16660" s="15" t="s">
        <v>30958</v>
      </c>
      <c r="C16660" s="15" t="s">
        <v>800</v>
      </c>
      <c r="D16660" s="15" t="s">
        <v>30959</v>
      </c>
      <c r="E16660" s="15">
        <v>1296.2275999999999</v>
      </c>
      <c r="F16660" s="42">
        <v>46198</v>
      </c>
    </row>
    <row r="16661" spans="1:6" x14ac:dyDescent="0.3">
      <c r="A16661" s="15" t="s">
        <v>33506</v>
      </c>
      <c r="B16661" s="15" t="s">
        <v>30960</v>
      </c>
      <c r="C16661" s="15" t="s">
        <v>800</v>
      </c>
      <c r="D16661" s="15" t="s">
        <v>30961</v>
      </c>
      <c r="E16661" s="15">
        <v>1291.8395</v>
      </c>
      <c r="F16661" s="42">
        <v>46198</v>
      </c>
    </row>
    <row r="16662" spans="1:6" x14ac:dyDescent="0.3">
      <c r="A16662" s="15" t="s">
        <v>33505</v>
      </c>
      <c r="B16662" s="15" t="s">
        <v>30962</v>
      </c>
      <c r="C16662" s="15" t="s">
        <v>800</v>
      </c>
      <c r="D16662" s="15" t="s">
        <v>30963</v>
      </c>
      <c r="E16662" s="15">
        <v>1291.8390999999999</v>
      </c>
      <c r="F16662" s="42">
        <v>46198</v>
      </c>
    </row>
    <row r="16663" spans="1:6" x14ac:dyDescent="0.3">
      <c r="A16663" s="15" t="s">
        <v>33499</v>
      </c>
      <c r="B16663" s="15" t="s">
        <v>795</v>
      </c>
      <c r="C16663" s="15" t="s">
        <v>795</v>
      </c>
      <c r="D16663" s="15" t="s">
        <v>795</v>
      </c>
      <c r="F16663" s="42"/>
    </row>
    <row r="16664" spans="1:6" x14ac:dyDescent="0.3">
      <c r="A16664" s="15" t="s">
        <v>33504</v>
      </c>
      <c r="B16664" s="15" t="s">
        <v>795</v>
      </c>
      <c r="C16664" s="15" t="s">
        <v>795</v>
      </c>
      <c r="D16664" s="15" t="s">
        <v>795</v>
      </c>
      <c r="F16664" s="42"/>
    </row>
    <row r="16665" spans="1:6" x14ac:dyDescent="0.3">
      <c r="A16665" s="15" t="s">
        <v>33499</v>
      </c>
      <c r="B16665" s="15" t="s">
        <v>795</v>
      </c>
      <c r="C16665" s="15" t="s">
        <v>795</v>
      </c>
      <c r="D16665" s="15" t="s">
        <v>795</v>
      </c>
      <c r="F16665" s="42"/>
    </row>
    <row r="16666" spans="1:6" x14ac:dyDescent="0.3">
      <c r="A16666" s="15" t="s">
        <v>33503</v>
      </c>
      <c r="B16666" s="15" t="s">
        <v>30964</v>
      </c>
      <c r="C16666" s="15" t="s">
        <v>800</v>
      </c>
      <c r="D16666" s="15" t="s">
        <v>30965</v>
      </c>
      <c r="E16666" s="15">
        <v>12.3133</v>
      </c>
      <c r="F16666" s="42">
        <v>46127</v>
      </c>
    </row>
    <row r="16667" spans="1:6" x14ac:dyDescent="0.3">
      <c r="A16667" s="15" t="s">
        <v>33502</v>
      </c>
      <c r="B16667" s="15" t="s">
        <v>30966</v>
      </c>
      <c r="C16667" s="15" t="s">
        <v>800</v>
      </c>
      <c r="D16667" s="15" t="s">
        <v>30967</v>
      </c>
      <c r="E16667" s="15">
        <v>12.201499999999999</v>
      </c>
      <c r="F16667" s="42">
        <v>46127</v>
      </c>
    </row>
    <row r="16668" spans="1:6" x14ac:dyDescent="0.3">
      <c r="A16668" s="15" t="s">
        <v>33501</v>
      </c>
      <c r="B16668" s="15" t="s">
        <v>30968</v>
      </c>
      <c r="C16668" s="15" t="s">
        <v>800</v>
      </c>
      <c r="D16668" s="15" t="s">
        <v>30969</v>
      </c>
      <c r="E16668" s="15">
        <v>10</v>
      </c>
      <c r="F16668" s="42">
        <v>46127</v>
      </c>
    </row>
    <row r="16669" spans="1:6" x14ac:dyDescent="0.3">
      <c r="A16669" s="15" t="s">
        <v>33499</v>
      </c>
      <c r="B16669" s="15" t="s">
        <v>795</v>
      </c>
      <c r="C16669" s="15" t="s">
        <v>795</v>
      </c>
      <c r="D16669" s="15" t="s">
        <v>795</v>
      </c>
      <c r="F16669" s="42"/>
    </row>
    <row r="16670" spans="1:6" x14ac:dyDescent="0.3">
      <c r="A16670" s="15" t="s">
        <v>33500</v>
      </c>
      <c r="B16670" s="15" t="s">
        <v>795</v>
      </c>
      <c r="C16670" s="15" t="s">
        <v>795</v>
      </c>
      <c r="D16670" s="15" t="s">
        <v>795</v>
      </c>
      <c r="F16670" s="42"/>
    </row>
    <row r="16671" spans="1:6" x14ac:dyDescent="0.3">
      <c r="A16671" s="15" t="s">
        <v>33499</v>
      </c>
      <c r="B16671" s="15" t="s">
        <v>795</v>
      </c>
      <c r="C16671" s="15" t="s">
        <v>795</v>
      </c>
      <c r="D16671" s="15" t="s">
        <v>795</v>
      </c>
      <c r="F16671" s="42"/>
    </row>
    <row r="16672" spans="1:6" x14ac:dyDescent="0.3">
      <c r="A16672" s="15" t="s">
        <v>33498</v>
      </c>
      <c r="B16672" s="15" t="s">
        <v>30970</v>
      </c>
      <c r="C16672" s="15" t="s">
        <v>800</v>
      </c>
      <c r="D16672" s="15" t="s">
        <v>30971</v>
      </c>
      <c r="E16672" s="15">
        <v>10</v>
      </c>
      <c r="F16672" s="42">
        <v>44320</v>
      </c>
    </row>
    <row r="16673" spans="1:6" x14ac:dyDescent="0.3">
      <c r="A16673" s="15" t="s">
        <v>33497</v>
      </c>
      <c r="B16673" s="15" t="s">
        <v>30972</v>
      </c>
      <c r="C16673" s="15" t="s">
        <v>800</v>
      </c>
      <c r="D16673" s="15" t="s">
        <v>30973</v>
      </c>
      <c r="E16673" s="15">
        <v>10.0001</v>
      </c>
      <c r="F16673" s="42">
        <v>44320</v>
      </c>
    </row>
    <row r="16674" spans="1:6" x14ac:dyDescent="0.3">
      <c r="A16674" s="15" t="s">
        <v>33496</v>
      </c>
      <c r="B16674" s="15" t="s">
        <v>30974</v>
      </c>
      <c r="C16674" s="15" t="s">
        <v>800</v>
      </c>
      <c r="D16674" s="15" t="s">
        <v>30975</v>
      </c>
      <c r="E16674" s="15">
        <v>12.8584</v>
      </c>
      <c r="F16674" s="42">
        <v>44320</v>
      </c>
    </row>
    <row r="16675" spans="1:6" x14ac:dyDescent="0.3">
      <c r="A16675" s="15" t="s">
        <v>33495</v>
      </c>
      <c r="B16675" s="15" t="s">
        <v>30976</v>
      </c>
      <c r="C16675" s="15" t="s">
        <v>800</v>
      </c>
      <c r="D16675" s="15" t="s">
        <v>30977</v>
      </c>
      <c r="E16675" s="15">
        <v>12.303599999999999</v>
      </c>
      <c r="F16675" s="42">
        <v>44320</v>
      </c>
    </row>
    <row r="16676" spans="1:6" x14ac:dyDescent="0.3">
      <c r="A16676" s="15" t="s">
        <v>33494</v>
      </c>
      <c r="B16676" s="15" t="s">
        <v>30978</v>
      </c>
      <c r="C16676" s="15" t="s">
        <v>800</v>
      </c>
      <c r="D16676" s="15" t="s">
        <v>30979</v>
      </c>
      <c r="E16676" s="15">
        <v>10</v>
      </c>
      <c r="F16676" s="42">
        <v>44355</v>
      </c>
    </row>
    <row r="16677" spans="1:6" x14ac:dyDescent="0.3">
      <c r="A16677" s="15" t="s">
        <v>33493</v>
      </c>
      <c r="B16677" s="15" t="s">
        <v>30980</v>
      </c>
      <c r="C16677" s="15" t="s">
        <v>800</v>
      </c>
      <c r="D16677" s="15" t="s">
        <v>30981</v>
      </c>
      <c r="E16677" s="15">
        <v>10.0001</v>
      </c>
      <c r="F16677" s="42">
        <v>44355</v>
      </c>
    </row>
    <row r="16678" spans="1:6" x14ac:dyDescent="0.3">
      <c r="A16678" s="15" t="s">
        <v>33492</v>
      </c>
      <c r="B16678" s="15" t="s">
        <v>30982</v>
      </c>
      <c r="C16678" s="15" t="s">
        <v>800</v>
      </c>
      <c r="D16678" s="15" t="s">
        <v>30983</v>
      </c>
      <c r="E16678" s="15">
        <v>12.8826</v>
      </c>
      <c r="F16678" s="42">
        <v>44355</v>
      </c>
    </row>
    <row r="16679" spans="1:6" x14ac:dyDescent="0.3">
      <c r="A16679" s="15" t="s">
        <v>33491</v>
      </c>
      <c r="B16679" s="15" t="s">
        <v>30984</v>
      </c>
      <c r="C16679" s="15" t="s">
        <v>800</v>
      </c>
      <c r="D16679" s="15" t="s">
        <v>30985</v>
      </c>
      <c r="E16679" s="15">
        <v>12.353400000000001</v>
      </c>
      <c r="F16679" s="42">
        <v>44355</v>
      </c>
    </row>
    <row r="16680" spans="1:6" x14ac:dyDescent="0.3">
      <c r="A16680" s="15" t="s">
        <v>33490</v>
      </c>
      <c r="B16680" s="15" t="s">
        <v>30986</v>
      </c>
      <c r="C16680" s="15" t="s">
        <v>800</v>
      </c>
      <c r="D16680" s="15" t="s">
        <v>30987</v>
      </c>
      <c r="E16680" s="15">
        <v>10</v>
      </c>
      <c r="F16680" s="42">
        <v>44350</v>
      </c>
    </row>
    <row r="16681" spans="1:6" x14ac:dyDescent="0.3">
      <c r="A16681" s="15" t="s">
        <v>33489</v>
      </c>
      <c r="B16681" s="15" t="s">
        <v>30988</v>
      </c>
      <c r="C16681" s="15" t="s">
        <v>800</v>
      </c>
      <c r="D16681" s="15" t="s">
        <v>30989</v>
      </c>
      <c r="E16681" s="15">
        <v>10.0001</v>
      </c>
      <c r="F16681" s="42">
        <v>44350</v>
      </c>
    </row>
    <row r="16682" spans="1:6" x14ac:dyDescent="0.3">
      <c r="A16682" s="15" t="s">
        <v>33488</v>
      </c>
      <c r="B16682" s="15" t="s">
        <v>30990</v>
      </c>
      <c r="C16682" s="15" t="s">
        <v>800</v>
      </c>
      <c r="D16682" s="15" t="s">
        <v>30991</v>
      </c>
      <c r="E16682" s="15">
        <v>12.6616</v>
      </c>
      <c r="F16682" s="42">
        <v>44350</v>
      </c>
    </row>
    <row r="16683" spans="1:6" x14ac:dyDescent="0.3">
      <c r="A16683" s="15" t="s">
        <v>33487</v>
      </c>
      <c r="B16683" s="15" t="s">
        <v>30992</v>
      </c>
      <c r="C16683" s="15" t="s">
        <v>800</v>
      </c>
      <c r="D16683" s="15" t="s">
        <v>30993</v>
      </c>
      <c r="E16683" s="15">
        <v>12.1706</v>
      </c>
      <c r="F16683" s="42">
        <v>44350</v>
      </c>
    </row>
    <row r="16684" spans="1:6" x14ac:dyDescent="0.3">
      <c r="A16684" s="15" t="s">
        <v>33486</v>
      </c>
      <c r="B16684" s="15" t="s">
        <v>30994</v>
      </c>
      <c r="C16684" s="15" t="s">
        <v>800</v>
      </c>
      <c r="D16684" s="15" t="s">
        <v>30995</v>
      </c>
      <c r="E16684" s="15">
        <v>10.0001</v>
      </c>
      <c r="F16684" s="42">
        <v>44467</v>
      </c>
    </row>
    <row r="16685" spans="1:6" x14ac:dyDescent="0.3">
      <c r="A16685" s="15" t="s">
        <v>33485</v>
      </c>
      <c r="B16685" s="15" t="s">
        <v>30996</v>
      </c>
      <c r="C16685" s="15" t="s">
        <v>800</v>
      </c>
      <c r="D16685" s="15" t="s">
        <v>30997</v>
      </c>
      <c r="E16685" s="15">
        <v>10.0001</v>
      </c>
      <c r="F16685" s="42">
        <v>44467</v>
      </c>
    </row>
    <row r="16686" spans="1:6" x14ac:dyDescent="0.3">
      <c r="A16686" s="15" t="s">
        <v>33484</v>
      </c>
      <c r="B16686" s="15" t="s">
        <v>30998</v>
      </c>
      <c r="C16686" s="15" t="s">
        <v>800</v>
      </c>
      <c r="D16686" s="15" t="s">
        <v>30999</v>
      </c>
      <c r="E16686" s="15">
        <v>14.752599999999999</v>
      </c>
      <c r="F16686" s="42">
        <v>44467</v>
      </c>
    </row>
    <row r="16687" spans="1:6" x14ac:dyDescent="0.3">
      <c r="A16687" s="15" t="s">
        <v>33483</v>
      </c>
      <c r="B16687" s="15" t="s">
        <v>31000</v>
      </c>
      <c r="C16687" s="15" t="s">
        <v>800</v>
      </c>
      <c r="D16687" s="15" t="s">
        <v>31001</v>
      </c>
      <c r="E16687" s="15">
        <v>15.6052</v>
      </c>
      <c r="F16687" s="42">
        <v>44467</v>
      </c>
    </row>
    <row r="16688" spans="1:6" x14ac:dyDescent="0.3">
      <c r="A16688" s="15" t="s">
        <v>33482</v>
      </c>
      <c r="B16688" s="15" t="s">
        <v>31002</v>
      </c>
      <c r="C16688" s="15" t="s">
        <v>800</v>
      </c>
      <c r="D16688" s="15" t="s">
        <v>31003</v>
      </c>
      <c r="E16688" s="15">
        <v>10.0001</v>
      </c>
      <c r="F16688" s="42">
        <v>43934</v>
      </c>
    </row>
    <row r="16689" spans="1:6" x14ac:dyDescent="0.3">
      <c r="A16689" s="15" t="s">
        <v>33481</v>
      </c>
      <c r="B16689" s="15" t="s">
        <v>31004</v>
      </c>
      <c r="C16689" s="15" t="s">
        <v>800</v>
      </c>
      <c r="D16689" s="15" t="s">
        <v>31005</v>
      </c>
      <c r="E16689" s="15">
        <v>10.0002</v>
      </c>
      <c r="F16689" s="42">
        <v>43934</v>
      </c>
    </row>
    <row r="16690" spans="1:6" x14ac:dyDescent="0.3">
      <c r="A16690" s="15" t="s">
        <v>33480</v>
      </c>
      <c r="B16690" s="15" t="s">
        <v>31006</v>
      </c>
      <c r="C16690" s="15" t="s">
        <v>800</v>
      </c>
      <c r="D16690" s="15" t="s">
        <v>31007</v>
      </c>
      <c r="E16690" s="15">
        <v>11.559200000000001</v>
      </c>
      <c r="F16690" s="42">
        <v>43934</v>
      </c>
    </row>
    <row r="16691" spans="1:6" x14ac:dyDescent="0.3">
      <c r="A16691" s="15" t="s">
        <v>33479</v>
      </c>
      <c r="B16691" s="15" t="s">
        <v>31008</v>
      </c>
      <c r="C16691" s="15" t="s">
        <v>800</v>
      </c>
      <c r="D16691" s="15" t="s">
        <v>31009</v>
      </c>
      <c r="E16691" s="15">
        <v>12.107200000000001</v>
      </c>
      <c r="F16691" s="42">
        <v>43934</v>
      </c>
    </row>
    <row r="16692" spans="1:6" x14ac:dyDescent="0.3">
      <c r="A16692" s="15" t="s">
        <v>33478</v>
      </c>
      <c r="B16692" s="15" t="s">
        <v>31010</v>
      </c>
      <c r="C16692" s="15" t="s">
        <v>800</v>
      </c>
      <c r="D16692" s="15" t="s">
        <v>31011</v>
      </c>
      <c r="E16692" s="15">
        <v>10</v>
      </c>
      <c r="F16692" s="42">
        <v>44679</v>
      </c>
    </row>
    <row r="16693" spans="1:6" x14ac:dyDescent="0.3">
      <c r="A16693" s="15" t="s">
        <v>33477</v>
      </c>
      <c r="B16693" s="15" t="s">
        <v>31012</v>
      </c>
      <c r="C16693" s="15" t="s">
        <v>800</v>
      </c>
      <c r="D16693" s="15" t="s">
        <v>31013</v>
      </c>
      <c r="E16693" s="15">
        <v>10.0001</v>
      </c>
      <c r="F16693" s="42">
        <v>44679</v>
      </c>
    </row>
    <row r="16694" spans="1:6" x14ac:dyDescent="0.3">
      <c r="A16694" s="15" t="s">
        <v>33476</v>
      </c>
      <c r="B16694" s="15" t="s">
        <v>31014</v>
      </c>
      <c r="C16694" s="15" t="s">
        <v>800</v>
      </c>
      <c r="D16694" s="15" t="s">
        <v>31015</v>
      </c>
      <c r="E16694" s="15">
        <v>14.863099999999999</v>
      </c>
      <c r="F16694" s="42">
        <v>44679</v>
      </c>
    </row>
    <row r="16695" spans="1:6" x14ac:dyDescent="0.3">
      <c r="A16695" s="15" t="s">
        <v>33475</v>
      </c>
      <c r="B16695" s="15" t="s">
        <v>31016</v>
      </c>
      <c r="C16695" s="15" t="s">
        <v>800</v>
      </c>
      <c r="D16695" s="15" t="s">
        <v>31017</v>
      </c>
      <c r="E16695" s="15">
        <v>14.060499999999999</v>
      </c>
      <c r="F16695" s="42">
        <v>44679</v>
      </c>
    </row>
    <row r="16696" spans="1:6" x14ac:dyDescent="0.3">
      <c r="A16696" s="15" t="s">
        <v>33474</v>
      </c>
      <c r="B16696" s="15" t="s">
        <v>31018</v>
      </c>
      <c r="C16696" s="15" t="s">
        <v>800</v>
      </c>
      <c r="D16696" s="15" t="s">
        <v>31019</v>
      </c>
      <c r="E16696" s="15">
        <v>10</v>
      </c>
      <c r="F16696" s="42">
        <v>44341</v>
      </c>
    </row>
    <row r="16697" spans="1:6" x14ac:dyDescent="0.3">
      <c r="A16697" s="15" t="s">
        <v>33473</v>
      </c>
      <c r="B16697" s="15" t="s">
        <v>31020</v>
      </c>
      <c r="C16697" s="15" t="s">
        <v>800</v>
      </c>
      <c r="D16697" s="15" t="s">
        <v>31021</v>
      </c>
      <c r="E16697" s="15">
        <v>10.0001</v>
      </c>
      <c r="F16697" s="42">
        <v>44341</v>
      </c>
    </row>
    <row r="16698" spans="1:6" x14ac:dyDescent="0.3">
      <c r="A16698" s="15" t="s">
        <v>33472</v>
      </c>
      <c r="B16698" s="15" t="s">
        <v>31022</v>
      </c>
      <c r="C16698" s="15" t="s">
        <v>800</v>
      </c>
      <c r="D16698" s="15" t="s">
        <v>31023</v>
      </c>
      <c r="E16698" s="15">
        <v>12.046799999999999</v>
      </c>
      <c r="F16698" s="42">
        <v>44341</v>
      </c>
    </row>
    <row r="16699" spans="1:6" x14ac:dyDescent="0.3">
      <c r="A16699" s="15" t="s">
        <v>33471</v>
      </c>
      <c r="B16699" s="15" t="s">
        <v>31024</v>
      </c>
      <c r="C16699" s="15" t="s">
        <v>800</v>
      </c>
      <c r="D16699" s="15" t="s">
        <v>31025</v>
      </c>
      <c r="E16699" s="15">
        <v>11.757999999999999</v>
      </c>
      <c r="F16699" s="42">
        <v>44341</v>
      </c>
    </row>
    <row r="16700" spans="1:6" x14ac:dyDescent="0.3">
      <c r="A16700" s="15" t="s">
        <v>33470</v>
      </c>
      <c r="B16700" s="15" t="s">
        <v>31026</v>
      </c>
      <c r="C16700" s="15" t="s">
        <v>800</v>
      </c>
      <c r="D16700" s="15" t="s">
        <v>31027</v>
      </c>
      <c r="E16700" s="15">
        <v>10</v>
      </c>
      <c r="F16700" s="42">
        <v>44245</v>
      </c>
    </row>
    <row r="16701" spans="1:6" x14ac:dyDescent="0.3">
      <c r="A16701" s="15" t="s">
        <v>33469</v>
      </c>
      <c r="B16701" s="15" t="s">
        <v>31028</v>
      </c>
      <c r="C16701" s="15" t="s">
        <v>800</v>
      </c>
      <c r="D16701" s="15" t="s">
        <v>31029</v>
      </c>
      <c r="E16701" s="15">
        <v>14.6028</v>
      </c>
      <c r="F16701" s="42">
        <v>44245</v>
      </c>
    </row>
    <row r="16702" spans="1:6" x14ac:dyDescent="0.3">
      <c r="A16702" s="15" t="s">
        <v>33468</v>
      </c>
      <c r="B16702" s="15" t="s">
        <v>31030</v>
      </c>
      <c r="C16702" s="15" t="s">
        <v>800</v>
      </c>
      <c r="D16702" s="15" t="s">
        <v>31031</v>
      </c>
      <c r="E16702" s="15">
        <v>10</v>
      </c>
      <c r="F16702" s="42">
        <v>44245</v>
      </c>
    </row>
    <row r="16703" spans="1:6" x14ac:dyDescent="0.3">
      <c r="A16703" s="15" t="s">
        <v>33467</v>
      </c>
      <c r="B16703" s="15" t="s">
        <v>31032</v>
      </c>
      <c r="C16703" s="15" t="s">
        <v>800</v>
      </c>
      <c r="D16703" s="15" t="s">
        <v>31033</v>
      </c>
      <c r="E16703" s="15">
        <v>13.5832</v>
      </c>
      <c r="F16703" s="42">
        <v>44245</v>
      </c>
    </row>
    <row r="16704" spans="1:6" x14ac:dyDescent="0.3">
      <c r="A16704" s="15" t="s">
        <v>33466</v>
      </c>
      <c r="B16704" s="15" t="s">
        <v>31034</v>
      </c>
      <c r="C16704" s="15" t="s">
        <v>800</v>
      </c>
      <c r="D16704" s="15" t="s">
        <v>31035</v>
      </c>
      <c r="E16704" s="15">
        <v>10</v>
      </c>
      <c r="F16704" s="42">
        <v>44260</v>
      </c>
    </row>
    <row r="16705" spans="1:6" x14ac:dyDescent="0.3">
      <c r="A16705" s="15" t="s">
        <v>33465</v>
      </c>
      <c r="B16705" s="15" t="s">
        <v>31036</v>
      </c>
      <c r="C16705" s="15" t="s">
        <v>800</v>
      </c>
      <c r="D16705" s="15" t="s">
        <v>31037</v>
      </c>
      <c r="E16705" s="15">
        <v>14.0746</v>
      </c>
      <c r="F16705" s="42">
        <v>44260</v>
      </c>
    </row>
    <row r="16706" spans="1:6" x14ac:dyDescent="0.3">
      <c r="A16706" s="15" t="s">
        <v>33464</v>
      </c>
      <c r="B16706" s="15" t="s">
        <v>31038</v>
      </c>
      <c r="C16706" s="15" t="s">
        <v>800</v>
      </c>
      <c r="D16706" s="15" t="s">
        <v>31039</v>
      </c>
      <c r="E16706" s="15">
        <v>10</v>
      </c>
      <c r="F16706" s="42">
        <v>44260</v>
      </c>
    </row>
    <row r="16707" spans="1:6" x14ac:dyDescent="0.3">
      <c r="A16707" s="15" t="s">
        <v>33463</v>
      </c>
      <c r="B16707" s="15" t="s">
        <v>31040</v>
      </c>
      <c r="C16707" s="15" t="s">
        <v>800</v>
      </c>
      <c r="D16707" s="15" t="s">
        <v>31041</v>
      </c>
      <c r="E16707" s="15">
        <v>13.488099999999999</v>
      </c>
      <c r="F16707" s="42">
        <v>44260</v>
      </c>
    </row>
    <row r="16708" spans="1:6" x14ac:dyDescent="0.3">
      <c r="A16708" s="15" t="s">
        <v>33462</v>
      </c>
      <c r="B16708" s="15" t="s">
        <v>31042</v>
      </c>
      <c r="C16708" s="15" t="s">
        <v>800</v>
      </c>
      <c r="D16708" s="15" t="s">
        <v>31043</v>
      </c>
      <c r="E16708" s="15">
        <v>15.7278</v>
      </c>
      <c r="F16708" s="42">
        <v>44294</v>
      </c>
    </row>
    <row r="16709" spans="1:6" x14ac:dyDescent="0.3">
      <c r="A16709" s="15" t="s">
        <v>33461</v>
      </c>
      <c r="B16709" s="15" t="s">
        <v>31044</v>
      </c>
      <c r="C16709" s="15" t="s">
        <v>800</v>
      </c>
      <c r="D16709" s="15" t="s">
        <v>31045</v>
      </c>
      <c r="E16709" s="15">
        <v>10</v>
      </c>
      <c r="F16709" s="42">
        <v>44294</v>
      </c>
    </row>
    <row r="16710" spans="1:6" x14ac:dyDescent="0.3">
      <c r="A16710" s="15" t="s">
        <v>33460</v>
      </c>
      <c r="B16710" s="15" t="s">
        <v>31046</v>
      </c>
      <c r="C16710" s="15" t="s">
        <v>800</v>
      </c>
      <c r="D16710" s="15" t="s">
        <v>31047</v>
      </c>
      <c r="E16710" s="15">
        <v>15.0152</v>
      </c>
      <c r="F16710" s="42">
        <v>44294</v>
      </c>
    </row>
    <row r="16711" spans="1:6" x14ac:dyDescent="0.3">
      <c r="A16711" s="15" t="s">
        <v>33459</v>
      </c>
      <c r="B16711" s="15" t="s">
        <v>31048</v>
      </c>
      <c r="C16711" s="15" t="s">
        <v>800</v>
      </c>
      <c r="D16711" s="15" t="s">
        <v>31049</v>
      </c>
      <c r="E16711" s="15">
        <v>10</v>
      </c>
      <c r="F16711" s="42">
        <v>44294</v>
      </c>
    </row>
    <row r="16712" spans="1:6" x14ac:dyDescent="0.3">
      <c r="A16712" s="15" t="s">
        <v>33458</v>
      </c>
      <c r="B16712" s="15" t="s">
        <v>31050</v>
      </c>
      <c r="C16712" s="15" t="s">
        <v>800</v>
      </c>
      <c r="D16712" s="15" t="s">
        <v>31051</v>
      </c>
      <c r="E16712" s="15">
        <v>16.745699999999999</v>
      </c>
      <c r="F16712" s="42">
        <v>44357</v>
      </c>
    </row>
    <row r="16713" spans="1:6" x14ac:dyDescent="0.3">
      <c r="A16713" s="15" t="s">
        <v>33457</v>
      </c>
      <c r="B16713" s="15" t="s">
        <v>31052</v>
      </c>
      <c r="C16713" s="15" t="s">
        <v>800</v>
      </c>
      <c r="D16713" s="15" t="s">
        <v>31053</v>
      </c>
      <c r="E16713" s="15">
        <v>15.6197</v>
      </c>
      <c r="F16713" s="42">
        <v>44357</v>
      </c>
    </row>
    <row r="16714" spans="1:6" x14ac:dyDescent="0.3">
      <c r="A16714" s="15" t="s">
        <v>33456</v>
      </c>
      <c r="B16714" s="15" t="s">
        <v>31054</v>
      </c>
      <c r="C16714" s="15" t="s">
        <v>800</v>
      </c>
      <c r="D16714" s="15" t="s">
        <v>31055</v>
      </c>
      <c r="E16714" s="15">
        <v>10.0001</v>
      </c>
      <c r="F16714" s="42">
        <v>44357</v>
      </c>
    </row>
    <row r="16715" spans="1:6" x14ac:dyDescent="0.3">
      <c r="A16715" s="15" t="s">
        <v>33455</v>
      </c>
      <c r="B16715" s="15" t="s">
        <v>31056</v>
      </c>
      <c r="C16715" s="15" t="s">
        <v>800</v>
      </c>
      <c r="D16715" s="15" t="s">
        <v>31057</v>
      </c>
      <c r="E16715" s="15">
        <v>10.0002</v>
      </c>
      <c r="F16715" s="42">
        <v>44357</v>
      </c>
    </row>
    <row r="16716" spans="1:6" x14ac:dyDescent="0.3">
      <c r="A16716" s="15" t="s">
        <v>33454</v>
      </c>
      <c r="B16716" s="15" t="s">
        <v>31058</v>
      </c>
      <c r="C16716" s="15" t="s">
        <v>800</v>
      </c>
      <c r="D16716" s="15" t="s">
        <v>31059</v>
      </c>
      <c r="E16716" s="15">
        <v>14.9899</v>
      </c>
      <c r="F16716" s="42">
        <v>44400</v>
      </c>
    </row>
    <row r="16717" spans="1:6" x14ac:dyDescent="0.3">
      <c r="A16717" s="15" t="s">
        <v>33453</v>
      </c>
      <c r="B16717" s="15" t="s">
        <v>31060</v>
      </c>
      <c r="C16717" s="15" t="s">
        <v>800</v>
      </c>
      <c r="D16717" s="15" t="s">
        <v>31061</v>
      </c>
      <c r="E16717" s="15">
        <v>14.030799999999999</v>
      </c>
      <c r="F16717" s="42">
        <v>44400</v>
      </c>
    </row>
    <row r="16718" spans="1:6" x14ac:dyDescent="0.3">
      <c r="A16718" s="15" t="s">
        <v>33452</v>
      </c>
      <c r="B16718" s="15" t="s">
        <v>31062</v>
      </c>
      <c r="C16718" s="15" t="s">
        <v>800</v>
      </c>
      <c r="D16718" s="15" t="s">
        <v>31063</v>
      </c>
      <c r="E16718" s="15">
        <v>10.0001</v>
      </c>
      <c r="F16718" s="42">
        <v>44400</v>
      </c>
    </row>
    <row r="16719" spans="1:6" x14ac:dyDescent="0.3">
      <c r="A16719" s="15" t="s">
        <v>33451</v>
      </c>
      <c r="B16719" s="15" t="s">
        <v>31064</v>
      </c>
      <c r="C16719" s="15" t="s">
        <v>800</v>
      </c>
      <c r="D16719" s="15" t="s">
        <v>31065</v>
      </c>
      <c r="E16719" s="15">
        <v>10.0001</v>
      </c>
      <c r="F16719" s="42">
        <v>44400</v>
      </c>
    </row>
    <row r="16720" spans="1:6" x14ac:dyDescent="0.3">
      <c r="A16720" s="15" t="s">
        <v>33450</v>
      </c>
      <c r="B16720" s="15" t="s">
        <v>31066</v>
      </c>
      <c r="C16720" s="15" t="s">
        <v>800</v>
      </c>
      <c r="D16720" s="15" t="s">
        <v>31067</v>
      </c>
      <c r="E16720" s="15">
        <v>15.9878</v>
      </c>
      <c r="F16720" s="42">
        <v>44431</v>
      </c>
    </row>
    <row r="16721" spans="1:6" x14ac:dyDescent="0.3">
      <c r="A16721" s="15" t="s">
        <v>33449</v>
      </c>
      <c r="B16721" s="15" t="s">
        <v>31068</v>
      </c>
      <c r="C16721" s="15" t="s">
        <v>800</v>
      </c>
      <c r="D16721" s="15" t="s">
        <v>31069</v>
      </c>
      <c r="E16721" s="15">
        <v>14.9657</v>
      </c>
      <c r="F16721" s="42">
        <v>44431</v>
      </c>
    </row>
    <row r="16722" spans="1:6" x14ac:dyDescent="0.3">
      <c r="A16722" s="15" t="s">
        <v>33448</v>
      </c>
      <c r="B16722" s="15" t="s">
        <v>31070</v>
      </c>
      <c r="C16722" s="15" t="s">
        <v>800</v>
      </c>
      <c r="D16722" s="15" t="s">
        <v>31071</v>
      </c>
      <c r="E16722" s="15">
        <v>10.0001</v>
      </c>
      <c r="F16722" s="42">
        <v>44431</v>
      </c>
    </row>
    <row r="16723" spans="1:6" x14ac:dyDescent="0.3">
      <c r="A16723" s="15" t="s">
        <v>33447</v>
      </c>
      <c r="B16723" s="15" t="s">
        <v>31072</v>
      </c>
      <c r="C16723" s="15" t="s">
        <v>800</v>
      </c>
      <c r="D16723" s="15" t="s">
        <v>31073</v>
      </c>
      <c r="E16723" s="15">
        <v>10.0001</v>
      </c>
      <c r="F16723" s="42">
        <v>44431</v>
      </c>
    </row>
    <row r="16724" spans="1:6" x14ac:dyDescent="0.3">
      <c r="A16724" s="15" t="s">
        <v>33446</v>
      </c>
      <c r="B16724" s="15" t="s">
        <v>31074</v>
      </c>
      <c r="C16724" s="15" t="s">
        <v>800</v>
      </c>
      <c r="D16724" s="15" t="s">
        <v>31075</v>
      </c>
      <c r="E16724" s="15">
        <v>10</v>
      </c>
      <c r="F16724" s="42">
        <v>43991</v>
      </c>
    </row>
    <row r="16725" spans="1:6" x14ac:dyDescent="0.3">
      <c r="A16725" s="15" t="s">
        <v>33445</v>
      </c>
      <c r="B16725" s="15" t="s">
        <v>31076</v>
      </c>
      <c r="C16725" s="15" t="s">
        <v>800</v>
      </c>
      <c r="D16725" s="15" t="s">
        <v>31077</v>
      </c>
      <c r="E16725" s="15">
        <v>12.4481</v>
      </c>
      <c r="F16725" s="42">
        <v>43991</v>
      </c>
    </row>
    <row r="16726" spans="1:6" x14ac:dyDescent="0.3">
      <c r="A16726" s="15" t="s">
        <v>33444</v>
      </c>
      <c r="B16726" s="15" t="s">
        <v>31078</v>
      </c>
      <c r="C16726" s="15" t="s">
        <v>800</v>
      </c>
      <c r="D16726" s="15" t="s">
        <v>31079</v>
      </c>
      <c r="E16726" s="15">
        <v>10.0001</v>
      </c>
      <c r="F16726" s="42">
        <v>43991</v>
      </c>
    </row>
    <row r="16727" spans="1:6" x14ac:dyDescent="0.3">
      <c r="A16727" s="15" t="s">
        <v>33443</v>
      </c>
      <c r="B16727" s="15" t="s">
        <v>31080</v>
      </c>
      <c r="C16727" s="15" t="s">
        <v>800</v>
      </c>
      <c r="D16727" s="15" t="s">
        <v>31081</v>
      </c>
      <c r="E16727" s="15">
        <v>11.9002</v>
      </c>
      <c r="F16727" s="42">
        <v>43991</v>
      </c>
    </row>
    <row r="16728" spans="1:6" x14ac:dyDescent="0.3">
      <c r="A16728" s="15" t="s">
        <v>33442</v>
      </c>
      <c r="B16728" s="15" t="s">
        <v>31082</v>
      </c>
      <c r="C16728" s="15" t="s">
        <v>800</v>
      </c>
      <c r="D16728" s="15" t="s">
        <v>31083</v>
      </c>
      <c r="E16728" s="15">
        <v>10</v>
      </c>
      <c r="F16728" s="42">
        <v>44040</v>
      </c>
    </row>
    <row r="16729" spans="1:6" x14ac:dyDescent="0.3">
      <c r="A16729" s="15" t="s">
        <v>33441</v>
      </c>
      <c r="B16729" s="15" t="s">
        <v>31084</v>
      </c>
      <c r="C16729" s="15" t="s">
        <v>800</v>
      </c>
      <c r="D16729" s="15" t="s">
        <v>31085</v>
      </c>
      <c r="E16729" s="15">
        <v>12.277100000000001</v>
      </c>
      <c r="F16729" s="42">
        <v>44040</v>
      </c>
    </row>
    <row r="16730" spans="1:6" x14ac:dyDescent="0.3">
      <c r="A16730" s="15" t="s">
        <v>33440</v>
      </c>
      <c r="B16730" s="15" t="s">
        <v>31086</v>
      </c>
      <c r="C16730" s="15" t="s">
        <v>800</v>
      </c>
      <c r="D16730" s="15" t="s">
        <v>31087</v>
      </c>
      <c r="E16730" s="15">
        <v>10</v>
      </c>
      <c r="F16730" s="42">
        <v>44040</v>
      </c>
    </row>
    <row r="16731" spans="1:6" x14ac:dyDescent="0.3">
      <c r="A16731" s="15" t="s">
        <v>33439</v>
      </c>
      <c r="B16731" s="15" t="s">
        <v>31088</v>
      </c>
      <c r="C16731" s="15" t="s">
        <v>800</v>
      </c>
      <c r="D16731" s="15" t="s">
        <v>31089</v>
      </c>
      <c r="E16731" s="15">
        <v>11.7301</v>
      </c>
      <c r="F16731" s="42">
        <v>44040</v>
      </c>
    </row>
    <row r="16732" spans="1:6" x14ac:dyDescent="0.3">
      <c r="A16732" s="15" t="s">
        <v>33438</v>
      </c>
      <c r="B16732" s="15" t="s">
        <v>31090</v>
      </c>
      <c r="C16732" s="15" t="s">
        <v>800</v>
      </c>
      <c r="D16732" s="15" t="s">
        <v>31091</v>
      </c>
      <c r="E16732" s="15">
        <v>10</v>
      </c>
      <c r="F16732" s="42">
        <v>44054</v>
      </c>
    </row>
    <row r="16733" spans="1:6" x14ac:dyDescent="0.3">
      <c r="A16733" s="15" t="s">
        <v>33437</v>
      </c>
      <c r="B16733" s="15" t="s">
        <v>31092</v>
      </c>
      <c r="C16733" s="15" t="s">
        <v>800</v>
      </c>
      <c r="D16733" s="15" t="s">
        <v>31093</v>
      </c>
      <c r="E16733" s="15">
        <v>12.3528</v>
      </c>
      <c r="F16733" s="42">
        <v>44054</v>
      </c>
    </row>
    <row r="16734" spans="1:6" x14ac:dyDescent="0.3">
      <c r="A16734" s="15" t="s">
        <v>33436</v>
      </c>
      <c r="B16734" s="15" t="s">
        <v>31094</v>
      </c>
      <c r="C16734" s="15" t="s">
        <v>800</v>
      </c>
      <c r="D16734" s="15" t="s">
        <v>31095</v>
      </c>
      <c r="E16734" s="15">
        <v>10</v>
      </c>
      <c r="F16734" s="42">
        <v>44054</v>
      </c>
    </row>
    <row r="16735" spans="1:6" x14ac:dyDescent="0.3">
      <c r="A16735" s="15" t="s">
        <v>33435</v>
      </c>
      <c r="B16735" s="15" t="s">
        <v>31096</v>
      </c>
      <c r="C16735" s="15" t="s">
        <v>800</v>
      </c>
      <c r="D16735" s="15" t="s">
        <v>31097</v>
      </c>
      <c r="E16735" s="15">
        <v>11.820499999999999</v>
      </c>
      <c r="F16735" s="42">
        <v>44054</v>
      </c>
    </row>
    <row r="16736" spans="1:6" x14ac:dyDescent="0.3">
      <c r="A16736" s="15" t="s">
        <v>33434</v>
      </c>
      <c r="B16736" s="15" t="s">
        <v>31098</v>
      </c>
      <c r="C16736" s="15" t="s">
        <v>800</v>
      </c>
      <c r="D16736" s="15" t="s">
        <v>31099</v>
      </c>
      <c r="E16736" s="15">
        <v>16.0915</v>
      </c>
      <c r="F16736" s="42">
        <v>44791</v>
      </c>
    </row>
    <row r="16737" spans="1:6" x14ac:dyDescent="0.3">
      <c r="A16737" s="15" t="s">
        <v>33433</v>
      </c>
      <c r="B16737" s="15" t="s">
        <v>31100</v>
      </c>
      <c r="C16737" s="15" t="s">
        <v>800</v>
      </c>
      <c r="D16737" s="15" t="s">
        <v>31101</v>
      </c>
      <c r="E16737" s="15">
        <v>15.2636</v>
      </c>
      <c r="F16737" s="42">
        <v>44791</v>
      </c>
    </row>
    <row r="16738" spans="1:6" x14ac:dyDescent="0.3">
      <c r="A16738" s="15" t="s">
        <v>33432</v>
      </c>
      <c r="B16738" s="15" t="s">
        <v>31102</v>
      </c>
      <c r="C16738" s="15" t="s">
        <v>800</v>
      </c>
      <c r="D16738" s="15" t="s">
        <v>31103</v>
      </c>
      <c r="E16738" s="15">
        <v>10</v>
      </c>
      <c r="F16738" s="42">
        <v>44791</v>
      </c>
    </row>
    <row r="16739" spans="1:6" x14ac:dyDescent="0.3">
      <c r="A16739" s="15" t="s">
        <v>33431</v>
      </c>
      <c r="B16739" s="15" t="s">
        <v>31104</v>
      </c>
      <c r="C16739" s="15" t="s">
        <v>800</v>
      </c>
      <c r="D16739" s="15" t="s">
        <v>31105</v>
      </c>
      <c r="E16739" s="15">
        <v>10.0001</v>
      </c>
      <c r="F16739" s="42">
        <v>44791</v>
      </c>
    </row>
    <row r="16740" spans="1:6" x14ac:dyDescent="0.3">
      <c r="A16740" s="15" t="s">
        <v>33430</v>
      </c>
      <c r="B16740" s="15" t="s">
        <v>31106</v>
      </c>
      <c r="C16740" s="15" t="s">
        <v>800</v>
      </c>
      <c r="D16740" s="15" t="s">
        <v>31107</v>
      </c>
      <c r="E16740" s="15">
        <v>11.784000000000001</v>
      </c>
      <c r="F16740" s="42">
        <v>44095</v>
      </c>
    </row>
    <row r="16741" spans="1:6" x14ac:dyDescent="0.3">
      <c r="A16741" s="15" t="s">
        <v>33429</v>
      </c>
      <c r="B16741" s="15" t="s">
        <v>31108</v>
      </c>
      <c r="C16741" s="15" t="s">
        <v>800</v>
      </c>
      <c r="D16741" s="15" t="s">
        <v>31109</v>
      </c>
      <c r="E16741" s="15">
        <v>10</v>
      </c>
      <c r="F16741" s="42">
        <v>44095</v>
      </c>
    </row>
    <row r="16742" spans="1:6" x14ac:dyDescent="0.3">
      <c r="A16742" s="15" t="s">
        <v>33428</v>
      </c>
      <c r="B16742" s="15" t="s">
        <v>31110</v>
      </c>
      <c r="C16742" s="15" t="s">
        <v>800</v>
      </c>
      <c r="D16742" s="15" t="s">
        <v>31111</v>
      </c>
      <c r="E16742" s="15">
        <v>10</v>
      </c>
      <c r="F16742" s="42">
        <v>44095</v>
      </c>
    </row>
    <row r="16743" spans="1:6" x14ac:dyDescent="0.3">
      <c r="A16743" s="15" t="s">
        <v>33427</v>
      </c>
      <c r="B16743" s="15" t="s">
        <v>31112</v>
      </c>
      <c r="C16743" s="15" t="s">
        <v>800</v>
      </c>
      <c r="D16743" s="15" t="s">
        <v>31113</v>
      </c>
      <c r="E16743" s="15">
        <v>11.403600000000001</v>
      </c>
      <c r="F16743" s="42">
        <v>44095</v>
      </c>
    </row>
    <row r="16744" spans="1:6" x14ac:dyDescent="0.3">
      <c r="A16744" s="15" t="s">
        <v>33426</v>
      </c>
      <c r="B16744" s="15" t="s">
        <v>31114</v>
      </c>
      <c r="C16744" s="15" t="s">
        <v>800</v>
      </c>
      <c r="D16744" s="15" t="s">
        <v>31115</v>
      </c>
      <c r="E16744" s="15">
        <v>28.872299999999999</v>
      </c>
      <c r="F16744" s="42">
        <v>44692</v>
      </c>
    </row>
    <row r="16745" spans="1:6" x14ac:dyDescent="0.3">
      <c r="A16745" s="15" t="s">
        <v>33425</v>
      </c>
      <c r="B16745" s="15" t="s">
        <v>31116</v>
      </c>
      <c r="C16745" s="15" t="s">
        <v>800</v>
      </c>
      <c r="D16745" s="15" t="s">
        <v>31117</v>
      </c>
      <c r="E16745" s="15">
        <v>28.568200000000001</v>
      </c>
      <c r="F16745" s="42">
        <v>44692</v>
      </c>
    </row>
    <row r="16746" spans="1:6" x14ac:dyDescent="0.3">
      <c r="A16746" s="15" t="s">
        <v>33424</v>
      </c>
      <c r="B16746" s="15" t="s">
        <v>31118</v>
      </c>
      <c r="C16746" s="15" t="s">
        <v>31119</v>
      </c>
      <c r="D16746" s="15" t="s">
        <v>31120</v>
      </c>
      <c r="E16746" s="15">
        <v>10.0624</v>
      </c>
      <c r="F16746" s="42">
        <v>44501</v>
      </c>
    </row>
    <row r="16747" spans="1:6" x14ac:dyDescent="0.3">
      <c r="A16747" s="15" t="s">
        <v>33423</v>
      </c>
      <c r="B16747" s="15" t="s">
        <v>31121</v>
      </c>
      <c r="C16747" s="15" t="s">
        <v>31122</v>
      </c>
      <c r="D16747" s="15" t="s">
        <v>31123</v>
      </c>
      <c r="E16747" s="15">
        <v>10.074999999999999</v>
      </c>
      <c r="F16747" s="42">
        <v>44692</v>
      </c>
    </row>
    <row r="16748" spans="1:6" x14ac:dyDescent="0.3">
      <c r="A16748" s="15" t="s">
        <v>33422</v>
      </c>
      <c r="B16748" s="15" t="s">
        <v>31124</v>
      </c>
      <c r="C16748" s="15" t="s">
        <v>31125</v>
      </c>
      <c r="D16748" s="15" t="s">
        <v>31126</v>
      </c>
      <c r="E16748" s="15">
        <v>10.1008</v>
      </c>
      <c r="F16748" s="42">
        <v>44692</v>
      </c>
    </row>
    <row r="16749" spans="1:6" x14ac:dyDescent="0.3">
      <c r="A16749" s="15" t="s">
        <v>33421</v>
      </c>
      <c r="B16749" s="15" t="s">
        <v>31127</v>
      </c>
      <c r="C16749" s="15" t="s">
        <v>31128</v>
      </c>
      <c r="D16749" s="15" t="s">
        <v>31129</v>
      </c>
      <c r="E16749" s="15">
        <v>10.0749</v>
      </c>
      <c r="F16749" s="42">
        <v>44692</v>
      </c>
    </row>
    <row r="16750" spans="1:6" x14ac:dyDescent="0.3">
      <c r="A16750" s="15" t="s">
        <v>33420</v>
      </c>
      <c r="B16750" s="15" t="s">
        <v>31130</v>
      </c>
      <c r="C16750" s="15" t="s">
        <v>800</v>
      </c>
      <c r="D16750" s="15" t="s">
        <v>31131</v>
      </c>
      <c r="E16750" s="15">
        <v>27.6707</v>
      </c>
      <c r="F16750" s="42">
        <v>44692</v>
      </c>
    </row>
    <row r="16751" spans="1:6" x14ac:dyDescent="0.3">
      <c r="A16751" s="15" t="s">
        <v>33419</v>
      </c>
      <c r="B16751" s="15" t="s">
        <v>31132</v>
      </c>
      <c r="C16751" s="15" t="s">
        <v>800</v>
      </c>
      <c r="D16751" s="15" t="s">
        <v>31133</v>
      </c>
      <c r="E16751" s="15">
        <v>27.3947</v>
      </c>
      <c r="F16751" s="42">
        <v>44692</v>
      </c>
    </row>
    <row r="16752" spans="1:6" x14ac:dyDescent="0.3">
      <c r="A16752" s="15" t="s">
        <v>33418</v>
      </c>
      <c r="B16752" s="15" t="s">
        <v>31134</v>
      </c>
      <c r="C16752" s="15" t="s">
        <v>31135</v>
      </c>
      <c r="D16752" s="15" t="s">
        <v>31136</v>
      </c>
      <c r="E16752" s="15">
        <v>10.060600000000001</v>
      </c>
      <c r="F16752" s="42">
        <v>44692</v>
      </c>
    </row>
    <row r="16753" spans="1:6" x14ac:dyDescent="0.3">
      <c r="A16753" s="15" t="s">
        <v>33417</v>
      </c>
      <c r="B16753" s="15" t="s">
        <v>31137</v>
      </c>
      <c r="C16753" s="15" t="s">
        <v>31138</v>
      </c>
      <c r="D16753" s="15" t="s">
        <v>31139</v>
      </c>
      <c r="E16753" s="15">
        <v>10.0564</v>
      </c>
      <c r="F16753" s="42">
        <v>44692</v>
      </c>
    </row>
    <row r="16754" spans="1:6" x14ac:dyDescent="0.3">
      <c r="A16754" s="15" t="s">
        <v>33416</v>
      </c>
      <c r="B16754" s="15" t="s">
        <v>31140</v>
      </c>
      <c r="C16754" s="15" t="s">
        <v>800</v>
      </c>
      <c r="D16754" s="15" t="s">
        <v>31141</v>
      </c>
      <c r="E16754" s="15">
        <v>26.6295</v>
      </c>
      <c r="F16754" s="42">
        <v>44692</v>
      </c>
    </row>
    <row r="16755" spans="1:6" x14ac:dyDescent="0.3">
      <c r="A16755" s="15" t="s">
        <v>33415</v>
      </c>
      <c r="B16755" s="15" t="s">
        <v>31142</v>
      </c>
      <c r="C16755" s="15" t="s">
        <v>800</v>
      </c>
      <c r="D16755" s="15" t="s">
        <v>31143</v>
      </c>
      <c r="E16755" s="15">
        <v>26.125699999999998</v>
      </c>
      <c r="F16755" s="42">
        <v>44692</v>
      </c>
    </row>
    <row r="16756" spans="1:6" x14ac:dyDescent="0.3">
      <c r="A16756" s="15" t="s">
        <v>33414</v>
      </c>
      <c r="B16756" s="15" t="s">
        <v>31144</v>
      </c>
      <c r="C16756" s="15" t="s">
        <v>31145</v>
      </c>
      <c r="D16756" s="15" t="s">
        <v>31146</v>
      </c>
      <c r="E16756" s="15">
        <v>10.2065</v>
      </c>
      <c r="F16756" s="42">
        <v>44692</v>
      </c>
    </row>
    <row r="16757" spans="1:6" x14ac:dyDescent="0.3">
      <c r="A16757" s="15" t="s">
        <v>33413</v>
      </c>
      <c r="B16757" s="15" t="s">
        <v>31147</v>
      </c>
      <c r="C16757" s="15" t="s">
        <v>31148</v>
      </c>
      <c r="D16757" s="15" t="s">
        <v>31149</v>
      </c>
      <c r="E16757" s="15">
        <v>10.063599999999999</v>
      </c>
      <c r="F16757" s="42">
        <v>44692</v>
      </c>
    </row>
    <row r="16758" spans="1:6" x14ac:dyDescent="0.3">
      <c r="A16758" s="15" t="s">
        <v>33412</v>
      </c>
      <c r="B16758" s="15" t="s">
        <v>31150</v>
      </c>
      <c r="C16758" s="15" t="s">
        <v>800</v>
      </c>
      <c r="D16758" s="15" t="s">
        <v>31151</v>
      </c>
      <c r="E16758" s="15">
        <v>26.084499999999998</v>
      </c>
      <c r="F16758" s="42">
        <v>44692</v>
      </c>
    </row>
    <row r="16759" spans="1:6" x14ac:dyDescent="0.3">
      <c r="A16759" s="15" t="s">
        <v>33411</v>
      </c>
      <c r="B16759" s="15" t="s">
        <v>31152</v>
      </c>
      <c r="C16759" s="15" t="s">
        <v>800</v>
      </c>
      <c r="D16759" s="15" t="s">
        <v>31153</v>
      </c>
      <c r="E16759" s="15">
        <v>26.011800000000001</v>
      </c>
      <c r="F16759" s="42">
        <v>44692</v>
      </c>
    </row>
    <row r="16760" spans="1:6" x14ac:dyDescent="0.3">
      <c r="A16760" s="15" t="s">
        <v>33410</v>
      </c>
      <c r="B16760" s="15" t="s">
        <v>31154</v>
      </c>
      <c r="C16760" s="15" t="s">
        <v>800</v>
      </c>
      <c r="D16760" s="15" t="s">
        <v>31155</v>
      </c>
      <c r="E16760" s="15">
        <v>27.349699999999999</v>
      </c>
      <c r="F16760" s="42">
        <v>44692</v>
      </c>
    </row>
    <row r="16761" spans="1:6" x14ac:dyDescent="0.3">
      <c r="A16761" s="15" t="s">
        <v>33409</v>
      </c>
      <c r="B16761" s="15" t="s">
        <v>31156</v>
      </c>
      <c r="C16761" s="15" t="s">
        <v>800</v>
      </c>
      <c r="D16761" s="15" t="s">
        <v>31157</v>
      </c>
      <c r="E16761" s="15">
        <v>26.846</v>
      </c>
      <c r="F16761" s="42">
        <v>44692</v>
      </c>
    </row>
    <row r="16762" spans="1:6" x14ac:dyDescent="0.3">
      <c r="A16762" s="15" t="s">
        <v>33408</v>
      </c>
      <c r="B16762" s="15" t="s">
        <v>31158</v>
      </c>
      <c r="C16762" s="15" t="s">
        <v>31159</v>
      </c>
      <c r="D16762" s="15" t="s">
        <v>31160</v>
      </c>
      <c r="E16762" s="15">
        <v>10.032500000000001</v>
      </c>
      <c r="F16762" s="42">
        <v>44097</v>
      </c>
    </row>
    <row r="16763" spans="1:6" x14ac:dyDescent="0.3">
      <c r="A16763" s="15" t="s">
        <v>33407</v>
      </c>
      <c r="B16763" s="15" t="s">
        <v>31161</v>
      </c>
      <c r="C16763" s="15" t="s">
        <v>31162</v>
      </c>
      <c r="D16763" s="15" t="s">
        <v>31163</v>
      </c>
      <c r="E16763" s="15">
        <v>10.0063</v>
      </c>
      <c r="F16763" s="42">
        <v>44692</v>
      </c>
    </row>
    <row r="16764" spans="1:6" x14ac:dyDescent="0.3">
      <c r="A16764" s="15" t="s">
        <v>33406</v>
      </c>
      <c r="B16764" s="15" t="s">
        <v>31164</v>
      </c>
      <c r="C16764" s="15" t="s">
        <v>31165</v>
      </c>
      <c r="D16764" s="15" t="s">
        <v>31166</v>
      </c>
      <c r="E16764" s="15">
        <v>10.0085</v>
      </c>
      <c r="F16764" s="42">
        <v>44692</v>
      </c>
    </row>
    <row r="16765" spans="1:6" x14ac:dyDescent="0.3">
      <c r="A16765" s="15" t="s">
        <v>33405</v>
      </c>
      <c r="B16765" s="15" t="s">
        <v>31167</v>
      </c>
      <c r="C16765" s="15" t="s">
        <v>31168</v>
      </c>
      <c r="D16765" s="15" t="s">
        <v>31169</v>
      </c>
      <c r="E16765" s="15">
        <v>10.028600000000001</v>
      </c>
      <c r="F16765" s="42">
        <v>44692</v>
      </c>
    </row>
    <row r="16766" spans="1:6" x14ac:dyDescent="0.3">
      <c r="A16766" s="15" t="s">
        <v>33404</v>
      </c>
      <c r="B16766" s="15" t="s">
        <v>31170</v>
      </c>
      <c r="C16766" s="15" t="s">
        <v>31171</v>
      </c>
      <c r="D16766" s="15" t="s">
        <v>31172</v>
      </c>
      <c r="E16766" s="15">
        <v>10.016299999999999</v>
      </c>
      <c r="F16766" s="42">
        <v>44692</v>
      </c>
    </row>
    <row r="16767" spans="1:6" x14ac:dyDescent="0.3">
      <c r="A16767" s="15" t="s">
        <v>33403</v>
      </c>
      <c r="B16767" s="15" t="s">
        <v>31173</v>
      </c>
      <c r="C16767" s="15" t="s">
        <v>800</v>
      </c>
      <c r="D16767" s="15" t="s">
        <v>31174</v>
      </c>
      <c r="E16767" s="15">
        <v>26.265499999999999</v>
      </c>
      <c r="F16767" s="42">
        <v>44692</v>
      </c>
    </row>
    <row r="16768" spans="1:6" x14ac:dyDescent="0.3">
      <c r="A16768" s="15" t="s">
        <v>33402</v>
      </c>
      <c r="B16768" s="15" t="s">
        <v>31175</v>
      </c>
      <c r="C16768" s="15" t="s">
        <v>800</v>
      </c>
      <c r="D16768" s="15" t="s">
        <v>31176</v>
      </c>
      <c r="E16768" s="15">
        <v>25.779800000000002</v>
      </c>
      <c r="F16768" s="42">
        <v>44692</v>
      </c>
    </row>
    <row r="16769" spans="1:6" x14ac:dyDescent="0.3">
      <c r="A16769" s="15" t="s">
        <v>33401</v>
      </c>
      <c r="B16769" s="15" t="s">
        <v>31177</v>
      </c>
      <c r="C16769" s="15" t="s">
        <v>31178</v>
      </c>
      <c r="D16769" s="15" t="s">
        <v>31179</v>
      </c>
      <c r="E16769" s="15">
        <v>10.080299999999999</v>
      </c>
      <c r="F16769" s="42">
        <v>44692</v>
      </c>
    </row>
    <row r="16770" spans="1:6" x14ac:dyDescent="0.3">
      <c r="A16770" s="15" t="s">
        <v>33400</v>
      </c>
      <c r="B16770" s="15" t="s">
        <v>31180</v>
      </c>
      <c r="C16770" s="15" t="s">
        <v>31181</v>
      </c>
      <c r="D16770" s="15" t="s">
        <v>31182</v>
      </c>
      <c r="E16770" s="15">
        <v>10.075900000000001</v>
      </c>
      <c r="F16770" s="42">
        <v>44692</v>
      </c>
    </row>
    <row r="16771" spans="1:6" x14ac:dyDescent="0.3">
      <c r="A16771" s="15" t="s">
        <v>33399</v>
      </c>
      <c r="B16771" s="15" t="s">
        <v>31183</v>
      </c>
      <c r="C16771" s="15" t="s">
        <v>800</v>
      </c>
      <c r="D16771" s="15" t="s">
        <v>31184</v>
      </c>
      <c r="E16771" s="15">
        <v>28.421399999999998</v>
      </c>
      <c r="F16771" s="42">
        <v>44692</v>
      </c>
    </row>
    <row r="16772" spans="1:6" x14ac:dyDescent="0.3">
      <c r="A16772" s="15" t="s">
        <v>33398</v>
      </c>
      <c r="B16772" s="15" t="s">
        <v>31185</v>
      </c>
      <c r="C16772" s="15" t="s">
        <v>800</v>
      </c>
      <c r="D16772" s="15" t="s">
        <v>31186</v>
      </c>
      <c r="E16772" s="15">
        <v>27.902000000000001</v>
      </c>
      <c r="F16772" s="42">
        <v>44692</v>
      </c>
    </row>
    <row r="16773" spans="1:6" x14ac:dyDescent="0.3">
      <c r="A16773" s="15" t="s">
        <v>33397</v>
      </c>
      <c r="B16773" s="15" t="s">
        <v>31187</v>
      </c>
      <c r="C16773" s="15" t="s">
        <v>31188</v>
      </c>
      <c r="D16773" s="15" t="s">
        <v>31189</v>
      </c>
      <c r="E16773" s="15">
        <v>10.065</v>
      </c>
      <c r="F16773" s="42">
        <v>44175</v>
      </c>
    </row>
    <row r="16774" spans="1:6" x14ac:dyDescent="0.3">
      <c r="A16774" s="15" t="s">
        <v>33396</v>
      </c>
      <c r="B16774" s="15" t="s">
        <v>31190</v>
      </c>
      <c r="C16774" s="15" t="s">
        <v>800</v>
      </c>
      <c r="D16774" s="15" t="s">
        <v>31191</v>
      </c>
      <c r="E16774" s="15">
        <v>25.566299999999998</v>
      </c>
      <c r="F16774" s="42">
        <v>44692</v>
      </c>
    </row>
    <row r="16775" spans="1:6" x14ac:dyDescent="0.3">
      <c r="A16775" s="15" t="s">
        <v>33395</v>
      </c>
      <c r="B16775" s="15" t="s">
        <v>31192</v>
      </c>
      <c r="C16775" s="15" t="s">
        <v>800</v>
      </c>
      <c r="D16775" s="15" t="s">
        <v>31193</v>
      </c>
      <c r="E16775" s="15">
        <v>20.9434</v>
      </c>
      <c r="F16775" s="42">
        <v>44034</v>
      </c>
    </row>
    <row r="16776" spans="1:6" x14ac:dyDescent="0.3">
      <c r="A16776" s="15" t="s">
        <v>33394</v>
      </c>
      <c r="B16776" s="15" t="s">
        <v>31194</v>
      </c>
      <c r="C16776" s="15" t="s">
        <v>800</v>
      </c>
      <c r="D16776" s="15" t="s">
        <v>31195</v>
      </c>
      <c r="E16776" s="15">
        <v>25.0959</v>
      </c>
      <c r="F16776" s="42">
        <v>44692</v>
      </c>
    </row>
    <row r="16777" spans="1:6" x14ac:dyDescent="0.3">
      <c r="A16777" s="15" t="s">
        <v>33393</v>
      </c>
      <c r="B16777" s="15" t="s">
        <v>31196</v>
      </c>
      <c r="C16777" s="15" t="s">
        <v>31197</v>
      </c>
      <c r="D16777" s="15" t="s">
        <v>31198</v>
      </c>
      <c r="E16777" s="15">
        <v>10.071400000000001</v>
      </c>
      <c r="F16777" s="42">
        <v>44692</v>
      </c>
    </row>
    <row r="16778" spans="1:6" x14ac:dyDescent="0.3">
      <c r="A16778" s="15" t="s">
        <v>33392</v>
      </c>
      <c r="B16778" s="15" t="s">
        <v>31199</v>
      </c>
      <c r="C16778" s="15" t="s">
        <v>31200</v>
      </c>
      <c r="D16778" s="15" t="s">
        <v>31201</v>
      </c>
      <c r="E16778" s="15">
        <v>10.0671</v>
      </c>
      <c r="F16778" s="42">
        <v>44692</v>
      </c>
    </row>
    <row r="16779" spans="1:6" x14ac:dyDescent="0.3">
      <c r="A16779" s="15" t="s">
        <v>33391</v>
      </c>
      <c r="B16779" s="15" t="s">
        <v>31202</v>
      </c>
      <c r="C16779" s="15" t="s">
        <v>800</v>
      </c>
      <c r="D16779" s="15" t="s">
        <v>31203</v>
      </c>
      <c r="E16779" s="15">
        <v>25.166</v>
      </c>
      <c r="F16779" s="42">
        <v>44692</v>
      </c>
    </row>
    <row r="16780" spans="1:6" x14ac:dyDescent="0.3">
      <c r="A16780" s="15" t="s">
        <v>33390</v>
      </c>
      <c r="B16780" s="15" t="s">
        <v>31204</v>
      </c>
      <c r="C16780" s="15" t="s">
        <v>800</v>
      </c>
      <c r="D16780" s="15" t="s">
        <v>31205</v>
      </c>
      <c r="E16780" s="15">
        <v>24.700399999999998</v>
      </c>
      <c r="F16780" s="42">
        <v>44692</v>
      </c>
    </row>
    <row r="16781" spans="1:6" x14ac:dyDescent="0.3">
      <c r="A16781" s="15" t="s">
        <v>33389</v>
      </c>
      <c r="B16781" s="15" t="s">
        <v>31206</v>
      </c>
      <c r="C16781" s="15" t="s">
        <v>31207</v>
      </c>
      <c r="D16781" s="15" t="s">
        <v>31208</v>
      </c>
      <c r="E16781" s="15">
        <v>10.061299999999999</v>
      </c>
      <c r="F16781" s="42">
        <v>44692</v>
      </c>
    </row>
    <row r="16782" spans="1:6" x14ac:dyDescent="0.3">
      <c r="A16782" s="15" t="s">
        <v>33388</v>
      </c>
      <c r="B16782" s="15" t="s">
        <v>31209</v>
      </c>
      <c r="C16782" s="15" t="s">
        <v>31210</v>
      </c>
      <c r="D16782" s="15" t="s">
        <v>31211</v>
      </c>
      <c r="E16782" s="15">
        <v>10.056900000000001</v>
      </c>
      <c r="F16782" s="42">
        <v>44692</v>
      </c>
    </row>
    <row r="16783" spans="1:6" x14ac:dyDescent="0.3">
      <c r="A16783" s="15" t="s">
        <v>33387</v>
      </c>
      <c r="B16783" s="15" t="s">
        <v>31212</v>
      </c>
      <c r="C16783" s="15" t="s">
        <v>800</v>
      </c>
      <c r="D16783" s="15" t="s">
        <v>31213</v>
      </c>
      <c r="E16783" s="15">
        <v>10</v>
      </c>
      <c r="F16783" s="42">
        <v>44341</v>
      </c>
    </row>
    <row r="16784" spans="1:6" x14ac:dyDescent="0.3">
      <c r="A16784" s="15" t="s">
        <v>33386</v>
      </c>
      <c r="B16784" s="15" t="s">
        <v>31214</v>
      </c>
      <c r="C16784" s="15" t="s">
        <v>800</v>
      </c>
      <c r="D16784" s="15" t="s">
        <v>31215</v>
      </c>
      <c r="E16784" s="15">
        <v>10</v>
      </c>
      <c r="F16784" s="42">
        <v>44341</v>
      </c>
    </row>
    <row r="16785" spans="1:6" x14ac:dyDescent="0.3">
      <c r="A16785" s="15" t="s">
        <v>33385</v>
      </c>
      <c r="B16785" s="15" t="s">
        <v>31216</v>
      </c>
      <c r="C16785" s="15" t="s">
        <v>800</v>
      </c>
      <c r="D16785" s="15" t="s">
        <v>31217</v>
      </c>
      <c r="E16785" s="15">
        <v>10</v>
      </c>
      <c r="F16785" s="42">
        <v>44341</v>
      </c>
    </row>
    <row r="16786" spans="1:6" x14ac:dyDescent="0.3">
      <c r="A16786" s="15" t="s">
        <v>33384</v>
      </c>
      <c r="B16786" s="15" t="s">
        <v>31218</v>
      </c>
      <c r="C16786" s="15" t="s">
        <v>800</v>
      </c>
      <c r="D16786" s="15" t="s">
        <v>31219</v>
      </c>
      <c r="E16786" s="15">
        <v>10</v>
      </c>
      <c r="F16786" s="42">
        <v>44341</v>
      </c>
    </row>
    <row r="16787" spans="1:6" x14ac:dyDescent="0.3">
      <c r="A16787" s="15" t="s">
        <v>33383</v>
      </c>
      <c r="B16787" s="15" t="s">
        <v>31220</v>
      </c>
      <c r="C16787" s="15" t="s">
        <v>800</v>
      </c>
      <c r="D16787" s="15" t="s">
        <v>31221</v>
      </c>
      <c r="E16787" s="15">
        <v>10</v>
      </c>
      <c r="F16787" s="42">
        <v>44341</v>
      </c>
    </row>
    <row r="16788" spans="1:6" x14ac:dyDescent="0.3">
      <c r="A16788" s="15" t="s">
        <v>33382</v>
      </c>
      <c r="B16788" s="15" t="s">
        <v>31222</v>
      </c>
      <c r="C16788" s="15" t="s">
        <v>800</v>
      </c>
      <c r="D16788" s="15" t="s">
        <v>31223</v>
      </c>
      <c r="E16788" s="15">
        <v>10</v>
      </c>
      <c r="F16788" s="42">
        <v>44341</v>
      </c>
    </row>
    <row r="16789" spans="1:6" x14ac:dyDescent="0.3">
      <c r="A16789" s="15" t="s">
        <v>33381</v>
      </c>
      <c r="B16789" s="15" t="s">
        <v>31224</v>
      </c>
      <c r="C16789" s="15" t="s">
        <v>800</v>
      </c>
      <c r="D16789" s="15" t="s">
        <v>31225</v>
      </c>
      <c r="E16789" s="15">
        <v>10</v>
      </c>
      <c r="F16789" s="42">
        <v>44341</v>
      </c>
    </row>
    <row r="16790" spans="1:6" x14ac:dyDescent="0.3">
      <c r="A16790" s="15" t="s">
        <v>33380</v>
      </c>
      <c r="B16790" s="15" t="s">
        <v>31226</v>
      </c>
      <c r="C16790" s="15" t="s">
        <v>800</v>
      </c>
      <c r="D16790" s="15" t="s">
        <v>31227</v>
      </c>
      <c r="E16790" s="15">
        <v>12.4802</v>
      </c>
      <c r="F16790" s="42">
        <v>44341</v>
      </c>
    </row>
    <row r="16791" spans="1:6" x14ac:dyDescent="0.3">
      <c r="A16791" s="15" t="s">
        <v>33379</v>
      </c>
      <c r="B16791" s="15" t="s">
        <v>31228</v>
      </c>
      <c r="C16791" s="15" t="s">
        <v>800</v>
      </c>
      <c r="D16791" s="15" t="s">
        <v>31229</v>
      </c>
      <c r="E16791" s="15">
        <v>12.3558</v>
      </c>
      <c r="F16791" s="42">
        <v>44341</v>
      </c>
    </row>
    <row r="16792" spans="1:6" x14ac:dyDescent="0.3">
      <c r="A16792" s="15" t="s">
        <v>33378</v>
      </c>
      <c r="B16792" s="15" t="s">
        <v>31230</v>
      </c>
      <c r="C16792" s="15" t="s">
        <v>800</v>
      </c>
      <c r="D16792" s="15" t="s">
        <v>31231</v>
      </c>
      <c r="E16792" s="15">
        <v>9.7360000000000007</v>
      </c>
      <c r="F16792" s="42">
        <v>44341</v>
      </c>
    </row>
    <row r="16793" spans="1:6" x14ac:dyDescent="0.3">
      <c r="A16793" s="15" t="s">
        <v>33377</v>
      </c>
      <c r="B16793" s="15" t="s">
        <v>31232</v>
      </c>
      <c r="C16793" s="15" t="s">
        <v>800</v>
      </c>
      <c r="D16793" s="15" t="s">
        <v>31233</v>
      </c>
      <c r="E16793" s="15">
        <v>10</v>
      </c>
      <c r="F16793" s="42">
        <v>44341</v>
      </c>
    </row>
    <row r="16794" spans="1:6" x14ac:dyDescent="0.3">
      <c r="A16794" s="15" t="s">
        <v>33376</v>
      </c>
      <c r="B16794" s="15" t="s">
        <v>31234</v>
      </c>
      <c r="C16794" s="15" t="s">
        <v>800</v>
      </c>
      <c r="D16794" s="15" t="s">
        <v>31235</v>
      </c>
      <c r="E16794" s="15">
        <v>9.7356999999999996</v>
      </c>
      <c r="F16794" s="42">
        <v>44341</v>
      </c>
    </row>
    <row r="16795" spans="1:6" x14ac:dyDescent="0.3">
      <c r="A16795" s="15" t="s">
        <v>33375</v>
      </c>
      <c r="B16795" s="15" t="s">
        <v>31236</v>
      </c>
      <c r="C16795" s="15" t="s">
        <v>800</v>
      </c>
      <c r="D16795" s="15" t="s">
        <v>31237</v>
      </c>
      <c r="E16795" s="15">
        <v>9.73</v>
      </c>
      <c r="F16795" s="42">
        <v>44341</v>
      </c>
    </row>
    <row r="16796" spans="1:6" x14ac:dyDescent="0.3">
      <c r="A16796" s="15" t="s">
        <v>33374</v>
      </c>
      <c r="B16796" s="15" t="s">
        <v>31238</v>
      </c>
      <c r="C16796" s="15" t="s">
        <v>800</v>
      </c>
      <c r="D16796" s="15" t="s">
        <v>31239</v>
      </c>
      <c r="E16796" s="15">
        <v>10</v>
      </c>
      <c r="F16796" s="42">
        <v>44341</v>
      </c>
    </row>
    <row r="16797" spans="1:6" x14ac:dyDescent="0.3">
      <c r="A16797" s="15" t="s">
        <v>33373</v>
      </c>
      <c r="B16797" s="15" t="s">
        <v>31240</v>
      </c>
      <c r="C16797" s="15" t="s">
        <v>800</v>
      </c>
      <c r="D16797" s="15" t="s">
        <v>31241</v>
      </c>
      <c r="E16797" s="15">
        <v>10</v>
      </c>
      <c r="F16797" s="42">
        <v>44341</v>
      </c>
    </row>
    <row r="16798" spans="1:6" x14ac:dyDescent="0.3">
      <c r="A16798" s="15" t="s">
        <v>33372</v>
      </c>
      <c r="B16798" s="15" t="s">
        <v>31242</v>
      </c>
      <c r="C16798" s="15" t="s">
        <v>800</v>
      </c>
      <c r="D16798" s="15" t="s">
        <v>31243</v>
      </c>
      <c r="E16798" s="15">
        <v>9.7297999999999991</v>
      </c>
      <c r="F16798" s="42">
        <v>44341</v>
      </c>
    </row>
    <row r="16799" spans="1:6" x14ac:dyDescent="0.3">
      <c r="A16799" s="15" t="s">
        <v>33371</v>
      </c>
      <c r="B16799" s="15" t="s">
        <v>31244</v>
      </c>
      <c r="C16799" s="15" t="s">
        <v>800</v>
      </c>
      <c r="D16799" s="15" t="s">
        <v>31245</v>
      </c>
      <c r="E16799" s="15">
        <v>11.419</v>
      </c>
      <c r="F16799" s="42">
        <v>44341</v>
      </c>
    </row>
    <row r="16800" spans="1:6" x14ac:dyDescent="0.3">
      <c r="A16800" s="15" t="s">
        <v>33370</v>
      </c>
      <c r="B16800" s="15" t="s">
        <v>31246</v>
      </c>
      <c r="C16800" s="15" t="s">
        <v>800</v>
      </c>
      <c r="D16800" s="15" t="s">
        <v>31247</v>
      </c>
      <c r="E16800" s="15">
        <v>11.305400000000001</v>
      </c>
      <c r="F16800" s="42">
        <v>44341</v>
      </c>
    </row>
    <row r="16801" spans="1:6" x14ac:dyDescent="0.3">
      <c r="A16801" s="15" t="s">
        <v>33369</v>
      </c>
      <c r="B16801" s="15" t="s">
        <v>31248</v>
      </c>
      <c r="C16801" s="15" t="s">
        <v>800</v>
      </c>
      <c r="D16801" s="15" t="s">
        <v>31249</v>
      </c>
      <c r="E16801" s="15">
        <v>10</v>
      </c>
      <c r="F16801" s="42">
        <v>44369</v>
      </c>
    </row>
    <row r="16802" spans="1:6" x14ac:dyDescent="0.3">
      <c r="A16802" s="15" t="s">
        <v>33368</v>
      </c>
      <c r="B16802" s="15" t="s">
        <v>31250</v>
      </c>
      <c r="C16802" s="15" t="s">
        <v>800</v>
      </c>
      <c r="D16802" s="15" t="s">
        <v>31251</v>
      </c>
      <c r="E16802" s="15">
        <v>10</v>
      </c>
      <c r="F16802" s="42">
        <v>44369</v>
      </c>
    </row>
    <row r="16803" spans="1:6" x14ac:dyDescent="0.3">
      <c r="A16803" s="15" t="s">
        <v>33367</v>
      </c>
      <c r="B16803" s="15" t="s">
        <v>31252</v>
      </c>
      <c r="C16803" s="15" t="s">
        <v>800</v>
      </c>
      <c r="D16803" s="15" t="s">
        <v>31253</v>
      </c>
      <c r="E16803" s="15">
        <v>10</v>
      </c>
      <c r="F16803" s="42">
        <v>44369</v>
      </c>
    </row>
    <row r="16804" spans="1:6" x14ac:dyDescent="0.3">
      <c r="A16804" s="15" t="s">
        <v>33366</v>
      </c>
      <c r="B16804" s="15" t="s">
        <v>31254</v>
      </c>
      <c r="C16804" s="15" t="s">
        <v>800</v>
      </c>
      <c r="D16804" s="15" t="s">
        <v>31255</v>
      </c>
      <c r="E16804" s="15">
        <v>10</v>
      </c>
      <c r="F16804" s="42">
        <v>44369</v>
      </c>
    </row>
    <row r="16805" spans="1:6" x14ac:dyDescent="0.3">
      <c r="A16805" s="15" t="s">
        <v>33365</v>
      </c>
      <c r="B16805" s="15" t="s">
        <v>31256</v>
      </c>
      <c r="C16805" s="15" t="s">
        <v>800</v>
      </c>
      <c r="D16805" s="15" t="s">
        <v>31257</v>
      </c>
      <c r="E16805" s="15">
        <v>10</v>
      </c>
      <c r="F16805" s="42">
        <v>44369</v>
      </c>
    </row>
    <row r="16806" spans="1:6" x14ac:dyDescent="0.3">
      <c r="A16806" s="15" t="s">
        <v>33364</v>
      </c>
      <c r="B16806" s="15" t="s">
        <v>31258</v>
      </c>
      <c r="C16806" s="15" t="s">
        <v>800</v>
      </c>
      <c r="D16806" s="15" t="s">
        <v>31259</v>
      </c>
      <c r="E16806" s="15">
        <v>10</v>
      </c>
      <c r="F16806" s="42">
        <v>44369</v>
      </c>
    </row>
    <row r="16807" spans="1:6" x14ac:dyDescent="0.3">
      <c r="A16807" s="15" t="s">
        <v>33363</v>
      </c>
      <c r="B16807" s="15" t="s">
        <v>31260</v>
      </c>
      <c r="C16807" s="15" t="s">
        <v>800</v>
      </c>
      <c r="D16807" s="15" t="s">
        <v>31261</v>
      </c>
      <c r="E16807" s="15">
        <v>10</v>
      </c>
      <c r="F16807" s="42">
        <v>44369</v>
      </c>
    </row>
    <row r="16808" spans="1:6" x14ac:dyDescent="0.3">
      <c r="A16808" s="15" t="s">
        <v>33362</v>
      </c>
      <c r="B16808" s="15" t="s">
        <v>31262</v>
      </c>
      <c r="C16808" s="15" t="s">
        <v>800</v>
      </c>
      <c r="D16808" s="15" t="s">
        <v>31263</v>
      </c>
      <c r="E16808" s="15">
        <v>11.395099999999999</v>
      </c>
      <c r="F16808" s="42">
        <v>44369</v>
      </c>
    </row>
    <row r="16809" spans="1:6" x14ac:dyDescent="0.3">
      <c r="A16809" s="15" t="s">
        <v>33361</v>
      </c>
      <c r="B16809" s="15" t="s">
        <v>31264</v>
      </c>
      <c r="C16809" s="15" t="s">
        <v>800</v>
      </c>
      <c r="D16809" s="15" t="s">
        <v>31265</v>
      </c>
      <c r="E16809" s="15">
        <v>11.281499999999999</v>
      </c>
      <c r="F16809" s="42">
        <v>44369</v>
      </c>
    </row>
    <row r="16810" spans="1:6" x14ac:dyDescent="0.3">
      <c r="A16810" s="15" t="s">
        <v>33360</v>
      </c>
      <c r="B16810" s="15" t="s">
        <v>31266</v>
      </c>
      <c r="C16810" s="15" t="s">
        <v>800</v>
      </c>
      <c r="D16810" s="15" t="s">
        <v>31267</v>
      </c>
      <c r="E16810" s="15">
        <v>10</v>
      </c>
      <c r="F16810" s="42">
        <v>44656</v>
      </c>
    </row>
    <row r="16811" spans="1:6" x14ac:dyDescent="0.3">
      <c r="A16811" s="15" t="s">
        <v>33359</v>
      </c>
      <c r="B16811" s="15" t="s">
        <v>31268</v>
      </c>
      <c r="C16811" s="15" t="s">
        <v>800</v>
      </c>
      <c r="D16811" s="15" t="s">
        <v>31269</v>
      </c>
      <c r="E16811" s="15">
        <v>10</v>
      </c>
      <c r="F16811" s="42">
        <v>44656</v>
      </c>
    </row>
    <row r="16812" spans="1:6" x14ac:dyDescent="0.3">
      <c r="A16812" s="15" t="s">
        <v>33358</v>
      </c>
      <c r="B16812" s="15" t="s">
        <v>31270</v>
      </c>
      <c r="C16812" s="15" t="s">
        <v>800</v>
      </c>
      <c r="D16812" s="15" t="s">
        <v>31271</v>
      </c>
      <c r="E16812" s="15">
        <v>13.4977</v>
      </c>
      <c r="F16812" s="42">
        <v>44656</v>
      </c>
    </row>
    <row r="16813" spans="1:6" x14ac:dyDescent="0.3">
      <c r="A16813" s="15" t="s">
        <v>33357</v>
      </c>
      <c r="B16813" s="15" t="s">
        <v>31272</v>
      </c>
      <c r="C16813" s="15" t="s">
        <v>800</v>
      </c>
      <c r="D16813" s="15" t="s">
        <v>31273</v>
      </c>
      <c r="E16813" s="15">
        <v>13.394500000000001</v>
      </c>
      <c r="F16813" s="42">
        <v>44656</v>
      </c>
    </row>
    <row r="16814" spans="1:6" x14ac:dyDescent="0.3">
      <c r="A16814" s="15" t="s">
        <v>33356</v>
      </c>
      <c r="B16814" s="15" t="s">
        <v>31274</v>
      </c>
      <c r="C16814" s="15" t="s">
        <v>800</v>
      </c>
      <c r="D16814" s="15" t="s">
        <v>31275</v>
      </c>
      <c r="E16814" s="15">
        <v>10.0001</v>
      </c>
      <c r="F16814" s="42">
        <v>44392</v>
      </c>
    </row>
    <row r="16815" spans="1:6" x14ac:dyDescent="0.3">
      <c r="A16815" s="15" t="s">
        <v>33355</v>
      </c>
      <c r="B16815" s="15" t="s">
        <v>31276</v>
      </c>
      <c r="C16815" s="15" t="s">
        <v>800</v>
      </c>
      <c r="D16815" s="15" t="s">
        <v>31277</v>
      </c>
      <c r="E16815" s="15">
        <v>10</v>
      </c>
      <c r="F16815" s="42">
        <v>44392</v>
      </c>
    </row>
    <row r="16816" spans="1:6" x14ac:dyDescent="0.3">
      <c r="A16816" s="15" t="s">
        <v>33354</v>
      </c>
      <c r="B16816" s="15" t="s">
        <v>31278</v>
      </c>
      <c r="C16816" s="15" t="s">
        <v>800</v>
      </c>
      <c r="D16816" s="15" t="s">
        <v>31279</v>
      </c>
      <c r="E16816" s="15">
        <v>10</v>
      </c>
      <c r="F16816" s="42">
        <v>44392</v>
      </c>
    </row>
    <row r="16817" spans="1:6" x14ac:dyDescent="0.3">
      <c r="A16817" s="15" t="s">
        <v>33353</v>
      </c>
      <c r="B16817" s="15" t="s">
        <v>31280</v>
      </c>
      <c r="C16817" s="15" t="s">
        <v>800</v>
      </c>
      <c r="D16817" s="15" t="s">
        <v>31281</v>
      </c>
      <c r="E16817" s="15">
        <v>10</v>
      </c>
      <c r="F16817" s="42">
        <v>44392</v>
      </c>
    </row>
    <row r="16818" spans="1:6" x14ac:dyDescent="0.3">
      <c r="A16818" s="15" t="s">
        <v>33352</v>
      </c>
      <c r="B16818" s="15" t="s">
        <v>31282</v>
      </c>
      <c r="C16818" s="15" t="s">
        <v>800</v>
      </c>
      <c r="D16818" s="15" t="s">
        <v>31283</v>
      </c>
      <c r="E16818" s="15">
        <v>10.0001</v>
      </c>
      <c r="F16818" s="42">
        <v>44392</v>
      </c>
    </row>
    <row r="16819" spans="1:6" x14ac:dyDescent="0.3">
      <c r="A16819" s="15" t="s">
        <v>33351</v>
      </c>
      <c r="B16819" s="15" t="s">
        <v>31284</v>
      </c>
      <c r="C16819" s="15" t="s">
        <v>800</v>
      </c>
      <c r="D16819" s="15" t="s">
        <v>31285</v>
      </c>
      <c r="E16819" s="15">
        <v>10</v>
      </c>
      <c r="F16819" s="42">
        <v>44392</v>
      </c>
    </row>
    <row r="16820" spans="1:6" x14ac:dyDescent="0.3">
      <c r="A16820" s="15" t="s">
        <v>33350</v>
      </c>
      <c r="B16820" s="15" t="s">
        <v>31286</v>
      </c>
      <c r="C16820" s="15" t="s">
        <v>800</v>
      </c>
      <c r="D16820" s="15" t="s">
        <v>31287</v>
      </c>
      <c r="E16820" s="15">
        <v>10.966900000000001</v>
      </c>
      <c r="F16820" s="42">
        <v>44392</v>
      </c>
    </row>
    <row r="16821" spans="1:6" x14ac:dyDescent="0.3">
      <c r="A16821" s="15" t="s">
        <v>33349</v>
      </c>
      <c r="B16821" s="15" t="s">
        <v>31288</v>
      </c>
      <c r="C16821" s="15" t="s">
        <v>800</v>
      </c>
      <c r="D16821" s="15" t="s">
        <v>31289</v>
      </c>
      <c r="E16821" s="15">
        <v>10.8574</v>
      </c>
      <c r="F16821" s="42">
        <v>44392</v>
      </c>
    </row>
    <row r="16822" spans="1:6" x14ac:dyDescent="0.3">
      <c r="A16822" s="15" t="s">
        <v>33348</v>
      </c>
      <c r="B16822" s="15" t="s">
        <v>31290</v>
      </c>
      <c r="C16822" s="15" t="s">
        <v>800</v>
      </c>
      <c r="D16822" s="15" t="s">
        <v>31291</v>
      </c>
      <c r="E16822" s="15">
        <v>10</v>
      </c>
      <c r="F16822" s="42">
        <v>44369</v>
      </c>
    </row>
    <row r="16823" spans="1:6" x14ac:dyDescent="0.3">
      <c r="A16823" s="15" t="s">
        <v>33347</v>
      </c>
      <c r="B16823" s="15" t="s">
        <v>31292</v>
      </c>
      <c r="C16823" s="15" t="s">
        <v>800</v>
      </c>
      <c r="D16823" s="15" t="s">
        <v>31293</v>
      </c>
      <c r="E16823" s="15">
        <v>10</v>
      </c>
      <c r="F16823" s="42">
        <v>44369</v>
      </c>
    </row>
    <row r="16824" spans="1:6" x14ac:dyDescent="0.3">
      <c r="A16824" s="15" t="s">
        <v>33346</v>
      </c>
      <c r="B16824" s="15" t="s">
        <v>31294</v>
      </c>
      <c r="C16824" s="15" t="s">
        <v>800</v>
      </c>
      <c r="D16824" s="15" t="s">
        <v>31295</v>
      </c>
      <c r="E16824" s="15">
        <v>10</v>
      </c>
      <c r="F16824" s="42">
        <v>44369</v>
      </c>
    </row>
    <row r="16825" spans="1:6" x14ac:dyDescent="0.3">
      <c r="A16825" s="15" t="s">
        <v>33345</v>
      </c>
      <c r="B16825" s="15" t="s">
        <v>31296</v>
      </c>
      <c r="C16825" s="15" t="s">
        <v>800</v>
      </c>
      <c r="D16825" s="15" t="s">
        <v>31297</v>
      </c>
      <c r="E16825" s="15">
        <v>10</v>
      </c>
      <c r="F16825" s="42">
        <v>44369</v>
      </c>
    </row>
    <row r="16826" spans="1:6" x14ac:dyDescent="0.3">
      <c r="A16826" s="15" t="s">
        <v>33344</v>
      </c>
      <c r="B16826" s="15" t="s">
        <v>31298</v>
      </c>
      <c r="C16826" s="15" t="s">
        <v>800</v>
      </c>
      <c r="D16826" s="15" t="s">
        <v>31299</v>
      </c>
      <c r="E16826" s="15">
        <v>10</v>
      </c>
      <c r="F16826" s="42">
        <v>44369</v>
      </c>
    </row>
    <row r="16827" spans="1:6" x14ac:dyDescent="0.3">
      <c r="A16827" s="15" t="s">
        <v>33343</v>
      </c>
      <c r="B16827" s="15" t="s">
        <v>31300</v>
      </c>
      <c r="C16827" s="15" t="s">
        <v>800</v>
      </c>
      <c r="D16827" s="15" t="s">
        <v>31301</v>
      </c>
      <c r="E16827" s="15">
        <v>10</v>
      </c>
      <c r="F16827" s="42">
        <v>44369</v>
      </c>
    </row>
    <row r="16828" spans="1:6" x14ac:dyDescent="0.3">
      <c r="A16828" s="15" t="s">
        <v>33342</v>
      </c>
      <c r="B16828" s="15" t="s">
        <v>31302</v>
      </c>
      <c r="C16828" s="15" t="s">
        <v>800</v>
      </c>
      <c r="D16828" s="15" t="s">
        <v>31303</v>
      </c>
      <c r="E16828" s="15">
        <v>10</v>
      </c>
      <c r="F16828" s="42">
        <v>44369</v>
      </c>
    </row>
    <row r="16829" spans="1:6" x14ac:dyDescent="0.3">
      <c r="A16829" s="15" t="s">
        <v>33341</v>
      </c>
      <c r="B16829" s="15" t="s">
        <v>31304</v>
      </c>
      <c r="C16829" s="15" t="s">
        <v>800</v>
      </c>
      <c r="D16829" s="15" t="s">
        <v>31305</v>
      </c>
      <c r="E16829" s="15">
        <v>10</v>
      </c>
      <c r="F16829" s="42">
        <v>44369</v>
      </c>
    </row>
    <row r="16830" spans="1:6" x14ac:dyDescent="0.3">
      <c r="A16830" s="15" t="s">
        <v>33340</v>
      </c>
      <c r="B16830" s="15" t="s">
        <v>31306</v>
      </c>
      <c r="C16830" s="15" t="s">
        <v>800</v>
      </c>
      <c r="D16830" s="15" t="s">
        <v>31307</v>
      </c>
      <c r="E16830" s="15">
        <v>11.533099999999999</v>
      </c>
      <c r="F16830" s="42">
        <v>44369</v>
      </c>
    </row>
    <row r="16831" spans="1:6" x14ac:dyDescent="0.3">
      <c r="A16831" s="15" t="s">
        <v>33339</v>
      </c>
      <c r="B16831" s="15" t="s">
        <v>31308</v>
      </c>
      <c r="C16831" s="15" t="s">
        <v>800</v>
      </c>
      <c r="D16831" s="15" t="s">
        <v>31309</v>
      </c>
      <c r="E16831" s="15">
        <v>11.4175</v>
      </c>
      <c r="F16831" s="42">
        <v>44369</v>
      </c>
    </row>
    <row r="16832" spans="1:6" x14ac:dyDescent="0.3">
      <c r="A16832" s="15" t="s">
        <v>33338</v>
      </c>
      <c r="B16832" s="15" t="s">
        <v>31310</v>
      </c>
      <c r="C16832" s="15" t="s">
        <v>800</v>
      </c>
      <c r="D16832" s="15" t="s">
        <v>31311</v>
      </c>
      <c r="E16832" s="15">
        <v>10</v>
      </c>
      <c r="F16832" s="42">
        <v>44383</v>
      </c>
    </row>
    <row r="16833" spans="1:6" x14ac:dyDescent="0.3">
      <c r="A16833" s="15" t="s">
        <v>33337</v>
      </c>
      <c r="B16833" s="15" t="s">
        <v>31312</v>
      </c>
      <c r="C16833" s="15" t="s">
        <v>800</v>
      </c>
      <c r="D16833" s="15" t="s">
        <v>31313</v>
      </c>
      <c r="E16833" s="15">
        <v>10</v>
      </c>
      <c r="F16833" s="42">
        <v>44383</v>
      </c>
    </row>
    <row r="16834" spans="1:6" x14ac:dyDescent="0.3">
      <c r="A16834" s="15" t="s">
        <v>33336</v>
      </c>
      <c r="B16834" s="15" t="s">
        <v>31314</v>
      </c>
      <c r="C16834" s="15" t="s">
        <v>800</v>
      </c>
      <c r="D16834" s="15" t="s">
        <v>31315</v>
      </c>
      <c r="E16834" s="15">
        <v>12.749000000000001</v>
      </c>
      <c r="F16834" s="42">
        <v>44383</v>
      </c>
    </row>
    <row r="16835" spans="1:6" x14ac:dyDescent="0.3">
      <c r="A16835" s="15" t="s">
        <v>33335</v>
      </c>
      <c r="B16835" s="15" t="s">
        <v>31316</v>
      </c>
      <c r="C16835" s="15" t="s">
        <v>800</v>
      </c>
      <c r="D16835" s="15" t="s">
        <v>31317</v>
      </c>
      <c r="E16835" s="15">
        <v>12.711</v>
      </c>
      <c r="F16835" s="42">
        <v>44383</v>
      </c>
    </row>
    <row r="16836" spans="1:6" x14ac:dyDescent="0.3">
      <c r="A16836" s="15" t="s">
        <v>33334</v>
      </c>
      <c r="B16836" s="15" t="s">
        <v>31318</v>
      </c>
      <c r="C16836" s="15" t="s">
        <v>800</v>
      </c>
      <c r="D16836" s="15" t="s">
        <v>31319</v>
      </c>
      <c r="E16836" s="15">
        <v>10</v>
      </c>
      <c r="F16836" s="42">
        <v>44392</v>
      </c>
    </row>
    <row r="16837" spans="1:6" x14ac:dyDescent="0.3">
      <c r="A16837" s="15" t="s">
        <v>33333</v>
      </c>
      <c r="B16837" s="15" t="s">
        <v>31320</v>
      </c>
      <c r="C16837" s="15" t="s">
        <v>800</v>
      </c>
      <c r="D16837" s="15" t="s">
        <v>31321</v>
      </c>
      <c r="E16837" s="15">
        <v>10</v>
      </c>
      <c r="F16837" s="42">
        <v>44392</v>
      </c>
    </row>
    <row r="16838" spans="1:6" x14ac:dyDescent="0.3">
      <c r="A16838" s="15" t="s">
        <v>33332</v>
      </c>
      <c r="B16838" s="15" t="s">
        <v>31322</v>
      </c>
      <c r="C16838" s="15" t="s">
        <v>800</v>
      </c>
      <c r="D16838" s="15" t="s">
        <v>31323</v>
      </c>
      <c r="E16838" s="15">
        <v>10</v>
      </c>
      <c r="F16838" s="42">
        <v>44392</v>
      </c>
    </row>
    <row r="16839" spans="1:6" x14ac:dyDescent="0.3">
      <c r="A16839" s="15" t="s">
        <v>33331</v>
      </c>
      <c r="B16839" s="15" t="s">
        <v>31324</v>
      </c>
      <c r="C16839" s="15" t="s">
        <v>800</v>
      </c>
      <c r="D16839" s="15" t="s">
        <v>31325</v>
      </c>
      <c r="E16839" s="15">
        <v>12.5388</v>
      </c>
      <c r="F16839" s="42">
        <v>44392</v>
      </c>
    </row>
    <row r="16840" spans="1:6" x14ac:dyDescent="0.3">
      <c r="A16840" s="15" t="s">
        <v>33330</v>
      </c>
      <c r="B16840" s="15" t="s">
        <v>31326</v>
      </c>
      <c r="C16840" s="15" t="s">
        <v>800</v>
      </c>
      <c r="D16840" s="15" t="s">
        <v>31327</v>
      </c>
      <c r="E16840" s="15">
        <v>12.443199999999999</v>
      </c>
      <c r="F16840" s="42">
        <v>44392</v>
      </c>
    </row>
    <row r="16841" spans="1:6" x14ac:dyDescent="0.3">
      <c r="A16841" s="15" t="s">
        <v>33329</v>
      </c>
      <c r="B16841" s="15" t="s">
        <v>31328</v>
      </c>
      <c r="C16841" s="15" t="s">
        <v>800</v>
      </c>
      <c r="D16841" s="15" t="s">
        <v>31329</v>
      </c>
      <c r="E16841" s="15">
        <v>10</v>
      </c>
      <c r="F16841" s="42">
        <v>44392</v>
      </c>
    </row>
    <row r="16842" spans="1:6" x14ac:dyDescent="0.3">
      <c r="A16842" s="15" t="s">
        <v>33328</v>
      </c>
      <c r="B16842" s="15" t="s">
        <v>31330</v>
      </c>
      <c r="C16842" s="15" t="s">
        <v>800</v>
      </c>
      <c r="D16842" s="15" t="s">
        <v>31331</v>
      </c>
      <c r="E16842" s="15">
        <v>10</v>
      </c>
      <c r="F16842" s="42">
        <v>44392</v>
      </c>
    </row>
    <row r="16843" spans="1:6" x14ac:dyDescent="0.3">
      <c r="A16843" s="15" t="s">
        <v>33327</v>
      </c>
      <c r="B16843" s="15" t="s">
        <v>31332</v>
      </c>
      <c r="C16843" s="15" t="s">
        <v>800</v>
      </c>
      <c r="D16843" s="15" t="s">
        <v>31333</v>
      </c>
      <c r="E16843" s="15">
        <v>10</v>
      </c>
      <c r="F16843" s="42">
        <v>44392</v>
      </c>
    </row>
    <row r="16844" spans="1:6" x14ac:dyDescent="0.3">
      <c r="A16844" s="15" t="s">
        <v>33326</v>
      </c>
      <c r="B16844" s="15" t="s">
        <v>31334</v>
      </c>
      <c r="C16844" s="15" t="s">
        <v>800</v>
      </c>
      <c r="D16844" s="15" t="s">
        <v>31335</v>
      </c>
      <c r="E16844" s="15">
        <v>10</v>
      </c>
      <c r="F16844" s="42">
        <v>44392</v>
      </c>
    </row>
    <row r="16845" spans="1:6" x14ac:dyDescent="0.3">
      <c r="A16845" s="15" t="s">
        <v>33325</v>
      </c>
      <c r="B16845" s="15" t="s">
        <v>31336</v>
      </c>
      <c r="C16845" s="15" t="s">
        <v>800</v>
      </c>
      <c r="D16845" s="15" t="s">
        <v>31337</v>
      </c>
      <c r="E16845" s="15">
        <v>10</v>
      </c>
      <c r="F16845" s="42">
        <v>44392</v>
      </c>
    </row>
    <row r="16846" spans="1:6" x14ac:dyDescent="0.3">
      <c r="A16846" s="15" t="s">
        <v>33324</v>
      </c>
      <c r="B16846" s="15" t="s">
        <v>31338</v>
      </c>
      <c r="C16846" s="15" t="s">
        <v>800</v>
      </c>
      <c r="D16846" s="15" t="s">
        <v>31339</v>
      </c>
      <c r="E16846" s="15">
        <v>10</v>
      </c>
      <c r="F16846" s="42">
        <v>44392</v>
      </c>
    </row>
    <row r="16847" spans="1:6" x14ac:dyDescent="0.3">
      <c r="A16847" s="15" t="s">
        <v>33323</v>
      </c>
      <c r="B16847" s="15" t="s">
        <v>31340</v>
      </c>
      <c r="C16847" s="15" t="s">
        <v>800</v>
      </c>
      <c r="D16847" s="15" t="s">
        <v>31341</v>
      </c>
      <c r="E16847" s="15">
        <v>10</v>
      </c>
      <c r="F16847" s="42">
        <v>44392</v>
      </c>
    </row>
    <row r="16848" spans="1:6" x14ac:dyDescent="0.3">
      <c r="A16848" s="15" t="s">
        <v>33322</v>
      </c>
      <c r="B16848" s="15" t="s">
        <v>31342</v>
      </c>
      <c r="C16848" s="15" t="s">
        <v>800</v>
      </c>
      <c r="D16848" s="15" t="s">
        <v>31343</v>
      </c>
      <c r="E16848" s="15">
        <v>12.765000000000001</v>
      </c>
      <c r="F16848" s="42">
        <v>44392</v>
      </c>
    </row>
    <row r="16849" spans="1:6" x14ac:dyDescent="0.3">
      <c r="A16849" s="15" t="s">
        <v>33321</v>
      </c>
      <c r="B16849" s="15" t="s">
        <v>31344</v>
      </c>
      <c r="C16849" s="15" t="s">
        <v>800</v>
      </c>
      <c r="D16849" s="15" t="s">
        <v>31345</v>
      </c>
      <c r="E16849" s="15">
        <v>12.669499999999999</v>
      </c>
      <c r="F16849" s="42">
        <v>44392</v>
      </c>
    </row>
    <row r="16850" spans="1:6" x14ac:dyDescent="0.3">
      <c r="A16850" s="15" t="s">
        <v>33320</v>
      </c>
      <c r="B16850" s="15" t="s">
        <v>31346</v>
      </c>
      <c r="C16850" s="15" t="s">
        <v>800</v>
      </c>
      <c r="D16850" s="15" t="s">
        <v>31347</v>
      </c>
      <c r="E16850" s="15">
        <v>10</v>
      </c>
      <c r="F16850" s="42">
        <v>44392</v>
      </c>
    </row>
    <row r="16851" spans="1:6" x14ac:dyDescent="0.3">
      <c r="A16851" s="15" t="s">
        <v>33319</v>
      </c>
      <c r="B16851" s="15" t="s">
        <v>31348</v>
      </c>
      <c r="C16851" s="15" t="s">
        <v>800</v>
      </c>
      <c r="D16851" s="15" t="s">
        <v>31349</v>
      </c>
      <c r="E16851" s="15">
        <v>10</v>
      </c>
      <c r="F16851" s="42">
        <v>44392</v>
      </c>
    </row>
    <row r="16852" spans="1:6" x14ac:dyDescent="0.3">
      <c r="A16852" s="15" t="s">
        <v>33318</v>
      </c>
      <c r="B16852" s="15" t="s">
        <v>31350</v>
      </c>
      <c r="C16852" s="15" t="s">
        <v>800</v>
      </c>
      <c r="D16852" s="15" t="s">
        <v>31351</v>
      </c>
      <c r="E16852" s="15">
        <v>11.286799999999999</v>
      </c>
      <c r="F16852" s="42">
        <v>44392</v>
      </c>
    </row>
    <row r="16853" spans="1:6" x14ac:dyDescent="0.3">
      <c r="A16853" s="15" t="s">
        <v>33317</v>
      </c>
      <c r="B16853" s="15" t="s">
        <v>31352</v>
      </c>
      <c r="C16853" s="15" t="s">
        <v>800</v>
      </c>
      <c r="D16853" s="15" t="s">
        <v>31353</v>
      </c>
      <c r="E16853" s="15">
        <v>11.202500000000001</v>
      </c>
      <c r="F16853" s="42">
        <v>44392</v>
      </c>
    </row>
    <row r="16854" spans="1:6" x14ac:dyDescent="0.3">
      <c r="A16854" s="15" t="s">
        <v>33316</v>
      </c>
      <c r="B16854" s="15" t="s">
        <v>31354</v>
      </c>
      <c r="C16854" s="15" t="s">
        <v>800</v>
      </c>
      <c r="D16854" s="15" t="s">
        <v>31355</v>
      </c>
      <c r="E16854" s="15">
        <v>10</v>
      </c>
      <c r="F16854" s="42">
        <v>44420</v>
      </c>
    </row>
    <row r="16855" spans="1:6" x14ac:dyDescent="0.3">
      <c r="A16855" s="15" t="s">
        <v>33315</v>
      </c>
      <c r="B16855" s="15" t="s">
        <v>31356</v>
      </c>
      <c r="C16855" s="15" t="s">
        <v>800</v>
      </c>
      <c r="D16855" s="15" t="s">
        <v>31357</v>
      </c>
      <c r="E16855" s="15">
        <v>10</v>
      </c>
      <c r="F16855" s="42">
        <v>44420</v>
      </c>
    </row>
    <row r="16856" spans="1:6" x14ac:dyDescent="0.3">
      <c r="A16856" s="15" t="s">
        <v>33314</v>
      </c>
      <c r="B16856" s="15" t="s">
        <v>31358</v>
      </c>
      <c r="C16856" s="15" t="s">
        <v>800</v>
      </c>
      <c r="D16856" s="15" t="s">
        <v>31359</v>
      </c>
      <c r="E16856" s="15">
        <v>10</v>
      </c>
      <c r="F16856" s="42">
        <v>44420</v>
      </c>
    </row>
    <row r="16857" spans="1:6" x14ac:dyDescent="0.3">
      <c r="A16857" s="15" t="s">
        <v>33313</v>
      </c>
      <c r="B16857" s="15" t="s">
        <v>31360</v>
      </c>
      <c r="C16857" s="15" t="s">
        <v>800</v>
      </c>
      <c r="D16857" s="15" t="s">
        <v>31361</v>
      </c>
      <c r="E16857" s="15">
        <v>10</v>
      </c>
      <c r="F16857" s="42">
        <v>44420</v>
      </c>
    </row>
    <row r="16858" spans="1:6" x14ac:dyDescent="0.3">
      <c r="A16858" s="15" t="s">
        <v>33312</v>
      </c>
      <c r="B16858" s="15" t="s">
        <v>31362</v>
      </c>
      <c r="C16858" s="15" t="s">
        <v>800</v>
      </c>
      <c r="D16858" s="15" t="s">
        <v>31363</v>
      </c>
      <c r="E16858" s="15">
        <v>10</v>
      </c>
      <c r="F16858" s="42">
        <v>44420</v>
      </c>
    </row>
    <row r="16859" spans="1:6" x14ac:dyDescent="0.3">
      <c r="A16859" s="15" t="s">
        <v>33311</v>
      </c>
      <c r="B16859" s="15" t="s">
        <v>31364</v>
      </c>
      <c r="C16859" s="15" t="s">
        <v>800</v>
      </c>
      <c r="D16859" s="15" t="s">
        <v>31365</v>
      </c>
      <c r="E16859" s="15">
        <v>10</v>
      </c>
      <c r="F16859" s="42">
        <v>44420</v>
      </c>
    </row>
    <row r="16860" spans="1:6" x14ac:dyDescent="0.3">
      <c r="A16860" s="15" t="s">
        <v>33310</v>
      </c>
      <c r="B16860" s="15" t="s">
        <v>31366</v>
      </c>
      <c r="C16860" s="15" t="s">
        <v>800</v>
      </c>
      <c r="D16860" s="15" t="s">
        <v>31367</v>
      </c>
      <c r="E16860" s="15">
        <v>10</v>
      </c>
      <c r="F16860" s="42">
        <v>44420</v>
      </c>
    </row>
    <row r="16861" spans="1:6" x14ac:dyDescent="0.3">
      <c r="A16861" s="15" t="s">
        <v>33309</v>
      </c>
      <c r="B16861" s="15" t="s">
        <v>31368</v>
      </c>
      <c r="C16861" s="15" t="s">
        <v>800</v>
      </c>
      <c r="D16861" s="15" t="s">
        <v>31369</v>
      </c>
      <c r="E16861" s="15">
        <v>12.2971</v>
      </c>
      <c r="F16861" s="42">
        <v>44420</v>
      </c>
    </row>
    <row r="16862" spans="1:6" x14ac:dyDescent="0.3">
      <c r="A16862" s="15" t="s">
        <v>33308</v>
      </c>
      <c r="B16862" s="15" t="s">
        <v>31370</v>
      </c>
      <c r="C16862" s="15" t="s">
        <v>800</v>
      </c>
      <c r="D16862" s="15" t="s">
        <v>31371</v>
      </c>
      <c r="E16862" s="15">
        <v>12.1747</v>
      </c>
      <c r="F16862" s="42">
        <v>44420</v>
      </c>
    </row>
    <row r="16863" spans="1:6" x14ac:dyDescent="0.3">
      <c r="A16863" s="15" t="s">
        <v>33307</v>
      </c>
      <c r="B16863" s="15" t="s">
        <v>31372</v>
      </c>
      <c r="C16863" s="15" t="s">
        <v>800</v>
      </c>
      <c r="D16863" s="15" t="s">
        <v>31373</v>
      </c>
      <c r="E16863" s="15">
        <v>10</v>
      </c>
      <c r="F16863" s="42">
        <v>44418</v>
      </c>
    </row>
    <row r="16864" spans="1:6" x14ac:dyDescent="0.3">
      <c r="A16864" s="15" t="s">
        <v>33306</v>
      </c>
      <c r="B16864" s="15" t="s">
        <v>31374</v>
      </c>
      <c r="C16864" s="15" t="s">
        <v>800</v>
      </c>
      <c r="D16864" s="15" t="s">
        <v>31375</v>
      </c>
      <c r="E16864" s="15">
        <v>10</v>
      </c>
      <c r="F16864" s="42">
        <v>44418</v>
      </c>
    </row>
    <row r="16865" spans="1:6" x14ac:dyDescent="0.3">
      <c r="A16865" s="15" t="s">
        <v>33305</v>
      </c>
      <c r="B16865" s="15" t="s">
        <v>31376</v>
      </c>
      <c r="C16865" s="15" t="s">
        <v>800</v>
      </c>
      <c r="D16865" s="15" t="s">
        <v>31377</v>
      </c>
      <c r="E16865" s="15">
        <v>12.704000000000001</v>
      </c>
      <c r="F16865" s="42">
        <v>44418</v>
      </c>
    </row>
    <row r="16866" spans="1:6" x14ac:dyDescent="0.3">
      <c r="A16866" s="15" t="s">
        <v>33304</v>
      </c>
      <c r="B16866" s="15" t="s">
        <v>31378</v>
      </c>
      <c r="C16866" s="15" t="s">
        <v>800</v>
      </c>
      <c r="D16866" s="15" t="s">
        <v>31379</v>
      </c>
      <c r="E16866" s="15">
        <v>12.609</v>
      </c>
      <c r="F16866" s="42">
        <v>44418</v>
      </c>
    </row>
    <row r="16867" spans="1:6" x14ac:dyDescent="0.3">
      <c r="A16867" s="15" t="s">
        <v>33303</v>
      </c>
      <c r="B16867" s="15" t="s">
        <v>31380</v>
      </c>
      <c r="C16867" s="15" t="s">
        <v>800</v>
      </c>
      <c r="D16867" s="15" t="s">
        <v>31381</v>
      </c>
      <c r="E16867" s="15">
        <v>12.661799999999999</v>
      </c>
      <c r="F16867" s="42">
        <v>44418</v>
      </c>
    </row>
    <row r="16868" spans="1:6" x14ac:dyDescent="0.3">
      <c r="A16868" s="15" t="s">
        <v>33302</v>
      </c>
      <c r="B16868" s="15" t="s">
        <v>31382</v>
      </c>
      <c r="C16868" s="15" t="s">
        <v>800</v>
      </c>
      <c r="D16868" s="15" t="s">
        <v>31383</v>
      </c>
      <c r="E16868" s="15">
        <v>12.5669</v>
      </c>
      <c r="F16868" s="42">
        <v>44418</v>
      </c>
    </row>
    <row r="16869" spans="1:6" x14ac:dyDescent="0.3">
      <c r="A16869" s="15" t="s">
        <v>33301</v>
      </c>
      <c r="B16869" s="15" t="s">
        <v>31384</v>
      </c>
      <c r="C16869" s="15" t="s">
        <v>800</v>
      </c>
      <c r="D16869" s="15" t="s">
        <v>31385</v>
      </c>
      <c r="E16869" s="15">
        <v>10</v>
      </c>
      <c r="F16869" s="42">
        <v>44439</v>
      </c>
    </row>
    <row r="16870" spans="1:6" x14ac:dyDescent="0.3">
      <c r="A16870" s="15" t="s">
        <v>33300</v>
      </c>
      <c r="B16870" s="15" t="s">
        <v>31386</v>
      </c>
      <c r="C16870" s="15" t="s">
        <v>800</v>
      </c>
      <c r="D16870" s="15" t="s">
        <v>31387</v>
      </c>
      <c r="E16870" s="15">
        <v>10</v>
      </c>
      <c r="F16870" s="42">
        <v>44439</v>
      </c>
    </row>
    <row r="16871" spans="1:6" x14ac:dyDescent="0.3">
      <c r="A16871" s="15" t="s">
        <v>33299</v>
      </c>
      <c r="B16871" s="15" t="s">
        <v>31388</v>
      </c>
      <c r="C16871" s="15" t="s">
        <v>800</v>
      </c>
      <c r="D16871" s="15" t="s">
        <v>31389</v>
      </c>
      <c r="E16871" s="15">
        <v>10</v>
      </c>
      <c r="F16871" s="42">
        <v>44439</v>
      </c>
    </row>
    <row r="16872" spans="1:6" x14ac:dyDescent="0.3">
      <c r="A16872" s="15" t="s">
        <v>33298</v>
      </c>
      <c r="B16872" s="15" t="s">
        <v>31390</v>
      </c>
      <c r="C16872" s="15" t="s">
        <v>800</v>
      </c>
      <c r="D16872" s="15" t="s">
        <v>31391</v>
      </c>
      <c r="E16872" s="15">
        <v>10</v>
      </c>
      <c r="F16872" s="42">
        <v>44439</v>
      </c>
    </row>
    <row r="16873" spans="1:6" x14ac:dyDescent="0.3">
      <c r="A16873" s="15" t="s">
        <v>33297</v>
      </c>
      <c r="B16873" s="15" t="s">
        <v>31392</v>
      </c>
      <c r="C16873" s="15" t="s">
        <v>800</v>
      </c>
      <c r="D16873" s="15" t="s">
        <v>31393</v>
      </c>
      <c r="E16873" s="15">
        <v>10</v>
      </c>
      <c r="F16873" s="42">
        <v>44439</v>
      </c>
    </row>
    <row r="16874" spans="1:6" x14ac:dyDescent="0.3">
      <c r="A16874" s="15" t="s">
        <v>33296</v>
      </c>
      <c r="B16874" s="15" t="s">
        <v>31394</v>
      </c>
      <c r="C16874" s="15" t="s">
        <v>800</v>
      </c>
      <c r="D16874" s="15" t="s">
        <v>31395</v>
      </c>
      <c r="E16874" s="15">
        <v>10</v>
      </c>
      <c r="F16874" s="42">
        <v>44439</v>
      </c>
    </row>
    <row r="16875" spans="1:6" x14ac:dyDescent="0.3">
      <c r="A16875" s="15" t="s">
        <v>33295</v>
      </c>
      <c r="B16875" s="15" t="s">
        <v>31396</v>
      </c>
      <c r="C16875" s="15" t="s">
        <v>800</v>
      </c>
      <c r="D16875" s="15" t="s">
        <v>31397</v>
      </c>
      <c r="E16875" s="15">
        <v>12.209199999999999</v>
      </c>
      <c r="F16875" s="42">
        <v>44439</v>
      </c>
    </row>
    <row r="16876" spans="1:6" x14ac:dyDescent="0.3">
      <c r="A16876" s="15" t="s">
        <v>33294</v>
      </c>
      <c r="B16876" s="15" t="s">
        <v>31398</v>
      </c>
      <c r="C16876" s="15" t="s">
        <v>800</v>
      </c>
      <c r="D16876" s="15" t="s">
        <v>31399</v>
      </c>
      <c r="E16876" s="15">
        <v>12.0875</v>
      </c>
      <c r="F16876" s="42">
        <v>44439</v>
      </c>
    </row>
    <row r="16877" spans="1:6" x14ac:dyDescent="0.3">
      <c r="A16877" s="15" t="s">
        <v>33293</v>
      </c>
      <c r="B16877" s="15" t="s">
        <v>31400</v>
      </c>
      <c r="C16877" s="15" t="s">
        <v>800</v>
      </c>
      <c r="D16877" s="15" t="s">
        <v>31401</v>
      </c>
      <c r="E16877" s="15">
        <v>10</v>
      </c>
      <c r="F16877" s="42">
        <v>44439</v>
      </c>
    </row>
    <row r="16878" spans="1:6" x14ac:dyDescent="0.3">
      <c r="A16878" s="15" t="s">
        <v>33292</v>
      </c>
      <c r="B16878" s="15" t="s">
        <v>31402</v>
      </c>
      <c r="C16878" s="15" t="s">
        <v>800</v>
      </c>
      <c r="D16878" s="15" t="s">
        <v>31403</v>
      </c>
      <c r="E16878" s="15">
        <v>10</v>
      </c>
      <c r="F16878" s="42">
        <v>44439</v>
      </c>
    </row>
    <row r="16879" spans="1:6" x14ac:dyDescent="0.3">
      <c r="A16879" s="15" t="s">
        <v>33291</v>
      </c>
      <c r="B16879" s="15" t="s">
        <v>31404</v>
      </c>
      <c r="C16879" s="15" t="s">
        <v>800</v>
      </c>
      <c r="D16879" s="15" t="s">
        <v>31405</v>
      </c>
      <c r="E16879" s="15">
        <v>12.674799999999999</v>
      </c>
      <c r="F16879" s="42">
        <v>44439</v>
      </c>
    </row>
    <row r="16880" spans="1:6" x14ac:dyDescent="0.3">
      <c r="A16880" s="15" t="s">
        <v>33290</v>
      </c>
      <c r="B16880" s="15" t="s">
        <v>31406</v>
      </c>
      <c r="C16880" s="15" t="s">
        <v>800</v>
      </c>
      <c r="D16880" s="15" t="s">
        <v>31407</v>
      </c>
      <c r="E16880" s="15">
        <v>12.5801</v>
      </c>
      <c r="F16880" s="42">
        <v>44439</v>
      </c>
    </row>
    <row r="16881" spans="1:6" x14ac:dyDescent="0.3">
      <c r="A16881" s="15" t="s">
        <v>33289</v>
      </c>
      <c r="B16881" s="15" t="s">
        <v>31408</v>
      </c>
      <c r="C16881" s="15" t="s">
        <v>800</v>
      </c>
      <c r="D16881" s="15" t="s">
        <v>31409</v>
      </c>
      <c r="E16881" s="15">
        <v>10</v>
      </c>
      <c r="F16881" s="42">
        <v>44460</v>
      </c>
    </row>
    <row r="16882" spans="1:6" x14ac:dyDescent="0.3">
      <c r="A16882" s="15" t="s">
        <v>33288</v>
      </c>
      <c r="B16882" s="15" t="s">
        <v>31410</v>
      </c>
      <c r="C16882" s="15" t="s">
        <v>800</v>
      </c>
      <c r="D16882" s="15" t="s">
        <v>31411</v>
      </c>
      <c r="E16882" s="15">
        <v>10</v>
      </c>
      <c r="F16882" s="42">
        <v>44460</v>
      </c>
    </row>
    <row r="16883" spans="1:6" x14ac:dyDescent="0.3">
      <c r="A16883" s="15" t="s">
        <v>33287</v>
      </c>
      <c r="B16883" s="15" t="s">
        <v>31412</v>
      </c>
      <c r="C16883" s="15" t="s">
        <v>800</v>
      </c>
      <c r="D16883" s="15" t="s">
        <v>31413</v>
      </c>
      <c r="E16883" s="15">
        <v>11.8575</v>
      </c>
      <c r="F16883" s="42">
        <v>44460</v>
      </c>
    </row>
    <row r="16884" spans="1:6" x14ac:dyDescent="0.3">
      <c r="A16884" s="15" t="s">
        <v>33286</v>
      </c>
      <c r="B16884" s="15" t="s">
        <v>31414</v>
      </c>
      <c r="C16884" s="15" t="s">
        <v>800</v>
      </c>
      <c r="D16884" s="15" t="s">
        <v>31415</v>
      </c>
      <c r="E16884" s="15">
        <v>10</v>
      </c>
      <c r="F16884" s="42">
        <v>44460</v>
      </c>
    </row>
    <row r="16885" spans="1:6" x14ac:dyDescent="0.3">
      <c r="A16885" s="15" t="s">
        <v>33285</v>
      </c>
      <c r="B16885" s="15" t="s">
        <v>31416</v>
      </c>
      <c r="C16885" s="15" t="s">
        <v>800</v>
      </c>
      <c r="D16885" s="15" t="s">
        <v>31417</v>
      </c>
      <c r="E16885" s="15">
        <v>10</v>
      </c>
      <c r="F16885" s="42">
        <v>44460</v>
      </c>
    </row>
    <row r="16886" spans="1:6" x14ac:dyDescent="0.3">
      <c r="A16886" s="15" t="s">
        <v>33284</v>
      </c>
      <c r="B16886" s="15" t="s">
        <v>31418</v>
      </c>
      <c r="C16886" s="15" t="s">
        <v>800</v>
      </c>
      <c r="D16886" s="15" t="s">
        <v>31419</v>
      </c>
      <c r="E16886" s="15">
        <v>10</v>
      </c>
      <c r="F16886" s="42">
        <v>44460</v>
      </c>
    </row>
    <row r="16887" spans="1:6" x14ac:dyDescent="0.3">
      <c r="A16887" s="15" t="s">
        <v>33283</v>
      </c>
      <c r="B16887" s="15" t="s">
        <v>31420</v>
      </c>
      <c r="C16887" s="15" t="s">
        <v>800</v>
      </c>
      <c r="D16887" s="15" t="s">
        <v>31421</v>
      </c>
      <c r="E16887" s="15">
        <v>10</v>
      </c>
      <c r="F16887" s="42">
        <v>44460</v>
      </c>
    </row>
    <row r="16888" spans="1:6" x14ac:dyDescent="0.3">
      <c r="A16888" s="15" t="s">
        <v>33282</v>
      </c>
      <c r="B16888" s="15" t="s">
        <v>31422</v>
      </c>
      <c r="C16888" s="15" t="s">
        <v>800</v>
      </c>
      <c r="D16888" s="15" t="s">
        <v>31423</v>
      </c>
      <c r="E16888" s="15">
        <v>11.7394</v>
      </c>
      <c r="F16888" s="42">
        <v>44460</v>
      </c>
    </row>
    <row r="16889" spans="1:6" x14ac:dyDescent="0.3">
      <c r="A16889" s="15" t="s">
        <v>33281</v>
      </c>
      <c r="B16889" s="15" t="s">
        <v>31424</v>
      </c>
      <c r="C16889" s="15" t="s">
        <v>800</v>
      </c>
      <c r="D16889" s="15" t="s">
        <v>31425</v>
      </c>
      <c r="E16889" s="15">
        <v>10</v>
      </c>
      <c r="F16889" s="42">
        <v>44460</v>
      </c>
    </row>
    <row r="16890" spans="1:6" x14ac:dyDescent="0.3">
      <c r="A16890" s="15" t="s">
        <v>33280</v>
      </c>
      <c r="B16890" s="15" t="s">
        <v>31426</v>
      </c>
      <c r="C16890" s="15" t="s">
        <v>800</v>
      </c>
      <c r="D16890" s="15" t="s">
        <v>31427</v>
      </c>
      <c r="E16890" s="15">
        <v>10</v>
      </c>
      <c r="F16890" s="42">
        <v>44460</v>
      </c>
    </row>
    <row r="16891" spans="1:6" x14ac:dyDescent="0.3">
      <c r="A16891" s="15" t="s">
        <v>33279</v>
      </c>
      <c r="B16891" s="15" t="s">
        <v>31428</v>
      </c>
      <c r="C16891" s="15" t="s">
        <v>800</v>
      </c>
      <c r="D16891" s="15" t="s">
        <v>31429</v>
      </c>
      <c r="E16891" s="15">
        <v>12.8672</v>
      </c>
      <c r="F16891" s="42">
        <v>44495</v>
      </c>
    </row>
    <row r="16892" spans="1:6" x14ac:dyDescent="0.3">
      <c r="A16892" s="15" t="s">
        <v>33278</v>
      </c>
      <c r="B16892" s="15" t="s">
        <v>31430</v>
      </c>
      <c r="C16892" s="15" t="s">
        <v>800</v>
      </c>
      <c r="D16892" s="15" t="s">
        <v>31431</v>
      </c>
      <c r="E16892" s="15">
        <v>12.7392</v>
      </c>
      <c r="F16892" s="42">
        <v>44495</v>
      </c>
    </row>
    <row r="16893" spans="1:6" x14ac:dyDescent="0.3">
      <c r="A16893" s="15" t="s">
        <v>33277</v>
      </c>
      <c r="B16893" s="15" t="s">
        <v>31432</v>
      </c>
      <c r="C16893" s="15" t="s">
        <v>800</v>
      </c>
      <c r="D16893" s="15" t="s">
        <v>31433</v>
      </c>
      <c r="E16893" s="15">
        <v>10</v>
      </c>
      <c r="F16893" s="42">
        <v>44495</v>
      </c>
    </row>
    <row r="16894" spans="1:6" x14ac:dyDescent="0.3">
      <c r="A16894" s="15" t="s">
        <v>33276</v>
      </c>
      <c r="B16894" s="15" t="s">
        <v>31434</v>
      </c>
      <c r="C16894" s="15" t="s">
        <v>800</v>
      </c>
      <c r="D16894" s="15" t="s">
        <v>31435</v>
      </c>
      <c r="E16894" s="15">
        <v>10</v>
      </c>
      <c r="F16894" s="42">
        <v>44495</v>
      </c>
    </row>
    <row r="16895" spans="1:6" x14ac:dyDescent="0.3">
      <c r="A16895" s="15" t="s">
        <v>33275</v>
      </c>
      <c r="B16895" s="15" t="s">
        <v>31436</v>
      </c>
      <c r="C16895" s="15" t="s">
        <v>800</v>
      </c>
      <c r="D16895" s="15" t="s">
        <v>31437</v>
      </c>
      <c r="E16895" s="15">
        <v>10</v>
      </c>
      <c r="F16895" s="42">
        <v>44495</v>
      </c>
    </row>
    <row r="16896" spans="1:6" x14ac:dyDescent="0.3">
      <c r="A16896" s="15" t="s">
        <v>33274</v>
      </c>
      <c r="B16896" s="15" t="s">
        <v>31438</v>
      </c>
      <c r="C16896" s="15" t="s">
        <v>800</v>
      </c>
      <c r="D16896" s="15" t="s">
        <v>31439</v>
      </c>
      <c r="E16896" s="15">
        <v>10</v>
      </c>
      <c r="F16896" s="42">
        <v>44495</v>
      </c>
    </row>
    <row r="16897" spans="1:6" x14ac:dyDescent="0.3">
      <c r="A16897" s="15" t="s">
        <v>33273</v>
      </c>
      <c r="B16897" s="15" t="s">
        <v>31440</v>
      </c>
      <c r="C16897" s="15" t="s">
        <v>800</v>
      </c>
      <c r="D16897" s="15" t="s">
        <v>31441</v>
      </c>
      <c r="E16897" s="15">
        <v>10</v>
      </c>
      <c r="F16897" s="42">
        <v>44495</v>
      </c>
    </row>
    <row r="16898" spans="1:6" x14ac:dyDescent="0.3">
      <c r="A16898" s="15" t="s">
        <v>33272</v>
      </c>
      <c r="B16898" s="15" t="s">
        <v>31442</v>
      </c>
      <c r="C16898" s="15" t="s">
        <v>800</v>
      </c>
      <c r="D16898" s="15" t="s">
        <v>31443</v>
      </c>
      <c r="E16898" s="15">
        <v>10</v>
      </c>
      <c r="F16898" s="42">
        <v>44495</v>
      </c>
    </row>
    <row r="16899" spans="1:6" x14ac:dyDescent="0.3">
      <c r="A16899" s="15" t="s">
        <v>33271</v>
      </c>
      <c r="B16899" s="15" t="s">
        <v>31444</v>
      </c>
      <c r="C16899" s="15" t="s">
        <v>800</v>
      </c>
      <c r="D16899" s="15" t="s">
        <v>31445</v>
      </c>
      <c r="E16899" s="15">
        <v>10.0001</v>
      </c>
      <c r="F16899" s="42">
        <v>44495</v>
      </c>
    </row>
    <row r="16900" spans="1:6" x14ac:dyDescent="0.3">
      <c r="A16900" s="15" t="s">
        <v>33270</v>
      </c>
      <c r="B16900" s="15" t="s">
        <v>31446</v>
      </c>
      <c r="C16900" s="15" t="s">
        <v>800</v>
      </c>
      <c r="D16900" s="15" t="s">
        <v>31447</v>
      </c>
      <c r="E16900" s="15">
        <v>10</v>
      </c>
      <c r="F16900" s="42">
        <v>44495</v>
      </c>
    </row>
    <row r="16901" spans="1:6" x14ac:dyDescent="0.3">
      <c r="A16901" s="15" t="s">
        <v>33269</v>
      </c>
      <c r="B16901" s="15" t="s">
        <v>31448</v>
      </c>
      <c r="C16901" s="15" t="s">
        <v>800</v>
      </c>
      <c r="D16901" s="15" t="s">
        <v>31449</v>
      </c>
      <c r="E16901" s="15">
        <v>13.377000000000001</v>
      </c>
      <c r="F16901" s="42">
        <v>44670</v>
      </c>
    </row>
    <row r="16902" spans="1:6" x14ac:dyDescent="0.3">
      <c r="A16902" s="15" t="s">
        <v>33268</v>
      </c>
      <c r="B16902" s="15" t="s">
        <v>31450</v>
      </c>
      <c r="C16902" s="15" t="s">
        <v>800</v>
      </c>
      <c r="D16902" s="15" t="s">
        <v>31451</v>
      </c>
      <c r="E16902" s="15">
        <v>13.215400000000001</v>
      </c>
      <c r="F16902" s="42">
        <v>44670</v>
      </c>
    </row>
    <row r="16903" spans="1:6" x14ac:dyDescent="0.3">
      <c r="A16903" s="15" t="s">
        <v>33267</v>
      </c>
      <c r="B16903" s="15" t="s">
        <v>31452</v>
      </c>
      <c r="C16903" s="15" t="s">
        <v>800</v>
      </c>
      <c r="D16903" s="15" t="s">
        <v>31453</v>
      </c>
      <c r="E16903" s="15">
        <v>10</v>
      </c>
      <c r="F16903" s="42">
        <v>44670</v>
      </c>
    </row>
    <row r="16904" spans="1:6" x14ac:dyDescent="0.3">
      <c r="A16904" s="15" t="s">
        <v>33266</v>
      </c>
      <c r="B16904" s="15" t="s">
        <v>31454</v>
      </c>
      <c r="C16904" s="15" t="s">
        <v>800</v>
      </c>
      <c r="D16904" s="15" t="s">
        <v>31455</v>
      </c>
      <c r="E16904" s="15">
        <v>10</v>
      </c>
      <c r="F16904" s="42">
        <v>44670</v>
      </c>
    </row>
    <row r="16905" spans="1:6" x14ac:dyDescent="0.3">
      <c r="A16905" s="15" t="s">
        <v>33265</v>
      </c>
      <c r="B16905" s="15" t="s">
        <v>31456</v>
      </c>
      <c r="C16905" s="15" t="s">
        <v>800</v>
      </c>
      <c r="D16905" s="15" t="s">
        <v>31457</v>
      </c>
      <c r="E16905" s="15">
        <v>10</v>
      </c>
      <c r="F16905" s="42">
        <v>44670</v>
      </c>
    </row>
    <row r="16906" spans="1:6" x14ac:dyDescent="0.3">
      <c r="A16906" s="15" t="s">
        <v>33264</v>
      </c>
      <c r="B16906" s="15" t="s">
        <v>31458</v>
      </c>
      <c r="C16906" s="15" t="s">
        <v>800</v>
      </c>
      <c r="D16906" s="15" t="s">
        <v>31459</v>
      </c>
      <c r="E16906" s="15">
        <v>10</v>
      </c>
      <c r="F16906" s="42">
        <v>44670</v>
      </c>
    </row>
    <row r="16907" spans="1:6" x14ac:dyDescent="0.3">
      <c r="A16907" s="15" t="s">
        <v>33263</v>
      </c>
      <c r="B16907" s="15" t="s">
        <v>31460</v>
      </c>
      <c r="C16907" s="15" t="s">
        <v>800</v>
      </c>
      <c r="D16907" s="15" t="s">
        <v>31461</v>
      </c>
      <c r="E16907" s="15">
        <v>10</v>
      </c>
      <c r="F16907" s="42">
        <v>44670</v>
      </c>
    </row>
    <row r="16908" spans="1:6" x14ac:dyDescent="0.3">
      <c r="A16908" s="15" t="s">
        <v>33262</v>
      </c>
      <c r="B16908" s="15" t="s">
        <v>31462</v>
      </c>
      <c r="C16908" s="15" t="s">
        <v>800</v>
      </c>
      <c r="D16908" s="15" t="s">
        <v>31463</v>
      </c>
      <c r="E16908" s="15">
        <v>10</v>
      </c>
      <c r="F16908" s="42">
        <v>44670</v>
      </c>
    </row>
    <row r="16909" spans="1:6" x14ac:dyDescent="0.3">
      <c r="A16909" s="15" t="s">
        <v>33261</v>
      </c>
      <c r="B16909" s="15" t="s">
        <v>31464</v>
      </c>
      <c r="C16909" s="15" t="s">
        <v>800</v>
      </c>
      <c r="D16909" s="15" t="s">
        <v>31465</v>
      </c>
      <c r="E16909" s="15">
        <v>12.7941</v>
      </c>
      <c r="F16909" s="42">
        <v>44495</v>
      </c>
    </row>
    <row r="16910" spans="1:6" x14ac:dyDescent="0.3">
      <c r="A16910" s="15" t="s">
        <v>33260</v>
      </c>
      <c r="B16910" s="15" t="s">
        <v>31466</v>
      </c>
      <c r="C16910" s="15" t="s">
        <v>800</v>
      </c>
      <c r="D16910" s="15" t="s">
        <v>31467</v>
      </c>
      <c r="E16910" s="15">
        <v>12.698600000000001</v>
      </c>
      <c r="F16910" s="42">
        <v>44495</v>
      </c>
    </row>
    <row r="16911" spans="1:6" x14ac:dyDescent="0.3">
      <c r="A16911" s="15" t="s">
        <v>33259</v>
      </c>
      <c r="B16911" s="15" t="s">
        <v>31468</v>
      </c>
      <c r="C16911" s="15" t="s">
        <v>800</v>
      </c>
      <c r="D16911" s="15" t="s">
        <v>31469</v>
      </c>
      <c r="E16911" s="15">
        <v>10</v>
      </c>
      <c r="F16911" s="42">
        <v>44495</v>
      </c>
    </row>
    <row r="16912" spans="1:6" x14ac:dyDescent="0.3">
      <c r="A16912" s="15" t="s">
        <v>33258</v>
      </c>
      <c r="B16912" s="15" t="s">
        <v>31470</v>
      </c>
      <c r="C16912" s="15" t="s">
        <v>800</v>
      </c>
      <c r="D16912" s="15" t="s">
        <v>31471</v>
      </c>
      <c r="E16912" s="15">
        <v>10</v>
      </c>
      <c r="F16912" s="42">
        <v>44495</v>
      </c>
    </row>
    <row r="16913" spans="1:6" x14ac:dyDescent="0.3">
      <c r="A16913" s="15" t="s">
        <v>33257</v>
      </c>
      <c r="B16913" s="15" t="s">
        <v>31472</v>
      </c>
      <c r="C16913" s="15" t="s">
        <v>800</v>
      </c>
      <c r="D16913" s="15" t="s">
        <v>31473</v>
      </c>
      <c r="E16913" s="15">
        <v>12.313000000000001</v>
      </c>
      <c r="F16913" s="42">
        <v>44495</v>
      </c>
    </row>
    <row r="16914" spans="1:6" x14ac:dyDescent="0.3">
      <c r="A16914" s="15" t="s">
        <v>33256</v>
      </c>
      <c r="B16914" s="15" t="s">
        <v>31474</v>
      </c>
      <c r="C16914" s="15" t="s">
        <v>800</v>
      </c>
      <c r="D16914" s="15" t="s">
        <v>31475</v>
      </c>
      <c r="E16914" s="15">
        <v>12.1829</v>
      </c>
      <c r="F16914" s="42">
        <v>44495</v>
      </c>
    </row>
    <row r="16915" spans="1:6" x14ac:dyDescent="0.3">
      <c r="A16915" s="15" t="s">
        <v>33255</v>
      </c>
      <c r="B16915" s="15" t="s">
        <v>31476</v>
      </c>
      <c r="C16915" s="15" t="s">
        <v>800</v>
      </c>
      <c r="D16915" s="15" t="s">
        <v>31477</v>
      </c>
      <c r="E16915" s="15">
        <v>10</v>
      </c>
      <c r="F16915" s="42">
        <v>44495</v>
      </c>
    </row>
    <row r="16916" spans="1:6" x14ac:dyDescent="0.3">
      <c r="A16916" s="15" t="s">
        <v>33254</v>
      </c>
      <c r="B16916" s="15" t="s">
        <v>31478</v>
      </c>
      <c r="C16916" s="15" t="s">
        <v>800</v>
      </c>
      <c r="D16916" s="15" t="s">
        <v>31479</v>
      </c>
      <c r="E16916" s="15">
        <v>10</v>
      </c>
      <c r="F16916" s="42">
        <v>44495</v>
      </c>
    </row>
    <row r="16917" spans="1:6" x14ac:dyDescent="0.3">
      <c r="A16917" s="15" t="s">
        <v>33253</v>
      </c>
      <c r="B16917" s="15" t="s">
        <v>31480</v>
      </c>
      <c r="C16917" s="15" t="s">
        <v>800</v>
      </c>
      <c r="D16917" s="15" t="s">
        <v>31481</v>
      </c>
      <c r="E16917" s="15">
        <v>10</v>
      </c>
      <c r="F16917" s="42">
        <v>44495</v>
      </c>
    </row>
    <row r="16918" spans="1:6" x14ac:dyDescent="0.3">
      <c r="A16918" s="15" t="s">
        <v>33252</v>
      </c>
      <c r="B16918" s="15" t="s">
        <v>31482</v>
      </c>
      <c r="C16918" s="15" t="s">
        <v>800</v>
      </c>
      <c r="D16918" s="15" t="s">
        <v>31483</v>
      </c>
      <c r="E16918" s="15">
        <v>10</v>
      </c>
      <c r="F16918" s="42">
        <v>44495</v>
      </c>
    </row>
    <row r="16919" spans="1:6" x14ac:dyDescent="0.3">
      <c r="A16919" s="15" t="s">
        <v>33251</v>
      </c>
      <c r="B16919" s="15" t="s">
        <v>31484</v>
      </c>
      <c r="C16919" s="15" t="s">
        <v>800</v>
      </c>
      <c r="D16919" s="15" t="s">
        <v>31485</v>
      </c>
      <c r="E16919" s="15">
        <v>10</v>
      </c>
      <c r="F16919" s="42">
        <v>44495</v>
      </c>
    </row>
    <row r="16920" spans="1:6" x14ac:dyDescent="0.3">
      <c r="A16920" s="15" t="s">
        <v>33250</v>
      </c>
      <c r="B16920" s="15" t="s">
        <v>31486</v>
      </c>
      <c r="C16920" s="15" t="s">
        <v>800</v>
      </c>
      <c r="D16920" s="15" t="s">
        <v>31487</v>
      </c>
      <c r="E16920" s="15">
        <v>10</v>
      </c>
      <c r="F16920" s="42">
        <v>44495</v>
      </c>
    </row>
    <row r="16921" spans="1:6" x14ac:dyDescent="0.3">
      <c r="A16921" s="15" t="s">
        <v>33249</v>
      </c>
      <c r="B16921" s="15" t="s">
        <v>31488</v>
      </c>
      <c r="C16921" s="15" t="s">
        <v>800</v>
      </c>
      <c r="D16921" s="15" t="s">
        <v>31489</v>
      </c>
      <c r="E16921" s="15">
        <v>13.318899999999999</v>
      </c>
      <c r="F16921" s="42">
        <v>44670</v>
      </c>
    </row>
    <row r="16922" spans="1:6" x14ac:dyDescent="0.3">
      <c r="A16922" s="15" t="s">
        <v>33248</v>
      </c>
      <c r="B16922" s="15" t="s">
        <v>31490</v>
      </c>
      <c r="C16922" s="15" t="s">
        <v>800</v>
      </c>
      <c r="D16922" s="15" t="s">
        <v>31491</v>
      </c>
      <c r="E16922" s="15">
        <v>13.202</v>
      </c>
      <c r="F16922" s="42">
        <v>44670</v>
      </c>
    </row>
    <row r="16923" spans="1:6" x14ac:dyDescent="0.3">
      <c r="A16923" s="15" t="s">
        <v>33247</v>
      </c>
      <c r="B16923" s="15" t="s">
        <v>31492</v>
      </c>
      <c r="C16923" s="15" t="s">
        <v>800</v>
      </c>
      <c r="D16923" s="15" t="s">
        <v>31493</v>
      </c>
      <c r="E16923" s="15">
        <v>13.214600000000001</v>
      </c>
      <c r="F16923" s="42">
        <v>44670</v>
      </c>
    </row>
    <row r="16924" spans="1:6" x14ac:dyDescent="0.3">
      <c r="A16924" s="15" t="s">
        <v>33246</v>
      </c>
      <c r="B16924" s="15" t="s">
        <v>31494</v>
      </c>
      <c r="C16924" s="15" t="s">
        <v>800</v>
      </c>
      <c r="D16924" s="15" t="s">
        <v>31495</v>
      </c>
      <c r="E16924" s="15">
        <v>13.100300000000001</v>
      </c>
      <c r="F16924" s="42">
        <v>44670</v>
      </c>
    </row>
    <row r="16925" spans="1:6" x14ac:dyDescent="0.3">
      <c r="A16925" s="15" t="s">
        <v>33245</v>
      </c>
      <c r="B16925" s="15" t="s">
        <v>31496</v>
      </c>
      <c r="C16925" s="15" t="s">
        <v>800</v>
      </c>
      <c r="D16925" s="15" t="s">
        <v>31497</v>
      </c>
      <c r="E16925" s="15">
        <v>10</v>
      </c>
      <c r="F16925" s="42">
        <v>44670</v>
      </c>
    </row>
    <row r="16926" spans="1:6" x14ac:dyDescent="0.3">
      <c r="A16926" s="15" t="s">
        <v>33244</v>
      </c>
      <c r="B16926" s="15" t="s">
        <v>31498</v>
      </c>
      <c r="C16926" s="15" t="s">
        <v>800</v>
      </c>
      <c r="D16926" s="15" t="s">
        <v>31499</v>
      </c>
      <c r="E16926" s="15">
        <v>10</v>
      </c>
      <c r="F16926" s="42">
        <v>44670</v>
      </c>
    </row>
    <row r="16927" spans="1:6" x14ac:dyDescent="0.3">
      <c r="A16927" s="15" t="s">
        <v>33243</v>
      </c>
      <c r="B16927" s="15" t="s">
        <v>31500</v>
      </c>
      <c r="C16927" s="15" t="s">
        <v>800</v>
      </c>
      <c r="D16927" s="15" t="s">
        <v>31501</v>
      </c>
      <c r="E16927" s="15">
        <v>10</v>
      </c>
      <c r="F16927" s="42">
        <v>44670</v>
      </c>
    </row>
    <row r="16928" spans="1:6" x14ac:dyDescent="0.3">
      <c r="A16928" s="15" t="s">
        <v>33242</v>
      </c>
      <c r="B16928" s="15" t="s">
        <v>31502</v>
      </c>
      <c r="C16928" s="15" t="s">
        <v>800</v>
      </c>
      <c r="D16928" s="15" t="s">
        <v>31503</v>
      </c>
      <c r="E16928" s="15">
        <v>13.2615</v>
      </c>
      <c r="F16928" s="42">
        <v>44677</v>
      </c>
    </row>
    <row r="16929" spans="1:6" x14ac:dyDescent="0.3">
      <c r="A16929" s="15" t="s">
        <v>33241</v>
      </c>
      <c r="B16929" s="15" t="s">
        <v>31504</v>
      </c>
      <c r="C16929" s="15" t="s">
        <v>800</v>
      </c>
      <c r="D16929" s="15" t="s">
        <v>31505</v>
      </c>
      <c r="E16929" s="15">
        <v>13.103899999999999</v>
      </c>
      <c r="F16929" s="42">
        <v>44677</v>
      </c>
    </row>
    <row r="16930" spans="1:6" x14ac:dyDescent="0.3">
      <c r="A16930" s="15" t="s">
        <v>33240</v>
      </c>
      <c r="B16930" s="15" t="s">
        <v>31506</v>
      </c>
      <c r="C16930" s="15" t="s">
        <v>800</v>
      </c>
      <c r="D16930" s="15" t="s">
        <v>31507</v>
      </c>
      <c r="E16930" s="15">
        <v>10</v>
      </c>
      <c r="F16930" s="42">
        <v>44677</v>
      </c>
    </row>
    <row r="16931" spans="1:6" x14ac:dyDescent="0.3">
      <c r="A16931" s="15" t="s">
        <v>33239</v>
      </c>
      <c r="B16931" s="15" t="s">
        <v>31508</v>
      </c>
      <c r="C16931" s="15" t="s">
        <v>800</v>
      </c>
      <c r="D16931" s="15" t="s">
        <v>31509</v>
      </c>
      <c r="E16931" s="15">
        <v>10</v>
      </c>
      <c r="F16931" s="42">
        <v>44677</v>
      </c>
    </row>
    <row r="16932" spans="1:6" x14ac:dyDescent="0.3">
      <c r="A16932" s="15" t="s">
        <v>33238</v>
      </c>
      <c r="B16932" s="15" t="s">
        <v>31510</v>
      </c>
      <c r="C16932" s="15" t="s">
        <v>800</v>
      </c>
      <c r="D16932" s="15" t="s">
        <v>31511</v>
      </c>
      <c r="E16932" s="15">
        <v>10</v>
      </c>
      <c r="F16932" s="42">
        <v>44677</v>
      </c>
    </row>
    <row r="16933" spans="1:6" x14ac:dyDescent="0.3">
      <c r="A16933" s="15" t="s">
        <v>33237</v>
      </c>
      <c r="B16933" s="15" t="s">
        <v>31512</v>
      </c>
      <c r="C16933" s="15" t="s">
        <v>800</v>
      </c>
      <c r="D16933" s="15" t="s">
        <v>31513</v>
      </c>
      <c r="E16933" s="15">
        <v>10</v>
      </c>
      <c r="F16933" s="42">
        <v>44677</v>
      </c>
    </row>
    <row r="16934" spans="1:6" x14ac:dyDescent="0.3">
      <c r="A16934" s="15" t="s">
        <v>33236</v>
      </c>
      <c r="B16934" s="15" t="s">
        <v>31514</v>
      </c>
      <c r="C16934" s="15" t="s">
        <v>800</v>
      </c>
      <c r="D16934" s="15" t="s">
        <v>31515</v>
      </c>
      <c r="E16934" s="15">
        <v>10</v>
      </c>
      <c r="F16934" s="42">
        <v>44677</v>
      </c>
    </row>
    <row r="16935" spans="1:6" x14ac:dyDescent="0.3">
      <c r="A16935" s="15" t="s">
        <v>33235</v>
      </c>
      <c r="B16935" s="15" t="s">
        <v>31516</v>
      </c>
      <c r="C16935" s="15" t="s">
        <v>800</v>
      </c>
      <c r="D16935" s="15" t="s">
        <v>31517</v>
      </c>
      <c r="E16935" s="15">
        <v>10</v>
      </c>
      <c r="F16935" s="42">
        <v>44677</v>
      </c>
    </row>
    <row r="16936" spans="1:6" x14ac:dyDescent="0.3">
      <c r="A16936" s="15" t="s">
        <v>33234</v>
      </c>
      <c r="B16936" s="15" t="s">
        <v>31518</v>
      </c>
      <c r="C16936" s="15" t="s">
        <v>800</v>
      </c>
      <c r="D16936" s="15" t="s">
        <v>31519</v>
      </c>
      <c r="E16936" s="15">
        <v>10</v>
      </c>
      <c r="F16936" s="42">
        <v>44677</v>
      </c>
    </row>
    <row r="16937" spans="1:6" x14ac:dyDescent="0.3">
      <c r="A16937" s="15" t="s">
        <v>33233</v>
      </c>
      <c r="B16937" s="15" t="s">
        <v>31520</v>
      </c>
      <c r="C16937" s="15" t="s">
        <v>800</v>
      </c>
      <c r="D16937" s="15" t="s">
        <v>31521</v>
      </c>
      <c r="E16937" s="15">
        <v>13.155900000000001</v>
      </c>
      <c r="F16937" s="42">
        <v>44685</v>
      </c>
    </row>
    <row r="16938" spans="1:6" x14ac:dyDescent="0.3">
      <c r="A16938" s="15" t="s">
        <v>33232</v>
      </c>
      <c r="B16938" s="15" t="s">
        <v>31522</v>
      </c>
      <c r="C16938" s="15" t="s">
        <v>800</v>
      </c>
      <c r="D16938" s="15" t="s">
        <v>31523</v>
      </c>
      <c r="E16938" s="15">
        <v>13.020899999999999</v>
      </c>
      <c r="F16938" s="42">
        <v>44685</v>
      </c>
    </row>
    <row r="16939" spans="1:6" x14ac:dyDescent="0.3">
      <c r="A16939" s="15" t="s">
        <v>33231</v>
      </c>
      <c r="B16939" s="15" t="s">
        <v>31524</v>
      </c>
      <c r="C16939" s="15" t="s">
        <v>800</v>
      </c>
      <c r="D16939" s="15" t="s">
        <v>31525</v>
      </c>
      <c r="E16939" s="15">
        <v>10</v>
      </c>
      <c r="F16939" s="42">
        <v>44685</v>
      </c>
    </row>
    <row r="16940" spans="1:6" x14ac:dyDescent="0.3">
      <c r="A16940" s="15" t="s">
        <v>33230</v>
      </c>
      <c r="B16940" s="15" t="s">
        <v>31526</v>
      </c>
      <c r="C16940" s="15" t="s">
        <v>800</v>
      </c>
      <c r="D16940" s="15" t="s">
        <v>31527</v>
      </c>
      <c r="E16940" s="15">
        <v>10</v>
      </c>
      <c r="F16940" s="42">
        <v>44685</v>
      </c>
    </row>
    <row r="16941" spans="1:6" x14ac:dyDescent="0.3">
      <c r="A16941" s="15" t="s">
        <v>33229</v>
      </c>
      <c r="B16941" s="15" t="s">
        <v>31528</v>
      </c>
      <c r="C16941" s="15" t="s">
        <v>800</v>
      </c>
      <c r="D16941" s="15" t="s">
        <v>31529</v>
      </c>
      <c r="E16941" s="15">
        <v>10</v>
      </c>
      <c r="F16941" s="42">
        <v>44685</v>
      </c>
    </row>
    <row r="16942" spans="1:6" x14ac:dyDescent="0.3">
      <c r="A16942" s="15" t="s">
        <v>33228</v>
      </c>
      <c r="B16942" s="15" t="s">
        <v>31530</v>
      </c>
      <c r="C16942" s="15" t="s">
        <v>800</v>
      </c>
      <c r="D16942" s="15" t="s">
        <v>31531</v>
      </c>
      <c r="E16942" s="15">
        <v>10</v>
      </c>
      <c r="F16942" s="42">
        <v>44685</v>
      </c>
    </row>
    <row r="16943" spans="1:6" x14ac:dyDescent="0.3">
      <c r="A16943" s="15" t="s">
        <v>33227</v>
      </c>
      <c r="B16943" s="15" t="s">
        <v>31532</v>
      </c>
      <c r="C16943" s="15" t="s">
        <v>800</v>
      </c>
      <c r="D16943" s="15" t="s">
        <v>31533</v>
      </c>
      <c r="E16943" s="15">
        <v>13.1517</v>
      </c>
      <c r="F16943" s="42">
        <v>44670</v>
      </c>
    </row>
    <row r="16944" spans="1:6" x14ac:dyDescent="0.3">
      <c r="A16944" s="15" t="s">
        <v>33226</v>
      </c>
      <c r="B16944" s="15" t="s">
        <v>31534</v>
      </c>
      <c r="C16944" s="15" t="s">
        <v>800</v>
      </c>
      <c r="D16944" s="15" t="s">
        <v>31535</v>
      </c>
      <c r="E16944" s="15">
        <v>12.998200000000001</v>
      </c>
      <c r="F16944" s="42">
        <v>44670</v>
      </c>
    </row>
    <row r="16945" spans="1:6" x14ac:dyDescent="0.3">
      <c r="A16945" s="15" t="s">
        <v>33225</v>
      </c>
      <c r="B16945" s="15" t="s">
        <v>31536</v>
      </c>
      <c r="C16945" s="15" t="s">
        <v>800</v>
      </c>
      <c r="D16945" s="15" t="s">
        <v>31537</v>
      </c>
      <c r="E16945" s="15">
        <v>10</v>
      </c>
      <c r="F16945" s="42">
        <v>44670</v>
      </c>
    </row>
    <row r="16946" spans="1:6" x14ac:dyDescent="0.3">
      <c r="A16946" s="15" t="s">
        <v>33224</v>
      </c>
      <c r="B16946" s="15" t="s">
        <v>31538</v>
      </c>
      <c r="C16946" s="15" t="s">
        <v>800</v>
      </c>
      <c r="D16946" s="15" t="s">
        <v>31539</v>
      </c>
      <c r="E16946" s="15">
        <v>10</v>
      </c>
      <c r="F16946" s="42">
        <v>44670</v>
      </c>
    </row>
    <row r="16947" spans="1:6" x14ac:dyDescent="0.3">
      <c r="A16947" s="15" t="s">
        <v>33223</v>
      </c>
      <c r="B16947" s="15" t="s">
        <v>31540</v>
      </c>
      <c r="C16947" s="15" t="s">
        <v>800</v>
      </c>
      <c r="D16947" s="15" t="s">
        <v>31541</v>
      </c>
      <c r="E16947" s="15">
        <v>10</v>
      </c>
      <c r="F16947" s="42">
        <v>44670</v>
      </c>
    </row>
    <row r="16948" spans="1:6" x14ac:dyDescent="0.3">
      <c r="A16948" s="15" t="s">
        <v>33222</v>
      </c>
      <c r="B16948" s="15" t="s">
        <v>31542</v>
      </c>
      <c r="C16948" s="15" t="s">
        <v>800</v>
      </c>
      <c r="D16948" s="15" t="s">
        <v>31543</v>
      </c>
      <c r="E16948" s="15">
        <v>10</v>
      </c>
      <c r="F16948" s="42">
        <v>44670</v>
      </c>
    </row>
    <row r="16949" spans="1:6" x14ac:dyDescent="0.3">
      <c r="A16949" s="15" t="s">
        <v>33221</v>
      </c>
      <c r="B16949" s="15" t="s">
        <v>31544</v>
      </c>
      <c r="C16949" s="15" t="s">
        <v>800</v>
      </c>
      <c r="D16949" s="15" t="s">
        <v>31545</v>
      </c>
      <c r="E16949" s="15">
        <v>10</v>
      </c>
      <c r="F16949" s="42">
        <v>44670</v>
      </c>
    </row>
    <row r="16950" spans="1:6" x14ac:dyDescent="0.3">
      <c r="A16950" s="15" t="s">
        <v>33220</v>
      </c>
      <c r="B16950" s="15" t="s">
        <v>31546</v>
      </c>
      <c r="C16950" s="15" t="s">
        <v>800</v>
      </c>
      <c r="D16950" s="15" t="s">
        <v>31547</v>
      </c>
      <c r="E16950" s="15">
        <v>10</v>
      </c>
      <c r="F16950" s="42">
        <v>44670</v>
      </c>
    </row>
    <row r="16951" spans="1:6" x14ac:dyDescent="0.3">
      <c r="A16951" s="15" t="s">
        <v>33219</v>
      </c>
      <c r="B16951" s="15" t="s">
        <v>31548</v>
      </c>
      <c r="C16951" s="15" t="s">
        <v>800</v>
      </c>
      <c r="D16951" s="15" t="s">
        <v>31549</v>
      </c>
      <c r="E16951" s="15">
        <v>13.1348</v>
      </c>
      <c r="F16951" s="42">
        <v>44670</v>
      </c>
    </row>
    <row r="16952" spans="1:6" x14ac:dyDescent="0.3">
      <c r="A16952" s="15" t="s">
        <v>33218</v>
      </c>
      <c r="B16952" s="15" t="s">
        <v>31550</v>
      </c>
      <c r="C16952" s="15" t="s">
        <v>800</v>
      </c>
      <c r="D16952" s="15" t="s">
        <v>31551</v>
      </c>
      <c r="E16952" s="15">
        <v>12.9832</v>
      </c>
      <c r="F16952" s="42">
        <v>44670</v>
      </c>
    </row>
    <row r="16953" spans="1:6" x14ac:dyDescent="0.3">
      <c r="A16953" s="15" t="s">
        <v>33217</v>
      </c>
      <c r="B16953" s="15" t="s">
        <v>31552</v>
      </c>
      <c r="C16953" s="15" t="s">
        <v>800</v>
      </c>
      <c r="D16953" s="15" t="s">
        <v>31553</v>
      </c>
      <c r="E16953" s="15">
        <v>10</v>
      </c>
      <c r="F16953" s="42">
        <v>44670</v>
      </c>
    </row>
    <row r="16954" spans="1:6" x14ac:dyDescent="0.3">
      <c r="A16954" s="15" t="s">
        <v>33216</v>
      </c>
      <c r="B16954" s="15" t="s">
        <v>31554</v>
      </c>
      <c r="C16954" s="15" t="s">
        <v>800</v>
      </c>
      <c r="D16954" s="15" t="s">
        <v>31555</v>
      </c>
      <c r="E16954" s="15">
        <v>10</v>
      </c>
      <c r="F16954" s="42">
        <v>44670</v>
      </c>
    </row>
    <row r="16955" spans="1:6" x14ac:dyDescent="0.3">
      <c r="A16955" s="15" t="s">
        <v>33215</v>
      </c>
      <c r="B16955" s="15" t="s">
        <v>31556</v>
      </c>
      <c r="C16955" s="15" t="s">
        <v>800</v>
      </c>
      <c r="D16955" s="15" t="s">
        <v>31557</v>
      </c>
      <c r="E16955" s="15">
        <v>10</v>
      </c>
      <c r="F16955" s="42">
        <v>44670</v>
      </c>
    </row>
    <row r="16956" spans="1:6" x14ac:dyDescent="0.3">
      <c r="A16956" s="15" t="s">
        <v>33214</v>
      </c>
      <c r="B16956" s="15" t="s">
        <v>31558</v>
      </c>
      <c r="C16956" s="15" t="s">
        <v>800</v>
      </c>
      <c r="D16956" s="15" t="s">
        <v>31559</v>
      </c>
      <c r="E16956" s="15">
        <v>10</v>
      </c>
      <c r="F16956" s="42">
        <v>44670</v>
      </c>
    </row>
    <row r="16957" spans="1:6" x14ac:dyDescent="0.3">
      <c r="A16957" s="15" t="s">
        <v>33213</v>
      </c>
      <c r="B16957" s="15" t="s">
        <v>31560</v>
      </c>
      <c r="C16957" s="15" t="s">
        <v>800</v>
      </c>
      <c r="D16957" s="15" t="s">
        <v>31561</v>
      </c>
      <c r="E16957" s="15">
        <v>10</v>
      </c>
      <c r="F16957" s="42">
        <v>44670</v>
      </c>
    </row>
    <row r="16958" spans="1:6" x14ac:dyDescent="0.3">
      <c r="A16958" s="15" t="s">
        <v>33212</v>
      </c>
      <c r="B16958" s="15" t="s">
        <v>31562</v>
      </c>
      <c r="C16958" s="15" t="s">
        <v>800</v>
      </c>
      <c r="D16958" s="15" t="s">
        <v>31563</v>
      </c>
      <c r="E16958" s="15">
        <v>10</v>
      </c>
      <c r="F16958" s="42">
        <v>44670</v>
      </c>
    </row>
    <row r="16959" spans="1:6" x14ac:dyDescent="0.3">
      <c r="A16959" s="15" t="s">
        <v>33211</v>
      </c>
      <c r="B16959" s="15" t="s">
        <v>31564</v>
      </c>
      <c r="C16959" s="15" t="s">
        <v>800</v>
      </c>
      <c r="D16959" s="15" t="s">
        <v>31565</v>
      </c>
      <c r="E16959" s="15">
        <v>10</v>
      </c>
      <c r="F16959" s="42">
        <v>44670</v>
      </c>
    </row>
    <row r="16960" spans="1:6" x14ac:dyDescent="0.3">
      <c r="A16960" s="15" t="s">
        <v>33210</v>
      </c>
      <c r="B16960" s="15" t="s">
        <v>31566</v>
      </c>
      <c r="C16960" s="15" t="s">
        <v>800</v>
      </c>
      <c r="D16960" s="15" t="s">
        <v>31567</v>
      </c>
      <c r="E16960" s="15">
        <v>12.9412</v>
      </c>
      <c r="F16960" s="42">
        <v>44670</v>
      </c>
    </row>
    <row r="16961" spans="1:6" x14ac:dyDescent="0.3">
      <c r="A16961" s="15" t="s">
        <v>33209</v>
      </c>
      <c r="B16961" s="15" t="s">
        <v>31568</v>
      </c>
      <c r="C16961" s="15" t="s">
        <v>800</v>
      </c>
      <c r="D16961" s="15" t="s">
        <v>31569</v>
      </c>
      <c r="E16961" s="15">
        <v>12.8331</v>
      </c>
      <c r="F16961" s="42">
        <v>44670</v>
      </c>
    </row>
    <row r="16962" spans="1:6" x14ac:dyDescent="0.3">
      <c r="A16962" s="15" t="s">
        <v>33208</v>
      </c>
      <c r="B16962" s="15" t="s">
        <v>31570</v>
      </c>
      <c r="C16962" s="15" t="s">
        <v>800</v>
      </c>
      <c r="D16962" s="15" t="s">
        <v>31571</v>
      </c>
      <c r="E16962" s="15">
        <v>10</v>
      </c>
      <c r="F16962" s="42">
        <v>44670</v>
      </c>
    </row>
    <row r="16963" spans="1:6" x14ac:dyDescent="0.3">
      <c r="A16963" s="15" t="s">
        <v>33207</v>
      </c>
      <c r="B16963" s="15" t="s">
        <v>31572</v>
      </c>
      <c r="C16963" s="15" t="s">
        <v>800</v>
      </c>
      <c r="D16963" s="15" t="s">
        <v>31573</v>
      </c>
      <c r="E16963" s="15">
        <v>12.889799999999999</v>
      </c>
      <c r="F16963" s="42">
        <v>44670</v>
      </c>
    </row>
    <row r="16964" spans="1:6" x14ac:dyDescent="0.3">
      <c r="A16964" s="15" t="s">
        <v>33206</v>
      </c>
      <c r="B16964" s="15" t="s">
        <v>31574</v>
      </c>
      <c r="C16964" s="15" t="s">
        <v>800</v>
      </c>
      <c r="D16964" s="15" t="s">
        <v>31575</v>
      </c>
      <c r="E16964" s="15">
        <v>12.7752</v>
      </c>
      <c r="F16964" s="42">
        <v>44670</v>
      </c>
    </row>
    <row r="16965" spans="1:6" x14ac:dyDescent="0.3">
      <c r="A16965" s="15" t="s">
        <v>33205</v>
      </c>
      <c r="B16965" s="15" t="s">
        <v>31576</v>
      </c>
      <c r="C16965" s="15" t="s">
        <v>800</v>
      </c>
      <c r="D16965" s="15" t="s">
        <v>31577</v>
      </c>
      <c r="E16965" s="15">
        <v>10</v>
      </c>
      <c r="F16965" s="42">
        <v>44670</v>
      </c>
    </row>
    <row r="16966" spans="1:6" x14ac:dyDescent="0.3">
      <c r="A16966" s="15" t="s">
        <v>33204</v>
      </c>
      <c r="B16966" s="15" t="s">
        <v>31578</v>
      </c>
      <c r="C16966" s="15" t="s">
        <v>800</v>
      </c>
      <c r="D16966" s="15" t="s">
        <v>31579</v>
      </c>
      <c r="E16966" s="15">
        <v>10</v>
      </c>
      <c r="F16966" s="42">
        <v>44670</v>
      </c>
    </row>
    <row r="16967" spans="1:6" x14ac:dyDescent="0.3">
      <c r="A16967" s="15" t="s">
        <v>33203</v>
      </c>
      <c r="B16967" s="15" t="s">
        <v>31580</v>
      </c>
      <c r="C16967" s="15" t="s">
        <v>800</v>
      </c>
      <c r="D16967" s="15" t="s">
        <v>31581</v>
      </c>
      <c r="E16967" s="15">
        <v>10</v>
      </c>
      <c r="F16967" s="42">
        <v>44670</v>
      </c>
    </row>
    <row r="16968" spans="1:6" x14ac:dyDescent="0.3">
      <c r="A16968" s="15" t="s">
        <v>33202</v>
      </c>
      <c r="B16968" s="15" t="s">
        <v>31582</v>
      </c>
      <c r="C16968" s="15" t="s">
        <v>800</v>
      </c>
      <c r="D16968" s="15" t="s">
        <v>31583</v>
      </c>
      <c r="E16968" s="15">
        <v>13.194100000000001</v>
      </c>
      <c r="F16968" s="42">
        <v>44705</v>
      </c>
    </row>
    <row r="16969" spans="1:6" x14ac:dyDescent="0.3">
      <c r="A16969" s="15" t="s">
        <v>33201</v>
      </c>
      <c r="B16969" s="15" t="s">
        <v>31584</v>
      </c>
      <c r="C16969" s="15" t="s">
        <v>800</v>
      </c>
      <c r="D16969" s="15" t="s">
        <v>31585</v>
      </c>
      <c r="E16969" s="15">
        <v>13.0375</v>
      </c>
      <c r="F16969" s="42">
        <v>44705</v>
      </c>
    </row>
    <row r="16970" spans="1:6" x14ac:dyDescent="0.3">
      <c r="A16970" s="15" t="s">
        <v>33200</v>
      </c>
      <c r="B16970" s="15" t="s">
        <v>31586</v>
      </c>
      <c r="C16970" s="15" t="s">
        <v>800</v>
      </c>
      <c r="D16970" s="15" t="s">
        <v>31587</v>
      </c>
      <c r="E16970" s="15">
        <v>10</v>
      </c>
      <c r="F16970" s="42">
        <v>44705</v>
      </c>
    </row>
    <row r="16971" spans="1:6" x14ac:dyDescent="0.3">
      <c r="A16971" s="15" t="s">
        <v>33199</v>
      </c>
      <c r="B16971" s="15" t="s">
        <v>31588</v>
      </c>
      <c r="C16971" s="15" t="s">
        <v>800</v>
      </c>
      <c r="D16971" s="15" t="s">
        <v>31589</v>
      </c>
      <c r="E16971" s="15">
        <v>10</v>
      </c>
      <c r="F16971" s="42">
        <v>44705</v>
      </c>
    </row>
    <row r="16972" spans="1:6" x14ac:dyDescent="0.3">
      <c r="A16972" s="15" t="s">
        <v>33198</v>
      </c>
      <c r="B16972" s="15" t="s">
        <v>31590</v>
      </c>
      <c r="C16972" s="15" t="s">
        <v>800</v>
      </c>
      <c r="D16972" s="15" t="s">
        <v>31591</v>
      </c>
      <c r="E16972" s="15">
        <v>10</v>
      </c>
      <c r="F16972" s="42">
        <v>44705</v>
      </c>
    </row>
    <row r="16973" spans="1:6" x14ac:dyDescent="0.3">
      <c r="A16973" s="15" t="s">
        <v>33197</v>
      </c>
      <c r="B16973" s="15" t="s">
        <v>31592</v>
      </c>
      <c r="C16973" s="15" t="s">
        <v>800</v>
      </c>
      <c r="D16973" s="15" t="s">
        <v>31593</v>
      </c>
      <c r="E16973" s="15">
        <v>10</v>
      </c>
      <c r="F16973" s="42">
        <v>44705</v>
      </c>
    </row>
    <row r="16974" spans="1:6" x14ac:dyDescent="0.3">
      <c r="A16974" s="15" t="s">
        <v>33196</v>
      </c>
      <c r="B16974" s="15" t="s">
        <v>31594</v>
      </c>
      <c r="C16974" s="15" t="s">
        <v>800</v>
      </c>
      <c r="D16974" s="15" t="s">
        <v>31595</v>
      </c>
      <c r="E16974" s="15">
        <v>10</v>
      </c>
      <c r="F16974" s="42">
        <v>44705</v>
      </c>
    </row>
    <row r="16975" spans="1:6" x14ac:dyDescent="0.3">
      <c r="A16975" s="15" t="s">
        <v>33195</v>
      </c>
      <c r="B16975" s="15" t="s">
        <v>31596</v>
      </c>
      <c r="C16975" s="15" t="s">
        <v>800</v>
      </c>
      <c r="D16975" s="15" t="s">
        <v>31597</v>
      </c>
      <c r="E16975" s="15">
        <v>10</v>
      </c>
      <c r="F16975" s="42">
        <v>44705</v>
      </c>
    </row>
    <row r="16976" spans="1:6" x14ac:dyDescent="0.3">
      <c r="A16976" s="15" t="s">
        <v>33194</v>
      </c>
      <c r="B16976" s="15" t="s">
        <v>31598</v>
      </c>
      <c r="C16976" s="15" t="s">
        <v>800</v>
      </c>
      <c r="D16976" s="15" t="s">
        <v>31599</v>
      </c>
      <c r="E16976" s="15">
        <v>10</v>
      </c>
      <c r="F16976" s="42">
        <v>44705</v>
      </c>
    </row>
    <row r="16977" spans="1:6" x14ac:dyDescent="0.3">
      <c r="A16977" s="15" t="s">
        <v>33193</v>
      </c>
      <c r="B16977" s="15" t="s">
        <v>31600</v>
      </c>
      <c r="C16977" s="15" t="s">
        <v>800</v>
      </c>
      <c r="D16977" s="15" t="s">
        <v>31601</v>
      </c>
      <c r="E16977" s="15">
        <v>10</v>
      </c>
      <c r="F16977" s="42">
        <v>44705</v>
      </c>
    </row>
    <row r="16978" spans="1:6" x14ac:dyDescent="0.3">
      <c r="A16978" s="15" t="s">
        <v>33192</v>
      </c>
      <c r="B16978" s="15" t="s">
        <v>31602</v>
      </c>
      <c r="C16978" s="15" t="s">
        <v>800</v>
      </c>
      <c r="D16978" s="15" t="s">
        <v>31603</v>
      </c>
      <c r="E16978" s="15">
        <v>12.778700000000001</v>
      </c>
      <c r="F16978" s="42">
        <v>44670</v>
      </c>
    </row>
    <row r="16979" spans="1:6" x14ac:dyDescent="0.3">
      <c r="A16979" s="15" t="s">
        <v>33191</v>
      </c>
      <c r="B16979" s="15" t="s">
        <v>31604</v>
      </c>
      <c r="C16979" s="15" t="s">
        <v>800</v>
      </c>
      <c r="D16979" s="15" t="s">
        <v>31605</v>
      </c>
      <c r="E16979" s="15">
        <v>12.676299999999999</v>
      </c>
      <c r="F16979" s="42">
        <v>44670</v>
      </c>
    </row>
    <row r="16980" spans="1:6" x14ac:dyDescent="0.3">
      <c r="A16980" s="15" t="s">
        <v>33190</v>
      </c>
      <c r="B16980" s="15" t="s">
        <v>31606</v>
      </c>
      <c r="C16980" s="15" t="s">
        <v>800</v>
      </c>
      <c r="D16980" s="15" t="s">
        <v>31607</v>
      </c>
      <c r="E16980" s="15">
        <v>10</v>
      </c>
      <c r="F16980" s="42">
        <v>44670</v>
      </c>
    </row>
    <row r="16981" spans="1:6" x14ac:dyDescent="0.3">
      <c r="A16981" s="15" t="s">
        <v>33189</v>
      </c>
      <c r="B16981" s="15" t="s">
        <v>31608</v>
      </c>
      <c r="C16981" s="15" t="s">
        <v>800</v>
      </c>
      <c r="D16981" s="15" t="s">
        <v>31609</v>
      </c>
      <c r="E16981" s="15">
        <v>10</v>
      </c>
      <c r="F16981" s="42">
        <v>44670</v>
      </c>
    </row>
    <row r="16982" spans="1:6" x14ac:dyDescent="0.3">
      <c r="A16982" s="15" t="s">
        <v>33188</v>
      </c>
      <c r="B16982" s="15" t="s">
        <v>31610</v>
      </c>
      <c r="C16982" s="15" t="s">
        <v>800</v>
      </c>
      <c r="D16982" s="15" t="s">
        <v>31611</v>
      </c>
      <c r="E16982" s="15">
        <v>10</v>
      </c>
      <c r="F16982" s="42">
        <v>44670</v>
      </c>
    </row>
    <row r="16983" spans="1:6" x14ac:dyDescent="0.3">
      <c r="A16983" s="15" t="s">
        <v>33187</v>
      </c>
      <c r="B16983" s="15" t="s">
        <v>31612</v>
      </c>
      <c r="C16983" s="15" t="s">
        <v>800</v>
      </c>
      <c r="D16983" s="15" t="s">
        <v>31613</v>
      </c>
      <c r="E16983" s="15">
        <v>10</v>
      </c>
      <c r="F16983" s="42">
        <v>44670</v>
      </c>
    </row>
    <row r="16984" spans="1:6" x14ac:dyDescent="0.3">
      <c r="A16984" s="15" t="s">
        <v>33186</v>
      </c>
      <c r="B16984" s="15" t="s">
        <v>31614</v>
      </c>
      <c r="C16984" s="15" t="s">
        <v>800</v>
      </c>
      <c r="D16984" s="15" t="s">
        <v>31615</v>
      </c>
      <c r="E16984" s="15">
        <v>10</v>
      </c>
      <c r="F16984" s="42">
        <v>44670</v>
      </c>
    </row>
    <row r="16985" spans="1:6" x14ac:dyDescent="0.3">
      <c r="A16985" s="15" t="s">
        <v>33185</v>
      </c>
      <c r="B16985" s="15" t="s">
        <v>31616</v>
      </c>
      <c r="C16985" s="15" t="s">
        <v>800</v>
      </c>
      <c r="D16985" s="15" t="s">
        <v>31617</v>
      </c>
      <c r="E16985" s="15">
        <v>10</v>
      </c>
      <c r="F16985" s="42">
        <v>44670</v>
      </c>
    </row>
    <row r="16986" spans="1:6" x14ac:dyDescent="0.3">
      <c r="A16986" s="15" t="s">
        <v>33184</v>
      </c>
      <c r="B16986" s="15" t="s">
        <v>31618</v>
      </c>
      <c r="C16986" s="15" t="s">
        <v>800</v>
      </c>
      <c r="D16986" s="15" t="s">
        <v>31619</v>
      </c>
      <c r="E16986" s="15">
        <v>10</v>
      </c>
      <c r="F16986" s="42">
        <v>44670</v>
      </c>
    </row>
    <row r="16987" spans="1:6" x14ac:dyDescent="0.3">
      <c r="A16987" s="15" t="s">
        <v>33183</v>
      </c>
      <c r="B16987" s="15" t="s">
        <v>31620</v>
      </c>
      <c r="C16987" s="15" t="s">
        <v>800</v>
      </c>
      <c r="D16987" s="15" t="s">
        <v>31621</v>
      </c>
      <c r="E16987" s="15">
        <v>13.147500000000001</v>
      </c>
      <c r="F16987" s="42">
        <v>44705</v>
      </c>
    </row>
    <row r="16988" spans="1:6" x14ac:dyDescent="0.3">
      <c r="A16988" s="15" t="s">
        <v>33182</v>
      </c>
      <c r="B16988" s="15" t="s">
        <v>31622</v>
      </c>
      <c r="C16988" s="15" t="s">
        <v>800</v>
      </c>
      <c r="D16988" s="15" t="s">
        <v>31623</v>
      </c>
      <c r="E16988" s="15">
        <v>12.996499999999999</v>
      </c>
      <c r="F16988" s="42">
        <v>44705</v>
      </c>
    </row>
    <row r="16989" spans="1:6" x14ac:dyDescent="0.3">
      <c r="A16989" s="15" t="s">
        <v>33181</v>
      </c>
      <c r="B16989" s="15" t="s">
        <v>31624</v>
      </c>
      <c r="C16989" s="15" t="s">
        <v>800</v>
      </c>
      <c r="D16989" s="15" t="s">
        <v>31625</v>
      </c>
      <c r="E16989" s="15">
        <v>10</v>
      </c>
      <c r="F16989" s="42">
        <v>44705</v>
      </c>
    </row>
    <row r="16990" spans="1:6" x14ac:dyDescent="0.3">
      <c r="A16990" s="15" t="s">
        <v>33180</v>
      </c>
      <c r="B16990" s="15" t="s">
        <v>31626</v>
      </c>
      <c r="C16990" s="15" t="s">
        <v>800</v>
      </c>
      <c r="D16990" s="15" t="s">
        <v>31627</v>
      </c>
      <c r="E16990" s="15">
        <v>10</v>
      </c>
      <c r="F16990" s="42">
        <v>44705</v>
      </c>
    </row>
    <row r="16991" spans="1:6" x14ac:dyDescent="0.3">
      <c r="A16991" s="15" t="s">
        <v>33179</v>
      </c>
      <c r="B16991" s="15" t="s">
        <v>31628</v>
      </c>
      <c r="C16991" s="15" t="s">
        <v>800</v>
      </c>
      <c r="D16991" s="15" t="s">
        <v>31629</v>
      </c>
      <c r="E16991" s="15">
        <v>10</v>
      </c>
      <c r="F16991" s="42">
        <v>44705</v>
      </c>
    </row>
    <row r="16992" spans="1:6" x14ac:dyDescent="0.3">
      <c r="A16992" s="15" t="s">
        <v>33178</v>
      </c>
      <c r="B16992" s="15" t="s">
        <v>31630</v>
      </c>
      <c r="C16992" s="15" t="s">
        <v>800</v>
      </c>
      <c r="D16992" s="15" t="s">
        <v>31631</v>
      </c>
      <c r="E16992" s="15">
        <v>10</v>
      </c>
      <c r="F16992" s="42">
        <v>44705</v>
      </c>
    </row>
    <row r="16993" spans="1:6" x14ac:dyDescent="0.3">
      <c r="A16993" s="15" t="s">
        <v>33177</v>
      </c>
      <c r="B16993" s="15" t="s">
        <v>31632</v>
      </c>
      <c r="C16993" s="15" t="s">
        <v>800</v>
      </c>
      <c r="D16993" s="15" t="s">
        <v>31633</v>
      </c>
      <c r="E16993" s="15">
        <v>10</v>
      </c>
      <c r="F16993" s="42">
        <v>44705</v>
      </c>
    </row>
    <row r="16994" spans="1:6" x14ac:dyDescent="0.3">
      <c r="A16994" s="15" t="s">
        <v>33176</v>
      </c>
      <c r="B16994" s="15" t="s">
        <v>31634</v>
      </c>
      <c r="C16994" s="15" t="s">
        <v>800</v>
      </c>
      <c r="D16994" s="15" t="s">
        <v>31635</v>
      </c>
      <c r="E16994" s="15">
        <v>10</v>
      </c>
      <c r="F16994" s="42">
        <v>44705</v>
      </c>
    </row>
    <row r="16995" spans="1:6" x14ac:dyDescent="0.3">
      <c r="A16995" s="15" t="s">
        <v>33175</v>
      </c>
      <c r="B16995" s="15" t="s">
        <v>31636</v>
      </c>
      <c r="C16995" s="15" t="s">
        <v>800</v>
      </c>
      <c r="D16995" s="15" t="s">
        <v>31637</v>
      </c>
      <c r="E16995" s="15">
        <v>10</v>
      </c>
      <c r="F16995" s="42">
        <v>44705</v>
      </c>
    </row>
    <row r="16996" spans="1:6" x14ac:dyDescent="0.3">
      <c r="A16996" s="15" t="s">
        <v>33174</v>
      </c>
      <c r="B16996" s="15" t="s">
        <v>31638</v>
      </c>
      <c r="C16996" s="15" t="s">
        <v>800</v>
      </c>
      <c r="D16996" s="15" t="s">
        <v>31639</v>
      </c>
      <c r="E16996" s="15">
        <v>12.9603</v>
      </c>
      <c r="F16996" s="42">
        <v>44719</v>
      </c>
    </row>
    <row r="16997" spans="1:6" x14ac:dyDescent="0.3">
      <c r="A16997" s="15" t="s">
        <v>33173</v>
      </c>
      <c r="B16997" s="15" t="s">
        <v>31640</v>
      </c>
      <c r="C16997" s="15" t="s">
        <v>800</v>
      </c>
      <c r="D16997" s="15" t="s">
        <v>31641</v>
      </c>
      <c r="E16997" s="15">
        <v>12.8141</v>
      </c>
      <c r="F16997" s="42">
        <v>44719</v>
      </c>
    </row>
    <row r="16998" spans="1:6" x14ac:dyDescent="0.3">
      <c r="A16998" s="15" t="s">
        <v>33172</v>
      </c>
      <c r="B16998" s="15" t="s">
        <v>31642</v>
      </c>
      <c r="C16998" s="15" t="s">
        <v>800</v>
      </c>
      <c r="D16998" s="15" t="s">
        <v>31643</v>
      </c>
      <c r="E16998" s="15">
        <v>10</v>
      </c>
      <c r="F16998" s="42">
        <v>44719</v>
      </c>
    </row>
    <row r="16999" spans="1:6" x14ac:dyDescent="0.3">
      <c r="A16999" s="15" t="s">
        <v>33171</v>
      </c>
      <c r="B16999" s="15" t="s">
        <v>31644</v>
      </c>
      <c r="C16999" s="15" t="s">
        <v>800</v>
      </c>
      <c r="D16999" s="15" t="s">
        <v>31645</v>
      </c>
      <c r="E16999" s="15">
        <v>10</v>
      </c>
      <c r="F16999" s="42">
        <v>44719</v>
      </c>
    </row>
    <row r="17000" spans="1:6" x14ac:dyDescent="0.3">
      <c r="A17000" s="15" t="s">
        <v>33170</v>
      </c>
      <c r="B17000" s="15" t="s">
        <v>31646</v>
      </c>
      <c r="C17000" s="15" t="s">
        <v>800</v>
      </c>
      <c r="D17000" s="15" t="s">
        <v>31647</v>
      </c>
      <c r="E17000" s="15">
        <v>10</v>
      </c>
      <c r="F17000" s="42">
        <v>44719</v>
      </c>
    </row>
    <row r="17001" spans="1:6" x14ac:dyDescent="0.3">
      <c r="A17001" s="15" t="s">
        <v>33169</v>
      </c>
      <c r="B17001" s="15" t="s">
        <v>31648</v>
      </c>
      <c r="C17001" s="15" t="s">
        <v>800</v>
      </c>
      <c r="D17001" s="15" t="s">
        <v>31649</v>
      </c>
      <c r="E17001" s="15">
        <v>10</v>
      </c>
      <c r="F17001" s="42">
        <v>44719</v>
      </c>
    </row>
    <row r="17002" spans="1:6" x14ac:dyDescent="0.3">
      <c r="A17002" s="15" t="s">
        <v>33168</v>
      </c>
      <c r="B17002" s="15" t="s">
        <v>31650</v>
      </c>
      <c r="C17002" s="15" t="s">
        <v>800</v>
      </c>
      <c r="D17002" s="15" t="s">
        <v>31651</v>
      </c>
      <c r="E17002" s="15">
        <v>10</v>
      </c>
      <c r="F17002" s="42">
        <v>44719</v>
      </c>
    </row>
    <row r="17003" spans="1:6" x14ac:dyDescent="0.3">
      <c r="A17003" s="15" t="s">
        <v>33167</v>
      </c>
      <c r="B17003" s="15" t="s">
        <v>31652</v>
      </c>
      <c r="C17003" s="15" t="s">
        <v>800</v>
      </c>
      <c r="D17003" s="15" t="s">
        <v>31653</v>
      </c>
      <c r="E17003" s="15">
        <v>10</v>
      </c>
      <c r="F17003" s="42">
        <v>44719</v>
      </c>
    </row>
    <row r="17004" spans="1:6" x14ac:dyDescent="0.3">
      <c r="A17004" s="15" t="s">
        <v>33166</v>
      </c>
      <c r="B17004" s="15" t="s">
        <v>31654</v>
      </c>
      <c r="C17004" s="15" t="s">
        <v>800</v>
      </c>
      <c r="D17004" s="15" t="s">
        <v>31655</v>
      </c>
      <c r="E17004" s="15">
        <v>10</v>
      </c>
      <c r="F17004" s="42">
        <v>44719</v>
      </c>
    </row>
    <row r="17005" spans="1:6" x14ac:dyDescent="0.3">
      <c r="A17005" s="15" t="s">
        <v>33165</v>
      </c>
      <c r="B17005" s="15" t="s">
        <v>31656</v>
      </c>
      <c r="C17005" s="15" t="s">
        <v>800</v>
      </c>
      <c r="D17005" s="15" t="s">
        <v>31657</v>
      </c>
      <c r="E17005" s="15">
        <v>13.0725</v>
      </c>
      <c r="F17005" s="42">
        <v>44691</v>
      </c>
    </row>
    <row r="17006" spans="1:6" x14ac:dyDescent="0.3">
      <c r="A17006" s="15" t="s">
        <v>33164</v>
      </c>
      <c r="B17006" s="15" t="s">
        <v>31658</v>
      </c>
      <c r="C17006" s="15" t="s">
        <v>800</v>
      </c>
      <c r="D17006" s="15" t="s">
        <v>31659</v>
      </c>
      <c r="E17006" s="15">
        <v>12.926</v>
      </c>
      <c r="F17006" s="42">
        <v>44691</v>
      </c>
    </row>
    <row r="17007" spans="1:6" x14ac:dyDescent="0.3">
      <c r="A17007" s="15" t="s">
        <v>33163</v>
      </c>
      <c r="B17007" s="15" t="s">
        <v>31660</v>
      </c>
      <c r="C17007" s="15" t="s">
        <v>800</v>
      </c>
      <c r="D17007" s="15" t="s">
        <v>31661</v>
      </c>
      <c r="E17007" s="15">
        <v>10</v>
      </c>
      <c r="F17007" s="42">
        <v>44691</v>
      </c>
    </row>
    <row r="17008" spans="1:6" x14ac:dyDescent="0.3">
      <c r="A17008" s="15" t="s">
        <v>33162</v>
      </c>
      <c r="B17008" s="15" t="s">
        <v>31662</v>
      </c>
      <c r="C17008" s="15" t="s">
        <v>800</v>
      </c>
      <c r="D17008" s="15" t="s">
        <v>31663</v>
      </c>
      <c r="E17008" s="15">
        <v>10</v>
      </c>
      <c r="F17008" s="42">
        <v>44691</v>
      </c>
    </row>
    <row r="17009" spans="1:6" x14ac:dyDescent="0.3">
      <c r="A17009" s="15" t="s">
        <v>33161</v>
      </c>
      <c r="B17009" s="15" t="s">
        <v>31664</v>
      </c>
      <c r="C17009" s="15" t="s">
        <v>800</v>
      </c>
      <c r="D17009" s="15" t="s">
        <v>31665</v>
      </c>
      <c r="E17009" s="15">
        <v>10</v>
      </c>
      <c r="F17009" s="42">
        <v>44691</v>
      </c>
    </row>
    <row r="17010" spans="1:6" x14ac:dyDescent="0.3">
      <c r="A17010" s="15" t="s">
        <v>33160</v>
      </c>
      <c r="B17010" s="15" t="s">
        <v>31666</v>
      </c>
      <c r="C17010" s="15" t="s">
        <v>800</v>
      </c>
      <c r="D17010" s="15" t="s">
        <v>31667</v>
      </c>
      <c r="E17010" s="15">
        <v>10</v>
      </c>
      <c r="F17010" s="42">
        <v>44691</v>
      </c>
    </row>
    <row r="17011" spans="1:6" x14ac:dyDescent="0.3">
      <c r="A17011" s="15" t="s">
        <v>33159</v>
      </c>
      <c r="B17011" s="15" t="s">
        <v>31668</v>
      </c>
      <c r="C17011" s="15" t="s">
        <v>800</v>
      </c>
      <c r="D17011" s="15" t="s">
        <v>31669</v>
      </c>
      <c r="E17011" s="15">
        <v>10</v>
      </c>
      <c r="F17011" s="42">
        <v>44691</v>
      </c>
    </row>
    <row r="17012" spans="1:6" x14ac:dyDescent="0.3">
      <c r="A17012" s="15" t="s">
        <v>33158</v>
      </c>
      <c r="B17012" s="15" t="s">
        <v>31670</v>
      </c>
      <c r="C17012" s="15" t="s">
        <v>800</v>
      </c>
      <c r="D17012" s="15" t="s">
        <v>31671</v>
      </c>
      <c r="E17012" s="15">
        <v>10</v>
      </c>
      <c r="F17012" s="42">
        <v>44691</v>
      </c>
    </row>
    <row r="17013" spans="1:6" x14ac:dyDescent="0.3">
      <c r="A17013" s="15" t="s">
        <v>33157</v>
      </c>
      <c r="B17013" s="15" t="s">
        <v>31672</v>
      </c>
      <c r="C17013" s="15" t="s">
        <v>800</v>
      </c>
      <c r="D17013" s="15" t="s">
        <v>31673</v>
      </c>
      <c r="E17013" s="15">
        <v>10</v>
      </c>
      <c r="F17013" s="42">
        <v>44691</v>
      </c>
    </row>
    <row r="17014" spans="1:6" x14ac:dyDescent="0.3">
      <c r="A17014" s="15" t="s">
        <v>33156</v>
      </c>
      <c r="B17014" s="15" t="s">
        <v>31674</v>
      </c>
      <c r="C17014" s="15" t="s">
        <v>800</v>
      </c>
      <c r="D17014" s="15" t="s">
        <v>31675</v>
      </c>
      <c r="E17014" s="15">
        <v>12.6927</v>
      </c>
      <c r="F17014" s="42">
        <v>44691</v>
      </c>
    </row>
    <row r="17015" spans="1:6" x14ac:dyDescent="0.3">
      <c r="A17015" s="15" t="s">
        <v>33155</v>
      </c>
      <c r="B17015" s="15" t="s">
        <v>31676</v>
      </c>
      <c r="C17015" s="15" t="s">
        <v>800</v>
      </c>
      <c r="D17015" s="15" t="s">
        <v>31677</v>
      </c>
      <c r="E17015" s="15">
        <v>12.5916</v>
      </c>
      <c r="F17015" s="42">
        <v>44691</v>
      </c>
    </row>
    <row r="17016" spans="1:6" x14ac:dyDescent="0.3">
      <c r="A17016" s="15" t="s">
        <v>33154</v>
      </c>
      <c r="B17016" s="15" t="s">
        <v>31678</v>
      </c>
      <c r="C17016" s="15" t="s">
        <v>800</v>
      </c>
      <c r="D17016" s="15" t="s">
        <v>31679</v>
      </c>
      <c r="E17016" s="15">
        <v>10</v>
      </c>
      <c r="F17016" s="42">
        <v>44691</v>
      </c>
    </row>
    <row r="17017" spans="1:6" x14ac:dyDescent="0.3">
      <c r="A17017" s="15" t="s">
        <v>33153</v>
      </c>
      <c r="B17017" s="15" t="s">
        <v>31680</v>
      </c>
      <c r="C17017" s="15" t="s">
        <v>800</v>
      </c>
      <c r="D17017" s="15" t="s">
        <v>31681</v>
      </c>
      <c r="E17017" s="15">
        <v>10</v>
      </c>
      <c r="F17017" s="42">
        <v>44691</v>
      </c>
    </row>
    <row r="17018" spans="1:6" x14ac:dyDescent="0.3">
      <c r="A17018" s="15" t="s">
        <v>33152</v>
      </c>
      <c r="B17018" s="15" t="s">
        <v>31682</v>
      </c>
      <c r="C17018" s="15" t="s">
        <v>800</v>
      </c>
      <c r="D17018" s="15" t="s">
        <v>31683</v>
      </c>
      <c r="E17018" s="15">
        <v>10</v>
      </c>
      <c r="F17018" s="42">
        <v>44691</v>
      </c>
    </row>
    <row r="17019" spans="1:6" x14ac:dyDescent="0.3">
      <c r="A17019" s="15" t="s">
        <v>33151</v>
      </c>
      <c r="B17019" s="15" t="s">
        <v>31684</v>
      </c>
      <c r="C17019" s="15" t="s">
        <v>800</v>
      </c>
      <c r="D17019" s="15" t="s">
        <v>31685</v>
      </c>
      <c r="E17019" s="15">
        <v>10</v>
      </c>
      <c r="F17019" s="42">
        <v>44691</v>
      </c>
    </row>
    <row r="17020" spans="1:6" x14ac:dyDescent="0.3">
      <c r="A17020" s="15" t="s">
        <v>33150</v>
      </c>
      <c r="B17020" s="15" t="s">
        <v>31686</v>
      </c>
      <c r="C17020" s="15" t="s">
        <v>800</v>
      </c>
      <c r="D17020" s="15" t="s">
        <v>31687</v>
      </c>
      <c r="E17020" s="15">
        <v>10</v>
      </c>
      <c r="F17020" s="42">
        <v>44691</v>
      </c>
    </row>
    <row r="17021" spans="1:6" x14ac:dyDescent="0.3">
      <c r="A17021" s="15" t="s">
        <v>33149</v>
      </c>
      <c r="B17021" s="15" t="s">
        <v>31688</v>
      </c>
      <c r="C17021" s="15" t="s">
        <v>800</v>
      </c>
      <c r="D17021" s="15" t="s">
        <v>31689</v>
      </c>
      <c r="E17021" s="15">
        <v>12.8711</v>
      </c>
      <c r="F17021" s="42">
        <v>44691</v>
      </c>
    </row>
    <row r="17022" spans="1:6" x14ac:dyDescent="0.3">
      <c r="A17022" s="15" t="s">
        <v>33148</v>
      </c>
      <c r="B17022" s="15" t="s">
        <v>31690</v>
      </c>
      <c r="C17022" s="15" t="s">
        <v>800</v>
      </c>
      <c r="D17022" s="15" t="s">
        <v>31691</v>
      </c>
      <c r="E17022" s="15">
        <v>12.7293</v>
      </c>
      <c r="F17022" s="42">
        <v>44691</v>
      </c>
    </row>
    <row r="17023" spans="1:6" x14ac:dyDescent="0.3">
      <c r="A17023" s="15" t="s">
        <v>33147</v>
      </c>
      <c r="B17023" s="15" t="s">
        <v>31692</v>
      </c>
      <c r="C17023" s="15" t="s">
        <v>800</v>
      </c>
      <c r="D17023" s="15" t="s">
        <v>31693</v>
      </c>
      <c r="E17023" s="15">
        <v>10</v>
      </c>
      <c r="F17023" s="42">
        <v>44691</v>
      </c>
    </row>
    <row r="17024" spans="1:6" x14ac:dyDescent="0.3">
      <c r="A17024" s="15" t="s">
        <v>33146</v>
      </c>
      <c r="B17024" s="15" t="s">
        <v>31694</v>
      </c>
      <c r="C17024" s="15" t="s">
        <v>800</v>
      </c>
      <c r="D17024" s="15" t="s">
        <v>31695</v>
      </c>
      <c r="E17024" s="15">
        <v>10</v>
      </c>
      <c r="F17024" s="42">
        <v>44691</v>
      </c>
    </row>
    <row r="17025" spans="1:6" x14ac:dyDescent="0.3">
      <c r="A17025" s="15" t="s">
        <v>33145</v>
      </c>
      <c r="B17025" s="15" t="s">
        <v>31696</v>
      </c>
      <c r="C17025" s="15" t="s">
        <v>800</v>
      </c>
      <c r="D17025" s="15" t="s">
        <v>31697</v>
      </c>
      <c r="E17025" s="15">
        <v>10</v>
      </c>
      <c r="F17025" s="42">
        <v>44691</v>
      </c>
    </row>
    <row r="17026" spans="1:6" x14ac:dyDescent="0.3">
      <c r="A17026" s="15" t="s">
        <v>33144</v>
      </c>
      <c r="B17026" s="15" t="s">
        <v>31698</v>
      </c>
      <c r="C17026" s="15" t="s">
        <v>800</v>
      </c>
      <c r="D17026" s="15" t="s">
        <v>31699</v>
      </c>
      <c r="E17026" s="15">
        <v>10</v>
      </c>
      <c r="F17026" s="42">
        <v>44691</v>
      </c>
    </row>
    <row r="17027" spans="1:6" x14ac:dyDescent="0.3">
      <c r="A17027" s="15" t="s">
        <v>33143</v>
      </c>
      <c r="B17027" s="15" t="s">
        <v>31700</v>
      </c>
      <c r="C17027" s="15" t="s">
        <v>800</v>
      </c>
      <c r="D17027" s="15" t="s">
        <v>31701</v>
      </c>
      <c r="E17027" s="15">
        <v>10</v>
      </c>
      <c r="F17027" s="42">
        <v>44691</v>
      </c>
    </row>
    <row r="17028" spans="1:6" x14ac:dyDescent="0.3">
      <c r="A17028" s="15" t="s">
        <v>33142</v>
      </c>
      <c r="B17028" s="15" t="s">
        <v>31702</v>
      </c>
      <c r="C17028" s="15" t="s">
        <v>800</v>
      </c>
      <c r="D17028" s="15" t="s">
        <v>31703</v>
      </c>
      <c r="E17028" s="15">
        <v>10</v>
      </c>
      <c r="F17028" s="42">
        <v>44691</v>
      </c>
    </row>
    <row r="17029" spans="1:6" x14ac:dyDescent="0.3">
      <c r="A17029" s="15" t="s">
        <v>33141</v>
      </c>
      <c r="B17029" s="15" t="s">
        <v>31704</v>
      </c>
      <c r="C17029" s="15" t="s">
        <v>800</v>
      </c>
      <c r="D17029" s="15" t="s">
        <v>31705</v>
      </c>
      <c r="E17029" s="15">
        <v>10</v>
      </c>
      <c r="F17029" s="42">
        <v>44691</v>
      </c>
    </row>
    <row r="17030" spans="1:6" x14ac:dyDescent="0.3">
      <c r="A17030" s="15" t="s">
        <v>33140</v>
      </c>
      <c r="B17030" s="15" t="s">
        <v>31706</v>
      </c>
      <c r="C17030" s="15" t="s">
        <v>800</v>
      </c>
      <c r="D17030" s="15" t="s">
        <v>31707</v>
      </c>
      <c r="E17030" s="15">
        <v>12.5966</v>
      </c>
      <c r="F17030" s="42">
        <v>44685</v>
      </c>
    </row>
    <row r="17031" spans="1:6" x14ac:dyDescent="0.3">
      <c r="A17031" s="15" t="s">
        <v>33139</v>
      </c>
      <c r="B17031" s="15" t="s">
        <v>31708</v>
      </c>
      <c r="C17031" s="15" t="s">
        <v>800</v>
      </c>
      <c r="D17031" s="15" t="s">
        <v>31709</v>
      </c>
      <c r="E17031" s="15">
        <v>12.497400000000001</v>
      </c>
      <c r="F17031" s="42">
        <v>44685</v>
      </c>
    </row>
    <row r="17032" spans="1:6" x14ac:dyDescent="0.3">
      <c r="A17032" s="15" t="s">
        <v>33138</v>
      </c>
      <c r="B17032" s="15" t="s">
        <v>31710</v>
      </c>
      <c r="C17032" s="15" t="s">
        <v>800</v>
      </c>
      <c r="D17032" s="15" t="s">
        <v>31711</v>
      </c>
      <c r="E17032" s="15">
        <v>10</v>
      </c>
      <c r="F17032" s="42">
        <v>44685</v>
      </c>
    </row>
    <row r="17033" spans="1:6" x14ac:dyDescent="0.3">
      <c r="A17033" s="15" t="s">
        <v>33137</v>
      </c>
      <c r="B17033" s="15" t="s">
        <v>31712</v>
      </c>
      <c r="C17033" s="15" t="s">
        <v>800</v>
      </c>
      <c r="D17033" s="15" t="s">
        <v>31713</v>
      </c>
      <c r="E17033" s="15">
        <v>10</v>
      </c>
      <c r="F17033" s="42">
        <v>44685</v>
      </c>
    </row>
    <row r="17034" spans="1:6" x14ac:dyDescent="0.3">
      <c r="A17034" s="15" t="s">
        <v>33136</v>
      </c>
      <c r="B17034" s="15" t="s">
        <v>31714</v>
      </c>
      <c r="C17034" s="15" t="s">
        <v>800</v>
      </c>
      <c r="D17034" s="15" t="s">
        <v>31715</v>
      </c>
      <c r="E17034" s="15">
        <v>10</v>
      </c>
      <c r="F17034" s="42">
        <v>44685</v>
      </c>
    </row>
    <row r="17035" spans="1:6" x14ac:dyDescent="0.3">
      <c r="A17035" s="15" t="s">
        <v>33135</v>
      </c>
      <c r="B17035" s="15" t="s">
        <v>31716</v>
      </c>
      <c r="C17035" s="15" t="s">
        <v>800</v>
      </c>
      <c r="D17035" s="15" t="s">
        <v>31717</v>
      </c>
      <c r="E17035" s="15">
        <v>10</v>
      </c>
      <c r="F17035" s="42">
        <v>44685</v>
      </c>
    </row>
    <row r="17036" spans="1:6" x14ac:dyDescent="0.3">
      <c r="A17036" s="15" t="s">
        <v>33134</v>
      </c>
      <c r="B17036" s="15" t="s">
        <v>31718</v>
      </c>
      <c r="C17036" s="15" t="s">
        <v>800</v>
      </c>
      <c r="D17036" s="15" t="s">
        <v>31719</v>
      </c>
      <c r="E17036" s="15">
        <v>10.0001</v>
      </c>
      <c r="F17036" s="42">
        <v>44685</v>
      </c>
    </row>
    <row r="17037" spans="1:6" x14ac:dyDescent="0.3">
      <c r="A17037" s="15" t="s">
        <v>33133</v>
      </c>
      <c r="B17037" s="15" t="s">
        <v>31720</v>
      </c>
      <c r="C17037" s="15" t="s">
        <v>800</v>
      </c>
      <c r="D17037" s="15" t="s">
        <v>31721</v>
      </c>
      <c r="E17037" s="15">
        <v>10</v>
      </c>
      <c r="F17037" s="42">
        <v>44685</v>
      </c>
    </row>
    <row r="17038" spans="1:6" x14ac:dyDescent="0.3">
      <c r="A17038" s="15" t="s">
        <v>33132</v>
      </c>
      <c r="B17038" s="15" t="s">
        <v>31722</v>
      </c>
      <c r="C17038" s="15" t="s">
        <v>800</v>
      </c>
      <c r="D17038" s="15" t="s">
        <v>31723</v>
      </c>
      <c r="E17038" s="15">
        <v>12.6754</v>
      </c>
      <c r="F17038" s="42">
        <v>44711</v>
      </c>
    </row>
    <row r="17039" spans="1:6" x14ac:dyDescent="0.3">
      <c r="A17039" s="15" t="s">
        <v>33131</v>
      </c>
      <c r="B17039" s="15" t="s">
        <v>31724</v>
      </c>
      <c r="C17039" s="15" t="s">
        <v>800</v>
      </c>
      <c r="D17039" s="15" t="s">
        <v>31725</v>
      </c>
      <c r="E17039" s="15">
        <v>12.574299999999999</v>
      </c>
      <c r="F17039" s="42">
        <v>44711</v>
      </c>
    </row>
    <row r="17040" spans="1:6" x14ac:dyDescent="0.3">
      <c r="A17040" s="15" t="s">
        <v>33130</v>
      </c>
      <c r="B17040" s="15" t="s">
        <v>31726</v>
      </c>
      <c r="C17040" s="15" t="s">
        <v>800</v>
      </c>
      <c r="D17040" s="15" t="s">
        <v>31727</v>
      </c>
      <c r="E17040" s="15">
        <v>10</v>
      </c>
      <c r="F17040" s="42">
        <v>44711</v>
      </c>
    </row>
    <row r="17041" spans="1:6" x14ac:dyDescent="0.3">
      <c r="A17041" s="15" t="s">
        <v>33129</v>
      </c>
      <c r="B17041" s="15" t="s">
        <v>31728</v>
      </c>
      <c r="C17041" s="15" t="s">
        <v>800</v>
      </c>
      <c r="D17041" s="15" t="s">
        <v>31729</v>
      </c>
      <c r="E17041" s="15">
        <v>10</v>
      </c>
      <c r="F17041" s="42">
        <v>44711</v>
      </c>
    </row>
    <row r="17042" spans="1:6" x14ac:dyDescent="0.3">
      <c r="A17042" s="15" t="s">
        <v>33128</v>
      </c>
      <c r="B17042" s="15" t="s">
        <v>31730</v>
      </c>
      <c r="C17042" s="15" t="s">
        <v>800</v>
      </c>
      <c r="D17042" s="15" t="s">
        <v>31731</v>
      </c>
      <c r="E17042" s="15">
        <v>10</v>
      </c>
      <c r="F17042" s="42">
        <v>44711</v>
      </c>
    </row>
    <row r="17043" spans="1:6" x14ac:dyDescent="0.3">
      <c r="A17043" s="15" t="s">
        <v>33127</v>
      </c>
      <c r="B17043" s="15" t="s">
        <v>31732</v>
      </c>
      <c r="C17043" s="15" t="s">
        <v>800</v>
      </c>
      <c r="D17043" s="15" t="s">
        <v>31733</v>
      </c>
      <c r="E17043" s="15">
        <v>10</v>
      </c>
      <c r="F17043" s="42">
        <v>44711</v>
      </c>
    </row>
    <row r="17044" spans="1:6" x14ac:dyDescent="0.3">
      <c r="A17044" s="15" t="s">
        <v>33126</v>
      </c>
      <c r="B17044" s="15" t="s">
        <v>31734</v>
      </c>
      <c r="C17044" s="15" t="s">
        <v>800</v>
      </c>
      <c r="D17044" s="15" t="s">
        <v>31735</v>
      </c>
      <c r="E17044" s="15">
        <v>12.459899999999999</v>
      </c>
      <c r="F17044" s="42">
        <v>44720</v>
      </c>
    </row>
    <row r="17045" spans="1:6" x14ac:dyDescent="0.3">
      <c r="A17045" s="15" t="s">
        <v>33125</v>
      </c>
      <c r="B17045" s="15" t="s">
        <v>31736</v>
      </c>
      <c r="C17045" s="15" t="s">
        <v>800</v>
      </c>
      <c r="D17045" s="15" t="s">
        <v>31737</v>
      </c>
      <c r="E17045" s="15">
        <v>12.3604</v>
      </c>
      <c r="F17045" s="42">
        <v>44720</v>
      </c>
    </row>
    <row r="17046" spans="1:6" x14ac:dyDescent="0.3">
      <c r="A17046" s="15" t="s">
        <v>33124</v>
      </c>
      <c r="B17046" s="15" t="s">
        <v>31738</v>
      </c>
      <c r="C17046" s="15" t="s">
        <v>800</v>
      </c>
      <c r="D17046" s="15" t="s">
        <v>31739</v>
      </c>
      <c r="E17046" s="15">
        <v>10</v>
      </c>
      <c r="F17046" s="42">
        <v>44720</v>
      </c>
    </row>
    <row r="17047" spans="1:6" x14ac:dyDescent="0.3">
      <c r="A17047" s="15" t="s">
        <v>33123</v>
      </c>
      <c r="B17047" s="15" t="s">
        <v>31740</v>
      </c>
      <c r="C17047" s="15" t="s">
        <v>800</v>
      </c>
      <c r="D17047" s="15" t="s">
        <v>31741</v>
      </c>
      <c r="E17047" s="15">
        <v>10</v>
      </c>
      <c r="F17047" s="42">
        <v>44720</v>
      </c>
    </row>
    <row r="17048" spans="1:6" x14ac:dyDescent="0.3">
      <c r="A17048" s="15" t="s">
        <v>33122</v>
      </c>
      <c r="B17048" s="15" t="s">
        <v>31742</v>
      </c>
      <c r="C17048" s="15" t="s">
        <v>800</v>
      </c>
      <c r="D17048" s="15" t="s">
        <v>31743</v>
      </c>
      <c r="E17048" s="15">
        <v>10</v>
      </c>
      <c r="F17048" s="42">
        <v>44720</v>
      </c>
    </row>
    <row r="17049" spans="1:6" x14ac:dyDescent="0.3">
      <c r="A17049" s="15" t="s">
        <v>33121</v>
      </c>
      <c r="B17049" s="15" t="s">
        <v>31744</v>
      </c>
      <c r="C17049" s="15" t="s">
        <v>800</v>
      </c>
      <c r="D17049" s="15" t="s">
        <v>31745</v>
      </c>
      <c r="E17049" s="15">
        <v>10</v>
      </c>
      <c r="F17049" s="42">
        <v>44720</v>
      </c>
    </row>
    <row r="17050" spans="1:6" x14ac:dyDescent="0.3">
      <c r="A17050" s="15" t="s">
        <v>33120</v>
      </c>
      <c r="B17050" s="15" t="s">
        <v>31746</v>
      </c>
      <c r="C17050" s="15" t="s">
        <v>800</v>
      </c>
      <c r="D17050" s="15" t="s">
        <v>31747</v>
      </c>
      <c r="E17050" s="15">
        <v>10</v>
      </c>
      <c r="F17050" s="42">
        <v>44720</v>
      </c>
    </row>
    <row r="17051" spans="1:6" x14ac:dyDescent="0.3">
      <c r="A17051" s="15" t="s">
        <v>33119</v>
      </c>
      <c r="B17051" s="15" t="s">
        <v>31748</v>
      </c>
      <c r="C17051" s="15" t="s">
        <v>800</v>
      </c>
      <c r="D17051" s="15" t="s">
        <v>31749</v>
      </c>
      <c r="E17051" s="15">
        <v>10</v>
      </c>
      <c r="F17051" s="42">
        <v>44720</v>
      </c>
    </row>
    <row r="17052" spans="1:6" x14ac:dyDescent="0.3">
      <c r="A17052" s="15" t="s">
        <v>33118</v>
      </c>
      <c r="B17052" s="15" t="s">
        <v>31750</v>
      </c>
      <c r="C17052" s="15" t="s">
        <v>800</v>
      </c>
      <c r="D17052" s="15" t="s">
        <v>31751</v>
      </c>
      <c r="E17052" s="15">
        <v>12.7521</v>
      </c>
      <c r="F17052" s="42">
        <v>44719</v>
      </c>
    </row>
    <row r="17053" spans="1:6" x14ac:dyDescent="0.3">
      <c r="A17053" s="15" t="s">
        <v>33117</v>
      </c>
      <c r="B17053" s="15" t="s">
        <v>31752</v>
      </c>
      <c r="C17053" s="15" t="s">
        <v>800</v>
      </c>
      <c r="D17053" s="15" t="s">
        <v>31753</v>
      </c>
      <c r="E17053" s="15">
        <v>12.612399999999999</v>
      </c>
      <c r="F17053" s="42">
        <v>44719</v>
      </c>
    </row>
    <row r="17054" spans="1:6" x14ac:dyDescent="0.3">
      <c r="A17054" s="15" t="s">
        <v>33116</v>
      </c>
      <c r="B17054" s="15" t="s">
        <v>31754</v>
      </c>
      <c r="C17054" s="15" t="s">
        <v>800</v>
      </c>
      <c r="D17054" s="15" t="s">
        <v>31755</v>
      </c>
      <c r="E17054" s="15">
        <v>10</v>
      </c>
      <c r="F17054" s="42">
        <v>44719</v>
      </c>
    </row>
    <row r="17055" spans="1:6" x14ac:dyDescent="0.3">
      <c r="A17055" s="15" t="s">
        <v>33115</v>
      </c>
      <c r="B17055" s="15" t="s">
        <v>31756</v>
      </c>
      <c r="C17055" s="15" t="s">
        <v>800</v>
      </c>
      <c r="D17055" s="15" t="s">
        <v>31757</v>
      </c>
      <c r="E17055" s="15">
        <v>10</v>
      </c>
      <c r="F17055" s="42">
        <v>44719</v>
      </c>
    </row>
    <row r="17056" spans="1:6" x14ac:dyDescent="0.3">
      <c r="A17056" s="15" t="s">
        <v>33114</v>
      </c>
      <c r="B17056" s="15" t="s">
        <v>31758</v>
      </c>
      <c r="C17056" s="15" t="s">
        <v>800</v>
      </c>
      <c r="D17056" s="15" t="s">
        <v>31759</v>
      </c>
      <c r="E17056" s="15">
        <v>10</v>
      </c>
      <c r="F17056" s="42">
        <v>44719</v>
      </c>
    </row>
    <row r="17057" spans="1:6" x14ac:dyDescent="0.3">
      <c r="A17057" s="15" t="s">
        <v>33113</v>
      </c>
      <c r="B17057" s="15" t="s">
        <v>31760</v>
      </c>
      <c r="C17057" s="15" t="s">
        <v>800</v>
      </c>
      <c r="D17057" s="15" t="s">
        <v>31761</v>
      </c>
      <c r="E17057" s="15">
        <v>10</v>
      </c>
      <c r="F17057" s="42">
        <v>44719</v>
      </c>
    </row>
    <row r="17058" spans="1:6" x14ac:dyDescent="0.3">
      <c r="A17058" s="15" t="s">
        <v>33112</v>
      </c>
      <c r="B17058" s="15" t="s">
        <v>31762</v>
      </c>
      <c r="C17058" s="15" t="s">
        <v>800</v>
      </c>
      <c r="D17058" s="15" t="s">
        <v>31763</v>
      </c>
      <c r="E17058" s="15">
        <v>10</v>
      </c>
      <c r="F17058" s="42">
        <v>44719</v>
      </c>
    </row>
    <row r="17059" spans="1:6" x14ac:dyDescent="0.3">
      <c r="A17059" s="15" t="s">
        <v>33111</v>
      </c>
      <c r="B17059" s="15" t="s">
        <v>31764</v>
      </c>
      <c r="C17059" s="15" t="s">
        <v>800</v>
      </c>
      <c r="D17059" s="15" t="s">
        <v>31765</v>
      </c>
      <c r="E17059" s="15">
        <v>12.700799999999999</v>
      </c>
      <c r="F17059" s="42">
        <v>44719</v>
      </c>
    </row>
    <row r="17060" spans="1:6" x14ac:dyDescent="0.3">
      <c r="A17060" s="15" t="s">
        <v>33110</v>
      </c>
      <c r="B17060" s="15" t="s">
        <v>31766</v>
      </c>
      <c r="C17060" s="15" t="s">
        <v>800</v>
      </c>
      <c r="D17060" s="15" t="s">
        <v>31767</v>
      </c>
      <c r="E17060" s="15">
        <v>12.5641</v>
      </c>
      <c r="F17060" s="42">
        <v>44719</v>
      </c>
    </row>
    <row r="17061" spans="1:6" x14ac:dyDescent="0.3">
      <c r="A17061" s="15" t="s">
        <v>33109</v>
      </c>
      <c r="B17061" s="15" t="s">
        <v>31768</v>
      </c>
      <c r="C17061" s="15" t="s">
        <v>800</v>
      </c>
      <c r="D17061" s="15" t="s">
        <v>31769</v>
      </c>
      <c r="E17061" s="15">
        <v>10</v>
      </c>
      <c r="F17061" s="42">
        <v>44719</v>
      </c>
    </row>
    <row r="17062" spans="1:6" x14ac:dyDescent="0.3">
      <c r="A17062" s="15" t="s">
        <v>33108</v>
      </c>
      <c r="B17062" s="15" t="s">
        <v>31770</v>
      </c>
      <c r="C17062" s="15" t="s">
        <v>800</v>
      </c>
      <c r="D17062" s="15" t="s">
        <v>31771</v>
      </c>
      <c r="E17062" s="15">
        <v>10</v>
      </c>
      <c r="F17062" s="42">
        <v>44719</v>
      </c>
    </row>
    <row r="17063" spans="1:6" x14ac:dyDescent="0.3">
      <c r="A17063" s="15" t="s">
        <v>33107</v>
      </c>
      <c r="B17063" s="15" t="s">
        <v>31772</v>
      </c>
      <c r="C17063" s="15" t="s">
        <v>800</v>
      </c>
      <c r="D17063" s="15" t="s">
        <v>31773</v>
      </c>
      <c r="E17063" s="15">
        <v>10</v>
      </c>
      <c r="F17063" s="42">
        <v>44719</v>
      </c>
    </row>
    <row r="17064" spans="1:6" x14ac:dyDescent="0.3">
      <c r="A17064" s="15" t="s">
        <v>33106</v>
      </c>
      <c r="B17064" s="15" t="s">
        <v>31774</v>
      </c>
      <c r="C17064" s="15" t="s">
        <v>800</v>
      </c>
      <c r="D17064" s="15" t="s">
        <v>31775</v>
      </c>
      <c r="E17064" s="15">
        <v>10</v>
      </c>
      <c r="F17064" s="42">
        <v>44719</v>
      </c>
    </row>
    <row r="17065" spans="1:6" x14ac:dyDescent="0.3">
      <c r="A17065" s="15" t="s">
        <v>33105</v>
      </c>
      <c r="B17065" s="15" t="s">
        <v>31776</v>
      </c>
      <c r="C17065" s="15" t="s">
        <v>800</v>
      </c>
      <c r="D17065" s="15" t="s">
        <v>31777</v>
      </c>
      <c r="E17065" s="15">
        <v>12.633900000000001</v>
      </c>
      <c r="F17065" s="42">
        <v>44719</v>
      </c>
    </row>
    <row r="17066" spans="1:6" x14ac:dyDescent="0.3">
      <c r="A17066" s="15" t="s">
        <v>33104</v>
      </c>
      <c r="B17066" s="15" t="s">
        <v>31778</v>
      </c>
      <c r="C17066" s="15" t="s">
        <v>800</v>
      </c>
      <c r="D17066" s="15" t="s">
        <v>31779</v>
      </c>
      <c r="E17066" s="15">
        <v>12.4998</v>
      </c>
      <c r="F17066" s="42">
        <v>44719</v>
      </c>
    </row>
    <row r="17067" spans="1:6" x14ac:dyDescent="0.3">
      <c r="A17067" s="15" t="s">
        <v>33103</v>
      </c>
      <c r="B17067" s="15" t="s">
        <v>31780</v>
      </c>
      <c r="C17067" s="15" t="s">
        <v>800</v>
      </c>
      <c r="D17067" s="15" t="s">
        <v>31781</v>
      </c>
      <c r="E17067" s="15">
        <v>10</v>
      </c>
      <c r="F17067" s="42">
        <v>44719</v>
      </c>
    </row>
    <row r="17068" spans="1:6" x14ac:dyDescent="0.3">
      <c r="A17068" s="15" t="s">
        <v>33102</v>
      </c>
      <c r="B17068" s="15" t="s">
        <v>31782</v>
      </c>
      <c r="C17068" s="15" t="s">
        <v>800</v>
      </c>
      <c r="D17068" s="15" t="s">
        <v>31783</v>
      </c>
      <c r="E17068" s="15">
        <v>10</v>
      </c>
      <c r="F17068" s="42">
        <v>44719</v>
      </c>
    </row>
    <row r="17069" spans="1:6" x14ac:dyDescent="0.3">
      <c r="A17069" s="15" t="s">
        <v>33101</v>
      </c>
      <c r="B17069" s="15" t="s">
        <v>31784</v>
      </c>
      <c r="C17069" s="15" t="s">
        <v>800</v>
      </c>
      <c r="D17069" s="15" t="s">
        <v>31785</v>
      </c>
      <c r="E17069" s="15">
        <v>10</v>
      </c>
      <c r="F17069" s="42">
        <v>44719</v>
      </c>
    </row>
    <row r="17070" spans="1:6" x14ac:dyDescent="0.3">
      <c r="A17070" s="15" t="s">
        <v>33100</v>
      </c>
      <c r="B17070" s="15" t="s">
        <v>31786</v>
      </c>
      <c r="C17070" s="15" t="s">
        <v>800</v>
      </c>
      <c r="D17070" s="15" t="s">
        <v>31787</v>
      </c>
      <c r="E17070" s="15">
        <v>10</v>
      </c>
      <c r="F17070" s="42">
        <v>44719</v>
      </c>
    </row>
    <row r="17071" spans="1:6" x14ac:dyDescent="0.3">
      <c r="A17071" s="15" t="s">
        <v>33099</v>
      </c>
      <c r="B17071" s="15" t="s">
        <v>31788</v>
      </c>
      <c r="C17071" s="15" t="s">
        <v>800</v>
      </c>
      <c r="D17071" s="15" t="s">
        <v>31789</v>
      </c>
      <c r="E17071" s="15">
        <v>10</v>
      </c>
      <c r="F17071" s="42">
        <v>44719</v>
      </c>
    </row>
    <row r="17072" spans="1:6" x14ac:dyDescent="0.3">
      <c r="A17072" s="15" t="s">
        <v>33098</v>
      </c>
      <c r="B17072" s="15" t="s">
        <v>31790</v>
      </c>
      <c r="C17072" s="15" t="s">
        <v>800</v>
      </c>
      <c r="D17072" s="15" t="s">
        <v>31791</v>
      </c>
      <c r="E17072" s="15">
        <v>10</v>
      </c>
      <c r="F17072" s="42">
        <v>44719</v>
      </c>
    </row>
    <row r="17073" spans="1:6" x14ac:dyDescent="0.3">
      <c r="A17073" s="15" t="s">
        <v>33097</v>
      </c>
      <c r="B17073" s="15" t="s">
        <v>31792</v>
      </c>
      <c r="C17073" s="15" t="s">
        <v>800</v>
      </c>
      <c r="D17073" s="15" t="s">
        <v>31793</v>
      </c>
      <c r="E17073" s="15">
        <v>12.5504</v>
      </c>
      <c r="F17073" s="42">
        <v>44719</v>
      </c>
    </row>
    <row r="17074" spans="1:6" x14ac:dyDescent="0.3">
      <c r="A17074" s="15" t="s">
        <v>33096</v>
      </c>
      <c r="B17074" s="15" t="s">
        <v>31794</v>
      </c>
      <c r="C17074" s="15" t="s">
        <v>800</v>
      </c>
      <c r="D17074" s="15" t="s">
        <v>31795</v>
      </c>
      <c r="E17074" s="15">
        <v>12.418699999999999</v>
      </c>
      <c r="F17074" s="42">
        <v>44719</v>
      </c>
    </row>
    <row r="17075" spans="1:6" x14ac:dyDescent="0.3">
      <c r="A17075" s="15" t="s">
        <v>33095</v>
      </c>
      <c r="B17075" s="15" t="s">
        <v>31796</v>
      </c>
      <c r="C17075" s="15" t="s">
        <v>800</v>
      </c>
      <c r="D17075" s="15" t="s">
        <v>31797</v>
      </c>
      <c r="E17075" s="15">
        <v>10</v>
      </c>
      <c r="F17075" s="42">
        <v>44719</v>
      </c>
    </row>
    <row r="17076" spans="1:6" x14ac:dyDescent="0.3">
      <c r="A17076" s="15" t="s">
        <v>33094</v>
      </c>
      <c r="B17076" s="15" t="s">
        <v>31798</v>
      </c>
      <c r="C17076" s="15" t="s">
        <v>800</v>
      </c>
      <c r="D17076" s="15" t="s">
        <v>31799</v>
      </c>
      <c r="E17076" s="15">
        <v>10</v>
      </c>
      <c r="F17076" s="42">
        <v>44719</v>
      </c>
    </row>
    <row r="17077" spans="1:6" x14ac:dyDescent="0.3">
      <c r="A17077" s="15" t="s">
        <v>33093</v>
      </c>
      <c r="B17077" s="15" t="s">
        <v>31800</v>
      </c>
      <c r="C17077" s="15" t="s">
        <v>800</v>
      </c>
      <c r="D17077" s="15" t="s">
        <v>31801</v>
      </c>
      <c r="E17077" s="15">
        <v>10</v>
      </c>
      <c r="F17077" s="42">
        <v>44719</v>
      </c>
    </row>
    <row r="17078" spans="1:6" x14ac:dyDescent="0.3">
      <c r="A17078" s="15" t="s">
        <v>33092</v>
      </c>
      <c r="B17078" s="15" t="s">
        <v>31802</v>
      </c>
      <c r="C17078" s="15" t="s">
        <v>800</v>
      </c>
      <c r="D17078" s="15" t="s">
        <v>31803</v>
      </c>
      <c r="E17078" s="15">
        <v>10</v>
      </c>
      <c r="F17078" s="42">
        <v>44719</v>
      </c>
    </row>
    <row r="17079" spans="1:6" x14ac:dyDescent="0.3">
      <c r="A17079" s="15" t="s">
        <v>33091</v>
      </c>
      <c r="B17079" s="15" t="s">
        <v>31804</v>
      </c>
      <c r="C17079" s="15" t="s">
        <v>800</v>
      </c>
      <c r="D17079" s="15" t="s">
        <v>31805</v>
      </c>
      <c r="E17079" s="15">
        <v>10</v>
      </c>
      <c r="F17079" s="42">
        <v>44719</v>
      </c>
    </row>
    <row r="17080" spans="1:6" x14ac:dyDescent="0.3">
      <c r="A17080" s="15" t="s">
        <v>33090</v>
      </c>
      <c r="B17080" s="15" t="s">
        <v>31806</v>
      </c>
      <c r="C17080" s="15" t="s">
        <v>800</v>
      </c>
      <c r="D17080" s="15" t="s">
        <v>31807</v>
      </c>
      <c r="E17080" s="15">
        <v>10</v>
      </c>
      <c r="F17080" s="42">
        <v>44719</v>
      </c>
    </row>
    <row r="17081" spans="1:6" x14ac:dyDescent="0.3">
      <c r="A17081" s="15" t="s">
        <v>33089</v>
      </c>
      <c r="B17081" s="15" t="s">
        <v>31808</v>
      </c>
      <c r="C17081" s="15" t="s">
        <v>800</v>
      </c>
      <c r="D17081" s="15" t="s">
        <v>31809</v>
      </c>
      <c r="E17081" s="15">
        <v>10</v>
      </c>
      <c r="F17081" s="42">
        <v>44719</v>
      </c>
    </row>
    <row r="17082" spans="1:6" x14ac:dyDescent="0.3">
      <c r="A17082" s="15" t="s">
        <v>33088</v>
      </c>
      <c r="B17082" s="15" t="s">
        <v>31810</v>
      </c>
      <c r="C17082" s="15" t="s">
        <v>800</v>
      </c>
      <c r="D17082" s="15" t="s">
        <v>31811</v>
      </c>
      <c r="E17082" s="15">
        <v>12.577199999999999</v>
      </c>
      <c r="F17082" s="42">
        <v>44761</v>
      </c>
    </row>
    <row r="17083" spans="1:6" x14ac:dyDescent="0.3">
      <c r="A17083" s="15" t="s">
        <v>33087</v>
      </c>
      <c r="B17083" s="15" t="s">
        <v>31812</v>
      </c>
      <c r="C17083" s="15" t="s">
        <v>800</v>
      </c>
      <c r="D17083" s="15" t="s">
        <v>31813</v>
      </c>
      <c r="E17083" s="15">
        <v>12.442</v>
      </c>
      <c r="F17083" s="42">
        <v>44761</v>
      </c>
    </row>
    <row r="17084" spans="1:6" x14ac:dyDescent="0.3">
      <c r="A17084" s="15" t="s">
        <v>33086</v>
      </c>
      <c r="B17084" s="15" t="s">
        <v>31814</v>
      </c>
      <c r="C17084" s="15" t="s">
        <v>800</v>
      </c>
      <c r="D17084" s="15" t="s">
        <v>31815</v>
      </c>
      <c r="E17084" s="15">
        <v>10</v>
      </c>
      <c r="F17084" s="42">
        <v>44761</v>
      </c>
    </row>
    <row r="17085" spans="1:6" x14ac:dyDescent="0.3">
      <c r="A17085" s="15" t="s">
        <v>33085</v>
      </c>
      <c r="B17085" s="15" t="s">
        <v>31816</v>
      </c>
      <c r="C17085" s="15" t="s">
        <v>800</v>
      </c>
      <c r="D17085" s="15" t="s">
        <v>31817</v>
      </c>
      <c r="E17085" s="15">
        <v>10</v>
      </c>
      <c r="F17085" s="42">
        <v>44761</v>
      </c>
    </row>
    <row r="17086" spans="1:6" x14ac:dyDescent="0.3">
      <c r="A17086" s="15" t="s">
        <v>33084</v>
      </c>
      <c r="B17086" s="15" t="s">
        <v>31818</v>
      </c>
      <c r="C17086" s="15" t="s">
        <v>800</v>
      </c>
      <c r="D17086" s="15" t="s">
        <v>31819</v>
      </c>
      <c r="E17086" s="15">
        <v>10</v>
      </c>
      <c r="F17086" s="42">
        <v>44761</v>
      </c>
    </row>
    <row r="17087" spans="1:6" x14ac:dyDescent="0.3">
      <c r="A17087" s="15" t="s">
        <v>33083</v>
      </c>
      <c r="B17087" s="15" t="s">
        <v>31820</v>
      </c>
      <c r="C17087" s="15" t="s">
        <v>800</v>
      </c>
      <c r="D17087" s="15" t="s">
        <v>31821</v>
      </c>
      <c r="E17087" s="15">
        <v>10</v>
      </c>
      <c r="F17087" s="42">
        <v>44761</v>
      </c>
    </row>
    <row r="17088" spans="1:6" x14ac:dyDescent="0.3">
      <c r="A17088" s="15" t="s">
        <v>33082</v>
      </c>
      <c r="B17088" s="15" t="s">
        <v>31822</v>
      </c>
      <c r="C17088" s="15" t="s">
        <v>800</v>
      </c>
      <c r="D17088" s="15" t="s">
        <v>31823</v>
      </c>
      <c r="E17088" s="15">
        <v>10</v>
      </c>
      <c r="F17088" s="42">
        <v>44761</v>
      </c>
    </row>
    <row r="17089" spans="1:6" x14ac:dyDescent="0.3">
      <c r="A17089" s="15" t="s">
        <v>33081</v>
      </c>
      <c r="B17089" s="15" t="s">
        <v>31824</v>
      </c>
      <c r="C17089" s="15" t="s">
        <v>800</v>
      </c>
      <c r="D17089" s="15" t="s">
        <v>31825</v>
      </c>
      <c r="E17089" s="15">
        <v>10</v>
      </c>
      <c r="F17089" s="42">
        <v>44761</v>
      </c>
    </row>
    <row r="17090" spans="1:6" x14ac:dyDescent="0.3">
      <c r="A17090" s="15" t="s">
        <v>33080</v>
      </c>
      <c r="B17090" s="15" t="s">
        <v>31826</v>
      </c>
      <c r="C17090" s="15" t="s">
        <v>800</v>
      </c>
      <c r="D17090" s="15" t="s">
        <v>31827</v>
      </c>
      <c r="E17090" s="15">
        <v>10</v>
      </c>
      <c r="F17090" s="42">
        <v>44761</v>
      </c>
    </row>
    <row r="17091" spans="1:6" x14ac:dyDescent="0.3">
      <c r="A17091" s="15" t="s">
        <v>33079</v>
      </c>
      <c r="B17091" s="15" t="s">
        <v>31828</v>
      </c>
      <c r="C17091" s="15" t="s">
        <v>800</v>
      </c>
      <c r="D17091" s="15" t="s">
        <v>31829</v>
      </c>
      <c r="E17091" s="15">
        <v>12.507199999999999</v>
      </c>
      <c r="F17091" s="42">
        <v>44761</v>
      </c>
    </row>
    <row r="17092" spans="1:6" x14ac:dyDescent="0.3">
      <c r="A17092" s="15" t="s">
        <v>33078</v>
      </c>
      <c r="B17092" s="15" t="s">
        <v>31830</v>
      </c>
      <c r="C17092" s="15" t="s">
        <v>800</v>
      </c>
      <c r="D17092" s="15" t="s">
        <v>31831</v>
      </c>
      <c r="E17092" s="15">
        <v>12.3749</v>
      </c>
      <c r="F17092" s="42">
        <v>44761</v>
      </c>
    </row>
    <row r="17093" spans="1:6" x14ac:dyDescent="0.3">
      <c r="A17093" s="15" t="s">
        <v>33077</v>
      </c>
      <c r="B17093" s="15" t="s">
        <v>31832</v>
      </c>
      <c r="C17093" s="15" t="s">
        <v>800</v>
      </c>
      <c r="D17093" s="15" t="s">
        <v>31833</v>
      </c>
      <c r="E17093" s="15">
        <v>10</v>
      </c>
      <c r="F17093" s="42">
        <v>44761</v>
      </c>
    </row>
    <row r="17094" spans="1:6" x14ac:dyDescent="0.3">
      <c r="A17094" s="15" t="s">
        <v>33076</v>
      </c>
      <c r="B17094" s="15" t="s">
        <v>31834</v>
      </c>
      <c r="C17094" s="15" t="s">
        <v>800</v>
      </c>
      <c r="D17094" s="15" t="s">
        <v>31835</v>
      </c>
      <c r="E17094" s="15">
        <v>10</v>
      </c>
      <c r="F17094" s="42">
        <v>44761</v>
      </c>
    </row>
    <row r="17095" spans="1:6" x14ac:dyDescent="0.3">
      <c r="A17095" s="15" t="s">
        <v>33075</v>
      </c>
      <c r="B17095" s="15" t="s">
        <v>31836</v>
      </c>
      <c r="C17095" s="15" t="s">
        <v>800</v>
      </c>
      <c r="D17095" s="15" t="s">
        <v>31837</v>
      </c>
      <c r="E17095" s="15">
        <v>10</v>
      </c>
      <c r="F17095" s="42">
        <v>44761</v>
      </c>
    </row>
    <row r="17096" spans="1:6" x14ac:dyDescent="0.3">
      <c r="A17096" s="15" t="s">
        <v>33074</v>
      </c>
      <c r="B17096" s="15" t="s">
        <v>31838</v>
      </c>
      <c r="C17096" s="15" t="s">
        <v>800</v>
      </c>
      <c r="D17096" s="15" t="s">
        <v>31839</v>
      </c>
      <c r="E17096" s="15">
        <v>10</v>
      </c>
      <c r="F17096" s="42">
        <v>44761</v>
      </c>
    </row>
    <row r="17097" spans="1:6" x14ac:dyDescent="0.3">
      <c r="A17097" s="15" t="s">
        <v>33073</v>
      </c>
      <c r="B17097" s="15" t="s">
        <v>31840</v>
      </c>
      <c r="C17097" s="15" t="s">
        <v>800</v>
      </c>
      <c r="D17097" s="15" t="s">
        <v>31841</v>
      </c>
      <c r="E17097" s="15">
        <v>10</v>
      </c>
      <c r="F17097" s="42">
        <v>44761</v>
      </c>
    </row>
    <row r="17098" spans="1:6" x14ac:dyDescent="0.3">
      <c r="A17098" s="15" t="s">
        <v>33072</v>
      </c>
      <c r="B17098" s="15" t="s">
        <v>31842</v>
      </c>
      <c r="C17098" s="15" t="s">
        <v>800</v>
      </c>
      <c r="D17098" s="15" t="s">
        <v>31843</v>
      </c>
      <c r="E17098" s="15">
        <v>10.0001</v>
      </c>
      <c r="F17098" s="42">
        <v>44761</v>
      </c>
    </row>
    <row r="17099" spans="1:6" x14ac:dyDescent="0.3">
      <c r="A17099" s="15" t="s">
        <v>33071</v>
      </c>
      <c r="B17099" s="15" t="s">
        <v>31844</v>
      </c>
      <c r="C17099" s="15" t="s">
        <v>800</v>
      </c>
      <c r="D17099" s="15" t="s">
        <v>31845</v>
      </c>
      <c r="E17099" s="15">
        <v>10</v>
      </c>
      <c r="F17099" s="42">
        <v>44761</v>
      </c>
    </row>
    <row r="17100" spans="1:6" x14ac:dyDescent="0.3">
      <c r="A17100" s="15" t="s">
        <v>33070</v>
      </c>
      <c r="B17100" s="15" t="s">
        <v>31846</v>
      </c>
      <c r="C17100" s="15" t="s">
        <v>800</v>
      </c>
      <c r="D17100" s="15" t="s">
        <v>31847</v>
      </c>
      <c r="E17100" s="15">
        <v>12.174200000000001</v>
      </c>
      <c r="F17100" s="42">
        <v>45041</v>
      </c>
    </row>
    <row r="17101" spans="1:6" x14ac:dyDescent="0.3">
      <c r="A17101" s="15" t="s">
        <v>33069</v>
      </c>
      <c r="B17101" s="15" t="s">
        <v>31848</v>
      </c>
      <c r="C17101" s="15" t="s">
        <v>800</v>
      </c>
      <c r="D17101" s="15" t="s">
        <v>31849</v>
      </c>
      <c r="E17101" s="15">
        <v>12.0764</v>
      </c>
      <c r="F17101" s="42">
        <v>45041</v>
      </c>
    </row>
    <row r="17102" spans="1:6" x14ac:dyDescent="0.3">
      <c r="A17102" s="15" t="s">
        <v>33068</v>
      </c>
      <c r="B17102" s="15" t="s">
        <v>31850</v>
      </c>
      <c r="C17102" s="15" t="s">
        <v>800</v>
      </c>
      <c r="D17102" s="15" t="s">
        <v>31851</v>
      </c>
      <c r="E17102" s="15">
        <v>10.3742</v>
      </c>
      <c r="F17102" s="42">
        <v>45041</v>
      </c>
    </row>
    <row r="17103" spans="1:6" x14ac:dyDescent="0.3">
      <c r="A17103" s="15" t="s">
        <v>33067</v>
      </c>
      <c r="B17103" s="15" t="s">
        <v>31852</v>
      </c>
      <c r="C17103" s="15" t="s">
        <v>800</v>
      </c>
      <c r="D17103" s="15" t="s">
        <v>31853</v>
      </c>
      <c r="E17103" s="15">
        <v>10</v>
      </c>
      <c r="F17103" s="42">
        <v>45041</v>
      </c>
    </row>
    <row r="17104" spans="1:6" x14ac:dyDescent="0.3">
      <c r="A17104" s="15" t="s">
        <v>33066</v>
      </c>
      <c r="B17104" s="15" t="s">
        <v>31854</v>
      </c>
      <c r="C17104" s="15" t="s">
        <v>800</v>
      </c>
      <c r="D17104" s="15" t="s">
        <v>31855</v>
      </c>
      <c r="E17104" s="15">
        <v>10</v>
      </c>
      <c r="F17104" s="42">
        <v>45041</v>
      </c>
    </row>
    <row r="17105" spans="1:6" x14ac:dyDescent="0.3">
      <c r="A17105" s="15" t="s">
        <v>33065</v>
      </c>
      <c r="B17105" s="15" t="s">
        <v>31856</v>
      </c>
      <c r="C17105" s="15" t="s">
        <v>800</v>
      </c>
      <c r="D17105" s="15" t="s">
        <v>31857</v>
      </c>
      <c r="E17105" s="15">
        <v>10.618600000000001</v>
      </c>
      <c r="F17105" s="42">
        <v>45041</v>
      </c>
    </row>
    <row r="17106" spans="1:6" x14ac:dyDescent="0.3">
      <c r="A17106" s="15" t="s">
        <v>33064</v>
      </c>
      <c r="B17106" s="15" t="s">
        <v>31858</v>
      </c>
      <c r="C17106" s="15" t="s">
        <v>800</v>
      </c>
      <c r="D17106" s="15" t="s">
        <v>31859</v>
      </c>
      <c r="E17106" s="15">
        <v>10.377700000000001</v>
      </c>
      <c r="F17106" s="42">
        <v>45041</v>
      </c>
    </row>
    <row r="17107" spans="1:6" x14ac:dyDescent="0.3">
      <c r="A17107" s="15" t="s">
        <v>33063</v>
      </c>
      <c r="B17107" s="15" t="s">
        <v>31860</v>
      </c>
      <c r="C17107" s="15" t="s">
        <v>800</v>
      </c>
      <c r="D17107" s="15" t="s">
        <v>31861</v>
      </c>
      <c r="E17107" s="15">
        <v>10</v>
      </c>
      <c r="F17107" s="42">
        <v>45041</v>
      </c>
    </row>
    <row r="17108" spans="1:6" x14ac:dyDescent="0.3">
      <c r="A17108" s="15" t="s">
        <v>33062</v>
      </c>
      <c r="B17108" s="15" t="s">
        <v>31862</v>
      </c>
      <c r="C17108" s="15" t="s">
        <v>800</v>
      </c>
      <c r="D17108" s="15" t="s">
        <v>31863</v>
      </c>
      <c r="E17108" s="15">
        <v>10.592599999999999</v>
      </c>
      <c r="F17108" s="42">
        <v>45041</v>
      </c>
    </row>
    <row r="17109" spans="1:6" x14ac:dyDescent="0.3">
      <c r="A17109" s="15" t="s">
        <v>33061</v>
      </c>
      <c r="B17109" s="15" t="s">
        <v>31864</v>
      </c>
      <c r="C17109" s="15" t="s">
        <v>800</v>
      </c>
      <c r="D17109" s="15" t="s">
        <v>31865</v>
      </c>
      <c r="E17109" s="15">
        <v>10</v>
      </c>
      <c r="F17109" s="42">
        <v>43949</v>
      </c>
    </row>
    <row r="17110" spans="1:6" x14ac:dyDescent="0.3">
      <c r="A17110" s="15" t="s">
        <v>33060</v>
      </c>
      <c r="B17110" s="15" t="s">
        <v>31866</v>
      </c>
      <c r="C17110" s="15" t="s">
        <v>800</v>
      </c>
      <c r="D17110" s="15" t="s">
        <v>31867</v>
      </c>
      <c r="E17110" s="15">
        <v>12.380800000000001</v>
      </c>
      <c r="F17110" s="42">
        <v>43949</v>
      </c>
    </row>
    <row r="17111" spans="1:6" x14ac:dyDescent="0.3">
      <c r="A17111" s="15" t="s">
        <v>33059</v>
      </c>
      <c r="B17111" s="15" t="s">
        <v>31868</v>
      </c>
      <c r="C17111" s="15" t="s">
        <v>800</v>
      </c>
      <c r="D17111" s="15" t="s">
        <v>31869</v>
      </c>
      <c r="E17111" s="15">
        <v>10</v>
      </c>
      <c r="F17111" s="42">
        <v>43949</v>
      </c>
    </row>
    <row r="17112" spans="1:6" x14ac:dyDescent="0.3">
      <c r="A17112" s="15" t="s">
        <v>33058</v>
      </c>
      <c r="B17112" s="15" t="s">
        <v>31870</v>
      </c>
      <c r="C17112" s="15" t="s">
        <v>800</v>
      </c>
      <c r="D17112" s="15" t="s">
        <v>31871</v>
      </c>
      <c r="E17112" s="15">
        <v>10</v>
      </c>
      <c r="F17112" s="42">
        <v>43949</v>
      </c>
    </row>
    <row r="17113" spans="1:6" x14ac:dyDescent="0.3">
      <c r="A17113" s="15" t="s">
        <v>33057</v>
      </c>
      <c r="B17113" s="15" t="s">
        <v>31872</v>
      </c>
      <c r="C17113" s="15" t="s">
        <v>800</v>
      </c>
      <c r="D17113" s="15" t="s">
        <v>31873</v>
      </c>
      <c r="E17113" s="15">
        <v>10</v>
      </c>
      <c r="F17113" s="42">
        <v>43949</v>
      </c>
    </row>
    <row r="17114" spans="1:6" x14ac:dyDescent="0.3">
      <c r="A17114" s="15" t="s">
        <v>33056</v>
      </c>
      <c r="B17114" s="15" t="s">
        <v>31874</v>
      </c>
      <c r="C17114" s="15" t="s">
        <v>800</v>
      </c>
      <c r="D17114" s="15" t="s">
        <v>31875</v>
      </c>
      <c r="E17114" s="15">
        <v>10</v>
      </c>
      <c r="F17114" s="42">
        <v>43949</v>
      </c>
    </row>
    <row r="17115" spans="1:6" x14ac:dyDescent="0.3">
      <c r="A17115" s="15" t="s">
        <v>33055</v>
      </c>
      <c r="B17115" s="15" t="s">
        <v>31876</v>
      </c>
      <c r="C17115" s="15" t="s">
        <v>800</v>
      </c>
      <c r="D17115" s="15" t="s">
        <v>31877</v>
      </c>
      <c r="E17115" s="15">
        <v>12.2577</v>
      </c>
      <c r="F17115" s="42">
        <v>43949</v>
      </c>
    </row>
    <row r="17116" spans="1:6" x14ac:dyDescent="0.3">
      <c r="A17116" s="15" t="s">
        <v>33054</v>
      </c>
      <c r="B17116" s="15" t="s">
        <v>31878</v>
      </c>
      <c r="C17116" s="15" t="s">
        <v>800</v>
      </c>
      <c r="D17116" s="15" t="s">
        <v>31879</v>
      </c>
      <c r="E17116" s="15">
        <v>10</v>
      </c>
      <c r="F17116" s="42">
        <v>43949</v>
      </c>
    </row>
    <row r="17117" spans="1:6" x14ac:dyDescent="0.3">
      <c r="A17117" s="15" t="s">
        <v>33053</v>
      </c>
      <c r="B17117" s="15" t="s">
        <v>31880</v>
      </c>
      <c r="C17117" s="15" t="s">
        <v>800</v>
      </c>
      <c r="D17117" s="15" t="s">
        <v>31881</v>
      </c>
      <c r="E17117" s="15">
        <v>10</v>
      </c>
      <c r="F17117" s="42">
        <v>43949</v>
      </c>
    </row>
    <row r="17118" spans="1:6" x14ac:dyDescent="0.3">
      <c r="A17118" s="15" t="s">
        <v>33052</v>
      </c>
      <c r="B17118" s="15" t="s">
        <v>31882</v>
      </c>
      <c r="C17118" s="15" t="s">
        <v>800</v>
      </c>
      <c r="D17118" s="15" t="s">
        <v>31883</v>
      </c>
      <c r="E17118" s="15">
        <v>10</v>
      </c>
      <c r="F17118" s="42">
        <v>43949</v>
      </c>
    </row>
    <row r="17119" spans="1:6" x14ac:dyDescent="0.3">
      <c r="A17119" s="15" t="s">
        <v>33051</v>
      </c>
      <c r="B17119" s="15" t="s">
        <v>31884</v>
      </c>
      <c r="C17119" s="15" t="s">
        <v>800</v>
      </c>
      <c r="D17119" s="15" t="s">
        <v>31885</v>
      </c>
      <c r="E17119" s="15">
        <v>10</v>
      </c>
      <c r="F17119" s="42">
        <v>43949</v>
      </c>
    </row>
    <row r="17120" spans="1:6" x14ac:dyDescent="0.3">
      <c r="A17120" s="15" t="s">
        <v>33050</v>
      </c>
      <c r="B17120" s="15" t="s">
        <v>31886</v>
      </c>
      <c r="C17120" s="15" t="s">
        <v>800</v>
      </c>
      <c r="D17120" s="15" t="s">
        <v>31887</v>
      </c>
      <c r="E17120" s="15">
        <v>12.3658</v>
      </c>
      <c r="F17120" s="42">
        <v>43949</v>
      </c>
    </row>
    <row r="17121" spans="1:6" x14ac:dyDescent="0.3">
      <c r="A17121" s="15" t="s">
        <v>33049</v>
      </c>
      <c r="B17121" s="15" t="s">
        <v>31888</v>
      </c>
      <c r="C17121" s="15" t="s">
        <v>800</v>
      </c>
      <c r="D17121" s="15" t="s">
        <v>31889</v>
      </c>
      <c r="E17121" s="15">
        <v>10</v>
      </c>
      <c r="F17121" s="42">
        <v>43949</v>
      </c>
    </row>
    <row r="17122" spans="1:6" x14ac:dyDescent="0.3">
      <c r="A17122" s="15" t="s">
        <v>33048</v>
      </c>
      <c r="B17122" s="15" t="s">
        <v>31890</v>
      </c>
      <c r="C17122" s="15" t="s">
        <v>800</v>
      </c>
      <c r="D17122" s="15" t="s">
        <v>31891</v>
      </c>
      <c r="E17122" s="15">
        <v>10</v>
      </c>
      <c r="F17122" s="42">
        <v>43949</v>
      </c>
    </row>
    <row r="17123" spans="1:6" x14ac:dyDescent="0.3">
      <c r="A17123" s="15" t="s">
        <v>33047</v>
      </c>
      <c r="B17123" s="15" t="s">
        <v>31892</v>
      </c>
      <c r="C17123" s="15" t="s">
        <v>800</v>
      </c>
      <c r="D17123" s="15" t="s">
        <v>31893</v>
      </c>
      <c r="E17123" s="15">
        <v>10</v>
      </c>
      <c r="F17123" s="42">
        <v>43949</v>
      </c>
    </row>
    <row r="17124" spans="1:6" x14ac:dyDescent="0.3">
      <c r="A17124" s="15" t="s">
        <v>33046</v>
      </c>
      <c r="B17124" s="15" t="s">
        <v>31894</v>
      </c>
      <c r="C17124" s="15" t="s">
        <v>800</v>
      </c>
      <c r="D17124" s="15" t="s">
        <v>31895</v>
      </c>
      <c r="E17124" s="15">
        <v>12.242800000000001</v>
      </c>
      <c r="F17124" s="42">
        <v>43949</v>
      </c>
    </row>
    <row r="17125" spans="1:6" x14ac:dyDescent="0.3">
      <c r="A17125" s="15" t="s">
        <v>33045</v>
      </c>
      <c r="B17125" s="15" t="s">
        <v>31896</v>
      </c>
      <c r="C17125" s="15" t="s">
        <v>800</v>
      </c>
      <c r="D17125" s="15" t="s">
        <v>31897</v>
      </c>
      <c r="E17125" s="15">
        <v>10</v>
      </c>
      <c r="F17125" s="42">
        <v>43949</v>
      </c>
    </row>
    <row r="17126" spans="1:6" x14ac:dyDescent="0.3">
      <c r="A17126" s="15" t="s">
        <v>33044</v>
      </c>
      <c r="B17126" s="15" t="s">
        <v>31898</v>
      </c>
      <c r="C17126" s="15" t="s">
        <v>800</v>
      </c>
      <c r="D17126" s="15" t="s">
        <v>31899</v>
      </c>
      <c r="E17126" s="15">
        <v>10</v>
      </c>
      <c r="F17126" s="42">
        <v>43949</v>
      </c>
    </row>
    <row r="17127" spans="1:6" x14ac:dyDescent="0.3">
      <c r="A17127" s="15" t="s">
        <v>33043</v>
      </c>
      <c r="B17127" s="15" t="s">
        <v>31900</v>
      </c>
      <c r="C17127" s="15" t="s">
        <v>800</v>
      </c>
      <c r="D17127" s="15" t="s">
        <v>31901</v>
      </c>
      <c r="E17127" s="15">
        <v>10</v>
      </c>
      <c r="F17127" s="42">
        <v>43949</v>
      </c>
    </row>
    <row r="17128" spans="1:6" x14ac:dyDescent="0.3">
      <c r="A17128" s="15" t="s">
        <v>33042</v>
      </c>
      <c r="B17128" s="15" t="s">
        <v>31902</v>
      </c>
      <c r="C17128" s="15" t="s">
        <v>800</v>
      </c>
      <c r="D17128" s="15" t="s">
        <v>31903</v>
      </c>
      <c r="E17128" s="15">
        <v>10</v>
      </c>
      <c r="F17128" s="42">
        <v>43949</v>
      </c>
    </row>
    <row r="17129" spans="1:6" x14ac:dyDescent="0.3">
      <c r="A17129" s="15" t="s">
        <v>33041</v>
      </c>
      <c r="B17129" s="15" t="s">
        <v>31904</v>
      </c>
      <c r="C17129" s="15" t="s">
        <v>800</v>
      </c>
      <c r="D17129" s="15" t="s">
        <v>31905</v>
      </c>
      <c r="E17129" s="15">
        <v>12.3598</v>
      </c>
      <c r="F17129" s="42">
        <v>43949</v>
      </c>
    </row>
    <row r="17130" spans="1:6" x14ac:dyDescent="0.3">
      <c r="A17130" s="15" t="s">
        <v>33040</v>
      </c>
      <c r="B17130" s="15" t="s">
        <v>31906</v>
      </c>
      <c r="C17130" s="15" t="s">
        <v>800</v>
      </c>
      <c r="D17130" s="15" t="s">
        <v>31907</v>
      </c>
      <c r="E17130" s="15">
        <v>10</v>
      </c>
      <c r="F17130" s="42">
        <v>43949</v>
      </c>
    </row>
    <row r="17131" spans="1:6" x14ac:dyDescent="0.3">
      <c r="A17131" s="15" t="s">
        <v>33039</v>
      </c>
      <c r="B17131" s="15" t="s">
        <v>31908</v>
      </c>
      <c r="C17131" s="15" t="s">
        <v>800</v>
      </c>
      <c r="D17131" s="15" t="s">
        <v>31909</v>
      </c>
      <c r="E17131" s="15">
        <v>10</v>
      </c>
      <c r="F17131" s="42">
        <v>43949</v>
      </c>
    </row>
    <row r="17132" spans="1:6" x14ac:dyDescent="0.3">
      <c r="A17132" s="15" t="s">
        <v>33038</v>
      </c>
      <c r="B17132" s="15" t="s">
        <v>31910</v>
      </c>
      <c r="C17132" s="15" t="s">
        <v>800</v>
      </c>
      <c r="D17132" s="15" t="s">
        <v>31911</v>
      </c>
      <c r="E17132" s="15">
        <v>10</v>
      </c>
      <c r="F17132" s="42">
        <v>43949</v>
      </c>
    </row>
    <row r="17133" spans="1:6" x14ac:dyDescent="0.3">
      <c r="A17133" s="15" t="s">
        <v>33037</v>
      </c>
      <c r="B17133" s="15" t="s">
        <v>31912</v>
      </c>
      <c r="C17133" s="15" t="s">
        <v>800</v>
      </c>
      <c r="D17133" s="15" t="s">
        <v>31913</v>
      </c>
      <c r="E17133" s="15">
        <v>10</v>
      </c>
      <c r="F17133" s="42">
        <v>43949</v>
      </c>
    </row>
    <row r="17134" spans="1:6" x14ac:dyDescent="0.3">
      <c r="A17134" s="15" t="s">
        <v>33036</v>
      </c>
      <c r="B17134" s="15" t="s">
        <v>31914</v>
      </c>
      <c r="C17134" s="15" t="s">
        <v>800</v>
      </c>
      <c r="D17134" s="15" t="s">
        <v>31915</v>
      </c>
      <c r="E17134" s="15">
        <v>12.2369</v>
      </c>
      <c r="F17134" s="42">
        <v>43949</v>
      </c>
    </row>
    <row r="17135" spans="1:6" x14ac:dyDescent="0.3">
      <c r="A17135" s="15" t="s">
        <v>33035</v>
      </c>
      <c r="B17135" s="15" t="s">
        <v>31916</v>
      </c>
      <c r="C17135" s="15" t="s">
        <v>800</v>
      </c>
      <c r="D17135" s="15" t="s">
        <v>31917</v>
      </c>
      <c r="E17135" s="15">
        <v>10</v>
      </c>
      <c r="F17135" s="42">
        <v>43949</v>
      </c>
    </row>
    <row r="17136" spans="1:6" x14ac:dyDescent="0.3">
      <c r="A17136" s="15" t="s">
        <v>33034</v>
      </c>
      <c r="B17136" s="15" t="s">
        <v>31918</v>
      </c>
      <c r="C17136" s="15" t="s">
        <v>800</v>
      </c>
      <c r="D17136" s="15" t="s">
        <v>31919</v>
      </c>
      <c r="E17136" s="15">
        <v>10</v>
      </c>
      <c r="F17136" s="42">
        <v>43949</v>
      </c>
    </row>
    <row r="17137" spans="1:6" x14ac:dyDescent="0.3">
      <c r="A17137" s="15" t="s">
        <v>33033</v>
      </c>
      <c r="B17137" s="15" t="s">
        <v>31920</v>
      </c>
      <c r="C17137" s="15" t="s">
        <v>800</v>
      </c>
      <c r="D17137" s="15" t="s">
        <v>31921</v>
      </c>
      <c r="E17137" s="15">
        <v>10</v>
      </c>
      <c r="F17137" s="42">
        <v>43949</v>
      </c>
    </row>
    <row r="17138" spans="1:6" x14ac:dyDescent="0.3">
      <c r="A17138" s="15" t="s">
        <v>33032</v>
      </c>
      <c r="B17138" s="15" t="s">
        <v>31922</v>
      </c>
      <c r="C17138" s="15" t="s">
        <v>800</v>
      </c>
      <c r="D17138" s="15" t="s">
        <v>31923</v>
      </c>
      <c r="E17138" s="15">
        <v>10</v>
      </c>
      <c r="F17138" s="42">
        <v>43949</v>
      </c>
    </row>
    <row r="17139" spans="1:6" x14ac:dyDescent="0.3">
      <c r="A17139" s="15" t="s">
        <v>33031</v>
      </c>
      <c r="B17139" s="15" t="s">
        <v>31924</v>
      </c>
      <c r="C17139" s="15" t="s">
        <v>800</v>
      </c>
      <c r="D17139" s="15" t="s">
        <v>31925</v>
      </c>
      <c r="E17139" s="15">
        <v>10</v>
      </c>
      <c r="F17139" s="42">
        <v>43949</v>
      </c>
    </row>
    <row r="17140" spans="1:6" x14ac:dyDescent="0.3">
      <c r="A17140" s="15" t="s">
        <v>33030</v>
      </c>
      <c r="B17140" s="15" t="s">
        <v>31926</v>
      </c>
      <c r="C17140" s="15" t="s">
        <v>800</v>
      </c>
      <c r="D17140" s="15" t="s">
        <v>31927</v>
      </c>
      <c r="E17140" s="15">
        <v>12.3522</v>
      </c>
      <c r="F17140" s="42">
        <v>43949</v>
      </c>
    </row>
    <row r="17141" spans="1:6" x14ac:dyDescent="0.3">
      <c r="A17141" s="15" t="s">
        <v>33029</v>
      </c>
      <c r="B17141" s="15" t="s">
        <v>31928</v>
      </c>
      <c r="C17141" s="15" t="s">
        <v>800</v>
      </c>
      <c r="D17141" s="15" t="s">
        <v>31929</v>
      </c>
      <c r="E17141" s="15">
        <v>10</v>
      </c>
      <c r="F17141" s="42">
        <v>43949</v>
      </c>
    </row>
    <row r="17142" spans="1:6" x14ac:dyDescent="0.3">
      <c r="A17142" s="15" t="s">
        <v>33028</v>
      </c>
      <c r="B17142" s="15" t="s">
        <v>31930</v>
      </c>
      <c r="C17142" s="15" t="s">
        <v>800</v>
      </c>
      <c r="D17142" s="15" t="s">
        <v>31931</v>
      </c>
      <c r="E17142" s="15">
        <v>10</v>
      </c>
      <c r="F17142" s="42">
        <v>43949</v>
      </c>
    </row>
    <row r="17143" spans="1:6" x14ac:dyDescent="0.3">
      <c r="A17143" s="15" t="s">
        <v>33027</v>
      </c>
      <c r="B17143" s="15" t="s">
        <v>31932</v>
      </c>
      <c r="C17143" s="15" t="s">
        <v>800</v>
      </c>
      <c r="D17143" s="15" t="s">
        <v>31933</v>
      </c>
      <c r="E17143" s="15">
        <v>12.2293</v>
      </c>
      <c r="F17143" s="42">
        <v>43949</v>
      </c>
    </row>
    <row r="17144" spans="1:6" x14ac:dyDescent="0.3">
      <c r="A17144" s="15" t="s">
        <v>33026</v>
      </c>
      <c r="B17144" s="15" t="s">
        <v>31934</v>
      </c>
      <c r="C17144" s="15" t="s">
        <v>800</v>
      </c>
      <c r="D17144" s="15" t="s">
        <v>31935</v>
      </c>
      <c r="E17144" s="15">
        <v>10</v>
      </c>
      <c r="F17144" s="42">
        <v>43949</v>
      </c>
    </row>
    <row r="17145" spans="1:6" x14ac:dyDescent="0.3">
      <c r="A17145" s="15" t="s">
        <v>33025</v>
      </c>
      <c r="B17145" s="15" t="s">
        <v>31936</v>
      </c>
      <c r="C17145" s="15" t="s">
        <v>800</v>
      </c>
      <c r="D17145" s="15" t="s">
        <v>31937</v>
      </c>
      <c r="E17145" s="15">
        <v>10</v>
      </c>
      <c r="F17145" s="42">
        <v>43949</v>
      </c>
    </row>
    <row r="17146" spans="1:6" x14ac:dyDescent="0.3">
      <c r="A17146" s="15" t="s">
        <v>33024</v>
      </c>
      <c r="B17146" s="15" t="s">
        <v>31938</v>
      </c>
      <c r="C17146" s="15" t="s">
        <v>800</v>
      </c>
      <c r="D17146" s="15" t="s">
        <v>31939</v>
      </c>
      <c r="E17146" s="15">
        <v>10</v>
      </c>
      <c r="F17146" s="42">
        <v>43984</v>
      </c>
    </row>
    <row r="17147" spans="1:6" x14ac:dyDescent="0.3">
      <c r="A17147" s="15" t="s">
        <v>33023</v>
      </c>
      <c r="B17147" s="15" t="s">
        <v>31940</v>
      </c>
      <c r="C17147" s="15" t="s">
        <v>800</v>
      </c>
      <c r="D17147" s="15" t="s">
        <v>31941</v>
      </c>
      <c r="E17147" s="15">
        <v>12.625999999999999</v>
      </c>
      <c r="F17147" s="42">
        <v>43984</v>
      </c>
    </row>
    <row r="17148" spans="1:6" x14ac:dyDescent="0.3">
      <c r="A17148" s="15" t="s">
        <v>33022</v>
      </c>
      <c r="B17148" s="15" t="s">
        <v>31942</v>
      </c>
      <c r="C17148" s="15" t="s">
        <v>800</v>
      </c>
      <c r="D17148" s="15" t="s">
        <v>31943</v>
      </c>
      <c r="E17148" s="15">
        <v>10</v>
      </c>
      <c r="F17148" s="42">
        <v>43984</v>
      </c>
    </row>
    <row r="17149" spans="1:6" x14ac:dyDescent="0.3">
      <c r="A17149" s="15" t="s">
        <v>33021</v>
      </c>
      <c r="B17149" s="15" t="s">
        <v>31944</v>
      </c>
      <c r="C17149" s="15" t="s">
        <v>800</v>
      </c>
      <c r="D17149" s="15" t="s">
        <v>31945</v>
      </c>
      <c r="E17149" s="15">
        <v>10</v>
      </c>
      <c r="F17149" s="42">
        <v>43984</v>
      </c>
    </row>
    <row r="17150" spans="1:6" x14ac:dyDescent="0.3">
      <c r="A17150" s="15" t="s">
        <v>33020</v>
      </c>
      <c r="B17150" s="15" t="s">
        <v>31946</v>
      </c>
      <c r="C17150" s="15" t="s">
        <v>800</v>
      </c>
      <c r="D17150" s="15" t="s">
        <v>31947</v>
      </c>
      <c r="E17150" s="15">
        <v>10</v>
      </c>
      <c r="F17150" s="42">
        <v>43984</v>
      </c>
    </row>
    <row r="17151" spans="1:6" x14ac:dyDescent="0.3">
      <c r="A17151" s="15" t="s">
        <v>33019</v>
      </c>
      <c r="B17151" s="15" t="s">
        <v>31948</v>
      </c>
      <c r="C17151" s="15" t="s">
        <v>800</v>
      </c>
      <c r="D17151" s="15" t="s">
        <v>31949</v>
      </c>
      <c r="E17151" s="15">
        <v>10</v>
      </c>
      <c r="F17151" s="42">
        <v>43984</v>
      </c>
    </row>
    <row r="17152" spans="1:6" x14ac:dyDescent="0.3">
      <c r="A17152" s="15" t="s">
        <v>33018</v>
      </c>
      <c r="B17152" s="15" t="s">
        <v>31950</v>
      </c>
      <c r="C17152" s="15" t="s">
        <v>800</v>
      </c>
      <c r="D17152" s="15" t="s">
        <v>31951</v>
      </c>
      <c r="E17152" s="15">
        <v>12.500299999999999</v>
      </c>
      <c r="F17152" s="42">
        <v>43984</v>
      </c>
    </row>
    <row r="17153" spans="1:6" x14ac:dyDescent="0.3">
      <c r="A17153" s="15" t="s">
        <v>33017</v>
      </c>
      <c r="B17153" s="15" t="s">
        <v>31952</v>
      </c>
      <c r="C17153" s="15" t="s">
        <v>800</v>
      </c>
      <c r="D17153" s="15" t="s">
        <v>31953</v>
      </c>
      <c r="E17153" s="15">
        <v>10</v>
      </c>
      <c r="F17153" s="42">
        <v>43984</v>
      </c>
    </row>
    <row r="17154" spans="1:6" x14ac:dyDescent="0.3">
      <c r="A17154" s="15" t="s">
        <v>33016</v>
      </c>
      <c r="B17154" s="15" t="s">
        <v>31954</v>
      </c>
      <c r="C17154" s="15" t="s">
        <v>800</v>
      </c>
      <c r="D17154" s="15" t="s">
        <v>31955</v>
      </c>
      <c r="E17154" s="15">
        <v>10</v>
      </c>
      <c r="F17154" s="42">
        <v>43984</v>
      </c>
    </row>
    <row r="17155" spans="1:6" x14ac:dyDescent="0.3">
      <c r="A17155" s="15" t="s">
        <v>33015</v>
      </c>
      <c r="B17155" s="15" t="s">
        <v>31956</v>
      </c>
      <c r="C17155" s="15" t="s">
        <v>800</v>
      </c>
      <c r="D17155" s="15" t="s">
        <v>31957</v>
      </c>
      <c r="E17155" s="15">
        <v>10</v>
      </c>
      <c r="F17155" s="42">
        <v>43984</v>
      </c>
    </row>
    <row r="17156" spans="1:6" x14ac:dyDescent="0.3">
      <c r="A17156" s="15" t="s">
        <v>33014</v>
      </c>
      <c r="B17156" s="15" t="s">
        <v>31958</v>
      </c>
      <c r="C17156" s="15" t="s">
        <v>800</v>
      </c>
      <c r="D17156" s="15" t="s">
        <v>31959</v>
      </c>
      <c r="E17156" s="15">
        <v>10</v>
      </c>
      <c r="F17156" s="42">
        <v>43984</v>
      </c>
    </row>
    <row r="17157" spans="1:6" x14ac:dyDescent="0.3">
      <c r="A17157" s="15" t="s">
        <v>33013</v>
      </c>
      <c r="B17157" s="15" t="s">
        <v>31960</v>
      </c>
      <c r="C17157" s="15" t="s">
        <v>800</v>
      </c>
      <c r="D17157" s="15" t="s">
        <v>31961</v>
      </c>
      <c r="E17157" s="15">
        <v>12.348800000000001</v>
      </c>
      <c r="F17157" s="42">
        <v>43984</v>
      </c>
    </row>
    <row r="17158" spans="1:6" x14ac:dyDescent="0.3">
      <c r="A17158" s="15" t="s">
        <v>33012</v>
      </c>
      <c r="B17158" s="15" t="s">
        <v>31962</v>
      </c>
      <c r="C17158" s="15" t="s">
        <v>800</v>
      </c>
      <c r="D17158" s="15" t="s">
        <v>31963</v>
      </c>
      <c r="E17158" s="15">
        <v>10</v>
      </c>
      <c r="F17158" s="42">
        <v>43984</v>
      </c>
    </row>
    <row r="17159" spans="1:6" x14ac:dyDescent="0.3">
      <c r="A17159" s="15" t="s">
        <v>33011</v>
      </c>
      <c r="B17159" s="15" t="s">
        <v>31964</v>
      </c>
      <c r="C17159" s="15" t="s">
        <v>800</v>
      </c>
      <c r="D17159" s="15" t="s">
        <v>31965</v>
      </c>
      <c r="E17159" s="15">
        <v>10</v>
      </c>
      <c r="F17159" s="42">
        <v>43984</v>
      </c>
    </row>
    <row r="17160" spans="1:6" x14ac:dyDescent="0.3">
      <c r="A17160" s="15" t="s">
        <v>33010</v>
      </c>
      <c r="B17160" s="15" t="s">
        <v>31966</v>
      </c>
      <c r="C17160" s="15" t="s">
        <v>800</v>
      </c>
      <c r="D17160" s="15" t="s">
        <v>31967</v>
      </c>
      <c r="E17160" s="15">
        <v>10</v>
      </c>
      <c r="F17160" s="42">
        <v>43984</v>
      </c>
    </row>
    <row r="17161" spans="1:6" x14ac:dyDescent="0.3">
      <c r="A17161" s="15" t="s">
        <v>33009</v>
      </c>
      <c r="B17161" s="15" t="s">
        <v>31968</v>
      </c>
      <c r="C17161" s="15" t="s">
        <v>800</v>
      </c>
      <c r="D17161" s="15" t="s">
        <v>31969</v>
      </c>
      <c r="E17161" s="15">
        <v>10</v>
      </c>
      <c r="F17161" s="42">
        <v>43984</v>
      </c>
    </row>
    <row r="17162" spans="1:6" x14ac:dyDescent="0.3">
      <c r="A17162" s="15" t="s">
        <v>33008</v>
      </c>
      <c r="B17162" s="15" t="s">
        <v>31970</v>
      </c>
      <c r="C17162" s="15" t="s">
        <v>800</v>
      </c>
      <c r="D17162" s="15" t="s">
        <v>31971</v>
      </c>
      <c r="E17162" s="15">
        <v>12.225899999999999</v>
      </c>
      <c r="F17162" s="42">
        <v>43984</v>
      </c>
    </row>
    <row r="17163" spans="1:6" x14ac:dyDescent="0.3">
      <c r="A17163" s="15" t="s">
        <v>33007</v>
      </c>
      <c r="B17163" s="15" t="s">
        <v>31972</v>
      </c>
      <c r="C17163" s="15" t="s">
        <v>800</v>
      </c>
      <c r="D17163" s="15" t="s">
        <v>31973</v>
      </c>
      <c r="E17163" s="15">
        <v>10</v>
      </c>
      <c r="F17163" s="42">
        <v>43984</v>
      </c>
    </row>
    <row r="17164" spans="1:6" x14ac:dyDescent="0.3">
      <c r="A17164" s="15" t="s">
        <v>33006</v>
      </c>
      <c r="B17164" s="15" t="s">
        <v>31974</v>
      </c>
      <c r="C17164" s="15" t="s">
        <v>800</v>
      </c>
      <c r="D17164" s="15" t="s">
        <v>31975</v>
      </c>
      <c r="E17164" s="15">
        <v>10</v>
      </c>
      <c r="F17164" s="42">
        <v>43984</v>
      </c>
    </row>
    <row r="17165" spans="1:6" x14ac:dyDescent="0.3">
      <c r="A17165" s="15" t="s">
        <v>33005</v>
      </c>
      <c r="B17165" s="15" t="s">
        <v>31976</v>
      </c>
      <c r="C17165" s="15" t="s">
        <v>800</v>
      </c>
      <c r="D17165" s="15" t="s">
        <v>31977</v>
      </c>
      <c r="E17165" s="15">
        <v>10</v>
      </c>
      <c r="F17165" s="42">
        <v>43984</v>
      </c>
    </row>
    <row r="17166" spans="1:6" x14ac:dyDescent="0.3">
      <c r="A17166" s="15" t="s">
        <v>33004</v>
      </c>
      <c r="B17166" s="15" t="s">
        <v>31978</v>
      </c>
      <c r="C17166" s="15" t="s">
        <v>800</v>
      </c>
      <c r="D17166" s="15" t="s">
        <v>31979</v>
      </c>
      <c r="E17166" s="15">
        <v>12.3262</v>
      </c>
      <c r="F17166" s="42">
        <v>43984</v>
      </c>
    </row>
    <row r="17167" spans="1:6" x14ac:dyDescent="0.3">
      <c r="A17167" s="15" t="s">
        <v>33003</v>
      </c>
      <c r="B17167" s="15" t="s">
        <v>31980</v>
      </c>
      <c r="C17167" s="15" t="s">
        <v>800</v>
      </c>
      <c r="D17167" s="15" t="s">
        <v>31981</v>
      </c>
      <c r="E17167" s="15">
        <v>10.000400000000001</v>
      </c>
      <c r="F17167" s="42">
        <v>43984</v>
      </c>
    </row>
    <row r="17168" spans="1:6" x14ac:dyDescent="0.3">
      <c r="A17168" s="15" t="s">
        <v>33002</v>
      </c>
      <c r="B17168" s="15" t="s">
        <v>31982</v>
      </c>
      <c r="C17168" s="15" t="s">
        <v>800</v>
      </c>
      <c r="D17168" s="15" t="s">
        <v>31983</v>
      </c>
      <c r="E17168" s="15">
        <v>10</v>
      </c>
      <c r="F17168" s="42">
        <v>43984</v>
      </c>
    </row>
    <row r="17169" spans="1:6" x14ac:dyDescent="0.3">
      <c r="A17169" s="15" t="s">
        <v>33001</v>
      </c>
      <c r="B17169" s="15" t="s">
        <v>31984</v>
      </c>
      <c r="C17169" s="15" t="s">
        <v>800</v>
      </c>
      <c r="D17169" s="15" t="s">
        <v>31985</v>
      </c>
      <c r="E17169" s="15">
        <v>10</v>
      </c>
      <c r="F17169" s="42">
        <v>43984</v>
      </c>
    </row>
    <row r="17170" spans="1:6" x14ac:dyDescent="0.3">
      <c r="A17170" s="15" t="s">
        <v>33000</v>
      </c>
      <c r="B17170" s="15" t="s">
        <v>31986</v>
      </c>
      <c r="C17170" s="15" t="s">
        <v>800</v>
      </c>
      <c r="D17170" s="15" t="s">
        <v>31987</v>
      </c>
      <c r="E17170" s="15">
        <v>10</v>
      </c>
      <c r="F17170" s="42">
        <v>43984</v>
      </c>
    </row>
    <row r="17171" spans="1:6" x14ac:dyDescent="0.3">
      <c r="A17171" s="15" t="s">
        <v>32999</v>
      </c>
      <c r="B17171" s="15" t="s">
        <v>31988</v>
      </c>
      <c r="C17171" s="15" t="s">
        <v>800</v>
      </c>
      <c r="D17171" s="15" t="s">
        <v>31989</v>
      </c>
      <c r="E17171" s="15">
        <v>12.2034</v>
      </c>
      <c r="F17171" s="42">
        <v>43984</v>
      </c>
    </row>
    <row r="17172" spans="1:6" x14ac:dyDescent="0.3">
      <c r="A17172" s="15" t="s">
        <v>32998</v>
      </c>
      <c r="B17172" s="15" t="s">
        <v>31990</v>
      </c>
      <c r="C17172" s="15" t="s">
        <v>800</v>
      </c>
      <c r="D17172" s="15" t="s">
        <v>31991</v>
      </c>
      <c r="E17172" s="15">
        <v>10</v>
      </c>
      <c r="F17172" s="42">
        <v>43984</v>
      </c>
    </row>
    <row r="17173" spans="1:6" x14ac:dyDescent="0.3">
      <c r="A17173" s="15" t="s">
        <v>32997</v>
      </c>
      <c r="B17173" s="15" t="s">
        <v>31992</v>
      </c>
      <c r="C17173" s="15" t="s">
        <v>800</v>
      </c>
      <c r="D17173" s="15" t="s">
        <v>31993</v>
      </c>
      <c r="E17173" s="15">
        <v>10</v>
      </c>
      <c r="F17173" s="42">
        <v>43984</v>
      </c>
    </row>
    <row r="17174" spans="1:6" x14ac:dyDescent="0.3">
      <c r="A17174" s="15" t="s">
        <v>32996</v>
      </c>
      <c r="B17174" s="15" t="s">
        <v>31994</v>
      </c>
      <c r="C17174" s="15" t="s">
        <v>800</v>
      </c>
      <c r="D17174" s="15" t="s">
        <v>31995</v>
      </c>
      <c r="E17174" s="15">
        <v>10</v>
      </c>
      <c r="F17174" s="42">
        <v>44019</v>
      </c>
    </row>
    <row r="17175" spans="1:6" x14ac:dyDescent="0.3">
      <c r="A17175" s="15" t="s">
        <v>32995</v>
      </c>
      <c r="B17175" s="15" t="s">
        <v>31996</v>
      </c>
      <c r="C17175" s="15" t="s">
        <v>800</v>
      </c>
      <c r="D17175" s="15" t="s">
        <v>31997</v>
      </c>
      <c r="E17175" s="15">
        <v>10</v>
      </c>
      <c r="F17175" s="42">
        <v>44019</v>
      </c>
    </row>
    <row r="17176" spans="1:6" x14ac:dyDescent="0.3">
      <c r="A17176" s="15" t="s">
        <v>32994</v>
      </c>
      <c r="B17176" s="15" t="s">
        <v>31998</v>
      </c>
      <c r="C17176" s="15" t="s">
        <v>800</v>
      </c>
      <c r="D17176" s="15" t="s">
        <v>31999</v>
      </c>
      <c r="E17176" s="15">
        <v>12.3583</v>
      </c>
      <c r="F17176" s="42">
        <v>44019</v>
      </c>
    </row>
    <row r="17177" spans="1:6" x14ac:dyDescent="0.3">
      <c r="A17177" s="15" t="s">
        <v>32993</v>
      </c>
      <c r="B17177" s="15" t="s">
        <v>32000</v>
      </c>
      <c r="C17177" s="15" t="s">
        <v>800</v>
      </c>
      <c r="D17177" s="15" t="s">
        <v>32001</v>
      </c>
      <c r="E17177" s="15">
        <v>10</v>
      </c>
      <c r="F17177" s="42">
        <v>44019</v>
      </c>
    </row>
    <row r="17178" spans="1:6" x14ac:dyDescent="0.3">
      <c r="A17178" s="15" t="s">
        <v>32992</v>
      </c>
      <c r="B17178" s="15" t="s">
        <v>32002</v>
      </c>
      <c r="C17178" s="15" t="s">
        <v>800</v>
      </c>
      <c r="D17178" s="15" t="s">
        <v>32003</v>
      </c>
      <c r="E17178" s="15">
        <v>10</v>
      </c>
      <c r="F17178" s="42">
        <v>44019</v>
      </c>
    </row>
    <row r="17179" spans="1:6" x14ac:dyDescent="0.3">
      <c r="A17179" s="15" t="s">
        <v>32991</v>
      </c>
      <c r="B17179" s="15" t="s">
        <v>32004</v>
      </c>
      <c r="C17179" s="15" t="s">
        <v>800</v>
      </c>
      <c r="D17179" s="15" t="s">
        <v>32005</v>
      </c>
      <c r="E17179" s="15">
        <v>10</v>
      </c>
      <c r="F17179" s="42">
        <v>44019</v>
      </c>
    </row>
    <row r="17180" spans="1:6" x14ac:dyDescent="0.3">
      <c r="A17180" s="15" t="s">
        <v>32990</v>
      </c>
      <c r="B17180" s="15" t="s">
        <v>32006</v>
      </c>
      <c r="C17180" s="15" t="s">
        <v>800</v>
      </c>
      <c r="D17180" s="15" t="s">
        <v>32007</v>
      </c>
      <c r="E17180" s="15">
        <v>10</v>
      </c>
      <c r="F17180" s="42">
        <v>44019</v>
      </c>
    </row>
    <row r="17181" spans="1:6" x14ac:dyDescent="0.3">
      <c r="A17181" s="15" t="s">
        <v>32989</v>
      </c>
      <c r="B17181" s="15" t="s">
        <v>32008</v>
      </c>
      <c r="C17181" s="15" t="s">
        <v>800</v>
      </c>
      <c r="D17181" s="15" t="s">
        <v>32009</v>
      </c>
      <c r="E17181" s="15">
        <v>12.2354</v>
      </c>
      <c r="F17181" s="42">
        <v>44019</v>
      </c>
    </row>
    <row r="17182" spans="1:6" x14ac:dyDescent="0.3">
      <c r="A17182" s="15" t="s">
        <v>32988</v>
      </c>
      <c r="B17182" s="15" t="s">
        <v>32010</v>
      </c>
      <c r="C17182" s="15" t="s">
        <v>800</v>
      </c>
      <c r="D17182" s="15" t="s">
        <v>32011</v>
      </c>
      <c r="E17182" s="15">
        <v>10</v>
      </c>
      <c r="F17182" s="42">
        <v>44019</v>
      </c>
    </row>
    <row r="17183" spans="1:6" x14ac:dyDescent="0.3">
      <c r="A17183" s="15" t="s">
        <v>32987</v>
      </c>
      <c r="B17183" s="15" t="s">
        <v>32012</v>
      </c>
      <c r="C17183" s="15" t="s">
        <v>800</v>
      </c>
      <c r="D17183" s="15" t="s">
        <v>32013</v>
      </c>
      <c r="E17183" s="15">
        <v>10</v>
      </c>
      <c r="F17183" s="42">
        <v>44019</v>
      </c>
    </row>
    <row r="17184" spans="1:6" x14ac:dyDescent="0.3">
      <c r="A17184" s="15" t="s">
        <v>32986</v>
      </c>
      <c r="B17184" s="15" t="s">
        <v>32014</v>
      </c>
      <c r="C17184" s="15" t="s">
        <v>800</v>
      </c>
      <c r="D17184" s="15" t="s">
        <v>32015</v>
      </c>
      <c r="E17184" s="15">
        <v>10</v>
      </c>
      <c r="F17184" s="42">
        <v>44076</v>
      </c>
    </row>
    <row r="17185" spans="1:6" x14ac:dyDescent="0.3">
      <c r="A17185" s="15" t="s">
        <v>32985</v>
      </c>
      <c r="B17185" s="15" t="s">
        <v>32016</v>
      </c>
      <c r="C17185" s="15" t="s">
        <v>800</v>
      </c>
      <c r="D17185" s="15" t="s">
        <v>32017</v>
      </c>
      <c r="E17185" s="15">
        <v>11.7477</v>
      </c>
      <c r="F17185" s="42">
        <v>44076</v>
      </c>
    </row>
    <row r="17186" spans="1:6" x14ac:dyDescent="0.3">
      <c r="A17186" s="15" t="s">
        <v>32984</v>
      </c>
      <c r="B17186" s="15" t="s">
        <v>32018</v>
      </c>
      <c r="C17186" s="15" t="s">
        <v>800</v>
      </c>
      <c r="D17186" s="15" t="s">
        <v>32019</v>
      </c>
      <c r="E17186" s="15">
        <v>10</v>
      </c>
      <c r="F17186" s="42">
        <v>44076</v>
      </c>
    </row>
    <row r="17187" spans="1:6" x14ac:dyDescent="0.3">
      <c r="A17187" s="15" t="s">
        <v>32983</v>
      </c>
      <c r="B17187" s="15" t="s">
        <v>32020</v>
      </c>
      <c r="C17187" s="15" t="s">
        <v>800</v>
      </c>
      <c r="D17187" s="15" t="s">
        <v>32021</v>
      </c>
      <c r="E17187" s="15">
        <v>10</v>
      </c>
      <c r="F17187" s="42">
        <v>44076</v>
      </c>
    </row>
    <row r="17188" spans="1:6" x14ac:dyDescent="0.3">
      <c r="A17188" s="15" t="s">
        <v>32982</v>
      </c>
      <c r="B17188" s="15" t="s">
        <v>32022</v>
      </c>
      <c r="C17188" s="15" t="s">
        <v>800</v>
      </c>
      <c r="D17188" s="15" t="s">
        <v>32023</v>
      </c>
      <c r="E17188" s="15">
        <v>10</v>
      </c>
      <c r="F17188" s="42">
        <v>44076</v>
      </c>
    </row>
    <row r="17189" spans="1:6" x14ac:dyDescent="0.3">
      <c r="A17189" s="15" t="s">
        <v>32981</v>
      </c>
      <c r="B17189" s="15" t="s">
        <v>32024</v>
      </c>
      <c r="C17189" s="15" t="s">
        <v>800</v>
      </c>
      <c r="D17189" s="15" t="s">
        <v>32025</v>
      </c>
      <c r="E17189" s="15">
        <v>11.5387</v>
      </c>
      <c r="F17189" s="42">
        <v>44076</v>
      </c>
    </row>
    <row r="17190" spans="1:6" x14ac:dyDescent="0.3">
      <c r="A17190" s="15" t="s">
        <v>32980</v>
      </c>
      <c r="B17190" s="15" t="s">
        <v>32026</v>
      </c>
      <c r="C17190" s="15" t="s">
        <v>800</v>
      </c>
      <c r="D17190" s="15" t="s">
        <v>32027</v>
      </c>
      <c r="E17190" s="15">
        <v>10</v>
      </c>
      <c r="F17190" s="42">
        <v>44076</v>
      </c>
    </row>
    <row r="17191" spans="1:6" x14ac:dyDescent="0.3">
      <c r="A17191" s="15" t="s">
        <v>32979</v>
      </c>
      <c r="B17191" s="15" t="s">
        <v>32028</v>
      </c>
      <c r="C17191" s="15" t="s">
        <v>800</v>
      </c>
      <c r="D17191" s="15" t="s">
        <v>32029</v>
      </c>
      <c r="E17191" s="15">
        <v>10</v>
      </c>
      <c r="F17191" s="42">
        <v>44076</v>
      </c>
    </row>
    <row r="17192" spans="1:6" x14ac:dyDescent="0.3">
      <c r="A17192" s="15" t="s">
        <v>32978</v>
      </c>
      <c r="B17192" s="15" t="s">
        <v>32030</v>
      </c>
      <c r="C17192" s="15" t="s">
        <v>800</v>
      </c>
      <c r="D17192" s="15" t="s">
        <v>32031</v>
      </c>
      <c r="E17192" s="15">
        <v>10</v>
      </c>
      <c r="F17192" s="42">
        <v>44019</v>
      </c>
    </row>
    <row r="17193" spans="1:6" x14ac:dyDescent="0.3">
      <c r="A17193" s="15" t="s">
        <v>32977</v>
      </c>
      <c r="B17193" s="15" t="s">
        <v>32032</v>
      </c>
      <c r="C17193" s="15" t="s">
        <v>800</v>
      </c>
      <c r="D17193" s="15" t="s">
        <v>32033</v>
      </c>
      <c r="E17193" s="15">
        <v>12.306800000000001</v>
      </c>
      <c r="F17193" s="42">
        <v>44019</v>
      </c>
    </row>
    <row r="17194" spans="1:6" x14ac:dyDescent="0.3">
      <c r="A17194" s="15" t="s">
        <v>32976</v>
      </c>
      <c r="B17194" s="15" t="s">
        <v>32034</v>
      </c>
      <c r="C17194" s="15" t="s">
        <v>800</v>
      </c>
      <c r="D17194" s="15" t="s">
        <v>32035</v>
      </c>
      <c r="E17194" s="15">
        <v>10</v>
      </c>
      <c r="F17194" s="42">
        <v>44019</v>
      </c>
    </row>
    <row r="17195" spans="1:6" x14ac:dyDescent="0.3">
      <c r="A17195" s="15" t="s">
        <v>32975</v>
      </c>
      <c r="B17195" s="15" t="s">
        <v>32036</v>
      </c>
      <c r="C17195" s="15" t="s">
        <v>800</v>
      </c>
      <c r="D17195" s="15" t="s">
        <v>32037</v>
      </c>
      <c r="E17195" s="15">
        <v>10</v>
      </c>
      <c r="F17195" s="42">
        <v>44019</v>
      </c>
    </row>
    <row r="17196" spans="1:6" x14ac:dyDescent="0.3">
      <c r="A17196" s="15" t="s">
        <v>32974</v>
      </c>
      <c r="B17196" s="15" t="s">
        <v>32038</v>
      </c>
      <c r="C17196" s="15" t="s">
        <v>800</v>
      </c>
      <c r="D17196" s="15" t="s">
        <v>32039</v>
      </c>
      <c r="E17196" s="15">
        <v>10</v>
      </c>
      <c r="F17196" s="42">
        <v>44019</v>
      </c>
    </row>
    <row r="17197" spans="1:6" x14ac:dyDescent="0.3">
      <c r="A17197" s="15" t="s">
        <v>32973</v>
      </c>
      <c r="B17197" s="15" t="s">
        <v>32040</v>
      </c>
      <c r="C17197" s="15" t="s">
        <v>800</v>
      </c>
      <c r="D17197" s="15" t="s">
        <v>32041</v>
      </c>
      <c r="E17197" s="15">
        <v>12.1843</v>
      </c>
      <c r="F17197" s="42">
        <v>44019</v>
      </c>
    </row>
    <row r="17198" spans="1:6" x14ac:dyDescent="0.3">
      <c r="A17198" s="15" t="s">
        <v>32972</v>
      </c>
      <c r="B17198" s="15" t="s">
        <v>32042</v>
      </c>
      <c r="C17198" s="15" t="s">
        <v>800</v>
      </c>
      <c r="D17198" s="15" t="s">
        <v>32043</v>
      </c>
      <c r="E17198" s="15">
        <v>10</v>
      </c>
      <c r="F17198" s="42">
        <v>44019</v>
      </c>
    </row>
    <row r="17199" spans="1:6" x14ac:dyDescent="0.3">
      <c r="A17199" s="15" t="s">
        <v>32971</v>
      </c>
      <c r="B17199" s="15" t="s">
        <v>32044</v>
      </c>
      <c r="C17199" s="15" t="s">
        <v>800</v>
      </c>
      <c r="D17199" s="15" t="s">
        <v>32045</v>
      </c>
      <c r="E17199" s="15">
        <v>10</v>
      </c>
      <c r="F17199" s="42">
        <v>44019</v>
      </c>
    </row>
    <row r="17200" spans="1:6" x14ac:dyDescent="0.3">
      <c r="A17200" s="15" t="s">
        <v>32970</v>
      </c>
      <c r="B17200" s="15" t="s">
        <v>32046</v>
      </c>
      <c r="C17200" s="15" t="s">
        <v>800</v>
      </c>
      <c r="D17200" s="15" t="s">
        <v>32047</v>
      </c>
      <c r="E17200" s="15">
        <v>10</v>
      </c>
      <c r="F17200" s="42">
        <v>44054</v>
      </c>
    </row>
    <row r="17201" spans="1:6" x14ac:dyDescent="0.3">
      <c r="A17201" s="15" t="s">
        <v>32969</v>
      </c>
      <c r="B17201" s="15" t="s">
        <v>32048</v>
      </c>
      <c r="C17201" s="15" t="s">
        <v>800</v>
      </c>
      <c r="D17201" s="15" t="s">
        <v>32049</v>
      </c>
      <c r="E17201" s="15">
        <v>10</v>
      </c>
      <c r="F17201" s="42">
        <v>44054</v>
      </c>
    </row>
    <row r="17202" spans="1:6" x14ac:dyDescent="0.3">
      <c r="A17202" s="15" t="s">
        <v>32968</v>
      </c>
      <c r="B17202" s="15" t="s">
        <v>32050</v>
      </c>
      <c r="C17202" s="15" t="s">
        <v>800</v>
      </c>
      <c r="D17202" s="15" t="s">
        <v>32051</v>
      </c>
      <c r="E17202" s="15">
        <v>12.2803</v>
      </c>
      <c r="F17202" s="42">
        <v>44054</v>
      </c>
    </row>
    <row r="17203" spans="1:6" x14ac:dyDescent="0.3">
      <c r="A17203" s="15" t="s">
        <v>32967</v>
      </c>
      <c r="B17203" s="15" t="s">
        <v>32052</v>
      </c>
      <c r="C17203" s="15" t="s">
        <v>800</v>
      </c>
      <c r="D17203" s="15" t="s">
        <v>32053</v>
      </c>
      <c r="E17203" s="15">
        <v>10</v>
      </c>
      <c r="F17203" s="42">
        <v>44054</v>
      </c>
    </row>
    <row r="17204" spans="1:6" x14ac:dyDescent="0.3">
      <c r="A17204" s="15" t="s">
        <v>32966</v>
      </c>
      <c r="B17204" s="15" t="s">
        <v>32054</v>
      </c>
      <c r="C17204" s="15" t="s">
        <v>800</v>
      </c>
      <c r="D17204" s="15" t="s">
        <v>32055</v>
      </c>
      <c r="E17204" s="15">
        <v>10</v>
      </c>
      <c r="F17204" s="42">
        <v>44054</v>
      </c>
    </row>
    <row r="17205" spans="1:6" x14ac:dyDescent="0.3">
      <c r="A17205" s="15" t="s">
        <v>32965</v>
      </c>
      <c r="B17205" s="15" t="s">
        <v>32056</v>
      </c>
      <c r="C17205" s="15" t="s">
        <v>800</v>
      </c>
      <c r="D17205" s="15" t="s">
        <v>32057</v>
      </c>
      <c r="E17205" s="15">
        <v>12.158099999999999</v>
      </c>
      <c r="F17205" s="42">
        <v>44054</v>
      </c>
    </row>
    <row r="17206" spans="1:6" x14ac:dyDescent="0.3">
      <c r="A17206" s="15" t="s">
        <v>32964</v>
      </c>
      <c r="B17206" s="15" t="s">
        <v>32058</v>
      </c>
      <c r="C17206" s="15" t="s">
        <v>800</v>
      </c>
      <c r="D17206" s="15" t="s">
        <v>32059</v>
      </c>
      <c r="E17206" s="15">
        <v>10</v>
      </c>
      <c r="F17206" s="42">
        <v>44054</v>
      </c>
    </row>
    <row r="17207" spans="1:6" x14ac:dyDescent="0.3">
      <c r="A17207" s="15" t="s">
        <v>32963</v>
      </c>
      <c r="B17207" s="15" t="s">
        <v>32060</v>
      </c>
      <c r="C17207" s="15" t="s">
        <v>800</v>
      </c>
      <c r="D17207" s="15" t="s">
        <v>32061</v>
      </c>
      <c r="E17207" s="15">
        <v>10</v>
      </c>
      <c r="F17207" s="42">
        <v>44054</v>
      </c>
    </row>
    <row r="17208" spans="1:6" x14ac:dyDescent="0.3">
      <c r="A17208" s="15" t="s">
        <v>32962</v>
      </c>
      <c r="B17208" s="15" t="s">
        <v>32062</v>
      </c>
      <c r="C17208" s="15" t="s">
        <v>800</v>
      </c>
      <c r="D17208" s="15" t="s">
        <v>32063</v>
      </c>
      <c r="E17208" s="15">
        <v>10</v>
      </c>
      <c r="F17208" s="42">
        <v>44054</v>
      </c>
    </row>
    <row r="17209" spans="1:6" x14ac:dyDescent="0.3">
      <c r="A17209" s="15" t="s">
        <v>32961</v>
      </c>
      <c r="B17209" s="15" t="s">
        <v>32064</v>
      </c>
      <c r="C17209" s="15" t="s">
        <v>800</v>
      </c>
      <c r="D17209" s="15" t="s">
        <v>32065</v>
      </c>
      <c r="E17209" s="15">
        <v>10</v>
      </c>
      <c r="F17209" s="42">
        <v>44054</v>
      </c>
    </row>
    <row r="17210" spans="1:6" x14ac:dyDescent="0.3">
      <c r="A17210" s="15" t="s">
        <v>32960</v>
      </c>
      <c r="B17210" s="15" t="s">
        <v>32066</v>
      </c>
      <c r="C17210" s="15" t="s">
        <v>800</v>
      </c>
      <c r="D17210" s="15" t="s">
        <v>32067</v>
      </c>
      <c r="E17210" s="15">
        <v>10</v>
      </c>
      <c r="F17210" s="42">
        <v>44054</v>
      </c>
    </row>
    <row r="17211" spans="1:6" x14ac:dyDescent="0.3">
      <c r="A17211" s="15" t="s">
        <v>32959</v>
      </c>
      <c r="B17211" s="15" t="s">
        <v>32068</v>
      </c>
      <c r="C17211" s="15" t="s">
        <v>800</v>
      </c>
      <c r="D17211" s="15" t="s">
        <v>32069</v>
      </c>
      <c r="E17211" s="15">
        <v>10</v>
      </c>
      <c r="F17211" s="42">
        <v>44054</v>
      </c>
    </row>
    <row r="17212" spans="1:6" x14ac:dyDescent="0.3">
      <c r="A17212" s="15" t="s">
        <v>32958</v>
      </c>
      <c r="B17212" s="15" t="s">
        <v>32070</v>
      </c>
      <c r="C17212" s="15" t="s">
        <v>800</v>
      </c>
      <c r="D17212" s="15" t="s">
        <v>32071</v>
      </c>
      <c r="E17212" s="15">
        <v>10</v>
      </c>
      <c r="F17212" s="42">
        <v>44054</v>
      </c>
    </row>
    <row r="17213" spans="1:6" x14ac:dyDescent="0.3">
      <c r="A17213" s="15" t="s">
        <v>32957</v>
      </c>
      <c r="B17213" s="15" t="s">
        <v>32072</v>
      </c>
      <c r="C17213" s="15" t="s">
        <v>800</v>
      </c>
      <c r="D17213" s="15" t="s">
        <v>32073</v>
      </c>
      <c r="E17213" s="15">
        <v>10</v>
      </c>
      <c r="F17213" s="42">
        <v>44054</v>
      </c>
    </row>
    <row r="17214" spans="1:6" x14ac:dyDescent="0.3">
      <c r="A17214" s="15" t="s">
        <v>32956</v>
      </c>
      <c r="B17214" s="15" t="s">
        <v>32074</v>
      </c>
      <c r="C17214" s="15" t="s">
        <v>800</v>
      </c>
      <c r="D17214" s="15" t="s">
        <v>32075</v>
      </c>
      <c r="E17214" s="15">
        <v>12.2454</v>
      </c>
      <c r="F17214" s="42">
        <v>44054</v>
      </c>
    </row>
    <row r="17215" spans="1:6" x14ac:dyDescent="0.3">
      <c r="A17215" s="15" t="s">
        <v>32955</v>
      </c>
      <c r="B17215" s="15" t="s">
        <v>32076</v>
      </c>
      <c r="C17215" s="15" t="s">
        <v>800</v>
      </c>
      <c r="D17215" s="15" t="s">
        <v>32077</v>
      </c>
      <c r="E17215" s="15">
        <v>10</v>
      </c>
      <c r="F17215" s="42">
        <v>44054</v>
      </c>
    </row>
    <row r="17216" spans="1:6" x14ac:dyDescent="0.3">
      <c r="A17216" s="15" t="s">
        <v>32954</v>
      </c>
      <c r="B17216" s="15" t="s">
        <v>32078</v>
      </c>
      <c r="C17216" s="15" t="s">
        <v>800</v>
      </c>
      <c r="D17216" s="15" t="s">
        <v>32079</v>
      </c>
      <c r="E17216" s="15">
        <v>10</v>
      </c>
      <c r="F17216" s="42">
        <v>44054</v>
      </c>
    </row>
    <row r="17217" spans="1:6" x14ac:dyDescent="0.3">
      <c r="A17217" s="15" t="s">
        <v>32953</v>
      </c>
      <c r="B17217" s="15" t="s">
        <v>32080</v>
      </c>
      <c r="C17217" s="15" t="s">
        <v>800</v>
      </c>
      <c r="D17217" s="15" t="s">
        <v>32081</v>
      </c>
      <c r="E17217" s="15">
        <v>12.1235</v>
      </c>
      <c r="F17217" s="42">
        <v>44054</v>
      </c>
    </row>
    <row r="17218" spans="1:6" x14ac:dyDescent="0.3">
      <c r="A17218" s="15" t="s">
        <v>32952</v>
      </c>
      <c r="B17218" s="15" t="s">
        <v>32082</v>
      </c>
      <c r="C17218" s="15" t="s">
        <v>800</v>
      </c>
      <c r="D17218" s="15" t="s">
        <v>32083</v>
      </c>
      <c r="E17218" s="15">
        <v>10</v>
      </c>
      <c r="F17218" s="42">
        <v>44054</v>
      </c>
    </row>
    <row r="17219" spans="1:6" x14ac:dyDescent="0.3">
      <c r="A17219" s="15" t="s">
        <v>32951</v>
      </c>
      <c r="B17219" s="15" t="s">
        <v>32084</v>
      </c>
      <c r="C17219" s="15" t="s">
        <v>800</v>
      </c>
      <c r="D17219" s="15" t="s">
        <v>32085</v>
      </c>
      <c r="E17219" s="15">
        <v>10</v>
      </c>
      <c r="F17219" s="42">
        <v>44054</v>
      </c>
    </row>
    <row r="17220" spans="1:6" x14ac:dyDescent="0.3">
      <c r="A17220" s="15" t="s">
        <v>32950</v>
      </c>
      <c r="B17220" s="15" t="s">
        <v>32086</v>
      </c>
      <c r="C17220" s="15" t="s">
        <v>800</v>
      </c>
      <c r="D17220" s="15" t="s">
        <v>32087</v>
      </c>
      <c r="E17220" s="15">
        <v>10</v>
      </c>
      <c r="F17220" s="42">
        <v>44089</v>
      </c>
    </row>
    <row r="17221" spans="1:6" x14ac:dyDescent="0.3">
      <c r="A17221" s="15" t="s">
        <v>32949</v>
      </c>
      <c r="B17221" s="15" t="s">
        <v>32088</v>
      </c>
      <c r="C17221" s="15" t="s">
        <v>800</v>
      </c>
      <c r="D17221" s="15" t="s">
        <v>32089</v>
      </c>
      <c r="E17221" s="15">
        <v>10</v>
      </c>
      <c r="F17221" s="42">
        <v>44089</v>
      </c>
    </row>
    <row r="17222" spans="1:6" x14ac:dyDescent="0.3">
      <c r="A17222" s="15" t="s">
        <v>32948</v>
      </c>
      <c r="B17222" s="15" t="s">
        <v>32090</v>
      </c>
      <c r="C17222" s="15" t="s">
        <v>800</v>
      </c>
      <c r="D17222" s="15" t="s">
        <v>32091</v>
      </c>
      <c r="E17222" s="15">
        <v>11.3005</v>
      </c>
      <c r="F17222" s="42">
        <v>44089</v>
      </c>
    </row>
    <row r="17223" spans="1:6" x14ac:dyDescent="0.3">
      <c r="A17223" s="15" t="s">
        <v>32947</v>
      </c>
      <c r="B17223" s="15" t="s">
        <v>32092</v>
      </c>
      <c r="C17223" s="15" t="s">
        <v>800</v>
      </c>
      <c r="D17223" s="15" t="s">
        <v>32093</v>
      </c>
      <c r="E17223" s="15">
        <v>10</v>
      </c>
      <c r="F17223" s="42">
        <v>44089</v>
      </c>
    </row>
    <row r="17224" spans="1:6" x14ac:dyDescent="0.3">
      <c r="A17224" s="15" t="s">
        <v>32946</v>
      </c>
      <c r="B17224" s="15" t="s">
        <v>32094</v>
      </c>
      <c r="C17224" s="15" t="s">
        <v>800</v>
      </c>
      <c r="D17224" s="15" t="s">
        <v>32095</v>
      </c>
      <c r="E17224" s="15">
        <v>9.8832000000000004</v>
      </c>
      <c r="F17224" s="42">
        <v>44089</v>
      </c>
    </row>
    <row r="17225" spans="1:6" x14ac:dyDescent="0.3">
      <c r="A17225" s="15" t="s">
        <v>32945</v>
      </c>
      <c r="B17225" s="15" t="s">
        <v>32096</v>
      </c>
      <c r="C17225" s="15" t="s">
        <v>800</v>
      </c>
      <c r="D17225" s="15" t="s">
        <v>32097</v>
      </c>
      <c r="E17225" s="15">
        <v>10</v>
      </c>
      <c r="F17225" s="42">
        <v>44089</v>
      </c>
    </row>
    <row r="17226" spans="1:6" x14ac:dyDescent="0.3">
      <c r="A17226" s="15" t="s">
        <v>32944</v>
      </c>
      <c r="B17226" s="15" t="s">
        <v>32098</v>
      </c>
      <c r="C17226" s="15" t="s">
        <v>800</v>
      </c>
      <c r="D17226" s="15" t="s">
        <v>32099</v>
      </c>
      <c r="E17226" s="15">
        <v>10</v>
      </c>
      <c r="F17226" s="42">
        <v>44089</v>
      </c>
    </row>
    <row r="17227" spans="1:6" x14ac:dyDescent="0.3">
      <c r="A17227" s="15" t="s">
        <v>32943</v>
      </c>
      <c r="B17227" s="15" t="s">
        <v>32100</v>
      </c>
      <c r="C17227" s="15" t="s">
        <v>800</v>
      </c>
      <c r="D17227" s="15" t="s">
        <v>32101</v>
      </c>
      <c r="E17227" s="15">
        <v>11.187900000000001</v>
      </c>
      <c r="F17227" s="42">
        <v>44089</v>
      </c>
    </row>
    <row r="17228" spans="1:6" x14ac:dyDescent="0.3">
      <c r="A17228" s="15" t="s">
        <v>32942</v>
      </c>
      <c r="B17228" s="15" t="s">
        <v>32102</v>
      </c>
      <c r="C17228" s="15" t="s">
        <v>800</v>
      </c>
      <c r="D17228" s="15" t="s">
        <v>32103</v>
      </c>
      <c r="E17228" s="15">
        <v>10</v>
      </c>
      <c r="F17228" s="42">
        <v>44089</v>
      </c>
    </row>
    <row r="17229" spans="1:6" x14ac:dyDescent="0.3">
      <c r="A17229" s="15" t="s">
        <v>32941</v>
      </c>
      <c r="B17229" s="15" t="s">
        <v>32104</v>
      </c>
      <c r="C17229" s="15" t="s">
        <v>800</v>
      </c>
      <c r="D17229" s="15" t="s">
        <v>32105</v>
      </c>
      <c r="E17229" s="15">
        <v>9.8783999999999992</v>
      </c>
      <c r="F17229" s="42">
        <v>44089</v>
      </c>
    </row>
    <row r="17230" spans="1:6" x14ac:dyDescent="0.3">
      <c r="A17230" s="15" t="s">
        <v>32940</v>
      </c>
      <c r="B17230" s="15" t="s">
        <v>32106</v>
      </c>
      <c r="C17230" s="15" t="s">
        <v>800</v>
      </c>
      <c r="D17230" s="15" t="s">
        <v>32107</v>
      </c>
      <c r="E17230" s="15">
        <v>10</v>
      </c>
      <c r="F17230" s="42">
        <v>44089</v>
      </c>
    </row>
    <row r="17231" spans="1:6" x14ac:dyDescent="0.3">
      <c r="A17231" s="15" t="s">
        <v>32939</v>
      </c>
      <c r="B17231" s="15" t="s">
        <v>32108</v>
      </c>
      <c r="C17231" s="15" t="s">
        <v>800</v>
      </c>
      <c r="D17231" s="15" t="s">
        <v>32109</v>
      </c>
      <c r="E17231" s="15">
        <v>12.253500000000001</v>
      </c>
      <c r="F17231" s="42">
        <v>44089</v>
      </c>
    </row>
    <row r="17232" spans="1:6" x14ac:dyDescent="0.3">
      <c r="A17232" s="15" t="s">
        <v>32938</v>
      </c>
      <c r="B17232" s="15" t="s">
        <v>32110</v>
      </c>
      <c r="C17232" s="15" t="s">
        <v>800</v>
      </c>
      <c r="D17232" s="15" t="s">
        <v>32111</v>
      </c>
      <c r="E17232" s="15">
        <v>10</v>
      </c>
      <c r="F17232" s="42">
        <v>44089</v>
      </c>
    </row>
    <row r="17233" spans="1:6" x14ac:dyDescent="0.3">
      <c r="A17233" s="15" t="s">
        <v>32937</v>
      </c>
      <c r="B17233" s="15" t="s">
        <v>32112</v>
      </c>
      <c r="C17233" s="15" t="s">
        <v>800</v>
      </c>
      <c r="D17233" s="15" t="s">
        <v>32113</v>
      </c>
      <c r="E17233" s="15">
        <v>10</v>
      </c>
      <c r="F17233" s="42">
        <v>44089</v>
      </c>
    </row>
    <row r="17234" spans="1:6" x14ac:dyDescent="0.3">
      <c r="A17234" s="15" t="s">
        <v>32936</v>
      </c>
      <c r="B17234" s="15" t="s">
        <v>32114</v>
      </c>
      <c r="C17234" s="15" t="s">
        <v>800</v>
      </c>
      <c r="D17234" s="15" t="s">
        <v>32115</v>
      </c>
      <c r="E17234" s="15">
        <v>10</v>
      </c>
      <c r="F17234" s="42">
        <v>44089</v>
      </c>
    </row>
    <row r="17235" spans="1:6" x14ac:dyDescent="0.3">
      <c r="A17235" s="15" t="s">
        <v>32935</v>
      </c>
      <c r="B17235" s="15" t="s">
        <v>32116</v>
      </c>
      <c r="C17235" s="15" t="s">
        <v>800</v>
      </c>
      <c r="D17235" s="15" t="s">
        <v>32117</v>
      </c>
      <c r="E17235" s="15">
        <v>10</v>
      </c>
      <c r="F17235" s="42">
        <v>44089</v>
      </c>
    </row>
    <row r="17236" spans="1:6" x14ac:dyDescent="0.3">
      <c r="A17236" s="15" t="s">
        <v>32934</v>
      </c>
      <c r="B17236" s="15" t="s">
        <v>32118</v>
      </c>
      <c r="C17236" s="15" t="s">
        <v>800</v>
      </c>
      <c r="D17236" s="15" t="s">
        <v>32119</v>
      </c>
      <c r="E17236" s="15">
        <v>12.131600000000001</v>
      </c>
      <c r="F17236" s="42">
        <v>44089</v>
      </c>
    </row>
    <row r="17237" spans="1:6" x14ac:dyDescent="0.3">
      <c r="A17237" s="15" t="s">
        <v>32933</v>
      </c>
      <c r="B17237" s="15" t="s">
        <v>32120</v>
      </c>
      <c r="C17237" s="15" t="s">
        <v>800</v>
      </c>
      <c r="D17237" s="15" t="s">
        <v>32121</v>
      </c>
      <c r="E17237" s="15">
        <v>10</v>
      </c>
      <c r="F17237" s="42">
        <v>44089</v>
      </c>
    </row>
    <row r="17238" spans="1:6" x14ac:dyDescent="0.3">
      <c r="A17238" s="15" t="s">
        <v>32932</v>
      </c>
      <c r="B17238" s="15" t="s">
        <v>32122</v>
      </c>
      <c r="C17238" s="15" t="s">
        <v>800</v>
      </c>
      <c r="D17238" s="15" t="s">
        <v>32123</v>
      </c>
      <c r="E17238" s="15">
        <v>10</v>
      </c>
      <c r="F17238" s="42">
        <v>44089</v>
      </c>
    </row>
    <row r="17239" spans="1:6" x14ac:dyDescent="0.3">
      <c r="A17239" s="15" t="s">
        <v>32931</v>
      </c>
      <c r="B17239" s="15" t="s">
        <v>32124</v>
      </c>
      <c r="C17239" s="15" t="s">
        <v>800</v>
      </c>
      <c r="D17239" s="15" t="s">
        <v>32125</v>
      </c>
      <c r="E17239" s="15">
        <v>10</v>
      </c>
      <c r="F17239" s="42">
        <v>44354</v>
      </c>
    </row>
    <row r="17240" spans="1:6" x14ac:dyDescent="0.3">
      <c r="A17240" s="15" t="s">
        <v>32930</v>
      </c>
      <c r="B17240" s="15" t="s">
        <v>32126</v>
      </c>
      <c r="C17240" s="15" t="s">
        <v>800</v>
      </c>
      <c r="D17240" s="15" t="s">
        <v>32127</v>
      </c>
      <c r="E17240" s="15">
        <v>10</v>
      </c>
      <c r="F17240" s="42">
        <v>44354</v>
      </c>
    </row>
    <row r="17241" spans="1:6" x14ac:dyDescent="0.3">
      <c r="A17241" s="15" t="s">
        <v>32929</v>
      </c>
      <c r="B17241" s="15" t="s">
        <v>32128</v>
      </c>
      <c r="C17241" s="15" t="s">
        <v>800</v>
      </c>
      <c r="D17241" s="15" t="s">
        <v>32129</v>
      </c>
      <c r="E17241" s="15">
        <v>10</v>
      </c>
      <c r="F17241" s="42">
        <v>44354</v>
      </c>
    </row>
    <row r="17242" spans="1:6" x14ac:dyDescent="0.3">
      <c r="A17242" s="15" t="s">
        <v>32928</v>
      </c>
      <c r="B17242" s="15" t="s">
        <v>32130</v>
      </c>
      <c r="C17242" s="15" t="s">
        <v>800</v>
      </c>
      <c r="D17242" s="15" t="s">
        <v>32131</v>
      </c>
      <c r="E17242" s="15">
        <v>10</v>
      </c>
      <c r="F17242" s="42">
        <v>44354</v>
      </c>
    </row>
    <row r="17243" spans="1:6" x14ac:dyDescent="0.3">
      <c r="A17243" s="15" t="s">
        <v>32927</v>
      </c>
      <c r="B17243" s="15" t="s">
        <v>32132</v>
      </c>
      <c r="C17243" s="15" t="s">
        <v>800</v>
      </c>
      <c r="D17243" s="15" t="s">
        <v>32133</v>
      </c>
      <c r="E17243" s="15">
        <v>10</v>
      </c>
      <c r="F17243" s="42">
        <v>44354</v>
      </c>
    </row>
    <row r="17244" spans="1:6" x14ac:dyDescent="0.3">
      <c r="A17244" s="15" t="s">
        <v>32926</v>
      </c>
      <c r="B17244" s="15" t="s">
        <v>32134</v>
      </c>
      <c r="C17244" s="15" t="s">
        <v>800</v>
      </c>
      <c r="D17244" s="15" t="s">
        <v>32135</v>
      </c>
      <c r="E17244" s="15">
        <v>10</v>
      </c>
      <c r="F17244" s="42">
        <v>44354</v>
      </c>
    </row>
    <row r="17245" spans="1:6" x14ac:dyDescent="0.3">
      <c r="A17245" s="15" t="s">
        <v>32925</v>
      </c>
      <c r="B17245" s="15" t="s">
        <v>32136</v>
      </c>
      <c r="C17245" s="15" t="s">
        <v>800</v>
      </c>
      <c r="D17245" s="15" t="s">
        <v>32137</v>
      </c>
      <c r="E17245" s="15">
        <v>14.6692</v>
      </c>
      <c r="F17245" s="42">
        <v>44354</v>
      </c>
    </row>
    <row r="17246" spans="1:6" x14ac:dyDescent="0.3">
      <c r="A17246" s="15" t="s">
        <v>32924</v>
      </c>
      <c r="B17246" s="15" t="s">
        <v>32138</v>
      </c>
      <c r="C17246" s="15" t="s">
        <v>800</v>
      </c>
      <c r="D17246" s="15" t="s">
        <v>32139</v>
      </c>
      <c r="E17246" s="15">
        <v>14.596</v>
      </c>
      <c r="F17246" s="42">
        <v>44354</v>
      </c>
    </row>
    <row r="17247" spans="1:6" x14ac:dyDescent="0.3">
      <c r="A17247" s="15" t="s">
        <v>32923</v>
      </c>
      <c r="B17247" s="15" t="s">
        <v>32140</v>
      </c>
      <c r="C17247" s="15" t="s">
        <v>800</v>
      </c>
      <c r="D17247" s="15" t="s">
        <v>32141</v>
      </c>
      <c r="E17247" s="15">
        <v>10</v>
      </c>
      <c r="F17247" s="42">
        <v>43928</v>
      </c>
    </row>
    <row r="17248" spans="1:6" x14ac:dyDescent="0.3">
      <c r="A17248" s="15" t="s">
        <v>32922</v>
      </c>
      <c r="B17248" s="15" t="s">
        <v>32142</v>
      </c>
      <c r="C17248" s="15" t="s">
        <v>800</v>
      </c>
      <c r="D17248" s="15" t="s">
        <v>32143</v>
      </c>
      <c r="E17248" s="15">
        <v>12.622299999999999</v>
      </c>
      <c r="F17248" s="42">
        <v>43928</v>
      </c>
    </row>
    <row r="17249" spans="1:6" x14ac:dyDescent="0.3">
      <c r="A17249" s="15" t="s">
        <v>32921</v>
      </c>
      <c r="B17249" s="15" t="s">
        <v>32144</v>
      </c>
      <c r="C17249" s="15" t="s">
        <v>800</v>
      </c>
      <c r="D17249" s="15" t="s">
        <v>32145</v>
      </c>
      <c r="E17249" s="15">
        <v>10</v>
      </c>
      <c r="F17249" s="42">
        <v>43928</v>
      </c>
    </row>
    <row r="17250" spans="1:6" x14ac:dyDescent="0.3">
      <c r="A17250" s="15" t="s">
        <v>32920</v>
      </c>
      <c r="B17250" s="15" t="s">
        <v>32146</v>
      </c>
      <c r="C17250" s="15" t="s">
        <v>800</v>
      </c>
      <c r="D17250" s="15" t="s">
        <v>32147</v>
      </c>
      <c r="E17250" s="15">
        <v>10</v>
      </c>
      <c r="F17250" s="42">
        <v>43928</v>
      </c>
    </row>
    <row r="17251" spans="1:6" x14ac:dyDescent="0.3">
      <c r="A17251" s="15" t="s">
        <v>32919</v>
      </c>
      <c r="B17251" s="15" t="s">
        <v>32148</v>
      </c>
      <c r="C17251" s="15" t="s">
        <v>800</v>
      </c>
      <c r="D17251" s="15" t="s">
        <v>32149</v>
      </c>
      <c r="E17251" s="15">
        <v>10</v>
      </c>
      <c r="F17251" s="42">
        <v>43928</v>
      </c>
    </row>
    <row r="17252" spans="1:6" x14ac:dyDescent="0.3">
      <c r="A17252" s="15" t="s">
        <v>32918</v>
      </c>
      <c r="B17252" s="15" t="s">
        <v>32150</v>
      </c>
      <c r="C17252" s="15" t="s">
        <v>800</v>
      </c>
      <c r="D17252" s="15" t="s">
        <v>32151</v>
      </c>
      <c r="E17252" s="15">
        <v>12.496700000000001</v>
      </c>
      <c r="F17252" s="42">
        <v>43928</v>
      </c>
    </row>
    <row r="17253" spans="1:6" x14ac:dyDescent="0.3">
      <c r="A17253" s="15" t="s">
        <v>32917</v>
      </c>
      <c r="B17253" s="15" t="s">
        <v>32152</v>
      </c>
      <c r="C17253" s="15" t="s">
        <v>800</v>
      </c>
      <c r="D17253" s="15" t="s">
        <v>32153</v>
      </c>
      <c r="E17253" s="15">
        <v>10</v>
      </c>
      <c r="F17253" s="42">
        <v>43928</v>
      </c>
    </row>
    <row r="17254" spans="1:6" x14ac:dyDescent="0.3">
      <c r="A17254" s="15" t="s">
        <v>32916</v>
      </c>
      <c r="B17254" s="15" t="s">
        <v>32154</v>
      </c>
      <c r="C17254" s="15" t="s">
        <v>800</v>
      </c>
      <c r="D17254" s="15" t="s">
        <v>32155</v>
      </c>
      <c r="E17254" s="15">
        <v>10</v>
      </c>
      <c r="F17254" s="42">
        <v>43928</v>
      </c>
    </row>
    <row r="17255" spans="1:6" x14ac:dyDescent="0.3">
      <c r="A17255" s="15" t="s">
        <v>32915</v>
      </c>
      <c r="B17255" s="15" t="s">
        <v>32156</v>
      </c>
      <c r="C17255" s="15" t="s">
        <v>800</v>
      </c>
      <c r="D17255" s="15" t="s">
        <v>32157</v>
      </c>
      <c r="E17255" s="15">
        <v>10</v>
      </c>
      <c r="F17255" s="42">
        <v>43928</v>
      </c>
    </row>
    <row r="17256" spans="1:6" x14ac:dyDescent="0.3">
      <c r="A17256" s="15" t="s">
        <v>32914</v>
      </c>
      <c r="B17256" s="15" t="s">
        <v>32158</v>
      </c>
      <c r="C17256" s="15" t="s">
        <v>800</v>
      </c>
      <c r="D17256" s="15" t="s">
        <v>32159</v>
      </c>
      <c r="E17256" s="15">
        <v>10.0001</v>
      </c>
      <c r="F17256" s="42">
        <v>43928</v>
      </c>
    </row>
    <row r="17257" spans="1:6" x14ac:dyDescent="0.3">
      <c r="A17257" s="15" t="s">
        <v>32913</v>
      </c>
      <c r="B17257" s="15" t="s">
        <v>32160</v>
      </c>
      <c r="C17257" s="15" t="s">
        <v>800</v>
      </c>
      <c r="D17257" s="15" t="s">
        <v>32161</v>
      </c>
      <c r="E17257" s="15">
        <v>12.5936</v>
      </c>
      <c r="F17257" s="42">
        <v>43928</v>
      </c>
    </row>
    <row r="17258" spans="1:6" x14ac:dyDescent="0.3">
      <c r="A17258" s="15" t="s">
        <v>32912</v>
      </c>
      <c r="B17258" s="15" t="s">
        <v>32162</v>
      </c>
      <c r="C17258" s="15" t="s">
        <v>800</v>
      </c>
      <c r="D17258" s="15" t="s">
        <v>32163</v>
      </c>
      <c r="E17258" s="15">
        <v>10.0001</v>
      </c>
      <c r="F17258" s="42">
        <v>43928</v>
      </c>
    </row>
    <row r="17259" spans="1:6" x14ac:dyDescent="0.3">
      <c r="A17259" s="15" t="s">
        <v>32911</v>
      </c>
      <c r="B17259" s="15" t="s">
        <v>32164</v>
      </c>
      <c r="C17259" s="15" t="s">
        <v>800</v>
      </c>
      <c r="D17259" s="15" t="s">
        <v>32165</v>
      </c>
      <c r="E17259" s="15">
        <v>10</v>
      </c>
      <c r="F17259" s="42">
        <v>43928</v>
      </c>
    </row>
    <row r="17260" spans="1:6" x14ac:dyDescent="0.3">
      <c r="A17260" s="15" t="s">
        <v>32910</v>
      </c>
      <c r="B17260" s="15" t="s">
        <v>32166</v>
      </c>
      <c r="C17260" s="15" t="s">
        <v>800</v>
      </c>
      <c r="D17260" s="15" t="s">
        <v>32167</v>
      </c>
      <c r="E17260" s="15">
        <v>10</v>
      </c>
      <c r="F17260" s="42">
        <v>43928</v>
      </c>
    </row>
    <row r="17261" spans="1:6" x14ac:dyDescent="0.3">
      <c r="A17261" s="15" t="s">
        <v>32909</v>
      </c>
      <c r="B17261" s="15" t="s">
        <v>32168</v>
      </c>
      <c r="C17261" s="15" t="s">
        <v>800</v>
      </c>
      <c r="D17261" s="15" t="s">
        <v>32169</v>
      </c>
      <c r="E17261" s="15">
        <v>10.0001</v>
      </c>
      <c r="F17261" s="42">
        <v>43928</v>
      </c>
    </row>
    <row r="17262" spans="1:6" x14ac:dyDescent="0.3">
      <c r="A17262" s="15" t="s">
        <v>32908</v>
      </c>
      <c r="B17262" s="15" t="s">
        <v>32170</v>
      </c>
      <c r="C17262" s="15" t="s">
        <v>800</v>
      </c>
      <c r="D17262" s="15" t="s">
        <v>32171</v>
      </c>
      <c r="E17262" s="15">
        <v>12.4679</v>
      </c>
      <c r="F17262" s="42">
        <v>43928</v>
      </c>
    </row>
    <row r="17263" spans="1:6" x14ac:dyDescent="0.3">
      <c r="A17263" s="15" t="s">
        <v>32907</v>
      </c>
      <c r="B17263" s="15" t="s">
        <v>32172</v>
      </c>
      <c r="C17263" s="15" t="s">
        <v>800</v>
      </c>
      <c r="D17263" s="15" t="s">
        <v>32173</v>
      </c>
      <c r="E17263" s="15">
        <v>10.0001</v>
      </c>
      <c r="F17263" s="42">
        <v>43928</v>
      </c>
    </row>
    <row r="17264" spans="1:6" x14ac:dyDescent="0.3">
      <c r="A17264" s="15" t="s">
        <v>32906</v>
      </c>
      <c r="B17264" s="15" t="s">
        <v>32174</v>
      </c>
      <c r="C17264" s="15" t="s">
        <v>800</v>
      </c>
      <c r="D17264" s="15" t="s">
        <v>32175</v>
      </c>
      <c r="E17264" s="15">
        <v>10</v>
      </c>
      <c r="F17264" s="42">
        <v>43928</v>
      </c>
    </row>
    <row r="17265" spans="1:6" x14ac:dyDescent="0.3">
      <c r="A17265" s="15" t="s">
        <v>32905</v>
      </c>
      <c r="B17265" s="15" t="s">
        <v>32176</v>
      </c>
      <c r="C17265" s="15" t="s">
        <v>800</v>
      </c>
      <c r="D17265" s="15" t="s">
        <v>32177</v>
      </c>
      <c r="E17265" s="15">
        <v>10</v>
      </c>
      <c r="F17265" s="42">
        <v>43928</v>
      </c>
    </row>
    <row r="17266" spans="1:6" x14ac:dyDescent="0.3">
      <c r="A17266" s="15" t="s">
        <v>32904</v>
      </c>
      <c r="B17266" s="15" t="s">
        <v>32178</v>
      </c>
      <c r="C17266" s="15" t="s">
        <v>800</v>
      </c>
      <c r="D17266" s="15" t="s">
        <v>32179</v>
      </c>
      <c r="E17266" s="15">
        <v>10</v>
      </c>
      <c r="F17266" s="42">
        <v>43928</v>
      </c>
    </row>
    <row r="17267" spans="1:6" x14ac:dyDescent="0.3">
      <c r="A17267" s="15" t="s">
        <v>32903</v>
      </c>
      <c r="B17267" s="15" t="s">
        <v>32180</v>
      </c>
      <c r="C17267" s="15" t="s">
        <v>800</v>
      </c>
      <c r="D17267" s="15" t="s">
        <v>32181</v>
      </c>
      <c r="E17267" s="15">
        <v>12.595700000000001</v>
      </c>
      <c r="F17267" s="42">
        <v>43928</v>
      </c>
    </row>
    <row r="17268" spans="1:6" x14ac:dyDescent="0.3">
      <c r="A17268" s="15" t="s">
        <v>32902</v>
      </c>
      <c r="B17268" s="15" t="s">
        <v>32182</v>
      </c>
      <c r="C17268" s="15" t="s">
        <v>800</v>
      </c>
      <c r="D17268" s="15" t="s">
        <v>32183</v>
      </c>
      <c r="E17268" s="15">
        <v>10.0001</v>
      </c>
      <c r="F17268" s="42">
        <v>43928</v>
      </c>
    </row>
    <row r="17269" spans="1:6" x14ac:dyDescent="0.3">
      <c r="A17269" s="15" t="s">
        <v>32901</v>
      </c>
      <c r="B17269" s="15" t="s">
        <v>32184</v>
      </c>
      <c r="C17269" s="15" t="s">
        <v>800</v>
      </c>
      <c r="D17269" s="15" t="s">
        <v>32185</v>
      </c>
      <c r="E17269" s="15">
        <v>10</v>
      </c>
      <c r="F17269" s="42">
        <v>43928</v>
      </c>
    </row>
    <row r="17270" spans="1:6" x14ac:dyDescent="0.3">
      <c r="A17270" s="15" t="s">
        <v>32900</v>
      </c>
      <c r="B17270" s="15" t="s">
        <v>32186</v>
      </c>
      <c r="C17270" s="15" t="s">
        <v>800</v>
      </c>
      <c r="D17270" s="15" t="s">
        <v>32187</v>
      </c>
      <c r="E17270" s="15">
        <v>10</v>
      </c>
      <c r="F17270" s="42">
        <v>43928</v>
      </c>
    </row>
    <row r="17271" spans="1:6" x14ac:dyDescent="0.3">
      <c r="A17271" s="15" t="s">
        <v>32899</v>
      </c>
      <c r="B17271" s="15" t="s">
        <v>32188</v>
      </c>
      <c r="C17271" s="15" t="s">
        <v>800</v>
      </c>
      <c r="D17271" s="15" t="s">
        <v>32189</v>
      </c>
      <c r="E17271" s="15">
        <v>10.0001</v>
      </c>
      <c r="F17271" s="42">
        <v>43928</v>
      </c>
    </row>
    <row r="17272" spans="1:6" x14ac:dyDescent="0.3">
      <c r="A17272" s="15" t="s">
        <v>32898</v>
      </c>
      <c r="B17272" s="15" t="s">
        <v>32190</v>
      </c>
      <c r="C17272" s="15" t="s">
        <v>800</v>
      </c>
      <c r="D17272" s="15" t="s">
        <v>32191</v>
      </c>
      <c r="E17272" s="15">
        <v>12.47</v>
      </c>
      <c r="F17272" s="42">
        <v>43928</v>
      </c>
    </row>
    <row r="17273" spans="1:6" x14ac:dyDescent="0.3">
      <c r="A17273" s="15" t="s">
        <v>32897</v>
      </c>
      <c r="B17273" s="15" t="s">
        <v>32192</v>
      </c>
      <c r="C17273" s="15" t="s">
        <v>800</v>
      </c>
      <c r="D17273" s="15" t="s">
        <v>32193</v>
      </c>
      <c r="E17273" s="15">
        <v>10.0001</v>
      </c>
      <c r="F17273" s="42">
        <v>43928</v>
      </c>
    </row>
    <row r="17274" spans="1:6" x14ac:dyDescent="0.3">
      <c r="A17274" s="15" t="s">
        <v>32896</v>
      </c>
      <c r="B17274" s="15" t="s">
        <v>32194</v>
      </c>
      <c r="C17274" s="15" t="s">
        <v>800</v>
      </c>
      <c r="D17274" s="15" t="s">
        <v>32195</v>
      </c>
      <c r="E17274" s="15">
        <v>10</v>
      </c>
      <c r="F17274" s="42">
        <v>43928</v>
      </c>
    </row>
    <row r="17275" spans="1:6" x14ac:dyDescent="0.3">
      <c r="A17275" s="15" t="s">
        <v>32895</v>
      </c>
      <c r="B17275" s="15" t="s">
        <v>32196</v>
      </c>
      <c r="C17275" s="15" t="s">
        <v>800</v>
      </c>
      <c r="D17275" s="15" t="s">
        <v>32197</v>
      </c>
      <c r="E17275" s="15">
        <v>10.0001</v>
      </c>
      <c r="F17275" s="42">
        <v>43928</v>
      </c>
    </row>
    <row r="17276" spans="1:6" x14ac:dyDescent="0.3">
      <c r="A17276" s="15" t="s">
        <v>32894</v>
      </c>
      <c r="B17276" s="15" t="s">
        <v>32198</v>
      </c>
      <c r="C17276" s="15" t="s">
        <v>800</v>
      </c>
      <c r="D17276" s="15" t="s">
        <v>32199</v>
      </c>
      <c r="E17276" s="15">
        <v>12.481199999999999</v>
      </c>
      <c r="F17276" s="42">
        <v>43928</v>
      </c>
    </row>
    <row r="17277" spans="1:6" x14ac:dyDescent="0.3">
      <c r="A17277" s="15" t="s">
        <v>32893</v>
      </c>
      <c r="B17277" s="15" t="s">
        <v>32200</v>
      </c>
      <c r="C17277" s="15" t="s">
        <v>800</v>
      </c>
      <c r="D17277" s="15" t="s">
        <v>32201</v>
      </c>
      <c r="E17277" s="15">
        <v>10.0001</v>
      </c>
      <c r="F17277" s="42">
        <v>43928</v>
      </c>
    </row>
    <row r="17278" spans="1:6" x14ac:dyDescent="0.3">
      <c r="A17278" s="15" t="s">
        <v>32892</v>
      </c>
      <c r="B17278" s="15" t="s">
        <v>32202</v>
      </c>
      <c r="C17278" s="15" t="s">
        <v>800</v>
      </c>
      <c r="D17278" s="15" t="s">
        <v>32203</v>
      </c>
      <c r="E17278" s="15">
        <v>10</v>
      </c>
      <c r="F17278" s="42">
        <v>43928</v>
      </c>
    </row>
    <row r="17279" spans="1:6" x14ac:dyDescent="0.3">
      <c r="A17279" s="15" t="s">
        <v>32891</v>
      </c>
      <c r="B17279" s="15" t="s">
        <v>32204</v>
      </c>
      <c r="C17279" s="15" t="s">
        <v>800</v>
      </c>
      <c r="D17279" s="15" t="s">
        <v>32205</v>
      </c>
      <c r="E17279" s="15">
        <v>10</v>
      </c>
      <c r="F17279" s="42">
        <v>43928</v>
      </c>
    </row>
    <row r="17280" spans="1:6" x14ac:dyDescent="0.3">
      <c r="A17280" s="15" t="s">
        <v>32890</v>
      </c>
      <c r="B17280" s="15" t="s">
        <v>32206</v>
      </c>
      <c r="C17280" s="15" t="s">
        <v>800</v>
      </c>
      <c r="D17280" s="15" t="s">
        <v>32207</v>
      </c>
      <c r="E17280" s="15">
        <v>10.0001</v>
      </c>
      <c r="F17280" s="42">
        <v>43928</v>
      </c>
    </row>
    <row r="17281" spans="1:6" x14ac:dyDescent="0.3">
      <c r="A17281" s="15" t="s">
        <v>32889</v>
      </c>
      <c r="B17281" s="15" t="s">
        <v>32208</v>
      </c>
      <c r="C17281" s="15" t="s">
        <v>800</v>
      </c>
      <c r="D17281" s="15" t="s">
        <v>32209</v>
      </c>
      <c r="E17281" s="15">
        <v>12.356999999999999</v>
      </c>
      <c r="F17281" s="42">
        <v>43928</v>
      </c>
    </row>
    <row r="17282" spans="1:6" x14ac:dyDescent="0.3">
      <c r="A17282" s="15" t="s">
        <v>32888</v>
      </c>
      <c r="B17282" s="15" t="s">
        <v>32210</v>
      </c>
      <c r="C17282" s="15" t="s">
        <v>800</v>
      </c>
      <c r="D17282" s="15" t="s">
        <v>32211</v>
      </c>
      <c r="E17282" s="15">
        <v>10.0001</v>
      </c>
      <c r="F17282" s="42">
        <v>43928</v>
      </c>
    </row>
    <row r="17283" spans="1:6" x14ac:dyDescent="0.3">
      <c r="A17283" s="15" t="s">
        <v>32887</v>
      </c>
      <c r="B17283" s="15" t="s">
        <v>32212</v>
      </c>
      <c r="C17283" s="15" t="s">
        <v>800</v>
      </c>
      <c r="D17283" s="15" t="s">
        <v>32213</v>
      </c>
      <c r="E17283" s="15">
        <v>10</v>
      </c>
      <c r="F17283" s="42">
        <v>43928</v>
      </c>
    </row>
    <row r="17284" spans="1:6" x14ac:dyDescent="0.3">
      <c r="A17284" s="15" t="s">
        <v>32886</v>
      </c>
      <c r="B17284" s="15" t="s">
        <v>32214</v>
      </c>
      <c r="C17284" s="15" t="s">
        <v>800</v>
      </c>
      <c r="D17284" s="15" t="s">
        <v>32215</v>
      </c>
      <c r="E17284" s="15">
        <v>10</v>
      </c>
      <c r="F17284" s="42">
        <v>43942</v>
      </c>
    </row>
    <row r="17285" spans="1:6" x14ac:dyDescent="0.3">
      <c r="A17285" s="15" t="s">
        <v>32885</v>
      </c>
      <c r="B17285" s="15" t="s">
        <v>32216</v>
      </c>
      <c r="C17285" s="15" t="s">
        <v>800</v>
      </c>
      <c r="D17285" s="15" t="s">
        <v>32217</v>
      </c>
      <c r="E17285" s="15">
        <v>10</v>
      </c>
      <c r="F17285" s="42">
        <v>43942</v>
      </c>
    </row>
    <row r="17286" spans="1:6" x14ac:dyDescent="0.3">
      <c r="A17286" s="15" t="s">
        <v>32884</v>
      </c>
      <c r="B17286" s="15" t="s">
        <v>32218</v>
      </c>
      <c r="C17286" s="15" t="s">
        <v>800</v>
      </c>
      <c r="D17286" s="15" t="s">
        <v>32219</v>
      </c>
      <c r="E17286" s="15">
        <v>12.4847</v>
      </c>
      <c r="F17286" s="42">
        <v>43942</v>
      </c>
    </row>
    <row r="17287" spans="1:6" x14ac:dyDescent="0.3">
      <c r="A17287" s="15" t="s">
        <v>32883</v>
      </c>
      <c r="B17287" s="15" t="s">
        <v>32220</v>
      </c>
      <c r="C17287" s="15" t="s">
        <v>800</v>
      </c>
      <c r="D17287" s="15" t="s">
        <v>32221</v>
      </c>
      <c r="E17287" s="15">
        <v>10</v>
      </c>
      <c r="F17287" s="42">
        <v>43942</v>
      </c>
    </row>
    <row r="17288" spans="1:6" x14ac:dyDescent="0.3">
      <c r="A17288" s="15" t="s">
        <v>32882</v>
      </c>
      <c r="B17288" s="15" t="s">
        <v>32222</v>
      </c>
      <c r="C17288" s="15" t="s">
        <v>800</v>
      </c>
      <c r="D17288" s="15" t="s">
        <v>32223</v>
      </c>
      <c r="E17288" s="15">
        <v>10</v>
      </c>
      <c r="F17288" s="42">
        <v>43942</v>
      </c>
    </row>
    <row r="17289" spans="1:6" x14ac:dyDescent="0.3">
      <c r="A17289" s="15" t="s">
        <v>32881</v>
      </c>
      <c r="B17289" s="15" t="s">
        <v>32224</v>
      </c>
      <c r="C17289" s="15" t="s">
        <v>800</v>
      </c>
      <c r="D17289" s="15" t="s">
        <v>32225</v>
      </c>
      <c r="E17289" s="15">
        <v>10</v>
      </c>
      <c r="F17289" s="42">
        <v>43942</v>
      </c>
    </row>
    <row r="17290" spans="1:6" x14ac:dyDescent="0.3">
      <c r="A17290" s="15" t="s">
        <v>32880</v>
      </c>
      <c r="B17290" s="15" t="s">
        <v>32226</v>
      </c>
      <c r="C17290" s="15" t="s">
        <v>800</v>
      </c>
      <c r="D17290" s="15" t="s">
        <v>32227</v>
      </c>
      <c r="E17290" s="15">
        <v>10</v>
      </c>
      <c r="F17290" s="42">
        <v>43942</v>
      </c>
    </row>
    <row r="17291" spans="1:6" x14ac:dyDescent="0.3">
      <c r="A17291" s="15" t="s">
        <v>32879</v>
      </c>
      <c r="B17291" s="15" t="s">
        <v>32228</v>
      </c>
      <c r="C17291" s="15" t="s">
        <v>800</v>
      </c>
      <c r="D17291" s="15" t="s">
        <v>32229</v>
      </c>
      <c r="E17291" s="15">
        <v>12.3599</v>
      </c>
      <c r="F17291" s="42">
        <v>43942</v>
      </c>
    </row>
    <row r="17292" spans="1:6" x14ac:dyDescent="0.3">
      <c r="A17292" s="15" t="s">
        <v>32878</v>
      </c>
      <c r="B17292" s="15" t="s">
        <v>32230</v>
      </c>
      <c r="C17292" s="15" t="s">
        <v>800</v>
      </c>
      <c r="D17292" s="15" t="s">
        <v>32231</v>
      </c>
      <c r="E17292" s="15">
        <v>10</v>
      </c>
      <c r="F17292" s="42">
        <v>43942</v>
      </c>
    </row>
    <row r="17293" spans="1:6" x14ac:dyDescent="0.3">
      <c r="A17293" s="15" t="s">
        <v>32877</v>
      </c>
      <c r="B17293" s="15" t="s">
        <v>32232</v>
      </c>
      <c r="C17293" s="15" t="s">
        <v>800</v>
      </c>
      <c r="D17293" s="15" t="s">
        <v>32233</v>
      </c>
      <c r="E17293" s="15">
        <v>10</v>
      </c>
      <c r="F17293" s="42">
        <v>43942</v>
      </c>
    </row>
    <row r="17294" spans="1:6" x14ac:dyDescent="0.3">
      <c r="A17294" s="15" t="s">
        <v>32876</v>
      </c>
      <c r="B17294" s="15" t="s">
        <v>32234</v>
      </c>
      <c r="C17294" s="15" t="s">
        <v>800</v>
      </c>
      <c r="D17294" s="15" t="s">
        <v>32235</v>
      </c>
      <c r="E17294" s="15">
        <v>12.4915</v>
      </c>
      <c r="F17294" s="42">
        <v>43957</v>
      </c>
    </row>
    <row r="17295" spans="1:6" x14ac:dyDescent="0.3">
      <c r="A17295" s="15" t="s">
        <v>32875</v>
      </c>
      <c r="B17295" s="15" t="s">
        <v>32236</v>
      </c>
      <c r="C17295" s="15" t="s">
        <v>800</v>
      </c>
      <c r="D17295" s="15" t="s">
        <v>32237</v>
      </c>
      <c r="E17295" s="15">
        <v>10</v>
      </c>
      <c r="F17295" s="42">
        <v>43957</v>
      </c>
    </row>
    <row r="17296" spans="1:6" x14ac:dyDescent="0.3">
      <c r="A17296" s="15" t="s">
        <v>32874</v>
      </c>
      <c r="B17296" s="15" t="s">
        <v>32238</v>
      </c>
      <c r="C17296" s="15" t="s">
        <v>800</v>
      </c>
      <c r="D17296" s="15" t="s">
        <v>32239</v>
      </c>
      <c r="E17296" s="15">
        <v>10</v>
      </c>
      <c r="F17296" s="42">
        <v>43957</v>
      </c>
    </row>
    <row r="17297" spans="1:6" x14ac:dyDescent="0.3">
      <c r="A17297" s="15" t="s">
        <v>32873</v>
      </c>
      <c r="B17297" s="15" t="s">
        <v>32240</v>
      </c>
      <c r="C17297" s="15" t="s">
        <v>800</v>
      </c>
      <c r="D17297" s="15" t="s">
        <v>32241</v>
      </c>
      <c r="E17297" s="15">
        <v>10</v>
      </c>
      <c r="F17297" s="42">
        <v>43957</v>
      </c>
    </row>
    <row r="17298" spans="1:6" x14ac:dyDescent="0.3">
      <c r="A17298" s="15" t="s">
        <v>32872</v>
      </c>
      <c r="B17298" s="15" t="s">
        <v>32242</v>
      </c>
      <c r="C17298" s="15" t="s">
        <v>800</v>
      </c>
      <c r="D17298" s="15" t="s">
        <v>32243</v>
      </c>
      <c r="E17298" s="15">
        <v>12.3666</v>
      </c>
      <c r="F17298" s="42">
        <v>43957</v>
      </c>
    </row>
    <row r="17299" spans="1:6" x14ac:dyDescent="0.3">
      <c r="A17299" s="15" t="s">
        <v>32871</v>
      </c>
      <c r="B17299" s="15" t="s">
        <v>32244</v>
      </c>
      <c r="C17299" s="15" t="s">
        <v>800</v>
      </c>
      <c r="D17299" s="15" t="s">
        <v>32245</v>
      </c>
      <c r="E17299" s="15">
        <v>10</v>
      </c>
      <c r="F17299" s="42">
        <v>43957</v>
      </c>
    </row>
    <row r="17300" spans="1:6" x14ac:dyDescent="0.3">
      <c r="A17300" s="15" t="s">
        <v>32870</v>
      </c>
      <c r="B17300" s="15" t="s">
        <v>32246</v>
      </c>
      <c r="C17300" s="15" t="s">
        <v>800</v>
      </c>
      <c r="D17300" s="15" t="s">
        <v>32247</v>
      </c>
      <c r="E17300" s="15">
        <v>10</v>
      </c>
      <c r="F17300" s="42">
        <v>43957</v>
      </c>
    </row>
    <row r="17301" spans="1:6" x14ac:dyDescent="0.3">
      <c r="A17301" s="15" t="s">
        <v>32869</v>
      </c>
      <c r="B17301" s="15" t="s">
        <v>32248</v>
      </c>
      <c r="C17301" s="15" t="s">
        <v>800</v>
      </c>
      <c r="D17301" s="15" t="s">
        <v>32249</v>
      </c>
      <c r="E17301" s="15">
        <v>10</v>
      </c>
      <c r="F17301" s="42">
        <v>43963</v>
      </c>
    </row>
    <row r="17302" spans="1:6" x14ac:dyDescent="0.3">
      <c r="A17302" s="15" t="s">
        <v>32868</v>
      </c>
      <c r="B17302" s="15" t="s">
        <v>32250</v>
      </c>
      <c r="C17302" s="15" t="s">
        <v>800</v>
      </c>
      <c r="D17302" s="15" t="s">
        <v>32251</v>
      </c>
      <c r="E17302" s="15">
        <v>10</v>
      </c>
      <c r="F17302" s="42">
        <v>43963</v>
      </c>
    </row>
    <row r="17303" spans="1:6" x14ac:dyDescent="0.3">
      <c r="A17303" s="15" t="s">
        <v>32867</v>
      </c>
      <c r="B17303" s="15" t="s">
        <v>32252</v>
      </c>
      <c r="C17303" s="15" t="s">
        <v>800</v>
      </c>
      <c r="D17303" s="15" t="s">
        <v>32253</v>
      </c>
      <c r="E17303" s="15">
        <v>12.793200000000001</v>
      </c>
      <c r="F17303" s="42">
        <v>43963</v>
      </c>
    </row>
    <row r="17304" spans="1:6" x14ac:dyDescent="0.3">
      <c r="A17304" s="15" t="s">
        <v>32866</v>
      </c>
      <c r="B17304" s="15" t="s">
        <v>32254</v>
      </c>
      <c r="C17304" s="15" t="s">
        <v>800</v>
      </c>
      <c r="D17304" s="15" t="s">
        <v>32255</v>
      </c>
      <c r="E17304" s="15">
        <v>10</v>
      </c>
      <c r="F17304" s="42">
        <v>43963</v>
      </c>
    </row>
    <row r="17305" spans="1:6" x14ac:dyDescent="0.3">
      <c r="A17305" s="15" t="s">
        <v>32865</v>
      </c>
      <c r="B17305" s="15" t="s">
        <v>32256</v>
      </c>
      <c r="C17305" s="15" t="s">
        <v>800</v>
      </c>
      <c r="D17305" s="15" t="s">
        <v>32257</v>
      </c>
      <c r="E17305" s="15">
        <v>10</v>
      </c>
      <c r="F17305" s="42">
        <v>43963</v>
      </c>
    </row>
    <row r="17306" spans="1:6" x14ac:dyDescent="0.3">
      <c r="A17306" s="15" t="s">
        <v>32864</v>
      </c>
      <c r="B17306" s="15" t="s">
        <v>32258</v>
      </c>
      <c r="C17306" s="15" t="s">
        <v>800</v>
      </c>
      <c r="D17306" s="15" t="s">
        <v>32259</v>
      </c>
      <c r="E17306" s="15">
        <v>10</v>
      </c>
      <c r="F17306" s="42">
        <v>43963</v>
      </c>
    </row>
    <row r="17307" spans="1:6" x14ac:dyDescent="0.3">
      <c r="A17307" s="15" t="s">
        <v>32863</v>
      </c>
      <c r="B17307" s="15" t="s">
        <v>32260</v>
      </c>
      <c r="C17307" s="15" t="s">
        <v>800</v>
      </c>
      <c r="D17307" s="15" t="s">
        <v>32261</v>
      </c>
      <c r="E17307" s="15">
        <v>12.666</v>
      </c>
      <c r="F17307" s="42">
        <v>43963</v>
      </c>
    </row>
    <row r="17308" spans="1:6" x14ac:dyDescent="0.3">
      <c r="A17308" s="15" t="s">
        <v>32862</v>
      </c>
      <c r="B17308" s="15" t="s">
        <v>32262</v>
      </c>
      <c r="C17308" s="15" t="s">
        <v>800</v>
      </c>
      <c r="D17308" s="15" t="s">
        <v>32263</v>
      </c>
      <c r="E17308" s="15">
        <v>10</v>
      </c>
      <c r="F17308" s="42">
        <v>43963</v>
      </c>
    </row>
    <row r="17309" spans="1:6" x14ac:dyDescent="0.3">
      <c r="A17309" s="15" t="s">
        <v>32861</v>
      </c>
      <c r="B17309" s="15" t="s">
        <v>32264</v>
      </c>
      <c r="C17309" s="15" t="s">
        <v>800</v>
      </c>
      <c r="D17309" s="15" t="s">
        <v>32265</v>
      </c>
      <c r="E17309" s="15">
        <v>10</v>
      </c>
      <c r="F17309" s="42">
        <v>43963</v>
      </c>
    </row>
    <row r="17310" spans="1:6" x14ac:dyDescent="0.3">
      <c r="A17310" s="15" t="s">
        <v>32860</v>
      </c>
      <c r="B17310" s="15" t="s">
        <v>32266</v>
      </c>
      <c r="C17310" s="15" t="s">
        <v>800</v>
      </c>
      <c r="D17310" s="15" t="s">
        <v>32267</v>
      </c>
      <c r="E17310" s="15">
        <v>10</v>
      </c>
      <c r="F17310" s="42">
        <v>43956</v>
      </c>
    </row>
    <row r="17311" spans="1:6" x14ac:dyDescent="0.3">
      <c r="A17311" s="15" t="s">
        <v>32859</v>
      </c>
      <c r="B17311" s="15" t="s">
        <v>32268</v>
      </c>
      <c r="C17311" s="15" t="s">
        <v>800</v>
      </c>
      <c r="D17311" s="15" t="s">
        <v>32269</v>
      </c>
      <c r="E17311" s="15">
        <v>12.458299999999999</v>
      </c>
      <c r="F17311" s="42">
        <v>43956</v>
      </c>
    </row>
    <row r="17312" spans="1:6" x14ac:dyDescent="0.3">
      <c r="A17312" s="15" t="s">
        <v>32858</v>
      </c>
      <c r="B17312" s="15" t="s">
        <v>32270</v>
      </c>
      <c r="C17312" s="15" t="s">
        <v>800</v>
      </c>
      <c r="D17312" s="15" t="s">
        <v>32271</v>
      </c>
      <c r="E17312" s="15">
        <v>10</v>
      </c>
      <c r="F17312" s="42">
        <v>43956</v>
      </c>
    </row>
    <row r="17313" spans="1:6" x14ac:dyDescent="0.3">
      <c r="A17313" s="15" t="s">
        <v>32857</v>
      </c>
      <c r="B17313" s="15" t="s">
        <v>32272</v>
      </c>
      <c r="C17313" s="15" t="s">
        <v>800</v>
      </c>
      <c r="D17313" s="15" t="s">
        <v>32273</v>
      </c>
      <c r="E17313" s="15">
        <v>10</v>
      </c>
      <c r="F17313" s="42">
        <v>43956</v>
      </c>
    </row>
    <row r="17314" spans="1:6" x14ac:dyDescent="0.3">
      <c r="A17314" s="15" t="s">
        <v>32856</v>
      </c>
      <c r="B17314" s="15" t="s">
        <v>32274</v>
      </c>
      <c r="C17314" s="15" t="s">
        <v>800</v>
      </c>
      <c r="D17314" s="15" t="s">
        <v>32275</v>
      </c>
      <c r="E17314" s="15">
        <v>10</v>
      </c>
      <c r="F17314" s="42">
        <v>43956</v>
      </c>
    </row>
    <row r="17315" spans="1:6" x14ac:dyDescent="0.3">
      <c r="A17315" s="15" t="s">
        <v>32855</v>
      </c>
      <c r="B17315" s="15" t="s">
        <v>32276</v>
      </c>
      <c r="C17315" s="15" t="s">
        <v>800</v>
      </c>
      <c r="D17315" s="15" t="s">
        <v>32277</v>
      </c>
      <c r="E17315" s="15">
        <v>12.4397</v>
      </c>
      <c r="F17315" s="42">
        <v>43956</v>
      </c>
    </row>
    <row r="17316" spans="1:6" x14ac:dyDescent="0.3">
      <c r="A17316" s="15" t="s">
        <v>32854</v>
      </c>
      <c r="B17316" s="15" t="s">
        <v>32278</v>
      </c>
      <c r="C17316" s="15" t="s">
        <v>800</v>
      </c>
      <c r="D17316" s="15" t="s">
        <v>32279</v>
      </c>
      <c r="E17316" s="15">
        <v>10</v>
      </c>
      <c r="F17316" s="42">
        <v>43956</v>
      </c>
    </row>
    <row r="17317" spans="1:6" x14ac:dyDescent="0.3">
      <c r="A17317" s="15" t="s">
        <v>32853</v>
      </c>
      <c r="B17317" s="15" t="s">
        <v>32280</v>
      </c>
      <c r="C17317" s="15" t="s">
        <v>800</v>
      </c>
      <c r="D17317" s="15" t="s">
        <v>32281</v>
      </c>
      <c r="E17317" s="15">
        <v>10</v>
      </c>
      <c r="F17317" s="42">
        <v>43956</v>
      </c>
    </row>
    <row r="17318" spans="1:6" x14ac:dyDescent="0.3">
      <c r="A17318" s="15" t="s">
        <v>32852</v>
      </c>
      <c r="B17318" s="15" t="s">
        <v>32282</v>
      </c>
      <c r="C17318" s="15" t="s">
        <v>800</v>
      </c>
      <c r="D17318" s="15" t="s">
        <v>32283</v>
      </c>
      <c r="E17318" s="15">
        <v>10</v>
      </c>
      <c r="F17318" s="42">
        <v>43963</v>
      </c>
    </row>
    <row r="17319" spans="1:6" x14ac:dyDescent="0.3">
      <c r="A17319" s="15" t="s">
        <v>32851</v>
      </c>
      <c r="B17319" s="15" t="s">
        <v>32284</v>
      </c>
      <c r="C17319" s="15" t="s">
        <v>800</v>
      </c>
      <c r="D17319" s="15" t="s">
        <v>32285</v>
      </c>
      <c r="E17319" s="15">
        <v>12.724</v>
      </c>
      <c r="F17319" s="42">
        <v>43963</v>
      </c>
    </row>
    <row r="17320" spans="1:6" x14ac:dyDescent="0.3">
      <c r="A17320" s="15" t="s">
        <v>32850</v>
      </c>
      <c r="B17320" s="15" t="s">
        <v>32286</v>
      </c>
      <c r="C17320" s="15" t="s">
        <v>800</v>
      </c>
      <c r="D17320" s="15" t="s">
        <v>32287</v>
      </c>
      <c r="E17320" s="15">
        <v>10</v>
      </c>
      <c r="F17320" s="42">
        <v>43963</v>
      </c>
    </row>
    <row r="17321" spans="1:6" x14ac:dyDescent="0.3">
      <c r="A17321" s="15" t="s">
        <v>32849</v>
      </c>
      <c r="B17321" s="15" t="s">
        <v>32288</v>
      </c>
      <c r="C17321" s="15" t="s">
        <v>800</v>
      </c>
      <c r="D17321" s="15" t="s">
        <v>32289</v>
      </c>
      <c r="E17321" s="15">
        <v>10</v>
      </c>
      <c r="F17321" s="42">
        <v>43963</v>
      </c>
    </row>
    <row r="17322" spans="1:6" x14ac:dyDescent="0.3">
      <c r="A17322" s="15" t="s">
        <v>32848</v>
      </c>
      <c r="B17322" s="15" t="s">
        <v>32290</v>
      </c>
      <c r="C17322" s="15" t="s">
        <v>800</v>
      </c>
      <c r="D17322" s="15" t="s">
        <v>32291</v>
      </c>
      <c r="E17322" s="15">
        <v>10</v>
      </c>
      <c r="F17322" s="42">
        <v>43963</v>
      </c>
    </row>
    <row r="17323" spans="1:6" x14ac:dyDescent="0.3">
      <c r="A17323" s="15" t="s">
        <v>32847</v>
      </c>
      <c r="B17323" s="15" t="s">
        <v>32292</v>
      </c>
      <c r="C17323" s="15" t="s">
        <v>800</v>
      </c>
      <c r="D17323" s="15" t="s">
        <v>32293</v>
      </c>
      <c r="E17323" s="15">
        <v>10</v>
      </c>
      <c r="F17323" s="42">
        <v>43963</v>
      </c>
    </row>
    <row r="17324" spans="1:6" x14ac:dyDescent="0.3">
      <c r="A17324" s="15" t="s">
        <v>32846</v>
      </c>
      <c r="B17324" s="15" t="s">
        <v>32294</v>
      </c>
      <c r="C17324" s="15" t="s">
        <v>800</v>
      </c>
      <c r="D17324" s="15" t="s">
        <v>32295</v>
      </c>
      <c r="E17324" s="15">
        <v>12.5974</v>
      </c>
      <c r="F17324" s="42">
        <v>43963</v>
      </c>
    </row>
    <row r="17325" spans="1:6" x14ac:dyDescent="0.3">
      <c r="A17325" s="15" t="s">
        <v>32845</v>
      </c>
      <c r="B17325" s="15" t="s">
        <v>32296</v>
      </c>
      <c r="C17325" s="15" t="s">
        <v>800</v>
      </c>
      <c r="D17325" s="15" t="s">
        <v>32297</v>
      </c>
      <c r="E17325" s="15">
        <v>10</v>
      </c>
      <c r="F17325" s="42">
        <v>43963</v>
      </c>
    </row>
    <row r="17326" spans="1:6" x14ac:dyDescent="0.3">
      <c r="A17326" s="15" t="s">
        <v>32844</v>
      </c>
      <c r="B17326" s="15" t="s">
        <v>32298</v>
      </c>
      <c r="C17326" s="15" t="s">
        <v>800</v>
      </c>
      <c r="D17326" s="15" t="s">
        <v>32299</v>
      </c>
      <c r="E17326" s="15">
        <v>10</v>
      </c>
      <c r="F17326" s="42">
        <v>43963</v>
      </c>
    </row>
    <row r="17327" spans="1:6" x14ac:dyDescent="0.3">
      <c r="A17327" s="15" t="s">
        <v>32843</v>
      </c>
      <c r="B17327" s="15" t="s">
        <v>32300</v>
      </c>
      <c r="C17327" s="15" t="s">
        <v>800</v>
      </c>
      <c r="D17327" s="15" t="s">
        <v>32301</v>
      </c>
      <c r="E17327" s="15">
        <v>10</v>
      </c>
      <c r="F17327" s="42">
        <v>43977</v>
      </c>
    </row>
    <row r="17328" spans="1:6" x14ac:dyDescent="0.3">
      <c r="A17328" s="15" t="s">
        <v>32842</v>
      </c>
      <c r="B17328" s="15" t="s">
        <v>32302</v>
      </c>
      <c r="C17328" s="15" t="s">
        <v>800</v>
      </c>
      <c r="D17328" s="15" t="s">
        <v>32303</v>
      </c>
      <c r="E17328" s="15">
        <v>10</v>
      </c>
      <c r="F17328" s="42">
        <v>43977</v>
      </c>
    </row>
    <row r="17329" spans="1:6" x14ac:dyDescent="0.3">
      <c r="A17329" s="15" t="s">
        <v>32841</v>
      </c>
      <c r="B17329" s="15" t="s">
        <v>32304</v>
      </c>
      <c r="C17329" s="15" t="s">
        <v>800</v>
      </c>
      <c r="D17329" s="15" t="s">
        <v>32305</v>
      </c>
      <c r="E17329" s="15">
        <v>12.450900000000001</v>
      </c>
      <c r="F17329" s="42">
        <v>43977</v>
      </c>
    </row>
    <row r="17330" spans="1:6" x14ac:dyDescent="0.3">
      <c r="A17330" s="15" t="s">
        <v>32840</v>
      </c>
      <c r="B17330" s="15" t="s">
        <v>32306</v>
      </c>
      <c r="C17330" s="15" t="s">
        <v>800</v>
      </c>
      <c r="D17330" s="15" t="s">
        <v>32307</v>
      </c>
      <c r="E17330" s="15">
        <v>10</v>
      </c>
      <c r="F17330" s="42">
        <v>43977</v>
      </c>
    </row>
    <row r="17331" spans="1:6" x14ac:dyDescent="0.3">
      <c r="A17331" s="15" t="s">
        <v>32839</v>
      </c>
      <c r="B17331" s="15" t="s">
        <v>32308</v>
      </c>
      <c r="C17331" s="15" t="s">
        <v>800</v>
      </c>
      <c r="D17331" s="15" t="s">
        <v>32309</v>
      </c>
      <c r="E17331" s="15">
        <v>10</v>
      </c>
      <c r="F17331" s="42">
        <v>43977</v>
      </c>
    </row>
    <row r="17332" spans="1:6" x14ac:dyDescent="0.3">
      <c r="A17332" s="15" t="s">
        <v>32838</v>
      </c>
      <c r="B17332" s="15" t="s">
        <v>32310</v>
      </c>
      <c r="C17332" s="15" t="s">
        <v>800</v>
      </c>
      <c r="D17332" s="15" t="s">
        <v>32311</v>
      </c>
      <c r="E17332" s="15">
        <v>10</v>
      </c>
      <c r="F17332" s="42">
        <v>43977</v>
      </c>
    </row>
    <row r="17333" spans="1:6" x14ac:dyDescent="0.3">
      <c r="A17333" s="15" t="s">
        <v>32837</v>
      </c>
      <c r="B17333" s="15" t="s">
        <v>32312</v>
      </c>
      <c r="C17333" s="15" t="s">
        <v>800</v>
      </c>
      <c r="D17333" s="15" t="s">
        <v>32313</v>
      </c>
      <c r="E17333" s="15">
        <v>12.3269</v>
      </c>
      <c r="F17333" s="42">
        <v>43977</v>
      </c>
    </row>
    <row r="17334" spans="1:6" x14ac:dyDescent="0.3">
      <c r="A17334" s="15" t="s">
        <v>32836</v>
      </c>
      <c r="B17334" s="15" t="s">
        <v>32314</v>
      </c>
      <c r="C17334" s="15" t="s">
        <v>800</v>
      </c>
      <c r="D17334" s="15" t="s">
        <v>32315</v>
      </c>
      <c r="E17334" s="15">
        <v>10</v>
      </c>
      <c r="F17334" s="42">
        <v>43977</v>
      </c>
    </row>
    <row r="17335" spans="1:6" x14ac:dyDescent="0.3">
      <c r="A17335" s="15" t="s">
        <v>32835</v>
      </c>
      <c r="B17335" s="15" t="s">
        <v>32316</v>
      </c>
      <c r="C17335" s="15" t="s">
        <v>800</v>
      </c>
      <c r="D17335" s="15" t="s">
        <v>32317</v>
      </c>
      <c r="E17335" s="15">
        <v>10</v>
      </c>
      <c r="F17335" s="42">
        <v>43977</v>
      </c>
    </row>
    <row r="17336" spans="1:6" x14ac:dyDescent="0.3">
      <c r="A17336" s="15" t="s">
        <v>32834</v>
      </c>
      <c r="B17336" s="15" t="s">
        <v>32318</v>
      </c>
      <c r="C17336" s="15" t="s">
        <v>800</v>
      </c>
      <c r="D17336" s="15" t="s">
        <v>32319</v>
      </c>
      <c r="E17336" s="15">
        <v>11.3089</v>
      </c>
      <c r="F17336" s="42">
        <v>44159</v>
      </c>
    </row>
    <row r="17337" spans="1:6" x14ac:dyDescent="0.3">
      <c r="A17337" s="15" t="s">
        <v>32833</v>
      </c>
      <c r="B17337" s="15" t="s">
        <v>32320</v>
      </c>
      <c r="C17337" s="15" t="s">
        <v>800</v>
      </c>
      <c r="D17337" s="15" t="s">
        <v>32321</v>
      </c>
      <c r="E17337" s="15">
        <v>9.8003</v>
      </c>
      <c r="F17337" s="42">
        <v>44159</v>
      </c>
    </row>
    <row r="17338" spans="1:6" x14ac:dyDescent="0.3">
      <c r="A17338" s="15" t="s">
        <v>32832</v>
      </c>
      <c r="B17338" s="15" t="s">
        <v>32322</v>
      </c>
      <c r="C17338" s="15" t="s">
        <v>800</v>
      </c>
      <c r="D17338" s="15" t="s">
        <v>32323</v>
      </c>
      <c r="E17338" s="15">
        <v>11.1288</v>
      </c>
      <c r="F17338" s="42">
        <v>44159</v>
      </c>
    </row>
    <row r="17339" spans="1:6" x14ac:dyDescent="0.3">
      <c r="A17339" s="15" t="s">
        <v>32831</v>
      </c>
      <c r="B17339" s="15" t="s">
        <v>32324</v>
      </c>
      <c r="C17339" s="15" t="s">
        <v>800</v>
      </c>
      <c r="D17339" s="15" t="s">
        <v>32325</v>
      </c>
      <c r="E17339" s="15">
        <v>10</v>
      </c>
      <c r="F17339" s="42">
        <v>44117</v>
      </c>
    </row>
    <row r="17340" spans="1:6" x14ac:dyDescent="0.3">
      <c r="A17340" s="15" t="s">
        <v>32830</v>
      </c>
      <c r="B17340" s="15" t="s">
        <v>32326</v>
      </c>
      <c r="C17340" s="15" t="s">
        <v>800</v>
      </c>
      <c r="D17340" s="15" t="s">
        <v>32327</v>
      </c>
      <c r="E17340" s="15">
        <v>12.2882</v>
      </c>
      <c r="F17340" s="42">
        <v>44117</v>
      </c>
    </row>
    <row r="17341" spans="1:6" x14ac:dyDescent="0.3">
      <c r="A17341" s="15" t="s">
        <v>32829</v>
      </c>
      <c r="B17341" s="15" t="s">
        <v>32328</v>
      </c>
      <c r="C17341" s="15" t="s">
        <v>800</v>
      </c>
      <c r="D17341" s="15" t="s">
        <v>32329</v>
      </c>
      <c r="E17341" s="15">
        <v>10</v>
      </c>
      <c r="F17341" s="42">
        <v>44117</v>
      </c>
    </row>
    <row r="17342" spans="1:6" x14ac:dyDescent="0.3">
      <c r="A17342" s="15" t="s">
        <v>32828</v>
      </c>
      <c r="B17342" s="15" t="s">
        <v>32330</v>
      </c>
      <c r="C17342" s="15" t="s">
        <v>800</v>
      </c>
      <c r="D17342" s="15" t="s">
        <v>32331</v>
      </c>
      <c r="E17342" s="15">
        <v>10</v>
      </c>
      <c r="F17342" s="42">
        <v>44117</v>
      </c>
    </row>
    <row r="17343" spans="1:6" x14ac:dyDescent="0.3">
      <c r="A17343" s="15" t="s">
        <v>32827</v>
      </c>
      <c r="B17343" s="15" t="s">
        <v>32332</v>
      </c>
      <c r="C17343" s="15" t="s">
        <v>800</v>
      </c>
      <c r="D17343" s="15" t="s">
        <v>32333</v>
      </c>
      <c r="E17343" s="15">
        <v>10</v>
      </c>
      <c r="F17343" s="42">
        <v>44117</v>
      </c>
    </row>
    <row r="17344" spans="1:6" x14ac:dyDescent="0.3">
      <c r="A17344" s="15" t="s">
        <v>32826</v>
      </c>
      <c r="B17344" s="15" t="s">
        <v>32334</v>
      </c>
      <c r="C17344" s="15" t="s">
        <v>800</v>
      </c>
      <c r="D17344" s="15" t="s">
        <v>32335</v>
      </c>
      <c r="E17344" s="15">
        <v>10</v>
      </c>
      <c r="F17344" s="42">
        <v>44117</v>
      </c>
    </row>
    <row r="17345" spans="1:6" x14ac:dyDescent="0.3">
      <c r="A17345" s="15" t="s">
        <v>32825</v>
      </c>
      <c r="B17345" s="15" t="s">
        <v>32336</v>
      </c>
      <c r="C17345" s="15" t="s">
        <v>800</v>
      </c>
      <c r="D17345" s="15" t="s">
        <v>32337</v>
      </c>
      <c r="E17345" s="15">
        <v>12.165800000000001</v>
      </c>
      <c r="F17345" s="42">
        <v>44117</v>
      </c>
    </row>
    <row r="17346" spans="1:6" x14ac:dyDescent="0.3">
      <c r="A17346" s="15" t="s">
        <v>32824</v>
      </c>
      <c r="B17346" s="15" t="s">
        <v>32338</v>
      </c>
      <c r="C17346" s="15" t="s">
        <v>800</v>
      </c>
      <c r="D17346" s="15" t="s">
        <v>32339</v>
      </c>
      <c r="E17346" s="15">
        <v>10</v>
      </c>
      <c r="F17346" s="42">
        <v>44117</v>
      </c>
    </row>
    <row r="17347" spans="1:6" x14ac:dyDescent="0.3">
      <c r="A17347" s="15" t="s">
        <v>32823</v>
      </c>
      <c r="B17347" s="15" t="s">
        <v>32340</v>
      </c>
      <c r="C17347" s="15" t="s">
        <v>800</v>
      </c>
      <c r="D17347" s="15" t="s">
        <v>32341</v>
      </c>
      <c r="E17347" s="15">
        <v>10</v>
      </c>
      <c r="F17347" s="42">
        <v>44117</v>
      </c>
    </row>
    <row r="17348" spans="1:6" x14ac:dyDescent="0.3">
      <c r="A17348" s="15" t="s">
        <v>32822</v>
      </c>
      <c r="B17348" s="15" t="s">
        <v>32342</v>
      </c>
      <c r="C17348" s="15" t="s">
        <v>800</v>
      </c>
      <c r="D17348" s="15" t="s">
        <v>32343</v>
      </c>
      <c r="E17348" s="15">
        <v>10</v>
      </c>
      <c r="F17348" s="42">
        <v>44159</v>
      </c>
    </row>
    <row r="17349" spans="1:6" x14ac:dyDescent="0.3">
      <c r="A17349" s="15" t="s">
        <v>32821</v>
      </c>
      <c r="B17349" s="15" t="s">
        <v>32344</v>
      </c>
      <c r="C17349" s="15" t="s">
        <v>800</v>
      </c>
      <c r="D17349" s="15" t="s">
        <v>32345</v>
      </c>
      <c r="E17349" s="15">
        <v>12.138299999999999</v>
      </c>
      <c r="F17349" s="42">
        <v>44159</v>
      </c>
    </row>
    <row r="17350" spans="1:6" x14ac:dyDescent="0.3">
      <c r="A17350" s="15" t="s">
        <v>32820</v>
      </c>
      <c r="B17350" s="15" t="s">
        <v>32346</v>
      </c>
      <c r="C17350" s="15" t="s">
        <v>800</v>
      </c>
      <c r="D17350" s="15" t="s">
        <v>32347</v>
      </c>
      <c r="E17350" s="15">
        <v>10</v>
      </c>
      <c r="F17350" s="42">
        <v>44159</v>
      </c>
    </row>
    <row r="17351" spans="1:6" x14ac:dyDescent="0.3">
      <c r="A17351" s="15" t="s">
        <v>32819</v>
      </c>
      <c r="B17351" s="15" t="s">
        <v>32348</v>
      </c>
      <c r="C17351" s="15" t="s">
        <v>800</v>
      </c>
      <c r="D17351" s="15" t="s">
        <v>32349</v>
      </c>
      <c r="E17351" s="15">
        <v>10</v>
      </c>
      <c r="F17351" s="42">
        <v>44159</v>
      </c>
    </row>
    <row r="17352" spans="1:6" x14ac:dyDescent="0.3">
      <c r="A17352" s="15" t="s">
        <v>32818</v>
      </c>
      <c r="B17352" s="15" t="s">
        <v>32350</v>
      </c>
      <c r="C17352" s="15" t="s">
        <v>800</v>
      </c>
      <c r="D17352" s="15" t="s">
        <v>32351</v>
      </c>
      <c r="E17352" s="15">
        <v>10</v>
      </c>
      <c r="F17352" s="42">
        <v>44159</v>
      </c>
    </row>
    <row r="17353" spans="1:6" x14ac:dyDescent="0.3">
      <c r="A17353" s="15" t="s">
        <v>32817</v>
      </c>
      <c r="B17353" s="15" t="s">
        <v>32352</v>
      </c>
      <c r="C17353" s="15" t="s">
        <v>800</v>
      </c>
      <c r="D17353" s="15" t="s">
        <v>32353</v>
      </c>
      <c r="E17353" s="15">
        <v>10</v>
      </c>
      <c r="F17353" s="42">
        <v>44159</v>
      </c>
    </row>
    <row r="17354" spans="1:6" x14ac:dyDescent="0.3">
      <c r="A17354" s="15" t="s">
        <v>32816</v>
      </c>
      <c r="B17354" s="15" t="s">
        <v>32354</v>
      </c>
      <c r="C17354" s="15" t="s">
        <v>800</v>
      </c>
      <c r="D17354" s="15" t="s">
        <v>32355</v>
      </c>
      <c r="E17354" s="15">
        <v>12.017300000000001</v>
      </c>
      <c r="F17354" s="42">
        <v>44159</v>
      </c>
    </row>
    <row r="17355" spans="1:6" x14ac:dyDescent="0.3">
      <c r="A17355" s="15" t="s">
        <v>32815</v>
      </c>
      <c r="B17355" s="15" t="s">
        <v>32356</v>
      </c>
      <c r="C17355" s="15" t="s">
        <v>800</v>
      </c>
      <c r="D17355" s="15" t="s">
        <v>32357</v>
      </c>
      <c r="E17355" s="15">
        <v>10</v>
      </c>
      <c r="F17355" s="42">
        <v>44159</v>
      </c>
    </row>
    <row r="17356" spans="1:6" x14ac:dyDescent="0.3">
      <c r="A17356" s="15" t="s">
        <v>32814</v>
      </c>
      <c r="B17356" s="15" t="s">
        <v>32358</v>
      </c>
      <c r="C17356" s="15" t="s">
        <v>800</v>
      </c>
      <c r="D17356" s="15" t="s">
        <v>32359</v>
      </c>
      <c r="E17356" s="15">
        <v>10</v>
      </c>
      <c r="F17356" s="42">
        <v>44159</v>
      </c>
    </row>
    <row r="17357" spans="1:6" x14ac:dyDescent="0.3">
      <c r="A17357" s="15" t="s">
        <v>32813</v>
      </c>
      <c r="B17357" s="15" t="s">
        <v>32360</v>
      </c>
      <c r="C17357" s="15" t="s">
        <v>800</v>
      </c>
      <c r="D17357" s="15" t="s">
        <v>32361</v>
      </c>
      <c r="E17357" s="15">
        <v>9.7828999999999997</v>
      </c>
      <c r="F17357" s="42">
        <v>44292</v>
      </c>
    </row>
    <row r="17358" spans="1:6" x14ac:dyDescent="0.3">
      <c r="A17358" s="15" t="s">
        <v>32812</v>
      </c>
      <c r="B17358" s="15" t="s">
        <v>32362</v>
      </c>
      <c r="C17358" s="15" t="s">
        <v>800</v>
      </c>
      <c r="D17358" s="15" t="s">
        <v>32363</v>
      </c>
      <c r="E17358" s="15">
        <v>9.7827999999999999</v>
      </c>
      <c r="F17358" s="42">
        <v>44292</v>
      </c>
    </row>
    <row r="17359" spans="1:6" x14ac:dyDescent="0.3">
      <c r="A17359" s="15" t="s">
        <v>32811</v>
      </c>
      <c r="B17359" s="15" t="s">
        <v>32364</v>
      </c>
      <c r="C17359" s="15" t="s">
        <v>800</v>
      </c>
      <c r="D17359" s="15" t="s">
        <v>32365</v>
      </c>
      <c r="E17359" s="15">
        <v>9.7817000000000007</v>
      </c>
      <c r="F17359" s="42">
        <v>44292</v>
      </c>
    </row>
    <row r="17360" spans="1:6" x14ac:dyDescent="0.3">
      <c r="A17360" s="15" t="s">
        <v>32810</v>
      </c>
      <c r="B17360" s="15" t="s">
        <v>32366</v>
      </c>
      <c r="C17360" s="15" t="s">
        <v>800</v>
      </c>
      <c r="D17360" s="15" t="s">
        <v>32367</v>
      </c>
      <c r="E17360" s="15">
        <v>10</v>
      </c>
      <c r="F17360" s="42">
        <v>44292</v>
      </c>
    </row>
    <row r="17361" spans="1:6" x14ac:dyDescent="0.3">
      <c r="A17361" s="15" t="s">
        <v>32809</v>
      </c>
      <c r="B17361" s="15" t="s">
        <v>32368</v>
      </c>
      <c r="C17361" s="15" t="s">
        <v>800</v>
      </c>
      <c r="D17361" s="15" t="s">
        <v>32369</v>
      </c>
      <c r="E17361" s="15">
        <v>10</v>
      </c>
      <c r="F17361" s="42">
        <v>44292</v>
      </c>
    </row>
    <row r="17362" spans="1:6" x14ac:dyDescent="0.3">
      <c r="A17362" s="15" t="s">
        <v>32808</v>
      </c>
      <c r="B17362" s="15" t="s">
        <v>32370</v>
      </c>
      <c r="C17362" s="15" t="s">
        <v>800</v>
      </c>
      <c r="D17362" s="15" t="s">
        <v>32371</v>
      </c>
      <c r="E17362" s="15">
        <v>9.7815999999999992</v>
      </c>
      <c r="F17362" s="42">
        <v>44292</v>
      </c>
    </row>
    <row r="17363" spans="1:6" x14ac:dyDescent="0.3">
      <c r="A17363" s="15" t="s">
        <v>32807</v>
      </c>
      <c r="B17363" s="15" t="s">
        <v>32372</v>
      </c>
      <c r="C17363" s="15" t="s">
        <v>800</v>
      </c>
      <c r="D17363" s="15" t="s">
        <v>32373</v>
      </c>
      <c r="E17363" s="15">
        <v>11.5113</v>
      </c>
      <c r="F17363" s="42">
        <v>44292</v>
      </c>
    </row>
    <row r="17364" spans="1:6" x14ac:dyDescent="0.3">
      <c r="A17364" s="15" t="s">
        <v>32806</v>
      </c>
      <c r="B17364" s="15" t="s">
        <v>32374</v>
      </c>
      <c r="C17364" s="15" t="s">
        <v>800</v>
      </c>
      <c r="D17364" s="15" t="s">
        <v>32375</v>
      </c>
      <c r="E17364" s="15">
        <v>11.396800000000001</v>
      </c>
      <c r="F17364" s="42">
        <v>44292</v>
      </c>
    </row>
    <row r="17365" spans="1:6" x14ac:dyDescent="0.3">
      <c r="A17365" s="15" t="s">
        <v>32805</v>
      </c>
      <c r="B17365" s="15" t="s">
        <v>32376</v>
      </c>
      <c r="C17365" s="15" t="s">
        <v>800</v>
      </c>
      <c r="D17365" s="15" t="s">
        <v>32377</v>
      </c>
      <c r="E17365" s="15">
        <v>9.7940000000000005</v>
      </c>
      <c r="F17365" s="42">
        <v>44292</v>
      </c>
    </row>
    <row r="17366" spans="1:6" x14ac:dyDescent="0.3">
      <c r="A17366" s="15" t="s">
        <v>32804</v>
      </c>
      <c r="B17366" s="15" t="s">
        <v>32378</v>
      </c>
      <c r="C17366" s="15" t="s">
        <v>800</v>
      </c>
      <c r="D17366" s="15" t="s">
        <v>32379</v>
      </c>
      <c r="E17366" s="15">
        <v>10</v>
      </c>
      <c r="F17366" s="42">
        <v>44292</v>
      </c>
    </row>
    <row r="17367" spans="1:6" x14ac:dyDescent="0.3">
      <c r="A17367" s="15" t="s">
        <v>32803</v>
      </c>
      <c r="B17367" s="15" t="s">
        <v>32380</v>
      </c>
      <c r="C17367" s="15" t="s">
        <v>800</v>
      </c>
      <c r="D17367" s="15" t="s">
        <v>32381</v>
      </c>
      <c r="E17367" s="15">
        <v>10</v>
      </c>
      <c r="F17367" s="42">
        <v>44292</v>
      </c>
    </row>
    <row r="17368" spans="1:6" x14ac:dyDescent="0.3">
      <c r="A17368" s="15" t="s">
        <v>32802</v>
      </c>
      <c r="B17368" s="15" t="s">
        <v>32382</v>
      </c>
      <c r="C17368" s="15" t="s">
        <v>800</v>
      </c>
      <c r="D17368" s="15" t="s">
        <v>32383</v>
      </c>
      <c r="E17368" s="15">
        <v>9.7939000000000007</v>
      </c>
      <c r="F17368" s="42">
        <v>44292</v>
      </c>
    </row>
    <row r="17369" spans="1:6" x14ac:dyDescent="0.3">
      <c r="A17369" s="15" t="s">
        <v>32801</v>
      </c>
      <c r="B17369" s="15" t="s">
        <v>32384</v>
      </c>
      <c r="C17369" s="15" t="s">
        <v>800</v>
      </c>
      <c r="D17369" s="15" t="s">
        <v>32385</v>
      </c>
      <c r="E17369" s="15">
        <v>9.7927</v>
      </c>
      <c r="F17369" s="42">
        <v>44292</v>
      </c>
    </row>
    <row r="17370" spans="1:6" x14ac:dyDescent="0.3">
      <c r="A17370" s="15" t="s">
        <v>32800</v>
      </c>
      <c r="B17370" s="15" t="s">
        <v>32386</v>
      </c>
      <c r="C17370" s="15" t="s">
        <v>800</v>
      </c>
      <c r="D17370" s="15" t="s">
        <v>32387</v>
      </c>
      <c r="E17370" s="15">
        <v>10</v>
      </c>
      <c r="F17370" s="42">
        <v>44292</v>
      </c>
    </row>
    <row r="17371" spans="1:6" x14ac:dyDescent="0.3">
      <c r="A17371" s="15" t="s">
        <v>32799</v>
      </c>
      <c r="B17371" s="15" t="s">
        <v>32388</v>
      </c>
      <c r="C17371" s="15" t="s">
        <v>800</v>
      </c>
      <c r="D17371" s="15" t="s">
        <v>32389</v>
      </c>
      <c r="E17371" s="15">
        <v>10</v>
      </c>
      <c r="F17371" s="42">
        <v>44292</v>
      </c>
    </row>
    <row r="17372" spans="1:6" x14ac:dyDescent="0.3">
      <c r="A17372" s="15" t="s">
        <v>32798</v>
      </c>
      <c r="B17372" s="15" t="s">
        <v>32390</v>
      </c>
      <c r="C17372" s="15" t="s">
        <v>800</v>
      </c>
      <c r="D17372" s="15" t="s">
        <v>32391</v>
      </c>
      <c r="E17372" s="15">
        <v>9.7927</v>
      </c>
      <c r="F17372" s="42">
        <v>44292</v>
      </c>
    </row>
    <row r="17373" spans="1:6" x14ac:dyDescent="0.3">
      <c r="A17373" s="15" t="s">
        <v>32797</v>
      </c>
      <c r="B17373" s="15" t="s">
        <v>32392</v>
      </c>
      <c r="C17373" s="15" t="s">
        <v>800</v>
      </c>
      <c r="D17373" s="15" t="s">
        <v>32393</v>
      </c>
      <c r="E17373" s="15">
        <v>11.507</v>
      </c>
      <c r="F17373" s="42">
        <v>44292</v>
      </c>
    </row>
    <row r="17374" spans="1:6" x14ac:dyDescent="0.3">
      <c r="A17374" s="15" t="s">
        <v>32796</v>
      </c>
      <c r="B17374" s="15" t="s">
        <v>32394</v>
      </c>
      <c r="C17374" s="15" t="s">
        <v>800</v>
      </c>
      <c r="D17374" s="15" t="s">
        <v>32395</v>
      </c>
      <c r="E17374" s="15">
        <v>11.392300000000001</v>
      </c>
      <c r="F17374" s="42">
        <v>44292</v>
      </c>
    </row>
    <row r="17375" spans="1:6" x14ac:dyDescent="0.3">
      <c r="A17375" s="15" t="s">
        <v>32795</v>
      </c>
      <c r="B17375" s="15" t="s">
        <v>32396</v>
      </c>
      <c r="C17375" s="15" t="s">
        <v>800</v>
      </c>
      <c r="D17375" s="15" t="s">
        <v>32397</v>
      </c>
      <c r="E17375" s="15">
        <v>9.8801000000000005</v>
      </c>
      <c r="F17375" s="42">
        <v>44301</v>
      </c>
    </row>
    <row r="17376" spans="1:6" x14ac:dyDescent="0.3">
      <c r="A17376" s="15" t="s">
        <v>32794</v>
      </c>
      <c r="B17376" s="15" t="s">
        <v>32398</v>
      </c>
      <c r="C17376" s="15" t="s">
        <v>800</v>
      </c>
      <c r="D17376" s="15" t="s">
        <v>32399</v>
      </c>
      <c r="E17376" s="15">
        <v>10</v>
      </c>
      <c r="F17376" s="42">
        <v>44301</v>
      </c>
    </row>
    <row r="17377" spans="1:6" x14ac:dyDescent="0.3">
      <c r="A17377" s="15" t="s">
        <v>32793</v>
      </c>
      <c r="B17377" s="15" t="s">
        <v>32400</v>
      </c>
      <c r="C17377" s="15" t="s">
        <v>800</v>
      </c>
      <c r="D17377" s="15" t="s">
        <v>32401</v>
      </c>
      <c r="E17377" s="15">
        <v>10.0001</v>
      </c>
      <c r="F17377" s="42">
        <v>44301</v>
      </c>
    </row>
    <row r="17378" spans="1:6" x14ac:dyDescent="0.3">
      <c r="A17378" s="15" t="s">
        <v>32792</v>
      </c>
      <c r="B17378" s="15" t="s">
        <v>32402</v>
      </c>
      <c r="C17378" s="15" t="s">
        <v>800</v>
      </c>
      <c r="D17378" s="15" t="s">
        <v>32403</v>
      </c>
      <c r="E17378" s="15">
        <v>9.8801000000000005</v>
      </c>
      <c r="F17378" s="42">
        <v>44301</v>
      </c>
    </row>
    <row r="17379" spans="1:6" x14ac:dyDescent="0.3">
      <c r="A17379" s="15" t="s">
        <v>32791</v>
      </c>
      <c r="B17379" s="15" t="s">
        <v>32404</v>
      </c>
      <c r="C17379" s="15" t="s">
        <v>800</v>
      </c>
      <c r="D17379" s="15" t="s">
        <v>32405</v>
      </c>
      <c r="E17379" s="15">
        <v>9.8780999999999999</v>
      </c>
      <c r="F17379" s="42">
        <v>44301</v>
      </c>
    </row>
    <row r="17380" spans="1:6" x14ac:dyDescent="0.3">
      <c r="A17380" s="15" t="s">
        <v>32790</v>
      </c>
      <c r="B17380" s="15" t="s">
        <v>32406</v>
      </c>
      <c r="C17380" s="15" t="s">
        <v>800</v>
      </c>
      <c r="D17380" s="15" t="s">
        <v>32407</v>
      </c>
      <c r="E17380" s="15">
        <v>10.0001</v>
      </c>
      <c r="F17380" s="42">
        <v>44301</v>
      </c>
    </row>
    <row r="17381" spans="1:6" x14ac:dyDescent="0.3">
      <c r="A17381" s="15" t="s">
        <v>32789</v>
      </c>
      <c r="B17381" s="15" t="s">
        <v>32408</v>
      </c>
      <c r="C17381" s="15" t="s">
        <v>800</v>
      </c>
      <c r="D17381" s="15" t="s">
        <v>32409</v>
      </c>
      <c r="E17381" s="15">
        <v>10.0001</v>
      </c>
      <c r="F17381" s="42">
        <v>44301</v>
      </c>
    </row>
    <row r="17382" spans="1:6" x14ac:dyDescent="0.3">
      <c r="A17382" s="15" t="s">
        <v>32788</v>
      </c>
      <c r="B17382" s="15" t="s">
        <v>32410</v>
      </c>
      <c r="C17382" s="15" t="s">
        <v>800</v>
      </c>
      <c r="D17382" s="15" t="s">
        <v>32411</v>
      </c>
      <c r="E17382" s="15">
        <v>9.8780999999999999</v>
      </c>
      <c r="F17382" s="42">
        <v>44301</v>
      </c>
    </row>
    <row r="17383" spans="1:6" x14ac:dyDescent="0.3">
      <c r="A17383" s="15" t="s">
        <v>32787</v>
      </c>
      <c r="B17383" s="15" t="s">
        <v>32412</v>
      </c>
      <c r="C17383" s="15" t="s">
        <v>800</v>
      </c>
      <c r="D17383" s="15" t="s">
        <v>32413</v>
      </c>
      <c r="E17383" s="15">
        <v>11.901999999999999</v>
      </c>
      <c r="F17383" s="42">
        <v>44301</v>
      </c>
    </row>
    <row r="17384" spans="1:6" x14ac:dyDescent="0.3">
      <c r="A17384" s="15" t="s">
        <v>32786</v>
      </c>
      <c r="B17384" s="15" t="s">
        <v>32414</v>
      </c>
      <c r="C17384" s="15" t="s">
        <v>800</v>
      </c>
      <c r="D17384" s="15" t="s">
        <v>32415</v>
      </c>
      <c r="E17384" s="15">
        <v>11.7835</v>
      </c>
      <c r="F17384" s="42">
        <v>44301</v>
      </c>
    </row>
    <row r="17385" spans="1:6" x14ac:dyDescent="0.3">
      <c r="A17385" s="15" t="s">
        <v>32785</v>
      </c>
      <c r="B17385" s="15" t="s">
        <v>32416</v>
      </c>
      <c r="C17385" s="15" t="s">
        <v>800</v>
      </c>
      <c r="D17385" s="15" t="s">
        <v>32417</v>
      </c>
      <c r="E17385" s="15">
        <v>12.6427</v>
      </c>
      <c r="F17385" s="42">
        <v>44301</v>
      </c>
    </row>
    <row r="17386" spans="1:6" x14ac:dyDescent="0.3">
      <c r="A17386" s="15" t="s">
        <v>32784</v>
      </c>
      <c r="B17386" s="15" t="s">
        <v>32418</v>
      </c>
      <c r="C17386" s="15" t="s">
        <v>800</v>
      </c>
      <c r="D17386" s="15" t="s">
        <v>32419</v>
      </c>
      <c r="E17386" s="15">
        <v>12.623699999999999</v>
      </c>
      <c r="F17386" s="42">
        <v>44301</v>
      </c>
    </row>
    <row r="17387" spans="1:6" x14ac:dyDescent="0.3">
      <c r="A17387" s="15" t="s">
        <v>32783</v>
      </c>
      <c r="B17387" s="15" t="s">
        <v>32420</v>
      </c>
      <c r="C17387" s="15" t="s">
        <v>800</v>
      </c>
      <c r="D17387" s="15" t="s">
        <v>32421</v>
      </c>
      <c r="E17387" s="15">
        <v>10</v>
      </c>
      <c r="F17387" s="42">
        <v>44320</v>
      </c>
    </row>
    <row r="17388" spans="1:6" x14ac:dyDescent="0.3">
      <c r="A17388" s="15" t="s">
        <v>32782</v>
      </c>
      <c r="B17388" s="15" t="s">
        <v>32422</v>
      </c>
      <c r="C17388" s="15" t="s">
        <v>800</v>
      </c>
      <c r="D17388" s="15" t="s">
        <v>32423</v>
      </c>
      <c r="E17388" s="15">
        <v>12.670199999999999</v>
      </c>
      <c r="F17388" s="42">
        <v>44320</v>
      </c>
    </row>
    <row r="17389" spans="1:6" x14ac:dyDescent="0.3">
      <c r="A17389" s="15" t="s">
        <v>32781</v>
      </c>
      <c r="B17389" s="15" t="s">
        <v>32424</v>
      </c>
      <c r="C17389" s="15" t="s">
        <v>800</v>
      </c>
      <c r="D17389" s="15" t="s">
        <v>32425</v>
      </c>
      <c r="E17389" s="15">
        <v>12.6511</v>
      </c>
      <c r="F17389" s="42">
        <v>44320</v>
      </c>
    </row>
    <row r="17390" spans="1:6" x14ac:dyDescent="0.3">
      <c r="A17390" s="15" t="s">
        <v>32780</v>
      </c>
      <c r="B17390" s="15" t="s">
        <v>32426</v>
      </c>
      <c r="C17390" s="15" t="s">
        <v>800</v>
      </c>
      <c r="D17390" s="15" t="s">
        <v>32427</v>
      </c>
      <c r="E17390" s="15">
        <v>9.8238000000000003</v>
      </c>
      <c r="F17390" s="42">
        <v>44301</v>
      </c>
    </row>
    <row r="17391" spans="1:6" x14ac:dyDescent="0.3">
      <c r="A17391" s="15" t="s">
        <v>32779</v>
      </c>
      <c r="B17391" s="15" t="s">
        <v>32428</v>
      </c>
      <c r="C17391" s="15" t="s">
        <v>800</v>
      </c>
      <c r="D17391" s="15" t="s">
        <v>32429</v>
      </c>
      <c r="E17391" s="15">
        <v>10</v>
      </c>
      <c r="F17391" s="42">
        <v>44301</v>
      </c>
    </row>
    <row r="17392" spans="1:6" x14ac:dyDescent="0.3">
      <c r="A17392" s="15" t="s">
        <v>32778</v>
      </c>
      <c r="B17392" s="15" t="s">
        <v>32430</v>
      </c>
      <c r="C17392" s="15" t="s">
        <v>800</v>
      </c>
      <c r="D17392" s="15" t="s">
        <v>32431</v>
      </c>
      <c r="E17392" s="15">
        <v>9.8237000000000005</v>
      </c>
      <c r="F17392" s="42">
        <v>44301</v>
      </c>
    </row>
    <row r="17393" spans="1:6" x14ac:dyDescent="0.3">
      <c r="A17393" s="15" t="s">
        <v>32777</v>
      </c>
      <c r="B17393" s="15" t="s">
        <v>32432</v>
      </c>
      <c r="C17393" s="15" t="s">
        <v>800</v>
      </c>
      <c r="D17393" s="15" t="s">
        <v>32433</v>
      </c>
      <c r="E17393" s="15">
        <v>9.8216999999999999</v>
      </c>
      <c r="F17393" s="42">
        <v>44301</v>
      </c>
    </row>
    <row r="17394" spans="1:6" x14ac:dyDescent="0.3">
      <c r="A17394" s="15" t="s">
        <v>32776</v>
      </c>
      <c r="B17394" s="15" t="s">
        <v>32434</v>
      </c>
      <c r="C17394" s="15" t="s">
        <v>800</v>
      </c>
      <c r="D17394" s="15" t="s">
        <v>32435</v>
      </c>
      <c r="E17394" s="15">
        <v>10.0001</v>
      </c>
      <c r="F17394" s="42">
        <v>44301</v>
      </c>
    </row>
    <row r="17395" spans="1:6" x14ac:dyDescent="0.3">
      <c r="A17395" s="15" t="s">
        <v>32775</v>
      </c>
      <c r="B17395" s="15" t="s">
        <v>32436</v>
      </c>
      <c r="C17395" s="15" t="s">
        <v>800</v>
      </c>
      <c r="D17395" s="15" t="s">
        <v>32437</v>
      </c>
      <c r="E17395" s="15">
        <v>9.8216000000000001</v>
      </c>
      <c r="F17395" s="42">
        <v>44301</v>
      </c>
    </row>
    <row r="17396" spans="1:6" x14ac:dyDescent="0.3">
      <c r="A17396" s="15" t="s">
        <v>32774</v>
      </c>
      <c r="B17396" s="15" t="s">
        <v>32438</v>
      </c>
      <c r="C17396" s="15" t="s">
        <v>800</v>
      </c>
      <c r="D17396" s="15" t="s">
        <v>32439</v>
      </c>
      <c r="E17396" s="15">
        <v>11.587199999999999</v>
      </c>
      <c r="F17396" s="42">
        <v>44301</v>
      </c>
    </row>
    <row r="17397" spans="1:6" x14ac:dyDescent="0.3">
      <c r="A17397" s="15" t="s">
        <v>32773</v>
      </c>
      <c r="B17397" s="15" t="s">
        <v>32440</v>
      </c>
      <c r="C17397" s="15" t="s">
        <v>800</v>
      </c>
      <c r="D17397" s="15" t="s">
        <v>32441</v>
      </c>
      <c r="E17397" s="15">
        <v>11.4718</v>
      </c>
      <c r="F17397" s="42">
        <v>44301</v>
      </c>
    </row>
    <row r="17398" spans="1:6" x14ac:dyDescent="0.3">
      <c r="A17398" s="15" t="s">
        <v>32772</v>
      </c>
      <c r="B17398" s="15" t="s">
        <v>32442</v>
      </c>
      <c r="C17398" s="15" t="s">
        <v>800</v>
      </c>
      <c r="D17398" s="15" t="s">
        <v>32443</v>
      </c>
      <c r="E17398" s="15">
        <v>10</v>
      </c>
      <c r="F17398" s="42">
        <v>44301</v>
      </c>
    </row>
    <row r="17399" spans="1:6" x14ac:dyDescent="0.3">
      <c r="A17399" s="15" t="s">
        <v>32771</v>
      </c>
      <c r="B17399" s="15" t="s">
        <v>32444</v>
      </c>
      <c r="C17399" s="15" t="s">
        <v>800</v>
      </c>
      <c r="D17399" s="15" t="s">
        <v>32445</v>
      </c>
      <c r="E17399" s="15">
        <v>10</v>
      </c>
      <c r="F17399" s="42">
        <v>44301</v>
      </c>
    </row>
    <row r="17400" spans="1:6" x14ac:dyDescent="0.3">
      <c r="A17400" s="15" t="s">
        <v>32770</v>
      </c>
      <c r="B17400" s="15" t="s">
        <v>32446</v>
      </c>
      <c r="C17400" s="15" t="s">
        <v>800</v>
      </c>
      <c r="D17400" s="15" t="s">
        <v>32447</v>
      </c>
      <c r="E17400" s="15">
        <v>10</v>
      </c>
      <c r="F17400" s="42">
        <v>44301</v>
      </c>
    </row>
    <row r="17401" spans="1:6" x14ac:dyDescent="0.3">
      <c r="A17401" s="15" t="s">
        <v>32769</v>
      </c>
      <c r="B17401" s="15" t="s">
        <v>32448</v>
      </c>
      <c r="C17401" s="15" t="s">
        <v>800</v>
      </c>
      <c r="D17401" s="15" t="s">
        <v>32449</v>
      </c>
      <c r="E17401" s="15">
        <v>12.627599999999999</v>
      </c>
      <c r="F17401" s="42">
        <v>44301</v>
      </c>
    </row>
    <row r="17402" spans="1:6" x14ac:dyDescent="0.3">
      <c r="A17402" s="15" t="s">
        <v>32768</v>
      </c>
      <c r="B17402" s="15" t="s">
        <v>32450</v>
      </c>
      <c r="C17402" s="15" t="s">
        <v>800</v>
      </c>
      <c r="D17402" s="15" t="s">
        <v>32451</v>
      </c>
      <c r="E17402" s="15">
        <v>12.608599999999999</v>
      </c>
      <c r="F17402" s="42">
        <v>44301</v>
      </c>
    </row>
    <row r="17403" spans="1:6" x14ac:dyDescent="0.3">
      <c r="A17403" s="15" t="s">
        <v>32767</v>
      </c>
      <c r="B17403" s="15" t="s">
        <v>32452</v>
      </c>
      <c r="C17403" s="15" t="s">
        <v>800</v>
      </c>
      <c r="D17403" s="15" t="s">
        <v>32453</v>
      </c>
      <c r="E17403" s="15">
        <v>9.8204999999999991</v>
      </c>
      <c r="F17403" s="42">
        <v>44301</v>
      </c>
    </row>
    <row r="17404" spans="1:6" x14ac:dyDescent="0.3">
      <c r="A17404" s="15" t="s">
        <v>32766</v>
      </c>
      <c r="B17404" s="15" t="s">
        <v>32454</v>
      </c>
      <c r="C17404" s="15" t="s">
        <v>800</v>
      </c>
      <c r="D17404" s="15" t="s">
        <v>32455</v>
      </c>
      <c r="E17404" s="15">
        <v>10</v>
      </c>
      <c r="F17404" s="42">
        <v>44301</v>
      </c>
    </row>
    <row r="17405" spans="1:6" x14ac:dyDescent="0.3">
      <c r="A17405" s="15" t="s">
        <v>32765</v>
      </c>
      <c r="B17405" s="15" t="s">
        <v>32456</v>
      </c>
      <c r="C17405" s="15" t="s">
        <v>800</v>
      </c>
      <c r="D17405" s="15" t="s">
        <v>32457</v>
      </c>
      <c r="E17405" s="15">
        <v>10</v>
      </c>
      <c r="F17405" s="42">
        <v>44301</v>
      </c>
    </row>
    <row r="17406" spans="1:6" x14ac:dyDescent="0.3">
      <c r="A17406" s="15" t="s">
        <v>32764</v>
      </c>
      <c r="B17406" s="15" t="s">
        <v>32458</v>
      </c>
      <c r="C17406" s="15" t="s">
        <v>800</v>
      </c>
      <c r="D17406" s="15" t="s">
        <v>32459</v>
      </c>
      <c r="E17406" s="15">
        <v>9.8203999999999994</v>
      </c>
      <c r="F17406" s="42">
        <v>44301</v>
      </c>
    </row>
    <row r="17407" spans="1:6" x14ac:dyDescent="0.3">
      <c r="A17407" s="15" t="s">
        <v>32763</v>
      </c>
      <c r="B17407" s="15" t="s">
        <v>32460</v>
      </c>
      <c r="C17407" s="15" t="s">
        <v>800</v>
      </c>
      <c r="D17407" s="15" t="s">
        <v>32461</v>
      </c>
      <c r="E17407" s="15">
        <v>9.8183000000000007</v>
      </c>
      <c r="F17407" s="42">
        <v>44301</v>
      </c>
    </row>
    <row r="17408" spans="1:6" x14ac:dyDescent="0.3">
      <c r="A17408" s="15" t="s">
        <v>32762</v>
      </c>
      <c r="B17408" s="15" t="s">
        <v>32462</v>
      </c>
      <c r="C17408" s="15" t="s">
        <v>800</v>
      </c>
      <c r="D17408" s="15" t="s">
        <v>32463</v>
      </c>
      <c r="E17408" s="15">
        <v>10.0001</v>
      </c>
      <c r="F17408" s="42">
        <v>44301</v>
      </c>
    </row>
    <row r="17409" spans="1:6" x14ac:dyDescent="0.3">
      <c r="A17409" s="15" t="s">
        <v>32761</v>
      </c>
      <c r="B17409" s="15" t="s">
        <v>32464</v>
      </c>
      <c r="C17409" s="15" t="s">
        <v>800</v>
      </c>
      <c r="D17409" s="15" t="s">
        <v>32465</v>
      </c>
      <c r="E17409" s="15">
        <v>10.0001</v>
      </c>
      <c r="F17409" s="42">
        <v>44301</v>
      </c>
    </row>
    <row r="17410" spans="1:6" x14ac:dyDescent="0.3">
      <c r="A17410" s="15" t="s">
        <v>32760</v>
      </c>
      <c r="B17410" s="15" t="s">
        <v>32466</v>
      </c>
      <c r="C17410" s="15" t="s">
        <v>800</v>
      </c>
      <c r="D17410" s="15" t="s">
        <v>32467</v>
      </c>
      <c r="E17410" s="15">
        <v>9.8180999999999994</v>
      </c>
      <c r="F17410" s="42">
        <v>44301</v>
      </c>
    </row>
    <row r="17411" spans="1:6" x14ac:dyDescent="0.3">
      <c r="A17411" s="15" t="s">
        <v>32759</v>
      </c>
      <c r="B17411" s="15" t="s">
        <v>32468</v>
      </c>
      <c r="C17411" s="15" t="s">
        <v>800</v>
      </c>
      <c r="D17411" s="15" t="s">
        <v>32469</v>
      </c>
      <c r="E17411" s="15">
        <v>11.5425</v>
      </c>
      <c r="F17411" s="42">
        <v>44301</v>
      </c>
    </row>
    <row r="17412" spans="1:6" x14ac:dyDescent="0.3">
      <c r="A17412" s="15" t="s">
        <v>32758</v>
      </c>
      <c r="B17412" s="15" t="s">
        <v>32470</v>
      </c>
      <c r="C17412" s="15" t="s">
        <v>800</v>
      </c>
      <c r="D17412" s="15" t="s">
        <v>32471</v>
      </c>
      <c r="E17412" s="15">
        <v>11.4274</v>
      </c>
      <c r="F17412" s="42">
        <v>44301</v>
      </c>
    </row>
    <row r="17413" spans="1:6" x14ac:dyDescent="0.3">
      <c r="A17413" s="15" t="s">
        <v>32757</v>
      </c>
      <c r="B17413" s="15" t="s">
        <v>32472</v>
      </c>
      <c r="C17413" s="15" t="s">
        <v>800</v>
      </c>
      <c r="D17413" s="15" t="s">
        <v>32473</v>
      </c>
      <c r="E17413" s="15">
        <v>10</v>
      </c>
      <c r="F17413" s="42">
        <v>44301</v>
      </c>
    </row>
    <row r="17414" spans="1:6" x14ac:dyDescent="0.3">
      <c r="A17414" s="15" t="s">
        <v>32756</v>
      </c>
      <c r="B17414" s="15" t="s">
        <v>32474</v>
      </c>
      <c r="C17414" s="15" t="s">
        <v>800</v>
      </c>
      <c r="D17414" s="15" t="s">
        <v>32475</v>
      </c>
      <c r="E17414" s="15">
        <v>10</v>
      </c>
      <c r="F17414" s="42">
        <v>44301</v>
      </c>
    </row>
    <row r="17415" spans="1:6" x14ac:dyDescent="0.3">
      <c r="A17415" s="15" t="s">
        <v>32755</v>
      </c>
      <c r="B17415" s="15" t="s">
        <v>32476</v>
      </c>
      <c r="C17415" s="15" t="s">
        <v>800</v>
      </c>
      <c r="D17415" s="15" t="s">
        <v>32477</v>
      </c>
      <c r="E17415" s="15">
        <v>10</v>
      </c>
      <c r="F17415" s="42">
        <v>44301</v>
      </c>
    </row>
    <row r="17416" spans="1:6" x14ac:dyDescent="0.3">
      <c r="A17416" s="15" t="s">
        <v>32754</v>
      </c>
      <c r="B17416" s="15" t="s">
        <v>32478</v>
      </c>
      <c r="C17416" s="15" t="s">
        <v>800</v>
      </c>
      <c r="D17416" s="15" t="s">
        <v>32479</v>
      </c>
      <c r="E17416" s="15">
        <v>12.643800000000001</v>
      </c>
      <c r="F17416" s="42">
        <v>44301</v>
      </c>
    </row>
    <row r="17417" spans="1:6" x14ac:dyDescent="0.3">
      <c r="A17417" s="15" t="s">
        <v>32753</v>
      </c>
      <c r="B17417" s="15" t="s">
        <v>32480</v>
      </c>
      <c r="C17417" s="15" t="s">
        <v>800</v>
      </c>
      <c r="D17417" s="15" t="s">
        <v>32481</v>
      </c>
      <c r="E17417" s="15">
        <v>12.6249</v>
      </c>
      <c r="F17417" s="42">
        <v>44301</v>
      </c>
    </row>
    <row r="17418" spans="1:6" x14ac:dyDescent="0.3">
      <c r="A17418" s="15" t="s">
        <v>32752</v>
      </c>
      <c r="B17418" s="15" t="s">
        <v>32482</v>
      </c>
      <c r="C17418" s="15" t="s">
        <v>800</v>
      </c>
      <c r="D17418" s="15" t="s">
        <v>32483</v>
      </c>
      <c r="E17418" s="15">
        <v>10</v>
      </c>
      <c r="F17418" s="42">
        <v>44320</v>
      </c>
    </row>
    <row r="17419" spans="1:6" x14ac:dyDescent="0.3">
      <c r="A17419" s="15" t="s">
        <v>32751</v>
      </c>
      <c r="B17419" s="15" t="s">
        <v>32484</v>
      </c>
      <c r="C17419" s="15" t="s">
        <v>800</v>
      </c>
      <c r="D17419" s="15" t="s">
        <v>32485</v>
      </c>
      <c r="E17419" s="15">
        <v>10</v>
      </c>
      <c r="F17419" s="42">
        <v>44320</v>
      </c>
    </row>
    <row r="17420" spans="1:6" x14ac:dyDescent="0.3">
      <c r="A17420" s="15" t="s">
        <v>32750</v>
      </c>
      <c r="B17420" s="15" t="s">
        <v>32486</v>
      </c>
      <c r="C17420" s="15" t="s">
        <v>800</v>
      </c>
      <c r="D17420" s="15" t="s">
        <v>32487</v>
      </c>
      <c r="E17420" s="15">
        <v>9.5648999999999997</v>
      </c>
      <c r="F17420" s="42">
        <v>44320</v>
      </c>
    </row>
    <row r="17421" spans="1:6" x14ac:dyDescent="0.3">
      <c r="A17421" s="15" t="s">
        <v>32749</v>
      </c>
      <c r="B17421" s="15" t="s">
        <v>32488</v>
      </c>
      <c r="C17421" s="15" t="s">
        <v>800</v>
      </c>
      <c r="D17421" s="15" t="s">
        <v>32489</v>
      </c>
      <c r="E17421" s="15">
        <v>9.5559999999999992</v>
      </c>
      <c r="F17421" s="42">
        <v>44320</v>
      </c>
    </row>
    <row r="17422" spans="1:6" x14ac:dyDescent="0.3">
      <c r="A17422" s="15" t="s">
        <v>32748</v>
      </c>
      <c r="B17422" s="15" t="s">
        <v>32490</v>
      </c>
      <c r="C17422" s="15" t="s">
        <v>800</v>
      </c>
      <c r="D17422" s="15" t="s">
        <v>32491</v>
      </c>
      <c r="E17422" s="15">
        <v>10</v>
      </c>
      <c r="F17422" s="42">
        <v>44320</v>
      </c>
    </row>
    <row r="17423" spans="1:6" x14ac:dyDescent="0.3">
      <c r="A17423" s="15" t="s">
        <v>32747</v>
      </c>
      <c r="B17423" s="15" t="s">
        <v>32492</v>
      </c>
      <c r="C17423" s="15" t="s">
        <v>800</v>
      </c>
      <c r="D17423" s="15" t="s">
        <v>32493</v>
      </c>
      <c r="E17423" s="15">
        <v>9.5557999999999996</v>
      </c>
      <c r="F17423" s="42">
        <v>44320</v>
      </c>
    </row>
    <row r="17424" spans="1:6" x14ac:dyDescent="0.3">
      <c r="A17424" s="15" t="s">
        <v>32746</v>
      </c>
      <c r="B17424" s="15" t="s">
        <v>32494</v>
      </c>
      <c r="C17424" s="15" t="s">
        <v>800</v>
      </c>
      <c r="D17424" s="15" t="s">
        <v>32495</v>
      </c>
      <c r="E17424" s="15">
        <v>10.972799999999999</v>
      </c>
      <c r="F17424" s="42">
        <v>44320</v>
      </c>
    </row>
    <row r="17425" spans="1:6" x14ac:dyDescent="0.3">
      <c r="A17425" s="15" t="s">
        <v>32745</v>
      </c>
      <c r="B17425" s="15" t="s">
        <v>32496</v>
      </c>
      <c r="C17425" s="15" t="s">
        <v>800</v>
      </c>
      <c r="D17425" s="15" t="s">
        <v>32497</v>
      </c>
      <c r="E17425" s="15">
        <v>10.857799999999999</v>
      </c>
      <c r="F17425" s="42">
        <v>44320</v>
      </c>
    </row>
    <row r="17426" spans="1:6" x14ac:dyDescent="0.3">
      <c r="A17426" s="15" t="s">
        <v>32744</v>
      </c>
      <c r="B17426" s="15" t="s">
        <v>32498</v>
      </c>
      <c r="C17426" s="15" t="s">
        <v>800</v>
      </c>
      <c r="D17426" s="15" t="s">
        <v>32499</v>
      </c>
      <c r="E17426" s="15">
        <v>10</v>
      </c>
      <c r="F17426" s="42">
        <v>44326</v>
      </c>
    </row>
    <row r="17427" spans="1:6" x14ac:dyDescent="0.3">
      <c r="A17427" s="15" t="s">
        <v>32743</v>
      </c>
      <c r="B17427" s="15" t="s">
        <v>32500</v>
      </c>
      <c r="C17427" s="15" t="s">
        <v>800</v>
      </c>
      <c r="D17427" s="15" t="s">
        <v>32501</v>
      </c>
      <c r="E17427" s="15">
        <v>10</v>
      </c>
      <c r="F17427" s="42">
        <v>44326</v>
      </c>
    </row>
    <row r="17428" spans="1:6" x14ac:dyDescent="0.3">
      <c r="A17428" s="15" t="s">
        <v>32742</v>
      </c>
      <c r="B17428" s="15" t="s">
        <v>32502</v>
      </c>
      <c r="C17428" s="15" t="s">
        <v>800</v>
      </c>
      <c r="D17428" s="15" t="s">
        <v>32503</v>
      </c>
      <c r="E17428" s="15">
        <v>10</v>
      </c>
      <c r="F17428" s="42">
        <v>44326</v>
      </c>
    </row>
    <row r="17429" spans="1:6" x14ac:dyDescent="0.3">
      <c r="A17429" s="15" t="s">
        <v>32741</v>
      </c>
      <c r="B17429" s="15" t="s">
        <v>32504</v>
      </c>
      <c r="C17429" s="15" t="s">
        <v>800</v>
      </c>
      <c r="D17429" s="15" t="s">
        <v>32505</v>
      </c>
      <c r="E17429" s="15">
        <v>10</v>
      </c>
      <c r="F17429" s="42">
        <v>44326</v>
      </c>
    </row>
    <row r="17430" spans="1:6" x14ac:dyDescent="0.3">
      <c r="A17430" s="15" t="s">
        <v>32740</v>
      </c>
      <c r="B17430" s="15" t="s">
        <v>32506</v>
      </c>
      <c r="C17430" s="15" t="s">
        <v>800</v>
      </c>
      <c r="D17430" s="15" t="s">
        <v>32507</v>
      </c>
      <c r="E17430" s="15">
        <v>10</v>
      </c>
      <c r="F17430" s="42">
        <v>44326</v>
      </c>
    </row>
    <row r="17431" spans="1:6" x14ac:dyDescent="0.3">
      <c r="A17431" s="15" t="s">
        <v>32739</v>
      </c>
      <c r="B17431" s="15" t="s">
        <v>32508</v>
      </c>
      <c r="C17431" s="15" t="s">
        <v>800</v>
      </c>
      <c r="D17431" s="15" t="s">
        <v>32509</v>
      </c>
      <c r="E17431" s="15">
        <v>12.6449</v>
      </c>
      <c r="F17431" s="42">
        <v>44326</v>
      </c>
    </row>
    <row r="17432" spans="1:6" x14ac:dyDescent="0.3">
      <c r="A17432" s="15" t="s">
        <v>32738</v>
      </c>
      <c r="B17432" s="15" t="s">
        <v>32510</v>
      </c>
      <c r="C17432" s="15" t="s">
        <v>800</v>
      </c>
      <c r="D17432" s="15" t="s">
        <v>32511</v>
      </c>
      <c r="E17432" s="15">
        <v>12.625999999999999</v>
      </c>
      <c r="F17432" s="42">
        <v>44326</v>
      </c>
    </row>
    <row r="17433" spans="1:6" x14ac:dyDescent="0.3">
      <c r="A17433" s="15" t="s">
        <v>32737</v>
      </c>
      <c r="B17433" s="15" t="s">
        <v>32512</v>
      </c>
      <c r="C17433" s="15" t="s">
        <v>800</v>
      </c>
      <c r="D17433" s="15" t="s">
        <v>32513</v>
      </c>
      <c r="E17433" s="15">
        <v>10</v>
      </c>
      <c r="F17433" s="42">
        <v>44326</v>
      </c>
    </row>
    <row r="17434" spans="1:6" x14ac:dyDescent="0.3">
      <c r="A17434" s="15" t="s">
        <v>32736</v>
      </c>
      <c r="B17434" s="15" t="s">
        <v>32514</v>
      </c>
      <c r="C17434" s="15" t="s">
        <v>800</v>
      </c>
      <c r="D17434" s="15" t="s">
        <v>32515</v>
      </c>
      <c r="E17434" s="15">
        <v>10</v>
      </c>
      <c r="F17434" s="42">
        <v>44326</v>
      </c>
    </row>
    <row r="17435" spans="1:6" x14ac:dyDescent="0.3">
      <c r="A17435" s="15" t="s">
        <v>32735</v>
      </c>
      <c r="B17435" s="15" t="s">
        <v>32516</v>
      </c>
      <c r="C17435" s="15" t="s">
        <v>800</v>
      </c>
      <c r="D17435" s="15" t="s">
        <v>32517</v>
      </c>
      <c r="E17435" s="15">
        <v>10</v>
      </c>
      <c r="F17435" s="42">
        <v>44326</v>
      </c>
    </row>
    <row r="17436" spans="1:6" x14ac:dyDescent="0.3">
      <c r="A17436" s="15" t="s">
        <v>32734</v>
      </c>
      <c r="B17436" s="15" t="s">
        <v>32518</v>
      </c>
      <c r="C17436" s="15" t="s">
        <v>800</v>
      </c>
      <c r="D17436" s="15" t="s">
        <v>32519</v>
      </c>
      <c r="E17436" s="15">
        <v>10</v>
      </c>
      <c r="F17436" s="42">
        <v>44326</v>
      </c>
    </row>
    <row r="17437" spans="1:6" x14ac:dyDescent="0.3">
      <c r="A17437" s="15" t="s">
        <v>32733</v>
      </c>
      <c r="B17437" s="15" t="s">
        <v>32520</v>
      </c>
      <c r="C17437" s="15" t="s">
        <v>800</v>
      </c>
      <c r="D17437" s="15" t="s">
        <v>32521</v>
      </c>
      <c r="E17437" s="15">
        <v>12.621600000000001</v>
      </c>
      <c r="F17437" s="42">
        <v>44326</v>
      </c>
    </row>
    <row r="17438" spans="1:6" x14ac:dyDescent="0.3">
      <c r="A17438" s="15" t="s">
        <v>32732</v>
      </c>
      <c r="B17438" s="15" t="s">
        <v>32522</v>
      </c>
      <c r="C17438" s="15" t="s">
        <v>800</v>
      </c>
      <c r="D17438" s="15" t="s">
        <v>32523</v>
      </c>
      <c r="E17438" s="15">
        <v>12.6027</v>
      </c>
      <c r="F17438" s="42">
        <v>44326</v>
      </c>
    </row>
    <row r="17439" spans="1:6" x14ac:dyDescent="0.3">
      <c r="A17439" s="15" t="s">
        <v>32731</v>
      </c>
      <c r="B17439" s="15" t="s">
        <v>32524</v>
      </c>
      <c r="C17439" s="15" t="s">
        <v>800</v>
      </c>
      <c r="D17439" s="15" t="s">
        <v>32525</v>
      </c>
      <c r="E17439" s="15">
        <v>9.8841999999999999</v>
      </c>
      <c r="F17439" s="42">
        <v>44320</v>
      </c>
    </row>
    <row r="17440" spans="1:6" x14ac:dyDescent="0.3">
      <c r="A17440" s="15" t="s">
        <v>32730</v>
      </c>
      <c r="B17440" s="15" t="s">
        <v>32526</v>
      </c>
      <c r="C17440" s="15" t="s">
        <v>800</v>
      </c>
      <c r="D17440" s="15" t="s">
        <v>32527</v>
      </c>
      <c r="E17440" s="15">
        <v>10</v>
      </c>
      <c r="F17440" s="42">
        <v>44320</v>
      </c>
    </row>
    <row r="17441" spans="1:6" x14ac:dyDescent="0.3">
      <c r="A17441" s="15" t="s">
        <v>32729</v>
      </c>
      <c r="B17441" s="15" t="s">
        <v>32528</v>
      </c>
      <c r="C17441" s="15" t="s">
        <v>800</v>
      </c>
      <c r="D17441" s="15" t="s">
        <v>32529</v>
      </c>
      <c r="E17441" s="15">
        <v>10</v>
      </c>
      <c r="F17441" s="42">
        <v>44320</v>
      </c>
    </row>
    <row r="17442" spans="1:6" x14ac:dyDescent="0.3">
      <c r="A17442" s="15" t="s">
        <v>32728</v>
      </c>
      <c r="B17442" s="15" t="s">
        <v>32530</v>
      </c>
      <c r="C17442" s="15" t="s">
        <v>800</v>
      </c>
      <c r="D17442" s="15" t="s">
        <v>32531</v>
      </c>
      <c r="E17442" s="15">
        <v>9.8840000000000003</v>
      </c>
      <c r="F17442" s="42">
        <v>44320</v>
      </c>
    </row>
    <row r="17443" spans="1:6" x14ac:dyDescent="0.3">
      <c r="A17443" s="15" t="s">
        <v>32727</v>
      </c>
      <c r="B17443" s="15" t="s">
        <v>32532</v>
      </c>
      <c r="C17443" s="15" t="s">
        <v>800</v>
      </c>
      <c r="D17443" s="15" t="s">
        <v>32533</v>
      </c>
      <c r="E17443" s="15">
        <v>9.8788999999999998</v>
      </c>
      <c r="F17443" s="42">
        <v>44320</v>
      </c>
    </row>
    <row r="17444" spans="1:6" x14ac:dyDescent="0.3">
      <c r="A17444" s="15" t="s">
        <v>32726</v>
      </c>
      <c r="B17444" s="15" t="s">
        <v>32534</v>
      </c>
      <c r="C17444" s="15" t="s">
        <v>800</v>
      </c>
      <c r="D17444" s="15" t="s">
        <v>32535</v>
      </c>
      <c r="E17444" s="15">
        <v>10</v>
      </c>
      <c r="F17444" s="42">
        <v>44320</v>
      </c>
    </row>
    <row r="17445" spans="1:6" x14ac:dyDescent="0.3">
      <c r="A17445" s="15" t="s">
        <v>32725</v>
      </c>
      <c r="B17445" s="15" t="s">
        <v>32536</v>
      </c>
      <c r="C17445" s="15" t="s">
        <v>800</v>
      </c>
      <c r="D17445" s="15" t="s">
        <v>32537</v>
      </c>
      <c r="E17445" s="15">
        <v>10</v>
      </c>
      <c r="F17445" s="42">
        <v>44320</v>
      </c>
    </row>
    <row r="17446" spans="1:6" x14ac:dyDescent="0.3">
      <c r="A17446" s="15" t="s">
        <v>32724</v>
      </c>
      <c r="B17446" s="15" t="s">
        <v>32538</v>
      </c>
      <c r="C17446" s="15" t="s">
        <v>800</v>
      </c>
      <c r="D17446" s="15" t="s">
        <v>32539</v>
      </c>
      <c r="E17446" s="15">
        <v>9.8786000000000005</v>
      </c>
      <c r="F17446" s="42">
        <v>44320</v>
      </c>
    </row>
    <row r="17447" spans="1:6" x14ac:dyDescent="0.3">
      <c r="A17447" s="15" t="s">
        <v>32723</v>
      </c>
      <c r="B17447" s="15" t="s">
        <v>32540</v>
      </c>
      <c r="C17447" s="15" t="s">
        <v>800</v>
      </c>
      <c r="D17447" s="15" t="s">
        <v>32541</v>
      </c>
      <c r="E17447" s="15">
        <v>12.2163</v>
      </c>
      <c r="F17447" s="42">
        <v>44320</v>
      </c>
    </row>
    <row r="17448" spans="1:6" x14ac:dyDescent="0.3">
      <c r="A17448" s="15" t="s">
        <v>32722</v>
      </c>
      <c r="B17448" s="15" t="s">
        <v>32542</v>
      </c>
      <c r="C17448" s="15" t="s">
        <v>800</v>
      </c>
      <c r="D17448" s="15" t="s">
        <v>32543</v>
      </c>
      <c r="E17448" s="15">
        <v>12.0578</v>
      </c>
      <c r="F17448" s="42">
        <v>44320</v>
      </c>
    </row>
    <row r="17449" spans="1:6" x14ac:dyDescent="0.3">
      <c r="A17449" s="15" t="s">
        <v>32721</v>
      </c>
      <c r="B17449" s="15" t="s">
        <v>32544</v>
      </c>
      <c r="C17449" s="15" t="s">
        <v>800</v>
      </c>
      <c r="D17449" s="15" t="s">
        <v>32545</v>
      </c>
      <c r="E17449" s="15">
        <v>10</v>
      </c>
      <c r="F17449" s="42">
        <v>44326</v>
      </c>
    </row>
    <row r="17450" spans="1:6" x14ac:dyDescent="0.3">
      <c r="A17450" s="15" t="s">
        <v>32720</v>
      </c>
      <c r="B17450" s="15" t="s">
        <v>32546</v>
      </c>
      <c r="C17450" s="15" t="s">
        <v>800</v>
      </c>
      <c r="D17450" s="15" t="s">
        <v>32547</v>
      </c>
      <c r="E17450" s="15">
        <v>12.5555</v>
      </c>
      <c r="F17450" s="42">
        <v>44326</v>
      </c>
    </row>
    <row r="17451" spans="1:6" x14ac:dyDescent="0.3">
      <c r="A17451" s="15" t="s">
        <v>32719</v>
      </c>
      <c r="B17451" s="15" t="s">
        <v>32548</v>
      </c>
      <c r="C17451" s="15" t="s">
        <v>800</v>
      </c>
      <c r="D17451" s="15" t="s">
        <v>32549</v>
      </c>
      <c r="E17451" s="15">
        <v>12.5367</v>
      </c>
      <c r="F17451" s="42">
        <v>44326</v>
      </c>
    </row>
    <row r="17452" spans="1:6" x14ac:dyDescent="0.3">
      <c r="A17452" s="15" t="s">
        <v>32718</v>
      </c>
      <c r="B17452" s="15" t="s">
        <v>32550</v>
      </c>
      <c r="C17452" s="15" t="s">
        <v>800</v>
      </c>
      <c r="D17452" s="15" t="s">
        <v>32551</v>
      </c>
      <c r="E17452" s="15">
        <v>37.5871</v>
      </c>
      <c r="F17452" s="42">
        <v>46198</v>
      </c>
    </row>
    <row r="17453" spans="1:6" x14ac:dyDescent="0.3">
      <c r="A17453" s="15" t="s">
        <v>32717</v>
      </c>
      <c r="B17453" s="15" t="s">
        <v>32552</v>
      </c>
      <c r="C17453" s="15" t="s">
        <v>32553</v>
      </c>
      <c r="D17453" s="15" t="s">
        <v>32554</v>
      </c>
      <c r="E17453" s="15">
        <v>11.3711</v>
      </c>
      <c r="F17453" s="42">
        <v>46198</v>
      </c>
    </row>
    <row r="17454" spans="1:6" x14ac:dyDescent="0.3">
      <c r="A17454" s="15" t="s">
        <v>32716</v>
      </c>
      <c r="B17454" s="15" t="s">
        <v>32555</v>
      </c>
      <c r="C17454" s="15" t="s">
        <v>800</v>
      </c>
      <c r="D17454" s="15" t="s">
        <v>32556</v>
      </c>
      <c r="E17454" s="15">
        <v>36.595100000000002</v>
      </c>
      <c r="F17454" s="42">
        <v>46198</v>
      </c>
    </row>
    <row r="17455" spans="1:6" x14ac:dyDescent="0.3">
      <c r="A17455" s="15" t="s">
        <v>32715</v>
      </c>
      <c r="B17455" s="15" t="s">
        <v>32557</v>
      </c>
      <c r="C17455" s="15" t="s">
        <v>800</v>
      </c>
      <c r="D17455" s="15" t="s">
        <v>32558</v>
      </c>
      <c r="E17455" s="15">
        <v>36.134</v>
      </c>
      <c r="F17455" s="42">
        <v>46198</v>
      </c>
    </row>
    <row r="17456" spans="1:6" x14ac:dyDescent="0.3">
      <c r="A17456" s="15" t="s">
        <v>32714</v>
      </c>
      <c r="B17456" s="15" t="s">
        <v>32559</v>
      </c>
      <c r="C17456" s="15" t="s">
        <v>32560</v>
      </c>
      <c r="D17456" s="15" t="s">
        <v>32561</v>
      </c>
      <c r="E17456" s="15">
        <v>10.994199999999999</v>
      </c>
      <c r="F17456" s="42">
        <v>46198</v>
      </c>
    </row>
    <row r="17457" spans="1:6" x14ac:dyDescent="0.3">
      <c r="A17457" s="15" t="s">
        <v>32713</v>
      </c>
      <c r="B17457" s="15" t="s">
        <v>32562</v>
      </c>
      <c r="C17457" s="15" t="s">
        <v>800</v>
      </c>
      <c r="D17457" s="15" t="s">
        <v>32563</v>
      </c>
      <c r="E17457" s="15">
        <v>33.746400000000001</v>
      </c>
      <c r="F17457" s="42">
        <v>45741</v>
      </c>
    </row>
    <row r="17458" spans="1:6" x14ac:dyDescent="0.3">
      <c r="A17458" s="15" t="s">
        <v>32712</v>
      </c>
      <c r="B17458" s="15" t="s">
        <v>32564</v>
      </c>
      <c r="C17458" s="15" t="s">
        <v>32565</v>
      </c>
      <c r="D17458" s="15" t="s">
        <v>32566</v>
      </c>
      <c r="E17458" s="15">
        <v>11.1845</v>
      </c>
      <c r="F17458" s="42">
        <v>45741</v>
      </c>
    </row>
    <row r="17459" spans="1:6" x14ac:dyDescent="0.3">
      <c r="A17459" s="15" t="s">
        <v>32711</v>
      </c>
      <c r="B17459" s="15" t="s">
        <v>32567</v>
      </c>
      <c r="C17459" s="15" t="s">
        <v>800</v>
      </c>
      <c r="D17459" s="15" t="s">
        <v>32568</v>
      </c>
      <c r="E17459" s="15">
        <v>33.305500000000002</v>
      </c>
      <c r="F17459" s="42">
        <v>45741</v>
      </c>
    </row>
    <row r="17460" spans="1:6" x14ac:dyDescent="0.3">
      <c r="A17460" s="15" t="s">
        <v>32710</v>
      </c>
      <c r="B17460" s="15" t="s">
        <v>32569</v>
      </c>
      <c r="C17460" s="15" t="s">
        <v>32570</v>
      </c>
      <c r="D17460" s="15" t="s">
        <v>32571</v>
      </c>
      <c r="E17460" s="15">
        <v>11.117599999999999</v>
      </c>
      <c r="F17460" s="42">
        <v>45741</v>
      </c>
    </row>
    <row r="17461" spans="1:6" x14ac:dyDescent="0.3">
      <c r="A17461" s="15" t="s">
        <v>32709</v>
      </c>
      <c r="B17461" s="15" t="s">
        <v>32572</v>
      </c>
      <c r="C17461" s="15" t="s">
        <v>800</v>
      </c>
      <c r="D17461" s="15" t="s">
        <v>32573</v>
      </c>
      <c r="E17461" s="15">
        <v>28.4328</v>
      </c>
      <c r="F17461" s="42">
        <v>44529</v>
      </c>
    </row>
    <row r="17462" spans="1:6" x14ac:dyDescent="0.3">
      <c r="A17462" s="15" t="s">
        <v>32708</v>
      </c>
      <c r="B17462" s="15" t="s">
        <v>32574</v>
      </c>
      <c r="C17462" s="15" t="s">
        <v>800</v>
      </c>
      <c r="D17462" s="15" t="s">
        <v>32575</v>
      </c>
      <c r="E17462" s="15">
        <v>11.257400000000001</v>
      </c>
      <c r="F17462" s="42">
        <v>46139</v>
      </c>
    </row>
    <row r="17463" spans="1:6" x14ac:dyDescent="0.3">
      <c r="A17463" s="15" t="s">
        <v>32707</v>
      </c>
      <c r="B17463" s="15" t="s">
        <v>32576</v>
      </c>
      <c r="C17463" s="15" t="s">
        <v>800</v>
      </c>
      <c r="D17463" s="15" t="s">
        <v>32577</v>
      </c>
      <c r="E17463" s="15">
        <v>12.7362</v>
      </c>
      <c r="F17463" s="42">
        <v>46139</v>
      </c>
    </row>
    <row r="17464" spans="1:6" x14ac:dyDescent="0.3">
      <c r="A17464" s="15" t="s">
        <v>32706</v>
      </c>
      <c r="B17464" s="15" t="s">
        <v>32578</v>
      </c>
      <c r="C17464" s="15" t="s">
        <v>800</v>
      </c>
      <c r="D17464" s="15" t="s">
        <v>32579</v>
      </c>
      <c r="E17464" s="15">
        <v>12.7362</v>
      </c>
      <c r="F17464" s="42">
        <v>46139</v>
      </c>
    </row>
    <row r="17465" spans="1:6" x14ac:dyDescent="0.3">
      <c r="A17465" s="15" t="s">
        <v>32705</v>
      </c>
      <c r="B17465" s="15" t="s">
        <v>32580</v>
      </c>
      <c r="C17465" s="15" t="s">
        <v>800</v>
      </c>
      <c r="D17465" s="15" t="s">
        <v>32581</v>
      </c>
      <c r="E17465" s="15">
        <v>12.7363</v>
      </c>
      <c r="F17465" s="42">
        <v>46139</v>
      </c>
    </row>
    <row r="17466" spans="1:6" x14ac:dyDescent="0.3">
      <c r="A17466" s="15" t="s">
        <v>32704</v>
      </c>
      <c r="B17466" s="15" t="s">
        <v>32582</v>
      </c>
      <c r="C17466" s="15" t="s">
        <v>800</v>
      </c>
      <c r="D17466" s="15" t="s">
        <v>32583</v>
      </c>
      <c r="E17466" s="15">
        <v>10.966200000000001</v>
      </c>
      <c r="F17466" s="42">
        <v>46139</v>
      </c>
    </row>
    <row r="17467" spans="1:6" x14ac:dyDescent="0.3">
      <c r="A17467" s="15" t="s">
        <v>32703</v>
      </c>
      <c r="B17467" s="15" t="s">
        <v>32584</v>
      </c>
      <c r="C17467" s="15" t="s">
        <v>800</v>
      </c>
      <c r="D17467" s="15" t="s">
        <v>32585</v>
      </c>
      <c r="E17467" s="15">
        <v>12.569599999999999</v>
      </c>
      <c r="F17467" s="42">
        <v>46139</v>
      </c>
    </row>
    <row r="17468" spans="1:6" x14ac:dyDescent="0.3">
      <c r="A17468" s="15" t="s">
        <v>32702</v>
      </c>
      <c r="B17468" s="15" t="s">
        <v>32586</v>
      </c>
      <c r="C17468" s="15" t="s">
        <v>800</v>
      </c>
      <c r="D17468" s="15" t="s">
        <v>32587</v>
      </c>
      <c r="E17468" s="15">
        <v>12.5708</v>
      </c>
      <c r="F17468" s="42">
        <v>46139</v>
      </c>
    </row>
    <row r="17469" spans="1:6" x14ac:dyDescent="0.3">
      <c r="A17469" s="15" t="s">
        <v>32701</v>
      </c>
      <c r="B17469" s="15" t="s">
        <v>32588</v>
      </c>
      <c r="C17469" s="15" t="s">
        <v>800</v>
      </c>
      <c r="D17469" s="15" t="s">
        <v>32589</v>
      </c>
      <c r="E17469" s="15">
        <v>12.5708</v>
      </c>
      <c r="F17469" s="42">
        <v>46139</v>
      </c>
    </row>
    <row r="17470" spans="1:6" x14ac:dyDescent="0.3">
      <c r="A17470" s="15" t="s">
        <v>32700</v>
      </c>
      <c r="B17470" s="15" t="s">
        <v>32590</v>
      </c>
      <c r="C17470" s="15" t="s">
        <v>800</v>
      </c>
      <c r="D17470" s="15" t="s">
        <v>32591</v>
      </c>
      <c r="E17470" s="15">
        <v>12.5708</v>
      </c>
      <c r="F17470" s="42">
        <v>46139</v>
      </c>
    </row>
    <row r="17471" spans="1:6" x14ac:dyDescent="0.3">
      <c r="A17471" s="15" t="s">
        <v>32699</v>
      </c>
      <c r="B17471" s="15" t="s">
        <v>32592</v>
      </c>
      <c r="C17471" s="15" t="s">
        <v>800</v>
      </c>
      <c r="D17471" s="15" t="s">
        <v>32593</v>
      </c>
      <c r="E17471" s="15">
        <v>11.069100000000001</v>
      </c>
      <c r="F17471" s="42">
        <v>46127</v>
      </c>
    </row>
    <row r="17472" spans="1:6" x14ac:dyDescent="0.3">
      <c r="A17472" s="15" t="s">
        <v>32698</v>
      </c>
      <c r="B17472" s="15" t="s">
        <v>32594</v>
      </c>
      <c r="C17472" s="15" t="s">
        <v>800</v>
      </c>
      <c r="D17472" s="15" t="s">
        <v>32595</v>
      </c>
      <c r="E17472" s="15">
        <v>12.6037</v>
      </c>
      <c r="F17472" s="42">
        <v>46127</v>
      </c>
    </row>
    <row r="17473" spans="1:6" x14ac:dyDescent="0.3">
      <c r="A17473" s="15" t="s">
        <v>32697</v>
      </c>
      <c r="B17473" s="15" t="s">
        <v>32596</v>
      </c>
      <c r="C17473" s="15" t="s">
        <v>800</v>
      </c>
      <c r="D17473" s="15" t="s">
        <v>32597</v>
      </c>
      <c r="E17473" s="15">
        <v>12.5862</v>
      </c>
      <c r="F17473" s="42">
        <v>46127</v>
      </c>
    </row>
    <row r="17474" spans="1:6" x14ac:dyDescent="0.3">
      <c r="A17474" s="15" t="s">
        <v>32696</v>
      </c>
      <c r="B17474" s="15" t="s">
        <v>32598</v>
      </c>
      <c r="C17474" s="15" t="s">
        <v>800</v>
      </c>
      <c r="D17474" s="15" t="s">
        <v>32599</v>
      </c>
      <c r="E17474" s="15">
        <v>12.5861</v>
      </c>
      <c r="F17474" s="42">
        <v>46127</v>
      </c>
    </row>
    <row r="17475" spans="1:6" x14ac:dyDescent="0.3">
      <c r="A17475" s="15" t="s">
        <v>32695</v>
      </c>
      <c r="B17475" s="15" t="s">
        <v>32600</v>
      </c>
      <c r="C17475" s="15" t="s">
        <v>800</v>
      </c>
      <c r="D17475" s="15" t="s">
        <v>32601</v>
      </c>
      <c r="E17475" s="15">
        <v>12.5877</v>
      </c>
      <c r="F17475" s="42">
        <v>46127</v>
      </c>
    </row>
    <row r="17476" spans="1:6" x14ac:dyDescent="0.3">
      <c r="A17476" s="15" t="s">
        <v>32694</v>
      </c>
      <c r="B17476" s="15" t="s">
        <v>32602</v>
      </c>
      <c r="C17476" s="15" t="s">
        <v>800</v>
      </c>
      <c r="D17476" s="15" t="s">
        <v>32603</v>
      </c>
      <c r="E17476" s="15">
        <v>10.9217</v>
      </c>
      <c r="F17476" s="42">
        <v>46127</v>
      </c>
    </row>
    <row r="17477" spans="1:6" x14ac:dyDescent="0.3">
      <c r="A17477" s="15" t="s">
        <v>32693</v>
      </c>
      <c r="B17477" s="15" t="s">
        <v>32604</v>
      </c>
      <c r="C17477" s="15" t="s">
        <v>800</v>
      </c>
      <c r="D17477" s="15" t="s">
        <v>32605</v>
      </c>
      <c r="E17477" s="15">
        <v>12.432700000000001</v>
      </c>
      <c r="F17477" s="42">
        <v>46127</v>
      </c>
    </row>
    <row r="17478" spans="1:6" x14ac:dyDescent="0.3">
      <c r="A17478" s="15" t="s">
        <v>32692</v>
      </c>
      <c r="B17478" s="15" t="s">
        <v>32606</v>
      </c>
      <c r="C17478" s="15" t="s">
        <v>800</v>
      </c>
      <c r="D17478" s="15" t="s">
        <v>32607</v>
      </c>
      <c r="E17478" s="15">
        <v>12.4314</v>
      </c>
      <c r="F17478" s="42">
        <v>46127</v>
      </c>
    </row>
    <row r="17479" spans="1:6" x14ac:dyDescent="0.3">
      <c r="A17479" s="15" t="s">
        <v>32691</v>
      </c>
      <c r="B17479" s="15" t="s">
        <v>32608</v>
      </c>
      <c r="C17479" s="15" t="s">
        <v>800</v>
      </c>
      <c r="D17479" s="15" t="s">
        <v>32609</v>
      </c>
      <c r="E17479" s="15">
        <v>12.4305</v>
      </c>
      <c r="F17479" s="42">
        <v>46127</v>
      </c>
    </row>
    <row r="17480" spans="1:6" x14ac:dyDescent="0.3">
      <c r="A17480" s="15" t="s">
        <v>32690</v>
      </c>
      <c r="B17480" s="15" t="s">
        <v>32610</v>
      </c>
      <c r="C17480" s="15" t="s">
        <v>800</v>
      </c>
      <c r="D17480" s="15" t="s">
        <v>32611</v>
      </c>
      <c r="E17480" s="15">
        <v>12.4314</v>
      </c>
      <c r="F17480" s="42">
        <v>46127</v>
      </c>
    </row>
    <row r="17481" spans="1:6" x14ac:dyDescent="0.3">
      <c r="A17481" s="15" t="s">
        <v>32689</v>
      </c>
      <c r="B17481" s="15" t="s">
        <v>32612</v>
      </c>
      <c r="C17481" s="15" t="s">
        <v>800</v>
      </c>
      <c r="D17481" s="15" t="s">
        <v>32613</v>
      </c>
      <c r="E17481" s="15">
        <v>10.9953</v>
      </c>
      <c r="F17481" s="42">
        <v>46127</v>
      </c>
    </row>
    <row r="17482" spans="1:6" x14ac:dyDescent="0.3">
      <c r="A17482" s="15" t="s">
        <v>32688</v>
      </c>
      <c r="B17482" s="15" t="s">
        <v>32614</v>
      </c>
      <c r="C17482" s="15" t="s">
        <v>800</v>
      </c>
      <c r="D17482" s="15" t="s">
        <v>32615</v>
      </c>
      <c r="E17482" s="15">
        <v>12.478199999999999</v>
      </c>
      <c r="F17482" s="42">
        <v>46127</v>
      </c>
    </row>
    <row r="17483" spans="1:6" x14ac:dyDescent="0.3">
      <c r="A17483" s="15" t="s">
        <v>32687</v>
      </c>
      <c r="B17483" s="15" t="s">
        <v>32616</v>
      </c>
      <c r="C17483" s="15" t="s">
        <v>800</v>
      </c>
      <c r="D17483" s="15" t="s">
        <v>32617</v>
      </c>
      <c r="E17483" s="15">
        <v>12.478199999999999</v>
      </c>
      <c r="F17483" s="42">
        <v>46127</v>
      </c>
    </row>
    <row r="17484" spans="1:6" x14ac:dyDescent="0.3">
      <c r="A17484" s="15" t="s">
        <v>32686</v>
      </c>
      <c r="B17484" s="15" t="s">
        <v>32618</v>
      </c>
      <c r="C17484" s="15" t="s">
        <v>800</v>
      </c>
      <c r="D17484" s="15" t="s">
        <v>32619</v>
      </c>
      <c r="E17484" s="15">
        <v>12.4809</v>
      </c>
      <c r="F17484" s="42">
        <v>46127</v>
      </c>
    </row>
    <row r="17485" spans="1:6" x14ac:dyDescent="0.3">
      <c r="A17485" s="15" t="s">
        <v>32685</v>
      </c>
      <c r="B17485" s="15" t="s">
        <v>32620</v>
      </c>
      <c r="C17485" s="15" t="s">
        <v>800</v>
      </c>
      <c r="D17485" s="15" t="s">
        <v>32621</v>
      </c>
      <c r="E17485" s="15">
        <v>10.857200000000001</v>
      </c>
      <c r="F17485" s="42">
        <v>46127</v>
      </c>
    </row>
    <row r="17486" spans="1:6" x14ac:dyDescent="0.3">
      <c r="A17486" s="15" t="s">
        <v>32684</v>
      </c>
      <c r="B17486" s="15" t="s">
        <v>32622</v>
      </c>
      <c r="C17486" s="15" t="s">
        <v>800</v>
      </c>
      <c r="D17486" s="15" t="s">
        <v>32623</v>
      </c>
      <c r="E17486" s="15">
        <v>12.332800000000001</v>
      </c>
      <c r="F17486" s="42">
        <v>46127</v>
      </c>
    </row>
    <row r="17487" spans="1:6" x14ac:dyDescent="0.3">
      <c r="A17487" s="15" t="s">
        <v>32683</v>
      </c>
      <c r="B17487" s="15" t="s">
        <v>32624</v>
      </c>
      <c r="C17487" s="15" t="s">
        <v>800</v>
      </c>
      <c r="D17487" s="15" t="s">
        <v>32625</v>
      </c>
      <c r="E17487" s="15">
        <v>12.332599999999999</v>
      </c>
      <c r="F17487" s="42">
        <v>46127</v>
      </c>
    </row>
    <row r="17488" spans="1:6" x14ac:dyDescent="0.3">
      <c r="A17488" s="15" t="s">
        <v>32682</v>
      </c>
      <c r="B17488" s="15" t="s">
        <v>32626</v>
      </c>
      <c r="C17488" s="15" t="s">
        <v>800</v>
      </c>
      <c r="D17488" s="15" t="s">
        <v>32627</v>
      </c>
      <c r="E17488" s="15">
        <v>12.334899999999999</v>
      </c>
      <c r="F17488" s="42">
        <v>46127</v>
      </c>
    </row>
    <row r="17489" spans="1:6" x14ac:dyDescent="0.3">
      <c r="A17489" s="15" t="s">
        <v>32681</v>
      </c>
      <c r="B17489" s="15" t="s">
        <v>32628</v>
      </c>
      <c r="C17489" s="15" t="s">
        <v>800</v>
      </c>
      <c r="D17489" s="15" t="s">
        <v>32629</v>
      </c>
      <c r="E17489" s="15">
        <v>12.9261</v>
      </c>
      <c r="F17489" s="42">
        <v>46198</v>
      </c>
    </row>
    <row r="17490" spans="1:6" x14ac:dyDescent="0.3">
      <c r="A17490" s="15" t="s">
        <v>32680</v>
      </c>
      <c r="B17490" s="15" t="s">
        <v>32630</v>
      </c>
      <c r="C17490" s="15" t="s">
        <v>800</v>
      </c>
      <c r="D17490" s="15" t="s">
        <v>32631</v>
      </c>
      <c r="E17490" s="15">
        <v>12.362</v>
      </c>
      <c r="F17490" s="42">
        <v>46198</v>
      </c>
    </row>
    <row r="17491" spans="1:6" x14ac:dyDescent="0.3">
      <c r="A17491" s="15" t="s">
        <v>32679</v>
      </c>
      <c r="B17491" s="15" t="s">
        <v>32632</v>
      </c>
      <c r="C17491" s="15" t="s">
        <v>800</v>
      </c>
      <c r="D17491" s="15" t="s">
        <v>32633</v>
      </c>
      <c r="E17491" s="15">
        <v>12.7561</v>
      </c>
      <c r="F17491" s="42">
        <v>46198</v>
      </c>
    </row>
    <row r="17492" spans="1:6" x14ac:dyDescent="0.3">
      <c r="A17492" s="15" t="s">
        <v>32678</v>
      </c>
      <c r="B17492" s="15" t="s">
        <v>32634</v>
      </c>
      <c r="C17492" s="15" t="s">
        <v>800</v>
      </c>
      <c r="D17492" s="15" t="s">
        <v>32635</v>
      </c>
      <c r="E17492" s="15">
        <v>12.197100000000001</v>
      </c>
      <c r="F17492" s="42">
        <v>46198</v>
      </c>
    </row>
    <row r="17493" spans="1:6" x14ac:dyDescent="0.3">
      <c r="A17493" s="15" t="s">
        <v>32677</v>
      </c>
      <c r="B17493" s="15" t="s">
        <v>32636</v>
      </c>
      <c r="C17493" s="15" t="s">
        <v>32637</v>
      </c>
      <c r="D17493" s="15" t="s">
        <v>32638</v>
      </c>
      <c r="E17493" s="15">
        <v>11.1076</v>
      </c>
      <c r="F17493" s="42">
        <v>45741</v>
      </c>
    </row>
    <row r="17494" spans="1:6" x14ac:dyDescent="0.3">
      <c r="A17494" s="15" t="s">
        <v>32676</v>
      </c>
      <c r="B17494" s="15" t="s">
        <v>32639</v>
      </c>
      <c r="C17494" s="15" t="s">
        <v>800</v>
      </c>
      <c r="D17494" s="15" t="s">
        <v>32640</v>
      </c>
      <c r="E17494" s="15">
        <v>33.3446</v>
      </c>
      <c r="F17494" s="42">
        <v>45741</v>
      </c>
    </row>
    <row r="17495" spans="1:6" x14ac:dyDescent="0.3">
      <c r="A17495" s="15" t="s">
        <v>32675</v>
      </c>
      <c r="B17495" s="15" t="s">
        <v>32641</v>
      </c>
      <c r="C17495" s="15" t="s">
        <v>32642</v>
      </c>
      <c r="D17495" s="15" t="s">
        <v>32643</v>
      </c>
      <c r="E17495" s="15">
        <v>11.0342</v>
      </c>
      <c r="F17495" s="42">
        <v>45741</v>
      </c>
    </row>
    <row r="17496" spans="1:6" x14ac:dyDescent="0.3">
      <c r="A17496" s="15" t="s">
        <v>32674</v>
      </c>
      <c r="B17496" s="15" t="s">
        <v>32644</v>
      </c>
      <c r="C17496" s="15" t="s">
        <v>800</v>
      </c>
      <c r="D17496" s="15" t="s">
        <v>32645</v>
      </c>
      <c r="E17496" s="15">
        <v>34.088799999999999</v>
      </c>
      <c r="F17496" s="42">
        <v>45741</v>
      </c>
    </row>
    <row r="17497" spans="1:6" x14ac:dyDescent="0.3">
      <c r="A17497" s="15" t="s">
        <v>32673</v>
      </c>
      <c r="B17497" s="15" t="s">
        <v>32646</v>
      </c>
      <c r="C17497" s="15" t="s">
        <v>800</v>
      </c>
      <c r="D17497" s="15" t="s">
        <v>32647</v>
      </c>
      <c r="E17497" s="15">
        <v>30.6249</v>
      </c>
      <c r="F17497" s="42">
        <v>45741</v>
      </c>
    </row>
    <row r="17498" spans="1:6" x14ac:dyDescent="0.3">
      <c r="A17498" s="15" t="s">
        <v>32672</v>
      </c>
      <c r="B17498" s="15" t="s">
        <v>32648</v>
      </c>
      <c r="C17498" s="15" t="s">
        <v>32649</v>
      </c>
      <c r="D17498" s="15" t="s">
        <v>32650</v>
      </c>
      <c r="E17498" s="15">
        <v>11.038600000000001</v>
      </c>
      <c r="F17498" s="42">
        <v>45741</v>
      </c>
    </row>
    <row r="17499" spans="1:6" x14ac:dyDescent="0.3">
      <c r="A17499" s="15" t="s">
        <v>32671</v>
      </c>
      <c r="B17499" s="15" t="s">
        <v>32651</v>
      </c>
      <c r="C17499" s="15" t="s">
        <v>800</v>
      </c>
      <c r="D17499" s="15" t="s">
        <v>32652</v>
      </c>
      <c r="E17499" s="15">
        <v>29.937100000000001</v>
      </c>
      <c r="F17499" s="42">
        <v>45741</v>
      </c>
    </row>
    <row r="17500" spans="1:6" x14ac:dyDescent="0.3">
      <c r="A17500" s="15" t="s">
        <v>32670</v>
      </c>
      <c r="B17500" s="15" t="s">
        <v>32653</v>
      </c>
      <c r="C17500" s="15" t="s">
        <v>32654</v>
      </c>
      <c r="D17500" s="15" t="s">
        <v>32655</v>
      </c>
      <c r="E17500" s="15">
        <v>10.9879</v>
      </c>
      <c r="F17500" s="42">
        <v>45741</v>
      </c>
    </row>
    <row r="17501" spans="1:6" x14ac:dyDescent="0.3">
      <c r="A17501" s="15" t="s">
        <v>32669</v>
      </c>
      <c r="B17501" s="15" t="s">
        <v>32656</v>
      </c>
      <c r="C17501" s="15" t="s">
        <v>800</v>
      </c>
      <c r="D17501" s="15" t="s">
        <v>32657</v>
      </c>
      <c r="E17501" s="15">
        <v>31.2226</v>
      </c>
      <c r="F17501" s="42">
        <v>45741</v>
      </c>
    </row>
    <row r="17502" spans="1:6" x14ac:dyDescent="0.3">
      <c r="A17502" s="15" t="s">
        <v>32668</v>
      </c>
      <c r="B17502" s="15" t="s">
        <v>32658</v>
      </c>
      <c r="C17502" s="15" t="s">
        <v>32659</v>
      </c>
      <c r="D17502" s="15" t="s">
        <v>32660</v>
      </c>
      <c r="E17502" s="15">
        <v>11.132199999999999</v>
      </c>
      <c r="F17502" s="42">
        <v>45741</v>
      </c>
    </row>
    <row r="17503" spans="1:6" x14ac:dyDescent="0.3">
      <c r="A17503" s="15" t="s">
        <v>32667</v>
      </c>
      <c r="B17503" s="15" t="s">
        <v>32661</v>
      </c>
      <c r="C17503" s="15" t="s">
        <v>800</v>
      </c>
      <c r="D17503" s="15" t="s">
        <v>32662</v>
      </c>
      <c r="E17503" s="15">
        <v>30.4741</v>
      </c>
      <c r="F17503" s="42">
        <v>45741</v>
      </c>
    </row>
    <row r="17504" spans="1:6" x14ac:dyDescent="0.3">
      <c r="A17504" s="15" t="s">
        <v>32666</v>
      </c>
      <c r="B17504" s="15" t="s">
        <v>32663</v>
      </c>
      <c r="C17504" s="15" t="s">
        <v>32664</v>
      </c>
      <c r="D17504" s="15" t="s">
        <v>32665</v>
      </c>
      <c r="E17504" s="15">
        <v>11.061299999999999</v>
      </c>
      <c r="F17504" s="42">
        <v>45741</v>
      </c>
    </row>
    <row r="17505" spans="1:6" x14ac:dyDescent="0.3">
      <c r="A17505" s="15" t="s">
        <v>795</v>
      </c>
      <c r="B17505" s="15" t="s">
        <v>795</v>
      </c>
      <c r="C17505" s="15" t="s">
        <v>795</v>
      </c>
      <c r="D17505" s="15" t="s">
        <v>795</v>
      </c>
      <c r="F17505" s="42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7B8D-50D8-4CF4-879F-C44A24DBA280}">
  <dimension ref="A1:D606"/>
  <sheetViews>
    <sheetView workbookViewId="0">
      <selection activeCell="J11" sqref="J11"/>
    </sheetView>
  </sheetViews>
  <sheetFormatPr defaultRowHeight="14.4" x14ac:dyDescent="0.3"/>
  <cols>
    <col min="1" max="1" width="9.21875" customWidth="1"/>
    <col min="2" max="2" width="15.33203125" customWidth="1"/>
    <col min="4" max="4" width="15.21875" customWidth="1"/>
  </cols>
  <sheetData>
    <row r="1" spans="1:4" x14ac:dyDescent="0.3">
      <c r="A1" t="s">
        <v>48</v>
      </c>
      <c r="B1" t="s">
        <v>8</v>
      </c>
      <c r="C1" t="s">
        <v>126</v>
      </c>
      <c r="D1" t="s">
        <v>136</v>
      </c>
    </row>
    <row r="2" spans="1:4" x14ac:dyDescent="0.3">
      <c r="A2" t="s">
        <v>51</v>
      </c>
      <c r="B2" t="str">
        <f>INDEX(tICICIAshu[Display Scheme],1)</f>
        <v>Kotak Contra Fund - Growth</v>
      </c>
      <c r="C2">
        <f>INDEX(tICICIAshu[Date],1)</f>
        <v>46192</v>
      </c>
      <c r="D2">
        <f>INDEX(tICICIAshu[Signed Amount],1)</f>
        <v>6000</v>
      </c>
    </row>
    <row r="3" spans="1:4" x14ac:dyDescent="0.3">
      <c r="A3" t="s">
        <v>51</v>
      </c>
      <c r="B3" t="str">
        <f>INDEX(tICICIAshu[Display Scheme],2)</f>
        <v>Kotak Contra Fund - Growth</v>
      </c>
      <c r="C3">
        <f>INDEX(tICICIAshu[Date],2)</f>
        <v>46161</v>
      </c>
      <c r="D3">
        <f>INDEX(tICICIAshu[Signed Amount],2)</f>
        <v>6000</v>
      </c>
    </row>
    <row r="4" spans="1:4" x14ac:dyDescent="0.3">
      <c r="A4" t="s">
        <v>51</v>
      </c>
      <c r="B4" t="str">
        <f>INDEX(tICICIAshu[Display Scheme],3)</f>
        <v>Kotak Contra Fund - Growth</v>
      </c>
      <c r="C4">
        <f>INDEX(tICICIAshu[Date],3)</f>
        <v>46131</v>
      </c>
      <c r="D4">
        <f>INDEX(tICICIAshu[Signed Amount],3)</f>
        <v>6000</v>
      </c>
    </row>
    <row r="5" spans="1:4" x14ac:dyDescent="0.3">
      <c r="A5" t="s">
        <v>51</v>
      </c>
      <c r="B5" t="str">
        <f>INDEX(tICICIAshu[Display Scheme],4)</f>
        <v>Kotak Contra Fund - Growth</v>
      </c>
      <c r="C5">
        <f>INDEX(tICICIAshu[Date],4)</f>
        <v>46100</v>
      </c>
      <c r="D5">
        <f>INDEX(tICICIAshu[Signed Amount],4)</f>
        <v>6000</v>
      </c>
    </row>
    <row r="6" spans="1:4" x14ac:dyDescent="0.3">
      <c r="A6" t="s">
        <v>51</v>
      </c>
      <c r="B6" t="str">
        <f>INDEX(tICICIAshu[Display Scheme],5)</f>
        <v>Kotak Contra Fund - Growth</v>
      </c>
      <c r="C6">
        <f>INDEX(tICICIAshu[Date],5)</f>
        <v>46072</v>
      </c>
      <c r="D6">
        <f>INDEX(tICICIAshu[Signed Amount],5)</f>
        <v>6000</v>
      </c>
    </row>
    <row r="7" spans="1:4" x14ac:dyDescent="0.3">
      <c r="A7" t="s">
        <v>51</v>
      </c>
      <c r="B7" t="str">
        <f>INDEX(tICICIAshu[Display Scheme],6)</f>
        <v>Kotak Contra Fund - Growth</v>
      </c>
      <c r="C7">
        <f>INDEX(tICICIAshu[Date],6)</f>
        <v>46041</v>
      </c>
      <c r="D7">
        <f>INDEX(tICICIAshu[Signed Amount],6)</f>
        <v>5500</v>
      </c>
    </row>
    <row r="8" spans="1:4" x14ac:dyDescent="0.3">
      <c r="A8" t="s">
        <v>51</v>
      </c>
      <c r="B8" t="str">
        <f>INDEX(tICICIAshu[Display Scheme],7)</f>
        <v>Kotak Contra Fund - Growth</v>
      </c>
      <c r="C8">
        <f>INDEX(tICICIAshu[Date],7)</f>
        <v>46010</v>
      </c>
      <c r="D8">
        <f>INDEX(tICICIAshu[Signed Amount],7)</f>
        <v>5500</v>
      </c>
    </row>
    <row r="9" spans="1:4" x14ac:dyDescent="0.3">
      <c r="A9" t="s">
        <v>51</v>
      </c>
      <c r="B9" t="str">
        <f>INDEX(tICICIAshu[Display Scheme],8)</f>
        <v>Kotak Contra Fund - Growth</v>
      </c>
      <c r="C9">
        <f>INDEX(tICICIAshu[Date],8)</f>
        <v>45980</v>
      </c>
      <c r="D9">
        <f>INDEX(tICICIAshu[Signed Amount],8)</f>
        <v>5500</v>
      </c>
    </row>
    <row r="10" spans="1:4" x14ac:dyDescent="0.3">
      <c r="A10" t="s">
        <v>51</v>
      </c>
      <c r="B10" t="str">
        <f>INDEX(tICICIAshu[Display Scheme],9)</f>
        <v>Kotak Contra Fund - Growth</v>
      </c>
      <c r="C10">
        <f>INDEX(tICICIAshu[Date],9)</f>
        <v>45949</v>
      </c>
      <c r="D10">
        <f>INDEX(tICICIAshu[Signed Amount],9)</f>
        <v>5500</v>
      </c>
    </row>
    <row r="11" spans="1:4" x14ac:dyDescent="0.3">
      <c r="A11" t="s">
        <v>51</v>
      </c>
      <c r="B11" t="str">
        <f>INDEX(tICICIAshu[Display Scheme],10)</f>
        <v>Kotak Contra Fund - Growth</v>
      </c>
      <c r="C11">
        <f>INDEX(tICICIAshu[Date],10)</f>
        <v>45919</v>
      </c>
      <c r="D11">
        <f>INDEX(tICICIAshu[Signed Amount],10)</f>
        <v>5500</v>
      </c>
    </row>
    <row r="12" spans="1:4" x14ac:dyDescent="0.3">
      <c r="A12" t="s">
        <v>51</v>
      </c>
      <c r="B12" t="str">
        <f>INDEX(tICICIAshu[Display Scheme],11)</f>
        <v>Kotak Contra Fund - Growth</v>
      </c>
      <c r="C12">
        <f>INDEX(tICICIAshu[Date],11)</f>
        <v>45888</v>
      </c>
      <c r="D12">
        <f>INDEX(tICICIAshu[Signed Amount],11)</f>
        <v>5500</v>
      </c>
    </row>
    <row r="13" spans="1:4" x14ac:dyDescent="0.3">
      <c r="A13" t="s">
        <v>51</v>
      </c>
      <c r="B13" t="str">
        <f>INDEX(tICICIAshu[Display Scheme],12)</f>
        <v>Kotak Contra Fund - Growth</v>
      </c>
      <c r="C13">
        <f>INDEX(tICICIAshu[Date],12)</f>
        <v>45857</v>
      </c>
      <c r="D13">
        <f>INDEX(tICICIAshu[Signed Amount],12)</f>
        <v>5500</v>
      </c>
    </row>
    <row r="14" spans="1:4" x14ac:dyDescent="0.3">
      <c r="A14" t="s">
        <v>51</v>
      </c>
      <c r="B14" t="str">
        <f>INDEX(tICICIAshu[Display Scheme],13)</f>
        <v>Kotak Contra Fund - Growth</v>
      </c>
      <c r="C14">
        <f>INDEX(tICICIAshu[Date],13)</f>
        <v>45827</v>
      </c>
      <c r="D14">
        <f>INDEX(tICICIAshu[Signed Amount],13)</f>
        <v>5500</v>
      </c>
    </row>
    <row r="15" spans="1:4" x14ac:dyDescent="0.3">
      <c r="A15" t="s">
        <v>51</v>
      </c>
      <c r="B15" t="str">
        <f>INDEX(tICICIAshu[Display Scheme],14)</f>
        <v>Kotak Contra Fund - Growth</v>
      </c>
      <c r="C15">
        <f>INDEX(tICICIAshu[Date],14)</f>
        <v>45796</v>
      </c>
      <c r="D15">
        <f>INDEX(tICICIAshu[Signed Amount],14)</f>
        <v>5500</v>
      </c>
    </row>
    <row r="16" spans="1:4" x14ac:dyDescent="0.3">
      <c r="A16" t="s">
        <v>51</v>
      </c>
      <c r="B16" t="str">
        <f>INDEX(tICICIAshu[Display Scheme],15)</f>
        <v>Kotak Contra Fund - Growth</v>
      </c>
      <c r="C16">
        <f>INDEX(tICICIAshu[Date],15)</f>
        <v>45766</v>
      </c>
      <c r="D16">
        <f>INDEX(tICICIAshu[Signed Amount],15)</f>
        <v>5500</v>
      </c>
    </row>
    <row r="17" spans="1:4" x14ac:dyDescent="0.3">
      <c r="A17" t="s">
        <v>51</v>
      </c>
      <c r="B17" t="str">
        <f>INDEX(tICICIAshu[Display Scheme],16)</f>
        <v>Kotak Contra Fund - Growth</v>
      </c>
      <c r="C17">
        <f>INDEX(tICICIAshu[Date],16)</f>
        <v>45735</v>
      </c>
      <c r="D17">
        <f>INDEX(tICICIAshu[Signed Amount],16)</f>
        <v>5500</v>
      </c>
    </row>
    <row r="18" spans="1:4" x14ac:dyDescent="0.3">
      <c r="A18" t="s">
        <v>51</v>
      </c>
      <c r="B18" t="str">
        <f>INDEX(tICICIAshu[Display Scheme],17)</f>
        <v>Kotak Contra Fund - Growth</v>
      </c>
      <c r="C18">
        <f>INDEX(tICICIAshu[Date],17)</f>
        <v>45707</v>
      </c>
      <c r="D18">
        <f>INDEX(tICICIAshu[Signed Amount],17)</f>
        <v>5500</v>
      </c>
    </row>
    <row r="19" spans="1:4" x14ac:dyDescent="0.3">
      <c r="A19" t="s">
        <v>51</v>
      </c>
      <c r="B19" t="str">
        <f>INDEX(tICICIAshu[Display Scheme],18)</f>
        <v>Kotak Contra Fund - Growth</v>
      </c>
      <c r="C19">
        <f>INDEX(tICICIAshu[Date],18)</f>
        <v>45676</v>
      </c>
      <c r="D19">
        <f>INDEX(tICICIAshu[Signed Amount],18)</f>
        <v>5500</v>
      </c>
    </row>
    <row r="20" spans="1:4" x14ac:dyDescent="0.3">
      <c r="A20" t="s">
        <v>51</v>
      </c>
      <c r="B20" t="str">
        <f>INDEX(tICICIAshu[Display Scheme],19)</f>
        <v>Kotak Contra Fund - Growth</v>
      </c>
      <c r="C20">
        <f>INDEX(tICICIAshu[Date],19)</f>
        <v>45645</v>
      </c>
      <c r="D20">
        <f>INDEX(tICICIAshu[Signed Amount],19)</f>
        <v>5500</v>
      </c>
    </row>
    <row r="21" spans="1:4" x14ac:dyDescent="0.3">
      <c r="A21" t="s">
        <v>51</v>
      </c>
      <c r="B21" t="str">
        <f>INDEX(tICICIAshu[Display Scheme],20)</f>
        <v>Kotak Contra Fund - Growth</v>
      </c>
      <c r="C21">
        <f>INDEX(tICICIAshu[Date],20)</f>
        <v>45615</v>
      </c>
      <c r="D21">
        <f>INDEX(tICICIAshu[Signed Amount],20)</f>
        <v>5500</v>
      </c>
    </row>
    <row r="22" spans="1:4" x14ac:dyDescent="0.3">
      <c r="A22" t="s">
        <v>51</v>
      </c>
      <c r="B22" t="str">
        <f>INDEX(tICICIAshu[Display Scheme],21)</f>
        <v>Kotak Contra Fund - Growth</v>
      </c>
      <c r="C22">
        <f>INDEX(tICICIAshu[Date],21)</f>
        <v>45584</v>
      </c>
      <c r="D22">
        <f>INDEX(tICICIAshu[Signed Amount],21)</f>
        <v>5500</v>
      </c>
    </row>
    <row r="23" spans="1:4" x14ac:dyDescent="0.3">
      <c r="A23" t="s">
        <v>51</v>
      </c>
      <c r="B23" t="str">
        <f>INDEX(tICICIAshu[Display Scheme],22)</f>
        <v>Kotak Contra Fund - Growth</v>
      </c>
      <c r="C23">
        <f>INDEX(tICICIAshu[Date],22)</f>
        <v>45554</v>
      </c>
      <c r="D23">
        <f>INDEX(tICICIAshu[Signed Amount],22)</f>
        <v>5500</v>
      </c>
    </row>
    <row r="24" spans="1:4" x14ac:dyDescent="0.3">
      <c r="A24" t="s">
        <v>51</v>
      </c>
      <c r="B24" t="str">
        <f>INDEX(tICICIAshu[Display Scheme],23)</f>
        <v>Kotak Contra Fund - Growth</v>
      </c>
      <c r="C24">
        <f>INDEX(tICICIAshu[Date],23)</f>
        <v>45523</v>
      </c>
      <c r="D24">
        <f>INDEX(tICICIAshu[Signed Amount],23)</f>
        <v>5500</v>
      </c>
    </row>
    <row r="25" spans="1:4" x14ac:dyDescent="0.3">
      <c r="A25" t="s">
        <v>51</v>
      </c>
      <c r="B25" t="str">
        <f>INDEX(tICICIAshu[Display Scheme],24)</f>
        <v>Kotak Contra Fund - Growth</v>
      </c>
      <c r="C25">
        <f>INDEX(tICICIAshu[Date],24)</f>
        <v>45492</v>
      </c>
      <c r="D25">
        <f>INDEX(tICICIAshu[Signed Amount],24)</f>
        <v>5500</v>
      </c>
    </row>
    <row r="26" spans="1:4" x14ac:dyDescent="0.3">
      <c r="A26" t="s">
        <v>51</v>
      </c>
      <c r="B26" t="str">
        <f>INDEX(tICICIAshu[Display Scheme],25)</f>
        <v>Kotak Contra Fund - Growth</v>
      </c>
      <c r="C26">
        <f>INDEX(tICICIAshu[Date],25)</f>
        <v>45462</v>
      </c>
      <c r="D26">
        <f>INDEX(tICICIAshu[Signed Amount],25)</f>
        <v>5500</v>
      </c>
    </row>
    <row r="27" spans="1:4" x14ac:dyDescent="0.3">
      <c r="A27" t="s">
        <v>51</v>
      </c>
      <c r="B27" t="str">
        <f>INDEX(tICICIAshu[Display Scheme],26)</f>
        <v>Kotak Contra Fund - Growth</v>
      </c>
      <c r="C27">
        <f>INDEX(tICICIAshu[Date],26)</f>
        <v>45431</v>
      </c>
      <c r="D27">
        <f>INDEX(tICICIAshu[Signed Amount],26)</f>
        <v>5500</v>
      </c>
    </row>
    <row r="28" spans="1:4" x14ac:dyDescent="0.3">
      <c r="A28" t="s">
        <v>51</v>
      </c>
      <c r="B28" t="str">
        <f>INDEX(tICICIAshu[Display Scheme],27)</f>
        <v>Kotak Contra Fund - Growth</v>
      </c>
      <c r="C28">
        <f>INDEX(tICICIAshu[Date],27)</f>
        <v>45401</v>
      </c>
      <c r="D28">
        <f>INDEX(tICICIAshu[Signed Amount],27)</f>
        <v>5500</v>
      </c>
    </row>
    <row r="29" spans="1:4" x14ac:dyDescent="0.3">
      <c r="A29" t="s">
        <v>51</v>
      </c>
      <c r="B29" t="str">
        <f>INDEX(tICICIAshu[Display Scheme],28)</f>
        <v>Kotak Contra Fund - Growth</v>
      </c>
      <c r="C29">
        <f>INDEX(tICICIAshu[Date],28)</f>
        <v>45370</v>
      </c>
      <c r="D29">
        <f>INDEX(tICICIAshu[Signed Amount],28)</f>
        <v>5500</v>
      </c>
    </row>
    <row r="30" spans="1:4" x14ac:dyDescent="0.3">
      <c r="A30" t="s">
        <v>51</v>
      </c>
      <c r="B30" t="str">
        <f>INDEX(tICICIAshu[Display Scheme],29)</f>
        <v>Kotak Contra Fund - Growth</v>
      </c>
      <c r="C30">
        <f>INDEX(tICICIAshu[Date],29)</f>
        <v>45341</v>
      </c>
      <c r="D30">
        <f>INDEX(tICICIAshu[Signed Amount],29)</f>
        <v>5500</v>
      </c>
    </row>
    <row r="31" spans="1:4" x14ac:dyDescent="0.3">
      <c r="A31" t="s">
        <v>51</v>
      </c>
      <c r="B31" t="str">
        <f>INDEX(tICICIAshu[Display Scheme],30)</f>
        <v>Kotak Contra Fund - Growth</v>
      </c>
      <c r="C31">
        <f>INDEX(tICICIAshu[Date],30)</f>
        <v>45310</v>
      </c>
      <c r="D31">
        <f>INDEX(tICICIAshu[Signed Amount],30)</f>
        <v>5500</v>
      </c>
    </row>
    <row r="32" spans="1:4" x14ac:dyDescent="0.3">
      <c r="A32" t="s">
        <v>51</v>
      </c>
      <c r="B32" t="str">
        <f>INDEX(tICICIAshu[Display Scheme],31)</f>
        <v>Kotak Contra Fund - Growth</v>
      </c>
      <c r="C32">
        <f>INDEX(tICICIAshu[Date],31)</f>
        <v>45279</v>
      </c>
      <c r="D32">
        <f>INDEX(tICICIAshu[Signed Amount],31)</f>
        <v>5500</v>
      </c>
    </row>
    <row r="33" spans="1:4" x14ac:dyDescent="0.3">
      <c r="A33" t="s">
        <v>51</v>
      </c>
      <c r="B33" t="str">
        <f>INDEX(tICICIAshu[Display Scheme],32)</f>
        <v>Kotak Contra Fund - Growth</v>
      </c>
      <c r="C33">
        <f>INDEX(tICICIAshu[Date],32)</f>
        <v>45249</v>
      </c>
      <c r="D33">
        <f>INDEX(tICICIAshu[Signed Amount],32)</f>
        <v>5500</v>
      </c>
    </row>
    <row r="34" spans="1:4" x14ac:dyDescent="0.3">
      <c r="A34" t="s">
        <v>51</v>
      </c>
      <c r="B34" t="str">
        <f>INDEX(tICICIAshu[Display Scheme],33)</f>
        <v>Kotak Contra Fund - Growth</v>
      </c>
      <c r="C34">
        <f>INDEX(tICICIAshu[Date],33)</f>
        <v>45218</v>
      </c>
      <c r="D34">
        <f>INDEX(tICICIAshu[Signed Amount],33)</f>
        <v>5500</v>
      </c>
    </row>
    <row r="35" spans="1:4" x14ac:dyDescent="0.3">
      <c r="A35" t="s">
        <v>51</v>
      </c>
      <c r="B35" t="str">
        <f>INDEX(tICICIAshu[Display Scheme],34)</f>
        <v>Kotak Contra Fund - Growth</v>
      </c>
      <c r="C35">
        <f>INDEX(tICICIAshu[Date],34)</f>
        <v>45188</v>
      </c>
      <c r="D35">
        <f>INDEX(tICICIAshu[Signed Amount],34)</f>
        <v>5500</v>
      </c>
    </row>
    <row r="36" spans="1:4" x14ac:dyDescent="0.3">
      <c r="A36" t="s">
        <v>51</v>
      </c>
      <c r="B36" t="str">
        <f>INDEX(tICICIAshu[Display Scheme],35)</f>
        <v>Kotak Contra Fund - Growth</v>
      </c>
      <c r="C36">
        <f>INDEX(tICICIAshu[Date],35)</f>
        <v>45157</v>
      </c>
      <c r="D36">
        <f>INDEX(tICICIAshu[Signed Amount],35)</f>
        <v>5500</v>
      </c>
    </row>
    <row r="37" spans="1:4" x14ac:dyDescent="0.3">
      <c r="A37" t="s">
        <v>51</v>
      </c>
      <c r="B37" t="str">
        <f>INDEX(tICICIAshu[Display Scheme],36)</f>
        <v>Kotak Contra Fund - Growth</v>
      </c>
      <c r="C37">
        <f>INDEX(tICICIAshu[Date],36)</f>
        <v>45126</v>
      </c>
      <c r="D37">
        <f>INDEX(tICICIAshu[Signed Amount],36)</f>
        <v>5500</v>
      </c>
    </row>
    <row r="38" spans="1:4" x14ac:dyDescent="0.3">
      <c r="A38" t="s">
        <v>51</v>
      </c>
      <c r="B38" t="str">
        <f>INDEX(tICICIAshu[Display Scheme],37)</f>
        <v>Kotak Contra Fund - Growth</v>
      </c>
      <c r="C38">
        <f>INDEX(tICICIAshu[Date],37)</f>
        <v>45096</v>
      </c>
      <c r="D38">
        <f>INDEX(tICICIAshu[Signed Amount],37)</f>
        <v>5500</v>
      </c>
    </row>
    <row r="39" spans="1:4" x14ac:dyDescent="0.3">
      <c r="A39" t="s">
        <v>51</v>
      </c>
      <c r="B39" t="str">
        <f>INDEX(tICICIAshu[Display Scheme],38)</f>
        <v>Kotak Contra Fund - Growth</v>
      </c>
      <c r="C39">
        <f>INDEX(tICICIAshu[Date],38)</f>
        <v>45065</v>
      </c>
      <c r="D39">
        <f>INDEX(tICICIAshu[Signed Amount],38)</f>
        <v>5500</v>
      </c>
    </row>
    <row r="40" spans="1:4" x14ac:dyDescent="0.3">
      <c r="A40" t="s">
        <v>51</v>
      </c>
      <c r="B40" t="str">
        <f>INDEX(tICICIAshu[Display Scheme],39)</f>
        <v>Kotak Contra Fund - Growth</v>
      </c>
      <c r="C40">
        <f>INDEX(tICICIAshu[Date],39)</f>
        <v>45035</v>
      </c>
      <c r="D40">
        <f>INDEX(tICICIAshu[Signed Amount],39)</f>
        <v>5500</v>
      </c>
    </row>
    <row r="41" spans="1:4" x14ac:dyDescent="0.3">
      <c r="A41" t="s">
        <v>51</v>
      </c>
      <c r="B41" t="str">
        <f>INDEX(tICICIAshu[Display Scheme],40)</f>
        <v>Kotak Contra Fund - Growth</v>
      </c>
      <c r="C41">
        <f>INDEX(tICICIAshu[Date],40)</f>
        <v>45004</v>
      </c>
      <c r="D41">
        <f>INDEX(tICICIAshu[Signed Amount],40)</f>
        <v>5500</v>
      </c>
    </row>
    <row r="42" spans="1:4" x14ac:dyDescent="0.3">
      <c r="A42" t="s">
        <v>51</v>
      </c>
      <c r="B42" t="str">
        <f>INDEX(tICICIAshu[Display Scheme],41)</f>
        <v>Kotak Contra Fund - Growth</v>
      </c>
      <c r="C42">
        <f>INDEX(tICICIAshu[Date],41)</f>
        <v>44976</v>
      </c>
      <c r="D42">
        <f>INDEX(tICICIAshu[Signed Amount],41)</f>
        <v>5500</v>
      </c>
    </row>
    <row r="43" spans="1:4" x14ac:dyDescent="0.3">
      <c r="A43" t="s">
        <v>51</v>
      </c>
      <c r="B43" t="str">
        <f>INDEX(tICICIAshu[Display Scheme],42)</f>
        <v>Kotak Contra Fund - Growth</v>
      </c>
      <c r="C43">
        <f>INDEX(tICICIAshu[Date],42)</f>
        <v>44945</v>
      </c>
      <c r="D43">
        <f>INDEX(tICICIAshu[Signed Amount],42)</f>
        <v>5500</v>
      </c>
    </row>
    <row r="44" spans="1:4" x14ac:dyDescent="0.3">
      <c r="A44" t="s">
        <v>51</v>
      </c>
      <c r="B44" t="str">
        <f>INDEX(tICICIAshu[Display Scheme],43)</f>
        <v>Kotak Contra Fund - Growth</v>
      </c>
      <c r="C44">
        <f>INDEX(tICICIAshu[Date],43)</f>
        <v>44914</v>
      </c>
      <c r="D44">
        <f>INDEX(tICICIAshu[Signed Amount],43)</f>
        <v>5500</v>
      </c>
    </row>
    <row r="45" spans="1:4" x14ac:dyDescent="0.3">
      <c r="A45" t="s">
        <v>51</v>
      </c>
      <c r="B45" t="str">
        <f>INDEX(tICICIAshu[Display Scheme],44)</f>
        <v>Kotak Contra Fund - Growth</v>
      </c>
      <c r="C45">
        <f>INDEX(tICICIAshu[Date],44)</f>
        <v>44884</v>
      </c>
      <c r="D45">
        <f>INDEX(tICICIAshu[Signed Amount],44)</f>
        <v>5500</v>
      </c>
    </row>
    <row r="46" spans="1:4" x14ac:dyDescent="0.3">
      <c r="A46" t="s">
        <v>51</v>
      </c>
      <c r="B46" t="str">
        <f>INDEX(tICICIAshu[Display Scheme],45)</f>
        <v>Kotak Contra Fund - Growth</v>
      </c>
      <c r="C46">
        <f>INDEX(tICICIAshu[Date],45)</f>
        <v>44853</v>
      </c>
      <c r="D46">
        <f>INDEX(tICICIAshu[Signed Amount],45)</f>
        <v>5500</v>
      </c>
    </row>
    <row r="47" spans="1:4" x14ac:dyDescent="0.3">
      <c r="A47" t="s">
        <v>51</v>
      </c>
      <c r="B47" t="str">
        <f>INDEX(tICICIAshu[Display Scheme],46)</f>
        <v>Kotak Contra Fund - Growth</v>
      </c>
      <c r="C47">
        <f>INDEX(tICICIAshu[Date],46)</f>
        <v>44823</v>
      </c>
      <c r="D47">
        <f>INDEX(tICICIAshu[Signed Amount],46)</f>
        <v>5500</v>
      </c>
    </row>
    <row r="48" spans="1:4" x14ac:dyDescent="0.3">
      <c r="A48" t="s">
        <v>51</v>
      </c>
      <c r="B48" t="str">
        <f>INDEX(tICICIAshu[Display Scheme],47)</f>
        <v>Kotak Contra Fund - Growth</v>
      </c>
      <c r="C48">
        <f>INDEX(tICICIAshu[Date],47)</f>
        <v>44792</v>
      </c>
      <c r="D48">
        <f>INDEX(tICICIAshu[Signed Amount],47)</f>
        <v>5500</v>
      </c>
    </row>
    <row r="49" spans="1:4" x14ac:dyDescent="0.3">
      <c r="A49" t="s">
        <v>51</v>
      </c>
      <c r="B49" t="str">
        <f>INDEX(tICICIAshu[Display Scheme],48)</f>
        <v>Kotak Contra Fund - Growth</v>
      </c>
      <c r="C49">
        <f>INDEX(tICICIAshu[Date],48)</f>
        <v>44761</v>
      </c>
      <c r="D49">
        <f>INDEX(tICICIAshu[Signed Amount],48)</f>
        <v>5500</v>
      </c>
    </row>
    <row r="50" spans="1:4" x14ac:dyDescent="0.3">
      <c r="A50" t="s">
        <v>51</v>
      </c>
      <c r="B50" t="str">
        <f>INDEX(tICICIAshu[Display Scheme],49)</f>
        <v>Kotak Contra Fund - Growth</v>
      </c>
      <c r="C50">
        <f>INDEX(tICICIAshu[Date],49)</f>
        <v>44731</v>
      </c>
      <c r="D50">
        <f>INDEX(tICICIAshu[Signed Amount],49)</f>
        <v>5500</v>
      </c>
    </row>
    <row r="51" spans="1:4" x14ac:dyDescent="0.3">
      <c r="A51" t="s">
        <v>51</v>
      </c>
      <c r="B51" t="str">
        <f>INDEX(tICICIAshu[Display Scheme],50)</f>
        <v>Kotak Contra Fund - Growth</v>
      </c>
      <c r="C51">
        <f>INDEX(tICICIAshu[Date],50)</f>
        <v>44700</v>
      </c>
      <c r="D51">
        <f>INDEX(tICICIAshu[Signed Amount],50)</f>
        <v>5500</v>
      </c>
    </row>
    <row r="52" spans="1:4" x14ac:dyDescent="0.3">
      <c r="A52" t="s">
        <v>51</v>
      </c>
      <c r="B52" t="str">
        <f>INDEX(tICICIAshu[Display Scheme],51)</f>
        <v>Kotak Contra Fund - Growth</v>
      </c>
      <c r="C52">
        <f>INDEX(tICICIAshu[Date],51)</f>
        <v>44670</v>
      </c>
      <c r="D52">
        <f>INDEX(tICICIAshu[Signed Amount],51)</f>
        <v>5500</v>
      </c>
    </row>
    <row r="53" spans="1:4" x14ac:dyDescent="0.3">
      <c r="A53" t="s">
        <v>51</v>
      </c>
      <c r="B53" t="str">
        <f>INDEX(tICICIAshu[Display Scheme],52)</f>
        <v>Kotak Contra Fund - Growth</v>
      </c>
      <c r="C53">
        <f>INDEX(tICICIAshu[Date],52)</f>
        <v>44639</v>
      </c>
      <c r="D53">
        <f>INDEX(tICICIAshu[Signed Amount],52)</f>
        <v>5500</v>
      </c>
    </row>
    <row r="54" spans="1:4" x14ac:dyDescent="0.3">
      <c r="A54" t="s">
        <v>51</v>
      </c>
      <c r="B54" t="str">
        <f>INDEX(tICICIAshu[Display Scheme],53)</f>
        <v>Kotak Contra Fund - Growth</v>
      </c>
      <c r="C54">
        <f>INDEX(tICICIAshu[Date],53)</f>
        <v>44611</v>
      </c>
      <c r="D54">
        <f>INDEX(tICICIAshu[Signed Amount],53)</f>
        <v>5500</v>
      </c>
    </row>
    <row r="55" spans="1:4" x14ac:dyDescent="0.3">
      <c r="A55" t="s">
        <v>51</v>
      </c>
      <c r="B55" t="str">
        <f>INDEX(tICICIAshu[Display Scheme],54)</f>
        <v>Kotak Contra Fund - Growth</v>
      </c>
      <c r="C55">
        <f>INDEX(tICICIAshu[Date],54)</f>
        <v>44580</v>
      </c>
      <c r="D55">
        <f>INDEX(tICICIAshu[Signed Amount],54)</f>
        <v>5500</v>
      </c>
    </row>
    <row r="56" spans="1:4" x14ac:dyDescent="0.3">
      <c r="A56" t="s">
        <v>51</v>
      </c>
      <c r="B56" t="str">
        <f>INDEX(tICICIAshu[Display Scheme],55)</f>
        <v>Kotak Contra Fund - Growth</v>
      </c>
      <c r="C56">
        <f>INDEX(tICICIAshu[Date],55)</f>
        <v>44549</v>
      </c>
      <c r="D56">
        <f>INDEX(tICICIAshu[Signed Amount],55)</f>
        <v>5500</v>
      </c>
    </row>
    <row r="57" spans="1:4" x14ac:dyDescent="0.3">
      <c r="A57" t="s">
        <v>51</v>
      </c>
      <c r="B57" t="str">
        <f>INDEX(tICICIAshu[Display Scheme],56)</f>
        <v>Kotak Contra Fund - Growth</v>
      </c>
      <c r="C57">
        <f>INDEX(tICICIAshu[Date],56)</f>
        <v>44519</v>
      </c>
      <c r="D57">
        <f>INDEX(tICICIAshu[Signed Amount],56)</f>
        <v>5500</v>
      </c>
    </row>
    <row r="58" spans="1:4" x14ac:dyDescent="0.3">
      <c r="A58" t="s">
        <v>51</v>
      </c>
      <c r="B58" t="str">
        <f>INDEX(tICICIAshu[Display Scheme],57)</f>
        <v>Kotak Contra Fund - Growth</v>
      </c>
      <c r="C58">
        <f>INDEX(tICICIAshu[Date],57)</f>
        <v>44488</v>
      </c>
      <c r="D58">
        <f>INDEX(tICICIAshu[Signed Amount],57)</f>
        <v>5500</v>
      </c>
    </row>
    <row r="59" spans="1:4" x14ac:dyDescent="0.3">
      <c r="A59" t="s">
        <v>51</v>
      </c>
      <c r="B59" t="str">
        <f>INDEX(tICICIAshu[Display Scheme],58)</f>
        <v>Canara Robeco Large Cap Fund Regulargrowth</v>
      </c>
      <c r="C59">
        <f>INDEX(tICICIAshu[Date],58)</f>
        <v>44465</v>
      </c>
      <c r="D59">
        <f>INDEX(tICICIAshu[Signed Amount],58)</f>
        <v>60000</v>
      </c>
    </row>
    <row r="60" spans="1:4" x14ac:dyDescent="0.3">
      <c r="A60" t="s">
        <v>51</v>
      </c>
      <c r="B60" t="str">
        <f>INDEX(tICICIAshu[Display Scheme],59)</f>
        <v>Kotak Contra Fund - Growth</v>
      </c>
      <c r="C60">
        <f>INDEX(tICICIAshu[Date],59)</f>
        <v>44458</v>
      </c>
      <c r="D60">
        <f>INDEX(tICICIAshu[Signed Amount],59)</f>
        <v>5500</v>
      </c>
    </row>
    <row r="61" spans="1:4" x14ac:dyDescent="0.3">
      <c r="A61" t="s">
        <v>51</v>
      </c>
      <c r="B61" t="str">
        <f>INDEX(tICICIAshu[Display Scheme],60)</f>
        <v>Kotak Contra Fund - Growth</v>
      </c>
      <c r="C61">
        <f>INDEX(tICICIAshu[Date],60)</f>
        <v>44427</v>
      </c>
      <c r="D61">
        <f>INDEX(tICICIAshu[Signed Amount],60)</f>
        <v>5500</v>
      </c>
    </row>
    <row r="62" spans="1:4" x14ac:dyDescent="0.3">
      <c r="A62" t="s">
        <v>51</v>
      </c>
      <c r="B62" t="str">
        <f>INDEX(tICICIAshu[Display Scheme],61)</f>
        <v>Kotak Contra Fund - Growth</v>
      </c>
      <c r="C62">
        <f>INDEX(tICICIAshu[Date],61)</f>
        <v>44396</v>
      </c>
      <c r="D62">
        <f>INDEX(tICICIAshu[Signed Amount],61)</f>
        <v>5500</v>
      </c>
    </row>
    <row r="63" spans="1:4" x14ac:dyDescent="0.3">
      <c r="A63" t="s">
        <v>51</v>
      </c>
      <c r="B63" t="str">
        <f>INDEX(tICICIAshu[Display Scheme],62)</f>
        <v>Kotak Contra Fund - Growth</v>
      </c>
      <c r="C63">
        <f>INDEX(tICICIAshu[Date],62)</f>
        <v>44366</v>
      </c>
      <c r="D63">
        <f>INDEX(tICICIAshu[Signed Amount],62)</f>
        <v>5500</v>
      </c>
    </row>
    <row r="64" spans="1:4" x14ac:dyDescent="0.3">
      <c r="A64" t="s">
        <v>51</v>
      </c>
      <c r="B64" t="str">
        <f>INDEX(tICICIAshu[Display Scheme],63)</f>
        <v>Canara Robeco Large And Mid Cap Fund Growth</v>
      </c>
      <c r="C64">
        <f>INDEX(tICICIAshu[Date],63)</f>
        <v>44354</v>
      </c>
      <c r="D64">
        <f>INDEX(tICICIAshu[Signed Amount],63)</f>
        <v>500000</v>
      </c>
    </row>
    <row r="65" spans="1:4" x14ac:dyDescent="0.3">
      <c r="A65" t="s">
        <v>51</v>
      </c>
      <c r="B65" t="str">
        <f>INDEX(tICICIAshu[Display Scheme],64)</f>
        <v>Kotak Contra Fund - Growth</v>
      </c>
      <c r="C65">
        <f>INDEX(tICICIAshu[Date],64)</f>
        <v>44335</v>
      </c>
      <c r="D65">
        <f>INDEX(tICICIAshu[Signed Amount],64)</f>
        <v>5500</v>
      </c>
    </row>
    <row r="66" spans="1:4" x14ac:dyDescent="0.3">
      <c r="A66" t="s">
        <v>51</v>
      </c>
      <c r="B66" t="str">
        <f>INDEX(tICICIAshu[Display Scheme],65)</f>
        <v>Kotak Contra Fund - Growth</v>
      </c>
      <c r="C66">
        <f>INDEX(tICICIAshu[Date],65)</f>
        <v>44305</v>
      </c>
      <c r="D66">
        <f>INDEX(tICICIAshu[Signed Amount],65)</f>
        <v>5500</v>
      </c>
    </row>
    <row r="67" spans="1:4" x14ac:dyDescent="0.3">
      <c r="A67" t="s">
        <v>51</v>
      </c>
      <c r="B67" t="str">
        <f>INDEX(tICICIAshu[Display Scheme],66)</f>
        <v>Nippon India Elss Tax Saver Fund - Growth Plan</v>
      </c>
      <c r="C67">
        <f>INDEX(tICICIAshu[Date],66)</f>
        <v>44276</v>
      </c>
      <c r="D67">
        <f>INDEX(tICICIAshu[Signed Amount],66)</f>
        <v>-47834</v>
      </c>
    </row>
    <row r="68" spans="1:4" x14ac:dyDescent="0.3">
      <c r="A68" t="s">
        <v>51</v>
      </c>
      <c r="B68" t="str">
        <f>INDEX(tICICIAshu[Display Scheme],67)</f>
        <v>Hdfc Mid Cap Fund - Growth Option</v>
      </c>
      <c r="C68">
        <f>INDEX(tICICIAshu[Date],67)</f>
        <v>43110</v>
      </c>
      <c r="D68">
        <f>INDEX(tICICIAshu[Signed Amount],67)</f>
        <v>5000</v>
      </c>
    </row>
    <row r="69" spans="1:4" x14ac:dyDescent="0.3">
      <c r="A69" t="s">
        <v>51</v>
      </c>
      <c r="B69" t="str">
        <f>INDEX(tICICIAshu[Display Scheme],68)</f>
        <v>Hdfc Mid Cap Fund - Growth Option</v>
      </c>
      <c r="C69">
        <f>INDEX(tICICIAshu[Date],68)</f>
        <v>43079</v>
      </c>
      <c r="D69">
        <f>INDEX(tICICIAshu[Signed Amount],68)</f>
        <v>5000</v>
      </c>
    </row>
    <row r="70" spans="1:4" x14ac:dyDescent="0.3">
      <c r="A70" t="s">
        <v>51</v>
      </c>
      <c r="B70" t="str">
        <f>INDEX(tICICIAshu[Display Scheme],69)</f>
        <v>Hdfc Mid Cap Fund - Growth Option</v>
      </c>
      <c r="C70">
        <f>INDEX(tICICIAshu[Date],69)</f>
        <v>43049</v>
      </c>
      <c r="D70">
        <f>INDEX(tICICIAshu[Signed Amount],69)</f>
        <v>5000</v>
      </c>
    </row>
    <row r="71" spans="1:4" x14ac:dyDescent="0.3">
      <c r="A71" t="s">
        <v>51</v>
      </c>
      <c r="B71" t="str">
        <f>INDEX(tICICIAshu[Display Scheme],70)</f>
        <v>Hdfc Mid Cap Fund - Growth Option</v>
      </c>
      <c r="C71">
        <f>INDEX(tICICIAshu[Date],70)</f>
        <v>43018</v>
      </c>
      <c r="D71">
        <f>INDEX(tICICIAshu[Signed Amount],70)</f>
        <v>5000</v>
      </c>
    </row>
    <row r="72" spans="1:4" x14ac:dyDescent="0.3">
      <c r="A72" t="s">
        <v>51</v>
      </c>
      <c r="B72" t="str">
        <f>INDEX(tICICIAshu[Display Scheme],71)</f>
        <v>Hdfc Mid Cap Fund - Growth Option</v>
      </c>
      <c r="C72">
        <f>INDEX(tICICIAshu[Date],71)</f>
        <v>42988</v>
      </c>
      <c r="D72">
        <f>INDEX(tICICIAshu[Signed Amount],71)</f>
        <v>5000</v>
      </c>
    </row>
    <row r="73" spans="1:4" x14ac:dyDescent="0.3">
      <c r="A73" t="s">
        <v>51</v>
      </c>
      <c r="B73" t="str">
        <f>INDEX(tICICIAshu[Display Scheme],72)</f>
        <v>Sbi Flexicap Fund - Growth</v>
      </c>
      <c r="C73">
        <f>INDEX(tICICIAshu[Date],72)</f>
        <v>42967</v>
      </c>
      <c r="D73">
        <f>INDEX(tICICIAshu[Signed Amount],72)</f>
        <v>5000</v>
      </c>
    </row>
    <row r="74" spans="1:4" x14ac:dyDescent="0.3">
      <c r="A74" t="s">
        <v>51</v>
      </c>
      <c r="B74" t="str">
        <f>INDEX(tICICIAshu[Display Scheme],73)</f>
        <v>Hdfc Mid Cap Fund - Growth Option</v>
      </c>
      <c r="C74">
        <f>INDEX(tICICIAshu[Date],73)</f>
        <v>42957</v>
      </c>
      <c r="D74">
        <f>INDEX(tICICIAshu[Signed Amount],73)</f>
        <v>5000</v>
      </c>
    </row>
    <row r="75" spans="1:4" x14ac:dyDescent="0.3">
      <c r="A75" t="s">
        <v>51</v>
      </c>
      <c r="B75" t="str">
        <f>INDEX(tICICIAshu[Display Scheme],74)</f>
        <v>Sbi Flexicap Fund - Growth</v>
      </c>
      <c r="C75">
        <f>INDEX(tICICIAshu[Date],74)</f>
        <v>42936</v>
      </c>
      <c r="D75">
        <f>INDEX(tICICIAshu[Signed Amount],74)</f>
        <v>5000</v>
      </c>
    </row>
    <row r="76" spans="1:4" x14ac:dyDescent="0.3">
      <c r="A76" t="s">
        <v>51</v>
      </c>
      <c r="B76" t="str">
        <f>INDEX(tICICIAshu[Display Scheme],75)</f>
        <v>Hdfc Mid Cap Fund - Growth Option</v>
      </c>
      <c r="C76">
        <f>INDEX(tICICIAshu[Date],75)</f>
        <v>42926</v>
      </c>
      <c r="D76">
        <f>INDEX(tICICIAshu[Signed Amount],75)</f>
        <v>5000</v>
      </c>
    </row>
    <row r="77" spans="1:4" x14ac:dyDescent="0.3">
      <c r="A77" t="s">
        <v>51</v>
      </c>
      <c r="B77" t="str">
        <f>INDEX(tICICIAshu[Display Scheme],76)</f>
        <v>Sbi Flexicap Fund - Growth</v>
      </c>
      <c r="C77">
        <f>INDEX(tICICIAshu[Date],76)</f>
        <v>42906</v>
      </c>
      <c r="D77">
        <f>INDEX(tICICIAshu[Signed Amount],76)</f>
        <v>5000</v>
      </c>
    </row>
    <row r="78" spans="1:4" x14ac:dyDescent="0.3">
      <c r="A78" t="s">
        <v>51</v>
      </c>
      <c r="B78" t="str">
        <f>INDEX(tICICIAshu[Display Scheme],77)</f>
        <v>Hdfc Mid Cap Fund - Growth Option</v>
      </c>
      <c r="C78">
        <f>INDEX(tICICIAshu[Date],77)</f>
        <v>42896</v>
      </c>
      <c r="D78">
        <f>INDEX(tICICIAshu[Signed Amount],77)</f>
        <v>5000</v>
      </c>
    </row>
    <row r="79" spans="1:4" x14ac:dyDescent="0.3">
      <c r="A79" t="s">
        <v>51</v>
      </c>
      <c r="B79" t="str">
        <f>INDEX(tICICIAshu[Display Scheme],78)</f>
        <v>Sbi Flexicap Fund - Growth</v>
      </c>
      <c r="C79">
        <f>INDEX(tICICIAshu[Date],78)</f>
        <v>42875</v>
      </c>
      <c r="D79">
        <f>INDEX(tICICIAshu[Signed Amount],78)</f>
        <v>5000</v>
      </c>
    </row>
    <row r="80" spans="1:4" x14ac:dyDescent="0.3">
      <c r="A80" t="s">
        <v>51</v>
      </c>
      <c r="B80" t="str">
        <f>INDEX(tICICIAshu[Display Scheme],79)</f>
        <v>Sbi Flexicap Fund - Growth</v>
      </c>
      <c r="C80">
        <f>INDEX(tICICIAshu[Date],79)</f>
        <v>42845</v>
      </c>
      <c r="D80">
        <f>INDEX(tICICIAshu[Signed Amount],79)</f>
        <v>5000</v>
      </c>
    </row>
    <row r="81" spans="1:4" x14ac:dyDescent="0.3">
      <c r="A81" t="s">
        <v>51</v>
      </c>
      <c r="B81" t="str">
        <f>INDEX(tICICIAshu[Display Scheme],80)</f>
        <v>Sbi Flexicap Fund - Growth</v>
      </c>
      <c r="C81">
        <f>INDEX(tICICIAshu[Date],80)</f>
        <v>42814</v>
      </c>
      <c r="D81">
        <f>INDEX(tICICIAshu[Signed Amount],80)</f>
        <v>5000</v>
      </c>
    </row>
    <row r="82" spans="1:4" x14ac:dyDescent="0.3">
      <c r="A82" t="s">
        <v>51</v>
      </c>
      <c r="B82" t="str">
        <f>INDEX(tICICIAshu[Display Scheme],81)</f>
        <v>Sbi Flexicap Fund - Growth</v>
      </c>
      <c r="C82">
        <f>INDEX(tICICIAshu[Date],81)</f>
        <v>42786</v>
      </c>
      <c r="D82">
        <f>INDEX(tICICIAshu[Signed Amount],81)</f>
        <v>5000</v>
      </c>
    </row>
    <row r="83" spans="1:4" x14ac:dyDescent="0.3">
      <c r="A83" t="s">
        <v>51</v>
      </c>
      <c r="B83" t="str">
        <f>INDEX(tICICIAshu[Display Scheme],82)</f>
        <v>Sbi Flexicap Fund - Growth</v>
      </c>
      <c r="C83">
        <f>INDEX(tICICIAshu[Date],82)</f>
        <v>42755</v>
      </c>
      <c r="D83">
        <f>INDEX(tICICIAshu[Signed Amount],82)</f>
        <v>5000</v>
      </c>
    </row>
    <row r="84" spans="1:4" x14ac:dyDescent="0.3">
      <c r="A84" t="s">
        <v>51</v>
      </c>
      <c r="B84" t="str">
        <f>INDEX(tICICIAshu[Display Scheme],83)</f>
        <v>Sbi Flexicap Fund - Growth</v>
      </c>
      <c r="C84">
        <f>INDEX(tICICIAshu[Date],83)</f>
        <v>42724</v>
      </c>
      <c r="D84">
        <f>INDEX(tICICIAshu[Signed Amount],83)</f>
        <v>5000</v>
      </c>
    </row>
    <row r="85" spans="1:4" x14ac:dyDescent="0.3">
      <c r="A85" t="s">
        <v>51</v>
      </c>
      <c r="B85" t="str">
        <f>INDEX(tICICIAshu[Display Scheme],84)</f>
        <v>Sbi Flexicap Fund - Growth</v>
      </c>
      <c r="C85">
        <f>INDEX(tICICIAshu[Date],84)</f>
        <v>42694</v>
      </c>
      <c r="D85">
        <f>INDEX(tICICIAshu[Signed Amount],84)</f>
        <v>5000</v>
      </c>
    </row>
    <row r="86" spans="1:4" x14ac:dyDescent="0.3">
      <c r="A86" t="s">
        <v>51</v>
      </c>
      <c r="B86" t="str">
        <f>INDEX(tICICIAshu[Display Scheme],85)</f>
        <v>Sbi Flexicap Fund - Growth</v>
      </c>
      <c r="C86">
        <f>INDEX(tICICIAshu[Date],85)</f>
        <v>42663</v>
      </c>
      <c r="D86">
        <f>INDEX(tICICIAshu[Signed Amount],85)</f>
        <v>5000</v>
      </c>
    </row>
    <row r="87" spans="1:4" x14ac:dyDescent="0.3">
      <c r="A87" t="s">
        <v>51</v>
      </c>
      <c r="B87" t="str">
        <f>INDEX(tICICIAshu[Display Scheme],86)</f>
        <v>Sbi Flexicap Fund - Growth</v>
      </c>
      <c r="C87">
        <f>INDEX(tICICIAshu[Date],86)</f>
        <v>42633</v>
      </c>
      <c r="D87">
        <f>INDEX(tICICIAshu[Signed Amount],86)</f>
        <v>5000</v>
      </c>
    </row>
    <row r="88" spans="1:4" x14ac:dyDescent="0.3">
      <c r="A88" t="s">
        <v>51</v>
      </c>
      <c r="B88" t="str">
        <f>INDEX(tICICIAshu[Display Scheme],87)</f>
        <v>Nippon India Equity Linked Savings Fund Series - I Growth</v>
      </c>
      <c r="C88">
        <f>INDEX(tICICIAshu[Date],87)</f>
        <v>42526</v>
      </c>
      <c r="D88">
        <f>INDEX(tICICIAshu[Signed Amount],87)</f>
        <v>-11949.15</v>
      </c>
    </row>
    <row r="89" spans="1:4" x14ac:dyDescent="0.3">
      <c r="A89" t="s">
        <v>51</v>
      </c>
      <c r="B89" t="str">
        <f>INDEX(tICICIAshu[Display Scheme],88)</f>
        <v>Hdfc Mid Cap Fund - Growth Option</v>
      </c>
      <c r="C89">
        <f>INDEX(tICICIAshu[Date],88)</f>
        <v>42526</v>
      </c>
      <c r="D89">
        <f>INDEX(tICICIAshu[Signed Amount],88)</f>
        <v>5000</v>
      </c>
    </row>
    <row r="90" spans="1:4" x14ac:dyDescent="0.3">
      <c r="A90" t="s">
        <v>51</v>
      </c>
      <c r="B90" t="str">
        <f>INDEX(tICICIAshu[Display Scheme],89)</f>
        <v>Hdfc Mid Cap Fund - Growth Option</v>
      </c>
      <c r="C90">
        <f>INDEX(tICICIAshu[Date],89)</f>
        <v>42353</v>
      </c>
      <c r="D90">
        <f>INDEX(tICICIAshu[Signed Amount],89)</f>
        <v>5000</v>
      </c>
    </row>
    <row r="91" spans="1:4" x14ac:dyDescent="0.3">
      <c r="A91" t="s">
        <v>51</v>
      </c>
      <c r="B91" t="str">
        <f>INDEX(tICICIAshu[Display Scheme],90)</f>
        <v>Hdfc Mid Cap Fund - Growth Option</v>
      </c>
      <c r="C91">
        <f>INDEX(tICICIAshu[Date],90)</f>
        <v>42323</v>
      </c>
      <c r="D91">
        <f>INDEX(tICICIAshu[Signed Amount],90)</f>
        <v>5000</v>
      </c>
    </row>
    <row r="92" spans="1:4" x14ac:dyDescent="0.3">
      <c r="A92" t="s">
        <v>51</v>
      </c>
      <c r="B92" t="str">
        <f>INDEX(tICICIAshu[Display Scheme],91)</f>
        <v>Hdfc Mid Cap Fund - Growth Option</v>
      </c>
      <c r="C92">
        <f>INDEX(tICICIAshu[Date],91)</f>
        <v>42292</v>
      </c>
      <c r="D92">
        <f>INDEX(tICICIAshu[Signed Amount],91)</f>
        <v>5000</v>
      </c>
    </row>
    <row r="93" spans="1:4" x14ac:dyDescent="0.3">
      <c r="A93" t="s">
        <v>51</v>
      </c>
      <c r="B93" t="str">
        <f>INDEX(tICICIAshu[Display Scheme],92)</f>
        <v>Hdfc Mid Cap Fund - Growth Option</v>
      </c>
      <c r="C93">
        <f>INDEX(tICICIAshu[Date],92)</f>
        <v>42262</v>
      </c>
      <c r="D93">
        <f>INDEX(tICICIAshu[Signed Amount],92)</f>
        <v>5000</v>
      </c>
    </row>
    <row r="94" spans="1:4" x14ac:dyDescent="0.3">
      <c r="A94" t="s">
        <v>51</v>
      </c>
      <c r="B94" t="str">
        <f>INDEX(tICICIAshu[Display Scheme],93)</f>
        <v>Hdfc Mid Cap Fund - Growth Option</v>
      </c>
      <c r="C94">
        <f>INDEX(tICICIAshu[Date],93)</f>
        <v>42231</v>
      </c>
      <c r="D94">
        <f>INDEX(tICICIAshu[Signed Amount],93)</f>
        <v>5000</v>
      </c>
    </row>
    <row r="95" spans="1:4" x14ac:dyDescent="0.3">
      <c r="A95" t="s">
        <v>51</v>
      </c>
      <c r="B95" t="str">
        <f>INDEX(tICICIAshu[Display Scheme],94)</f>
        <v>Hdfc Mid Cap Fund - Growth Option</v>
      </c>
      <c r="C95">
        <f>INDEX(tICICIAshu[Date],94)</f>
        <v>42200</v>
      </c>
      <c r="D95">
        <f>INDEX(tICICIAshu[Signed Amount],94)</f>
        <v>5000</v>
      </c>
    </row>
    <row r="96" spans="1:4" x14ac:dyDescent="0.3">
      <c r="A96" t="s">
        <v>51</v>
      </c>
      <c r="B96" t="str">
        <f>INDEX(tICICIAshu[Display Scheme],95)</f>
        <v>Hdfc Mid Cap Fund - Growth Option</v>
      </c>
      <c r="C96">
        <f>INDEX(tICICIAshu[Date],95)</f>
        <v>41977</v>
      </c>
      <c r="D96">
        <f>INDEX(tICICIAshu[Signed Amount],95)</f>
        <v>15000</v>
      </c>
    </row>
    <row r="97" spans="1:4" x14ac:dyDescent="0.3">
      <c r="A97" t="s">
        <v>51</v>
      </c>
      <c r="B97" t="str">
        <f>INDEX(tICICIAshu[Display Scheme],96)</f>
        <v>Nippon India Equity Linked Savings Fund Series - I Growth</v>
      </c>
      <c r="C97">
        <f>INDEX(tICICIAshu[Date],96)</f>
        <v>39453</v>
      </c>
      <c r="D97">
        <f>INDEX(tICICIAshu[Signed Amount],96)</f>
        <v>5000</v>
      </c>
    </row>
    <row r="98" spans="1:4" x14ac:dyDescent="0.3">
      <c r="A98" t="s">
        <v>51</v>
      </c>
      <c r="B98" t="str">
        <f>INDEX(tICICIAshu[Display Scheme],97)</f>
        <v>Sbi Elss Tax Saver Fund - Growth</v>
      </c>
      <c r="C98">
        <f>INDEX(tICICIAshu[Date],97)</f>
        <v>39432</v>
      </c>
      <c r="D98">
        <f>INDEX(tICICIAshu[Signed Amount],97)</f>
        <v>5000</v>
      </c>
    </row>
    <row r="99" spans="1:4" x14ac:dyDescent="0.3">
      <c r="A99" t="s">
        <v>51</v>
      </c>
      <c r="B99" t="str">
        <f>INDEX(tICICIAshu[Display Scheme],98)</f>
        <v>Lnt Flexicap Fund Regular Growth Option</v>
      </c>
      <c r="C99">
        <f>INDEX(tICICIAshu[Date],98)</f>
        <v>39425</v>
      </c>
      <c r="D99">
        <f>INDEX(tICICIAshu[Signed Amount],98)</f>
        <v>-11280.05</v>
      </c>
    </row>
    <row r="100" spans="1:4" x14ac:dyDescent="0.3">
      <c r="A100" t="s">
        <v>51</v>
      </c>
      <c r="B100" t="str">
        <f>INDEX(tICICIAshu[Display Scheme],99)</f>
        <v>Nippon India Elss Tax Saver Fund - Growth Plan</v>
      </c>
      <c r="C100">
        <f>INDEX(tICICIAshu[Date],99)</f>
        <v>39405</v>
      </c>
      <c r="D100">
        <f>INDEX(tICICIAshu[Signed Amount],99)</f>
        <v>15000</v>
      </c>
    </row>
    <row r="101" spans="1:4" x14ac:dyDescent="0.3">
      <c r="A101" t="s">
        <v>51</v>
      </c>
      <c r="B101" t="str">
        <f>INDEX(tICICIAshu[Display Scheme],100)</f>
        <v>Sbi Contra Fund Regular Idcw</v>
      </c>
      <c r="C101">
        <f>INDEX(tICICIAshu[Date],100)</f>
        <v>39305</v>
      </c>
      <c r="D101">
        <f>INDEX(tICICIAshu[Signed Amount],100)</f>
        <v>-6837.37</v>
      </c>
    </row>
    <row r="102" spans="1:4" x14ac:dyDescent="0.3">
      <c r="A102" t="s">
        <v>52</v>
      </c>
      <c r="B102" t="str">
        <f>INDEX(tManiqAshu[Display Scheme],1)</f>
        <v>Aditya Birla Sun Life Banking And Financial Services Fund Growth</v>
      </c>
      <c r="C102">
        <f>INDEX(tManiqAshu[Date],1)</f>
        <v>44264</v>
      </c>
      <c r="D102">
        <f>INDEX(tManiqAshu[Signed Amount],1)</f>
        <v>2499.88</v>
      </c>
    </row>
    <row r="103" spans="1:4" x14ac:dyDescent="0.3">
      <c r="A103" t="s">
        <v>52</v>
      </c>
      <c r="B103" t="str">
        <f>INDEX(tManiqAshu[Display Scheme],2)</f>
        <v>Mirae Asset Large And Mid Cap Fund Growth</v>
      </c>
      <c r="C103">
        <f>INDEX(tManiqAshu[Date],2)</f>
        <v>44264</v>
      </c>
      <c r="D103">
        <f>INDEX(tManiqAshu[Signed Amount],2)</f>
        <v>2499.88</v>
      </c>
    </row>
    <row r="104" spans="1:4" x14ac:dyDescent="0.3">
      <c r="A104" t="s">
        <v>52</v>
      </c>
      <c r="B104" t="str">
        <f>INDEX(tManiqAshu[Display Scheme],3)</f>
        <v>Mahindra Manulife Focused Fund Growth</v>
      </c>
      <c r="C104">
        <f>INDEX(tManiqAshu[Date],3)</f>
        <v>44264</v>
      </c>
      <c r="D104">
        <f>INDEX(tManiqAshu[Signed Amount],3)</f>
        <v>1999.9</v>
      </c>
    </row>
    <row r="105" spans="1:4" x14ac:dyDescent="0.3">
      <c r="A105" t="s">
        <v>52</v>
      </c>
      <c r="B105" t="str">
        <f>INDEX(tManiqAshu[Display Scheme],4)</f>
        <v>Mahindra Manulife Focused Fund Growth</v>
      </c>
      <c r="C105">
        <f>INDEX(tManiqAshu[Date],4)</f>
        <v>44313</v>
      </c>
      <c r="D105">
        <f>INDEX(tManiqAshu[Signed Amount],4)</f>
        <v>1999.9</v>
      </c>
    </row>
    <row r="106" spans="1:4" x14ac:dyDescent="0.3">
      <c r="A106" t="s">
        <v>52</v>
      </c>
      <c r="B106" t="str">
        <f>INDEX(tManiqAshu[Display Scheme],5)</f>
        <v>Mirae Asset Large And Mid Cap Fund Growth</v>
      </c>
      <c r="C106">
        <f>INDEX(tManiqAshu[Date],5)</f>
        <v>44313</v>
      </c>
      <c r="D106">
        <f>INDEX(tManiqAshu[Signed Amount],5)</f>
        <v>2499.88</v>
      </c>
    </row>
    <row r="107" spans="1:4" x14ac:dyDescent="0.3">
      <c r="A107" t="s">
        <v>52</v>
      </c>
      <c r="B107" t="str">
        <f>INDEX(tManiqAshu[Display Scheme],6)</f>
        <v>Aditya Birla Sun Life Banking And Financial Services Fund Growth</v>
      </c>
      <c r="C107">
        <f>INDEX(tManiqAshu[Date],6)</f>
        <v>44313</v>
      </c>
      <c r="D107">
        <f>INDEX(tManiqAshu[Signed Amount],6)</f>
        <v>2499.88</v>
      </c>
    </row>
    <row r="108" spans="1:4" x14ac:dyDescent="0.3">
      <c r="A108" t="s">
        <v>52</v>
      </c>
      <c r="B108" t="str">
        <f>INDEX(tManiqAshu[Display Scheme],7)</f>
        <v>Mahindra Manulife Focused Fund Growth</v>
      </c>
      <c r="C108">
        <f>INDEX(tManiqAshu[Date],7)</f>
        <v>44342</v>
      </c>
      <c r="D108">
        <f>INDEX(tManiqAshu[Signed Amount],7)</f>
        <v>1999.9</v>
      </c>
    </row>
    <row r="109" spans="1:4" x14ac:dyDescent="0.3">
      <c r="A109" t="s">
        <v>52</v>
      </c>
      <c r="B109" t="str">
        <f>INDEX(tManiqAshu[Display Scheme],8)</f>
        <v>Mirae Asset Large And Mid Cap Fund Growth</v>
      </c>
      <c r="C109">
        <f>INDEX(tManiqAshu[Date],8)</f>
        <v>44342</v>
      </c>
      <c r="D109">
        <f>INDEX(tManiqAshu[Signed Amount],8)</f>
        <v>2499.88</v>
      </c>
    </row>
    <row r="110" spans="1:4" x14ac:dyDescent="0.3">
      <c r="A110" t="s">
        <v>52</v>
      </c>
      <c r="B110" t="str">
        <f>INDEX(tManiqAshu[Display Scheme],9)</f>
        <v>Aditya Birla Sun Life Banking And Financial Services Fund Growth</v>
      </c>
      <c r="C110">
        <f>INDEX(tManiqAshu[Date],9)</f>
        <v>44342</v>
      </c>
      <c r="D110">
        <f>INDEX(tManiqAshu[Signed Amount],9)</f>
        <v>2499.88</v>
      </c>
    </row>
    <row r="111" spans="1:4" x14ac:dyDescent="0.3">
      <c r="A111" t="s">
        <v>52</v>
      </c>
      <c r="B111" t="str">
        <f>INDEX(tManiqAshu[Display Scheme],10)</f>
        <v>Aditya Birla Sun Life Banking And Financial Services Fund Growth</v>
      </c>
      <c r="C111">
        <f>INDEX(tManiqAshu[Date],10)</f>
        <v>44372</v>
      </c>
      <c r="D111">
        <f>INDEX(tManiqAshu[Signed Amount],10)</f>
        <v>2499.88</v>
      </c>
    </row>
    <row r="112" spans="1:4" x14ac:dyDescent="0.3">
      <c r="A112" t="s">
        <v>52</v>
      </c>
      <c r="B112" t="str">
        <f>INDEX(tManiqAshu[Display Scheme],11)</f>
        <v>Mahindra Manulife Focused Fund Growth</v>
      </c>
      <c r="C112">
        <f>INDEX(tManiqAshu[Date],11)</f>
        <v>44372</v>
      </c>
      <c r="D112">
        <f>INDEX(tManiqAshu[Signed Amount],11)</f>
        <v>1999.9</v>
      </c>
    </row>
    <row r="113" spans="1:4" x14ac:dyDescent="0.3">
      <c r="A113" t="s">
        <v>52</v>
      </c>
      <c r="B113" t="str">
        <f>INDEX(tManiqAshu[Display Scheme],12)</f>
        <v>Mirae Asset Large And Mid Cap Fund Growth</v>
      </c>
      <c r="C113">
        <f>INDEX(tManiqAshu[Date],12)</f>
        <v>44372</v>
      </c>
      <c r="D113">
        <f>INDEX(tManiqAshu[Signed Amount],12)</f>
        <v>2499.88</v>
      </c>
    </row>
    <row r="114" spans="1:4" x14ac:dyDescent="0.3">
      <c r="A114" t="s">
        <v>52</v>
      </c>
      <c r="B114" t="str">
        <f>INDEX(tManiqAshu[Display Scheme],13)</f>
        <v>Aditya Birla Sun Life Banking And Financial Services Fund Growth</v>
      </c>
      <c r="C114">
        <f>INDEX(tManiqAshu[Date],13)</f>
        <v>44403</v>
      </c>
      <c r="D114">
        <f>INDEX(tManiqAshu[Signed Amount],13)</f>
        <v>2499.88</v>
      </c>
    </row>
    <row r="115" spans="1:4" x14ac:dyDescent="0.3">
      <c r="A115" t="s">
        <v>52</v>
      </c>
      <c r="B115" t="str">
        <f>INDEX(tManiqAshu[Display Scheme],14)</f>
        <v>Mahindra Manulife Focused Fund Growth</v>
      </c>
      <c r="C115">
        <f>INDEX(tManiqAshu[Date],14)</f>
        <v>44403</v>
      </c>
      <c r="D115">
        <f>INDEX(tManiqAshu[Signed Amount],14)</f>
        <v>1999.9</v>
      </c>
    </row>
    <row r="116" spans="1:4" x14ac:dyDescent="0.3">
      <c r="A116" t="s">
        <v>52</v>
      </c>
      <c r="B116" t="str">
        <f>INDEX(tManiqAshu[Display Scheme],15)</f>
        <v>Mirae Asset Large And Mid Cap Fund Growth</v>
      </c>
      <c r="C116">
        <f>INDEX(tManiqAshu[Date],15)</f>
        <v>44403</v>
      </c>
      <c r="D116">
        <f>INDEX(tManiqAshu[Signed Amount],15)</f>
        <v>2499.88</v>
      </c>
    </row>
    <row r="117" spans="1:4" x14ac:dyDescent="0.3">
      <c r="A117" t="s">
        <v>52</v>
      </c>
      <c r="B117" t="str">
        <f>INDEX(tManiqAshu[Display Scheme],16)</f>
        <v>Aditya Birla Sun Life Banking And Financial Services Fund Growth</v>
      </c>
      <c r="C117">
        <f>INDEX(tManiqAshu[Date],16)</f>
        <v>44433</v>
      </c>
      <c r="D117">
        <f>INDEX(tManiqAshu[Signed Amount],16)</f>
        <v>2499.88</v>
      </c>
    </row>
    <row r="118" spans="1:4" x14ac:dyDescent="0.3">
      <c r="A118" t="s">
        <v>52</v>
      </c>
      <c r="B118" t="str">
        <f>INDEX(tManiqAshu[Display Scheme],17)</f>
        <v>Mirae Asset Large And Mid Cap Fund Growth</v>
      </c>
      <c r="C118">
        <f>INDEX(tManiqAshu[Date],17)</f>
        <v>44433</v>
      </c>
      <c r="D118">
        <f>INDEX(tManiqAshu[Signed Amount],17)</f>
        <v>2499.88</v>
      </c>
    </row>
    <row r="119" spans="1:4" x14ac:dyDescent="0.3">
      <c r="A119" t="s">
        <v>52</v>
      </c>
      <c r="B119" t="str">
        <f>INDEX(tManiqAshu[Display Scheme],18)</f>
        <v>Mahindra Manulife Focused Fund Growth</v>
      </c>
      <c r="C119">
        <f>INDEX(tManiqAshu[Date],18)</f>
        <v>44433</v>
      </c>
      <c r="D119">
        <f>INDEX(tManiqAshu[Signed Amount],18)</f>
        <v>1999.9</v>
      </c>
    </row>
    <row r="120" spans="1:4" x14ac:dyDescent="0.3">
      <c r="A120" t="s">
        <v>52</v>
      </c>
      <c r="B120" t="str">
        <f>INDEX(tManiqAshu[Display Scheme],19)</f>
        <v>Mahindra Manulife Flexi Cap Fund Growth</v>
      </c>
      <c r="C120">
        <f>INDEX(tManiqAshu[Date],19)</f>
        <v>44445</v>
      </c>
      <c r="D120">
        <f>INDEX(tManiqAshu[Signed Amount],19)</f>
        <v>499975</v>
      </c>
    </row>
    <row r="121" spans="1:4" x14ac:dyDescent="0.3">
      <c r="A121" t="s">
        <v>52</v>
      </c>
      <c r="B121" t="str">
        <f>INDEX(tManiqAshu[Display Scheme],20)</f>
        <v>Aditya Birla Sun Life Banking And Financial Services Fund Growth</v>
      </c>
      <c r="C121">
        <f>INDEX(tManiqAshu[Date],20)</f>
        <v>44466</v>
      </c>
      <c r="D121">
        <f>INDEX(tManiqAshu[Signed Amount],20)</f>
        <v>2499.88</v>
      </c>
    </row>
    <row r="122" spans="1:4" x14ac:dyDescent="0.3">
      <c r="A122" t="s">
        <v>52</v>
      </c>
      <c r="B122" t="str">
        <f>INDEX(tManiqAshu[Display Scheme],21)</f>
        <v>Mahindra Manulife Focused Fund Growth</v>
      </c>
      <c r="C122">
        <f>INDEX(tManiqAshu[Date],21)</f>
        <v>44466</v>
      </c>
      <c r="D122">
        <f>INDEX(tManiqAshu[Signed Amount],21)</f>
        <v>1999.9</v>
      </c>
    </row>
    <row r="123" spans="1:4" x14ac:dyDescent="0.3">
      <c r="A123" t="s">
        <v>52</v>
      </c>
      <c r="B123" t="str">
        <f>INDEX(tManiqAshu[Display Scheme],22)</f>
        <v>Mirae Asset Large And Mid Cap Fund Growth</v>
      </c>
      <c r="C123">
        <f>INDEX(tManiqAshu[Date],22)</f>
        <v>44466</v>
      </c>
      <c r="D123">
        <f>INDEX(tManiqAshu[Signed Amount],22)</f>
        <v>2499.88</v>
      </c>
    </row>
    <row r="124" spans="1:4" x14ac:dyDescent="0.3">
      <c r="A124" t="s">
        <v>52</v>
      </c>
      <c r="B124" t="str">
        <f>INDEX(tManiqAshu[Display Scheme],23)</f>
        <v>Mirae Asset Large And Mid Cap Fund Growth</v>
      </c>
      <c r="C124">
        <f>INDEX(tManiqAshu[Date],23)</f>
        <v>44495</v>
      </c>
      <c r="D124">
        <f>INDEX(tManiqAshu[Signed Amount],23)</f>
        <v>2499.88</v>
      </c>
    </row>
    <row r="125" spans="1:4" x14ac:dyDescent="0.3">
      <c r="A125" t="s">
        <v>52</v>
      </c>
      <c r="B125" t="str">
        <f>INDEX(tManiqAshu[Display Scheme],24)</f>
        <v>Aditya Birla Sun Life Banking And Financial Services Fund Growth</v>
      </c>
      <c r="C125">
        <f>INDEX(tManiqAshu[Date],24)</f>
        <v>44495</v>
      </c>
      <c r="D125">
        <f>INDEX(tManiqAshu[Signed Amount],24)</f>
        <v>2499.88</v>
      </c>
    </row>
    <row r="126" spans="1:4" x14ac:dyDescent="0.3">
      <c r="A126" t="s">
        <v>52</v>
      </c>
      <c r="B126" t="str">
        <f>INDEX(tManiqAshu[Display Scheme],25)</f>
        <v>Mahindra Manulife Focused Fund Growth</v>
      </c>
      <c r="C126">
        <f>INDEX(tManiqAshu[Date],25)</f>
        <v>44495</v>
      </c>
      <c r="D126">
        <f>INDEX(tManiqAshu[Signed Amount],25)</f>
        <v>1999.9</v>
      </c>
    </row>
    <row r="127" spans="1:4" x14ac:dyDescent="0.3">
      <c r="A127" t="s">
        <v>52</v>
      </c>
      <c r="B127" t="str">
        <f>INDEX(tManiqAshu[Display Scheme],26)</f>
        <v>Mahindra Manulife Focused Fund Growth</v>
      </c>
      <c r="C127">
        <f>INDEX(tManiqAshu[Date],26)</f>
        <v>44525</v>
      </c>
      <c r="D127">
        <f>INDEX(tManiqAshu[Signed Amount],26)</f>
        <v>1999.9</v>
      </c>
    </row>
    <row r="128" spans="1:4" x14ac:dyDescent="0.3">
      <c r="A128" t="s">
        <v>52</v>
      </c>
      <c r="B128" t="str">
        <f>INDEX(tManiqAshu[Display Scheme],27)</f>
        <v>Mirae Asset Large And Mid Cap Fund Growth</v>
      </c>
      <c r="C128">
        <f>INDEX(tManiqAshu[Date],27)</f>
        <v>44525</v>
      </c>
      <c r="D128">
        <f>INDEX(tManiqAshu[Signed Amount],27)</f>
        <v>2499.88</v>
      </c>
    </row>
    <row r="129" spans="1:4" x14ac:dyDescent="0.3">
      <c r="A129" t="s">
        <v>52</v>
      </c>
      <c r="B129" t="str">
        <f>INDEX(tManiqAshu[Display Scheme],28)</f>
        <v>Aditya Birla Sun Life Banking And Financial Services Fund Growth</v>
      </c>
      <c r="C129">
        <f>INDEX(tManiqAshu[Date],28)</f>
        <v>44525</v>
      </c>
      <c r="D129">
        <f>INDEX(tManiqAshu[Signed Amount],28)</f>
        <v>2499.88</v>
      </c>
    </row>
    <row r="130" spans="1:4" x14ac:dyDescent="0.3">
      <c r="A130" t="s">
        <v>52</v>
      </c>
      <c r="B130" t="str">
        <f>INDEX(tManiqAshu[Display Scheme],29)</f>
        <v>Mahindra Manulife Focused Fund Growth</v>
      </c>
      <c r="C130">
        <f>INDEX(tManiqAshu[Date],29)</f>
        <v>44557</v>
      </c>
      <c r="D130">
        <f>INDEX(tManiqAshu[Signed Amount],29)</f>
        <v>1999.9</v>
      </c>
    </row>
    <row r="131" spans="1:4" x14ac:dyDescent="0.3">
      <c r="A131" t="s">
        <v>52</v>
      </c>
      <c r="B131" t="str">
        <f>INDEX(tManiqAshu[Display Scheme],30)</f>
        <v>Mirae Asset Large And Mid Cap Fund Growth</v>
      </c>
      <c r="C131">
        <f>INDEX(tManiqAshu[Date],30)</f>
        <v>44557</v>
      </c>
      <c r="D131">
        <f>INDEX(tManiqAshu[Signed Amount],30)</f>
        <v>2499.88</v>
      </c>
    </row>
    <row r="132" spans="1:4" x14ac:dyDescent="0.3">
      <c r="A132" t="s">
        <v>52</v>
      </c>
      <c r="B132" t="str">
        <f>INDEX(tManiqAshu[Display Scheme],31)</f>
        <v>Aditya Birla Sun Life Banking And Financial Services Fund Growth</v>
      </c>
      <c r="C132">
        <f>INDEX(tManiqAshu[Date],31)</f>
        <v>44557</v>
      </c>
      <c r="D132">
        <f>INDEX(tManiqAshu[Signed Amount],31)</f>
        <v>2499.88</v>
      </c>
    </row>
    <row r="133" spans="1:4" x14ac:dyDescent="0.3">
      <c r="A133" t="s">
        <v>52</v>
      </c>
      <c r="B133" t="str">
        <f>INDEX(tManiqAshu[Display Scheme],32)</f>
        <v>Aditya Birla Sun Life Banking And Financial Services Fund Growth</v>
      </c>
      <c r="C133">
        <f>INDEX(tManiqAshu[Date],32)</f>
        <v>44586</v>
      </c>
      <c r="D133">
        <f>INDEX(tManiqAshu[Signed Amount],32)</f>
        <v>2499.88</v>
      </c>
    </row>
    <row r="134" spans="1:4" x14ac:dyDescent="0.3">
      <c r="A134" t="s">
        <v>52</v>
      </c>
      <c r="B134" t="str">
        <f>INDEX(tManiqAshu[Display Scheme],33)</f>
        <v>Mahindra Manulife Focused Fund Growth</v>
      </c>
      <c r="C134">
        <f>INDEX(tManiqAshu[Date],33)</f>
        <v>44586</v>
      </c>
      <c r="D134">
        <f>INDEX(tManiqAshu[Signed Amount],33)</f>
        <v>1999.9</v>
      </c>
    </row>
    <row r="135" spans="1:4" x14ac:dyDescent="0.3">
      <c r="A135" t="s">
        <v>52</v>
      </c>
      <c r="B135" t="str">
        <f>INDEX(tManiqAshu[Display Scheme],34)</f>
        <v>Mirae Asset Large And Mid Cap Fund Growth</v>
      </c>
      <c r="C135">
        <f>INDEX(tManiqAshu[Date],34)</f>
        <v>44586</v>
      </c>
      <c r="D135">
        <f>INDEX(tManiqAshu[Signed Amount],34)</f>
        <v>2499.88</v>
      </c>
    </row>
    <row r="136" spans="1:4" x14ac:dyDescent="0.3">
      <c r="A136" t="s">
        <v>52</v>
      </c>
      <c r="B136" t="str">
        <f>INDEX(tManiqAshu[Display Scheme],35)</f>
        <v>Mirae Asset Large And Mid Cap Fund Growth</v>
      </c>
      <c r="C136">
        <f>INDEX(tManiqAshu[Date],35)</f>
        <v>44617</v>
      </c>
      <c r="D136">
        <f>INDEX(tManiqAshu[Signed Amount],35)</f>
        <v>2499.88</v>
      </c>
    </row>
    <row r="137" spans="1:4" x14ac:dyDescent="0.3">
      <c r="A137" t="s">
        <v>52</v>
      </c>
      <c r="B137" t="str">
        <f>INDEX(tManiqAshu[Display Scheme],36)</f>
        <v>Mahindra Manulife Focused Fund Growth</v>
      </c>
      <c r="C137">
        <f>INDEX(tManiqAshu[Date],36)</f>
        <v>44617</v>
      </c>
      <c r="D137">
        <f>INDEX(tManiqAshu[Signed Amount],36)</f>
        <v>1999.9</v>
      </c>
    </row>
    <row r="138" spans="1:4" x14ac:dyDescent="0.3">
      <c r="A138" t="s">
        <v>52</v>
      </c>
      <c r="B138" t="str">
        <f>INDEX(tManiqAshu[Display Scheme],37)</f>
        <v>Aditya Birla Sun Life Banking And Financial Services Fund Growth</v>
      </c>
      <c r="C138">
        <f>INDEX(tManiqAshu[Date],37)</f>
        <v>44617</v>
      </c>
      <c r="D138">
        <f>INDEX(tManiqAshu[Signed Amount],37)</f>
        <v>2499.88</v>
      </c>
    </row>
    <row r="139" spans="1:4" x14ac:dyDescent="0.3">
      <c r="A139" t="s">
        <v>52</v>
      </c>
      <c r="B139" t="str">
        <f>INDEX(tManiqAshu[Display Scheme],38)</f>
        <v>Mahindra Manulife Focused Fund Growth</v>
      </c>
      <c r="C139">
        <f>INDEX(tManiqAshu[Date],38)</f>
        <v>44645</v>
      </c>
      <c r="D139">
        <f>INDEX(tManiqAshu[Signed Amount],38)</f>
        <v>1999.9</v>
      </c>
    </row>
    <row r="140" spans="1:4" x14ac:dyDescent="0.3">
      <c r="A140" t="s">
        <v>52</v>
      </c>
      <c r="B140" t="str">
        <f>INDEX(tManiqAshu[Display Scheme],39)</f>
        <v>Mirae Asset Large And Mid Cap Fund Growth</v>
      </c>
      <c r="C140">
        <f>INDEX(tManiqAshu[Date],39)</f>
        <v>44645</v>
      </c>
      <c r="D140">
        <f>INDEX(tManiqAshu[Signed Amount],39)</f>
        <v>2499.88</v>
      </c>
    </row>
    <row r="141" spans="1:4" x14ac:dyDescent="0.3">
      <c r="A141" t="s">
        <v>52</v>
      </c>
      <c r="B141" t="str">
        <f>INDEX(tManiqAshu[Display Scheme],40)</f>
        <v>Aditya Birla Sun Life Banking And Financial Services Fund Growth</v>
      </c>
      <c r="C141">
        <f>INDEX(tManiqAshu[Date],40)</f>
        <v>44645</v>
      </c>
      <c r="D141">
        <f>INDEX(tManiqAshu[Signed Amount],40)</f>
        <v>2499.88</v>
      </c>
    </row>
    <row r="142" spans="1:4" x14ac:dyDescent="0.3">
      <c r="A142" t="s">
        <v>52</v>
      </c>
      <c r="B142" t="str">
        <f>INDEX(tManiqAshu[Display Scheme],41)</f>
        <v>Aditya Birla Sun Life Banking And Financial Services Fund Growth</v>
      </c>
      <c r="C142">
        <f>INDEX(tManiqAshu[Date],41)</f>
        <v>44676</v>
      </c>
      <c r="D142">
        <f>INDEX(tManiqAshu[Signed Amount],41)</f>
        <v>2499.88</v>
      </c>
    </row>
    <row r="143" spans="1:4" x14ac:dyDescent="0.3">
      <c r="A143" t="s">
        <v>52</v>
      </c>
      <c r="B143" t="str">
        <f>INDEX(tManiqAshu[Display Scheme],42)</f>
        <v>Mirae Asset Large And Mid Cap Fund Growth</v>
      </c>
      <c r="C143">
        <f>INDEX(tManiqAshu[Date],42)</f>
        <v>44676</v>
      </c>
      <c r="D143">
        <f>INDEX(tManiqAshu[Signed Amount],42)</f>
        <v>2499.88</v>
      </c>
    </row>
    <row r="144" spans="1:4" x14ac:dyDescent="0.3">
      <c r="A144" t="s">
        <v>52</v>
      </c>
      <c r="B144" t="str">
        <f>INDEX(tManiqAshu[Display Scheme],43)</f>
        <v>Mahindra Manulife Focused Fund Growth</v>
      </c>
      <c r="C144">
        <f>INDEX(tManiqAshu[Date],43)</f>
        <v>44676</v>
      </c>
      <c r="D144">
        <f>INDEX(tManiqAshu[Signed Amount],43)</f>
        <v>1999.9</v>
      </c>
    </row>
    <row r="145" spans="1:4" x14ac:dyDescent="0.3">
      <c r="A145" t="s">
        <v>52</v>
      </c>
      <c r="B145" t="str">
        <f>INDEX(tManiqAshu[Display Scheme],44)</f>
        <v>Aditya Birla Sun Life Banking And Financial Services Fund Growth</v>
      </c>
      <c r="C145">
        <f>INDEX(tManiqAshu[Date],44)</f>
        <v>44706</v>
      </c>
      <c r="D145">
        <f>INDEX(tManiqAshu[Signed Amount],44)</f>
        <v>2499.88</v>
      </c>
    </row>
    <row r="146" spans="1:4" x14ac:dyDescent="0.3">
      <c r="A146" t="s">
        <v>52</v>
      </c>
      <c r="B146" t="str">
        <f>INDEX(tManiqAshu[Display Scheme],45)</f>
        <v>Mirae Asset Large And Mid Cap Fund Growth</v>
      </c>
      <c r="C146">
        <f>INDEX(tManiqAshu[Date],45)</f>
        <v>44706</v>
      </c>
      <c r="D146">
        <f>INDEX(tManiqAshu[Signed Amount],45)</f>
        <v>2499.88</v>
      </c>
    </row>
    <row r="147" spans="1:4" x14ac:dyDescent="0.3">
      <c r="A147" t="s">
        <v>52</v>
      </c>
      <c r="B147" t="str">
        <f>INDEX(tManiqAshu[Display Scheme],46)</f>
        <v>Mahindra Manulife Focused Fund Growth</v>
      </c>
      <c r="C147">
        <f>INDEX(tManiqAshu[Date],46)</f>
        <v>44706</v>
      </c>
      <c r="D147">
        <f>INDEX(tManiqAshu[Signed Amount],46)</f>
        <v>1999.9</v>
      </c>
    </row>
    <row r="148" spans="1:4" x14ac:dyDescent="0.3">
      <c r="A148" t="s">
        <v>52</v>
      </c>
      <c r="B148" t="str">
        <f>INDEX(tManiqAshu[Display Scheme],47)</f>
        <v>Aditya Birla Sun Life Banking And Financial Services Fund Growth</v>
      </c>
      <c r="C148">
        <f>INDEX(tManiqAshu[Date],47)</f>
        <v>44739</v>
      </c>
      <c r="D148">
        <f>INDEX(tManiqAshu[Signed Amount],47)</f>
        <v>2499.88</v>
      </c>
    </row>
    <row r="149" spans="1:4" x14ac:dyDescent="0.3">
      <c r="A149" t="s">
        <v>52</v>
      </c>
      <c r="B149" t="str">
        <f>INDEX(tManiqAshu[Display Scheme],48)</f>
        <v>Mahindra Manulife Focused Fund Growth</v>
      </c>
      <c r="C149">
        <f>INDEX(tManiqAshu[Date],48)</f>
        <v>44739</v>
      </c>
      <c r="D149">
        <f>INDEX(tManiqAshu[Signed Amount],48)</f>
        <v>1999.9</v>
      </c>
    </row>
    <row r="150" spans="1:4" x14ac:dyDescent="0.3">
      <c r="A150" t="s">
        <v>52</v>
      </c>
      <c r="B150" t="str">
        <f>INDEX(tManiqAshu[Display Scheme],49)</f>
        <v>Mirae Asset Large And Mid Cap Fund Growth</v>
      </c>
      <c r="C150">
        <f>INDEX(tManiqAshu[Date],49)</f>
        <v>44739</v>
      </c>
      <c r="D150">
        <f>INDEX(tManiqAshu[Signed Amount],49)</f>
        <v>2499.88</v>
      </c>
    </row>
    <row r="151" spans="1:4" x14ac:dyDescent="0.3">
      <c r="A151" t="s">
        <v>52</v>
      </c>
      <c r="B151" t="str">
        <f>INDEX(tManiqAshu[Display Scheme],50)</f>
        <v>Mirae Asset Large And Mid Cap Fund Growth</v>
      </c>
      <c r="C151">
        <f>INDEX(tManiqAshu[Date],50)</f>
        <v>44767</v>
      </c>
      <c r="D151">
        <f>INDEX(tManiqAshu[Signed Amount],50)</f>
        <v>2499.88</v>
      </c>
    </row>
    <row r="152" spans="1:4" x14ac:dyDescent="0.3">
      <c r="A152" t="s">
        <v>52</v>
      </c>
      <c r="B152" t="str">
        <f>INDEX(tManiqAshu[Display Scheme],51)</f>
        <v>Aditya Birla Sun Life Banking And Financial Services Fund Growth</v>
      </c>
      <c r="C152">
        <f>INDEX(tManiqAshu[Date],51)</f>
        <v>44767</v>
      </c>
      <c r="D152">
        <f>INDEX(tManiqAshu[Signed Amount],51)</f>
        <v>2499.88</v>
      </c>
    </row>
    <row r="153" spans="1:4" x14ac:dyDescent="0.3">
      <c r="A153" t="s">
        <v>52</v>
      </c>
      <c r="B153" t="str">
        <f>INDEX(tManiqAshu[Display Scheme],52)</f>
        <v>Mahindra Manulife Focused Fund Growth</v>
      </c>
      <c r="C153">
        <f>INDEX(tManiqAshu[Date],52)</f>
        <v>44767</v>
      </c>
      <c r="D153">
        <f>INDEX(tManiqAshu[Signed Amount],52)</f>
        <v>1999.9</v>
      </c>
    </row>
    <row r="154" spans="1:4" x14ac:dyDescent="0.3">
      <c r="A154" t="s">
        <v>52</v>
      </c>
      <c r="B154" t="str">
        <f>INDEX(tManiqAshu[Display Scheme],53)</f>
        <v>Mahindra Manulife Focused Fund Growth</v>
      </c>
      <c r="C154">
        <f>INDEX(tManiqAshu[Date],53)</f>
        <v>44798</v>
      </c>
      <c r="D154">
        <f>INDEX(tManiqAshu[Signed Amount],53)</f>
        <v>1999.9</v>
      </c>
    </row>
    <row r="155" spans="1:4" x14ac:dyDescent="0.3">
      <c r="A155" t="s">
        <v>52</v>
      </c>
      <c r="B155" t="str">
        <f>INDEX(tManiqAshu[Display Scheme],54)</f>
        <v>Mirae Asset Large And Mid Cap Fund Growth</v>
      </c>
      <c r="C155">
        <f>INDEX(tManiqAshu[Date],54)</f>
        <v>44798</v>
      </c>
      <c r="D155">
        <f>INDEX(tManiqAshu[Signed Amount],54)</f>
        <v>2499.88</v>
      </c>
    </row>
    <row r="156" spans="1:4" x14ac:dyDescent="0.3">
      <c r="A156" t="s">
        <v>52</v>
      </c>
      <c r="B156" t="str">
        <f>INDEX(tManiqAshu[Display Scheme],55)</f>
        <v>Aditya Birla Sun Life Banking And Financial Services Fund Growth</v>
      </c>
      <c r="C156">
        <f>INDEX(tManiqAshu[Date],55)</f>
        <v>44798</v>
      </c>
      <c r="D156">
        <f>INDEX(tManiqAshu[Signed Amount],55)</f>
        <v>2499.88</v>
      </c>
    </row>
    <row r="157" spans="1:4" x14ac:dyDescent="0.3">
      <c r="A157" t="s">
        <v>52</v>
      </c>
      <c r="B157" t="str">
        <f>INDEX(tManiqAshu[Display Scheme],56)</f>
        <v>Aditya Birla Sun Life Banking And Financial Services Fund Growth</v>
      </c>
      <c r="C157">
        <f>INDEX(tManiqAshu[Date],56)</f>
        <v>44830</v>
      </c>
      <c r="D157">
        <f>INDEX(tManiqAshu[Signed Amount],56)</f>
        <v>2499.88</v>
      </c>
    </row>
    <row r="158" spans="1:4" x14ac:dyDescent="0.3">
      <c r="A158" t="s">
        <v>52</v>
      </c>
      <c r="B158" t="str">
        <f>INDEX(tManiqAshu[Display Scheme],57)</f>
        <v>Mahindra Manulife Focused Fund Growth</v>
      </c>
      <c r="C158">
        <f>INDEX(tManiqAshu[Date],57)</f>
        <v>44859</v>
      </c>
      <c r="D158">
        <f>INDEX(tManiqAshu[Signed Amount],57)</f>
        <v>1999.9</v>
      </c>
    </row>
    <row r="159" spans="1:4" x14ac:dyDescent="0.3">
      <c r="A159" t="s">
        <v>52</v>
      </c>
      <c r="B159" t="str">
        <f>INDEX(tManiqAshu[Display Scheme],58)</f>
        <v>Mirae Asset Large And Mid Cap Fund Growth</v>
      </c>
      <c r="C159">
        <f>INDEX(tManiqAshu[Date],58)</f>
        <v>44859</v>
      </c>
      <c r="D159">
        <f>INDEX(tManiqAshu[Signed Amount],58)</f>
        <v>2499.88</v>
      </c>
    </row>
    <row r="160" spans="1:4" x14ac:dyDescent="0.3">
      <c r="A160" t="s">
        <v>52</v>
      </c>
      <c r="B160" t="str">
        <f>INDEX(tManiqAshu[Display Scheme],59)</f>
        <v>Aditya Birla Sun Life Banking And Financial Services Fund Growth</v>
      </c>
      <c r="C160">
        <f>INDEX(tManiqAshu[Date],59)</f>
        <v>44859</v>
      </c>
      <c r="D160">
        <f>INDEX(tManiqAshu[Signed Amount],59)</f>
        <v>2499.88</v>
      </c>
    </row>
    <row r="161" spans="1:4" x14ac:dyDescent="0.3">
      <c r="A161" t="s">
        <v>52</v>
      </c>
      <c r="B161" t="str">
        <f>INDEX(tManiqAshu[Display Scheme],60)</f>
        <v>Mirae Asset Large And Mid Cap Fund Growth</v>
      </c>
      <c r="C161">
        <f>INDEX(tManiqAshu[Date],60)</f>
        <v>44890</v>
      </c>
      <c r="D161">
        <f>INDEX(tManiqAshu[Signed Amount],60)</f>
        <v>2499.88</v>
      </c>
    </row>
    <row r="162" spans="1:4" x14ac:dyDescent="0.3">
      <c r="A162" t="s">
        <v>52</v>
      </c>
      <c r="B162" t="str">
        <f>INDEX(tManiqAshu[Display Scheme],61)</f>
        <v>Mahindra Manulife Focused Fund Growth</v>
      </c>
      <c r="C162">
        <f>INDEX(tManiqAshu[Date],61)</f>
        <v>44890</v>
      </c>
      <c r="D162">
        <f>INDEX(tManiqAshu[Signed Amount],61)</f>
        <v>1999.9</v>
      </c>
    </row>
    <row r="163" spans="1:4" x14ac:dyDescent="0.3">
      <c r="A163" t="s">
        <v>52</v>
      </c>
      <c r="B163" t="str">
        <f>INDEX(tManiqAshu[Display Scheme],62)</f>
        <v>Aditya Birla Sun Life Banking And Financial Services Fund Growth</v>
      </c>
      <c r="C163">
        <f>INDEX(tManiqAshu[Date],62)</f>
        <v>44890</v>
      </c>
      <c r="D163">
        <f>INDEX(tManiqAshu[Signed Amount],62)</f>
        <v>2499.88</v>
      </c>
    </row>
    <row r="164" spans="1:4" x14ac:dyDescent="0.3">
      <c r="A164" t="s">
        <v>52</v>
      </c>
      <c r="B164" t="str">
        <f>INDEX(tManiqAshu[Display Scheme],63)</f>
        <v>Aditya Birla Sun Life Banking And Financial Services Fund Growth</v>
      </c>
      <c r="C164">
        <f>INDEX(tManiqAshu[Date],63)</f>
        <v>44921</v>
      </c>
      <c r="D164">
        <f>INDEX(tManiqAshu[Signed Amount],63)</f>
        <v>2499.88</v>
      </c>
    </row>
    <row r="165" spans="1:4" x14ac:dyDescent="0.3">
      <c r="A165" t="s">
        <v>52</v>
      </c>
      <c r="B165" t="str">
        <f>INDEX(tManiqAshu[Display Scheme],64)</f>
        <v>Mahindra Manulife Focused Fund Growth</v>
      </c>
      <c r="C165">
        <f>INDEX(tManiqAshu[Date],64)</f>
        <v>44921</v>
      </c>
      <c r="D165">
        <f>INDEX(tManiqAshu[Signed Amount],64)</f>
        <v>1999.9</v>
      </c>
    </row>
    <row r="166" spans="1:4" x14ac:dyDescent="0.3">
      <c r="A166" t="s">
        <v>52</v>
      </c>
      <c r="B166" t="str">
        <f>INDEX(tManiqAshu[Display Scheme],65)</f>
        <v>Mirae Asset Large And Mid Cap Fund Growth</v>
      </c>
      <c r="C166">
        <f>INDEX(tManiqAshu[Date],65)</f>
        <v>44921</v>
      </c>
      <c r="D166">
        <f>INDEX(tManiqAshu[Signed Amount],65)</f>
        <v>2499.88</v>
      </c>
    </row>
    <row r="167" spans="1:4" x14ac:dyDescent="0.3">
      <c r="A167" t="s">
        <v>52</v>
      </c>
      <c r="B167" t="str">
        <f>INDEX(tManiqAshu[Display Scheme],66)</f>
        <v>Aditya Birla Sun Life Banking And Financial Services Fund Growth</v>
      </c>
      <c r="C167">
        <f>INDEX(tManiqAshu[Date],66)</f>
        <v>44951</v>
      </c>
      <c r="D167">
        <f>INDEX(tManiqAshu[Signed Amount],66)</f>
        <v>2499.88</v>
      </c>
    </row>
    <row r="168" spans="1:4" x14ac:dyDescent="0.3">
      <c r="A168" t="s">
        <v>52</v>
      </c>
      <c r="B168" t="str">
        <f>INDEX(tManiqAshu[Display Scheme],67)</f>
        <v>Mirae Asset Large And Mid Cap Fund Growth</v>
      </c>
      <c r="C168">
        <f>INDEX(tManiqAshu[Date],67)</f>
        <v>44951</v>
      </c>
      <c r="D168">
        <f>INDEX(tManiqAshu[Signed Amount],67)</f>
        <v>2499.88</v>
      </c>
    </row>
    <row r="169" spans="1:4" x14ac:dyDescent="0.3">
      <c r="A169" t="s">
        <v>52</v>
      </c>
      <c r="B169" t="str">
        <f>INDEX(tManiqAshu[Display Scheme],68)</f>
        <v>Mahindra Manulife Focused Fund Growth</v>
      </c>
      <c r="C169">
        <f>INDEX(tManiqAshu[Date],68)</f>
        <v>44951</v>
      </c>
      <c r="D169">
        <f>INDEX(tManiqAshu[Signed Amount],68)</f>
        <v>1999.9</v>
      </c>
    </row>
    <row r="170" spans="1:4" x14ac:dyDescent="0.3">
      <c r="A170" t="s">
        <v>52</v>
      </c>
      <c r="B170" t="str">
        <f>INDEX(tManiqAshu[Display Scheme],69)</f>
        <v>Mahindra Manulife Focused Fund Growth</v>
      </c>
      <c r="C170">
        <f>INDEX(tManiqAshu[Date],69)</f>
        <v>44984</v>
      </c>
      <c r="D170">
        <f>INDEX(tManiqAshu[Signed Amount],69)</f>
        <v>1999.9</v>
      </c>
    </row>
    <row r="171" spans="1:4" x14ac:dyDescent="0.3">
      <c r="A171" t="s">
        <v>52</v>
      </c>
      <c r="B171" t="str">
        <f>INDEX(tManiqAshu[Display Scheme],70)</f>
        <v>Mirae Asset Large And Mid Cap Fund Growth</v>
      </c>
      <c r="C171">
        <f>INDEX(tManiqAshu[Date],70)</f>
        <v>44984</v>
      </c>
      <c r="D171">
        <f>INDEX(tManiqAshu[Signed Amount],70)</f>
        <v>2499.88</v>
      </c>
    </row>
    <row r="172" spans="1:4" x14ac:dyDescent="0.3">
      <c r="A172" t="s">
        <v>52</v>
      </c>
      <c r="B172" t="str">
        <f>INDEX(tManiqAshu[Display Scheme],71)</f>
        <v>Aditya Birla Sun Life Banking And Financial Services Fund Growth</v>
      </c>
      <c r="C172">
        <f>INDEX(tManiqAshu[Date],71)</f>
        <v>44984</v>
      </c>
      <c r="D172">
        <f>INDEX(tManiqAshu[Signed Amount],71)</f>
        <v>2499.88</v>
      </c>
    </row>
    <row r="173" spans="1:4" x14ac:dyDescent="0.3">
      <c r="A173" t="s">
        <v>52</v>
      </c>
      <c r="B173" t="str">
        <f>INDEX(tManiqAshu[Display Scheme],72)</f>
        <v>Aditya Birla Sun Life Banking And Financial Services Fund Growth</v>
      </c>
      <c r="C173">
        <f>INDEX(tManiqAshu[Date],72)</f>
        <v>45014</v>
      </c>
      <c r="D173">
        <f>INDEX(tManiqAshu[Signed Amount],72)</f>
        <v>2499.88</v>
      </c>
    </row>
    <row r="174" spans="1:4" x14ac:dyDescent="0.3">
      <c r="A174" t="s">
        <v>52</v>
      </c>
      <c r="B174" t="str">
        <f>INDEX(tManiqAshu[Display Scheme],73)</f>
        <v>Mirae Asset Large And Mid Cap Fund Growth</v>
      </c>
      <c r="C174">
        <f>INDEX(tManiqAshu[Date],73)</f>
        <v>45014</v>
      </c>
      <c r="D174">
        <f>INDEX(tManiqAshu[Signed Amount],73)</f>
        <v>2499.88</v>
      </c>
    </row>
    <row r="175" spans="1:4" x14ac:dyDescent="0.3">
      <c r="A175" t="s">
        <v>52</v>
      </c>
      <c r="B175" t="str">
        <f>INDEX(tManiqAshu[Display Scheme],74)</f>
        <v>Mahindra Manulife Focused Fund Growth</v>
      </c>
      <c r="C175">
        <f>INDEX(tManiqAshu[Date],74)</f>
        <v>45014</v>
      </c>
      <c r="D175">
        <f>INDEX(tManiqAshu[Signed Amount],74)</f>
        <v>1999.9</v>
      </c>
    </row>
    <row r="176" spans="1:4" x14ac:dyDescent="0.3">
      <c r="A176" t="s">
        <v>52</v>
      </c>
      <c r="B176" t="str">
        <f>INDEX(tManiqAshu[Display Scheme],75)</f>
        <v>Mahindra Manulife Focused Fund Growth</v>
      </c>
      <c r="C176">
        <f>INDEX(tManiqAshu[Date],75)</f>
        <v>45041</v>
      </c>
      <c r="D176">
        <f>INDEX(tManiqAshu[Signed Amount],75)</f>
        <v>1999.9</v>
      </c>
    </row>
    <row r="177" spans="1:4" x14ac:dyDescent="0.3">
      <c r="A177" t="s">
        <v>52</v>
      </c>
      <c r="B177" t="str">
        <f>INDEX(tManiqAshu[Display Scheme],76)</f>
        <v>Aditya Birla Sun Life Banking And Financial Services Fund Growth</v>
      </c>
      <c r="C177">
        <f>INDEX(tManiqAshu[Date],76)</f>
        <v>45041</v>
      </c>
      <c r="D177">
        <f>INDEX(tManiqAshu[Signed Amount],76)</f>
        <v>2499.88</v>
      </c>
    </row>
    <row r="178" spans="1:4" x14ac:dyDescent="0.3">
      <c r="A178" t="s">
        <v>52</v>
      </c>
      <c r="B178" t="str">
        <f>INDEX(tManiqAshu[Display Scheme],77)</f>
        <v>Mirae Asset Large And Mid Cap Fund Growth</v>
      </c>
      <c r="C178">
        <f>INDEX(tManiqAshu[Date],77)</f>
        <v>45041</v>
      </c>
      <c r="D178">
        <f>INDEX(tManiqAshu[Signed Amount],77)</f>
        <v>2499.88</v>
      </c>
    </row>
    <row r="179" spans="1:4" x14ac:dyDescent="0.3">
      <c r="A179" t="s">
        <v>52</v>
      </c>
      <c r="B179" t="str">
        <f>INDEX(tManiqAshu[Display Scheme],78)</f>
        <v>Mahindra Manulife Focused Fund Growth</v>
      </c>
      <c r="C179">
        <f>INDEX(tManiqAshu[Date],78)</f>
        <v>45071</v>
      </c>
      <c r="D179">
        <f>INDEX(tManiqAshu[Signed Amount],78)</f>
        <v>1999.9</v>
      </c>
    </row>
    <row r="180" spans="1:4" x14ac:dyDescent="0.3">
      <c r="A180" t="s">
        <v>52</v>
      </c>
      <c r="B180" t="str">
        <f>INDEX(tManiqAshu[Display Scheme],79)</f>
        <v>Mirae Asset Large And Mid Cap Fund Growth</v>
      </c>
      <c r="C180">
        <f>INDEX(tManiqAshu[Date],79)</f>
        <v>45071</v>
      </c>
      <c r="D180">
        <f>INDEX(tManiqAshu[Signed Amount],79)</f>
        <v>2499.88</v>
      </c>
    </row>
    <row r="181" spans="1:4" x14ac:dyDescent="0.3">
      <c r="A181" t="s">
        <v>52</v>
      </c>
      <c r="B181" t="str">
        <f>INDEX(tManiqAshu[Display Scheme],80)</f>
        <v>Aditya Birla Sun Life Banking And Financial Services Fund Growth</v>
      </c>
      <c r="C181">
        <f>INDEX(tManiqAshu[Date],80)</f>
        <v>45071</v>
      </c>
      <c r="D181">
        <f>INDEX(tManiqAshu[Signed Amount],80)</f>
        <v>2499.88</v>
      </c>
    </row>
    <row r="182" spans="1:4" x14ac:dyDescent="0.3">
      <c r="A182" t="s">
        <v>52</v>
      </c>
      <c r="B182" t="str">
        <f>INDEX(tManiqAshu[Display Scheme],81)</f>
        <v>Mirae Asset Large And Mid Cap Fund Growth</v>
      </c>
      <c r="C182">
        <f>INDEX(tManiqAshu[Date],81)</f>
        <v>45103</v>
      </c>
      <c r="D182">
        <f>INDEX(tManiqAshu[Signed Amount],81)</f>
        <v>2499.88</v>
      </c>
    </row>
    <row r="183" spans="1:4" x14ac:dyDescent="0.3">
      <c r="A183" t="s">
        <v>52</v>
      </c>
      <c r="B183" t="str">
        <f>INDEX(tManiqAshu[Display Scheme],82)</f>
        <v>Mahindra Manulife Focused Fund Growth</v>
      </c>
      <c r="C183">
        <f>INDEX(tManiqAshu[Date],82)</f>
        <v>45103</v>
      </c>
      <c r="D183">
        <f>INDEX(tManiqAshu[Signed Amount],82)</f>
        <v>1999.9</v>
      </c>
    </row>
    <row r="184" spans="1:4" x14ac:dyDescent="0.3">
      <c r="A184" t="s">
        <v>52</v>
      </c>
      <c r="B184" t="str">
        <f>INDEX(tManiqAshu[Display Scheme],83)</f>
        <v>Aditya Birla Sun Life Banking And Financial Services Fund Growth</v>
      </c>
      <c r="C184">
        <f>INDEX(tManiqAshu[Date],83)</f>
        <v>45103</v>
      </c>
      <c r="D184">
        <f>INDEX(tManiqAshu[Signed Amount],83)</f>
        <v>2499.88</v>
      </c>
    </row>
    <row r="185" spans="1:4" x14ac:dyDescent="0.3">
      <c r="A185" t="s">
        <v>52</v>
      </c>
      <c r="B185" t="str">
        <f>INDEX(tManiqAshu[Display Scheme],84)</f>
        <v>Aditya Birla Sun Life Banking And Financial Services Fund Growth</v>
      </c>
      <c r="C185">
        <f>INDEX(tManiqAshu[Date],84)</f>
        <v>45132</v>
      </c>
      <c r="D185">
        <f>INDEX(tManiqAshu[Signed Amount],84)</f>
        <v>2499.88</v>
      </c>
    </row>
    <row r="186" spans="1:4" x14ac:dyDescent="0.3">
      <c r="A186" t="s">
        <v>52</v>
      </c>
      <c r="B186" t="str">
        <f>INDEX(tManiqAshu[Display Scheme],85)</f>
        <v>Mirae Asset Large And Mid Cap Fund Growth</v>
      </c>
      <c r="C186">
        <f>INDEX(tManiqAshu[Date],85)</f>
        <v>45132</v>
      </c>
      <c r="D186">
        <f>INDEX(tManiqAshu[Signed Amount],85)</f>
        <v>2499.88</v>
      </c>
    </row>
    <row r="187" spans="1:4" x14ac:dyDescent="0.3">
      <c r="A187" t="s">
        <v>52</v>
      </c>
      <c r="B187" t="str">
        <f>INDEX(tManiqAshu[Display Scheme],86)</f>
        <v>Mahindra Manulife Focused Fund Growth</v>
      </c>
      <c r="C187">
        <f>INDEX(tManiqAshu[Date],86)</f>
        <v>45132</v>
      </c>
      <c r="D187">
        <f>INDEX(tManiqAshu[Signed Amount],86)</f>
        <v>1999.9</v>
      </c>
    </row>
    <row r="188" spans="1:4" x14ac:dyDescent="0.3">
      <c r="A188" t="s">
        <v>52</v>
      </c>
      <c r="B188" t="str">
        <f>INDEX(tManiqAshu[Display Scheme],87)</f>
        <v>Mirae Asset Large And Mid Cap Fund Growth</v>
      </c>
      <c r="C188">
        <f>INDEX(tManiqAshu[Date],87)</f>
        <v>45163</v>
      </c>
      <c r="D188">
        <f>INDEX(tManiqAshu[Signed Amount],87)</f>
        <v>2499.88</v>
      </c>
    </row>
    <row r="189" spans="1:4" x14ac:dyDescent="0.3">
      <c r="A189" t="s">
        <v>52</v>
      </c>
      <c r="B189" t="str">
        <f>INDEX(tManiqAshu[Display Scheme],88)</f>
        <v>Mahindra Manulife Focused Fund Growth</v>
      </c>
      <c r="C189">
        <f>INDEX(tManiqAshu[Date],88)</f>
        <v>45163</v>
      </c>
      <c r="D189">
        <f>INDEX(tManiqAshu[Signed Amount],88)</f>
        <v>1999.9</v>
      </c>
    </row>
    <row r="190" spans="1:4" x14ac:dyDescent="0.3">
      <c r="A190" t="s">
        <v>52</v>
      </c>
      <c r="B190" t="str">
        <f>INDEX(tManiqAshu[Display Scheme],89)</f>
        <v>Aditya Birla Sun Life Banking And Financial Services Fund Growth</v>
      </c>
      <c r="C190">
        <f>INDEX(tManiqAshu[Date],89)</f>
        <v>45163</v>
      </c>
      <c r="D190">
        <f>INDEX(tManiqAshu[Signed Amount],89)</f>
        <v>2499.88</v>
      </c>
    </row>
    <row r="191" spans="1:4" x14ac:dyDescent="0.3">
      <c r="A191" t="s">
        <v>52</v>
      </c>
      <c r="B191" t="str">
        <f>INDEX(tManiqAshu[Display Scheme],90)</f>
        <v>Mirae Asset Large And Mid Cap Fund Growth</v>
      </c>
      <c r="C191">
        <f>INDEX(tManiqAshu[Date],90)</f>
        <v>45195</v>
      </c>
      <c r="D191">
        <f>INDEX(tManiqAshu[Signed Amount],90)</f>
        <v>2499.88</v>
      </c>
    </row>
    <row r="192" spans="1:4" x14ac:dyDescent="0.3">
      <c r="A192" t="s">
        <v>52</v>
      </c>
      <c r="B192" t="str">
        <f>INDEX(tManiqAshu[Display Scheme],91)</f>
        <v>Aditya Birla Sun Life Banking And Financial Services Fund Growth</v>
      </c>
      <c r="C192">
        <f>INDEX(tManiqAshu[Date],91)</f>
        <v>45195</v>
      </c>
      <c r="D192">
        <f>INDEX(tManiqAshu[Signed Amount],91)</f>
        <v>2499.88</v>
      </c>
    </row>
    <row r="193" spans="1:4" x14ac:dyDescent="0.3">
      <c r="A193" t="s">
        <v>52</v>
      </c>
      <c r="B193" t="str">
        <f>INDEX(tManiqAshu[Display Scheme],92)</f>
        <v>Mahindra Manulife Focused Fund Growth</v>
      </c>
      <c r="C193">
        <f>INDEX(tManiqAshu[Date],92)</f>
        <v>45195</v>
      </c>
      <c r="D193">
        <f>INDEX(tManiqAshu[Signed Amount],92)</f>
        <v>1999.9</v>
      </c>
    </row>
    <row r="194" spans="1:4" x14ac:dyDescent="0.3">
      <c r="A194" t="s">
        <v>52</v>
      </c>
      <c r="B194" t="str">
        <f>INDEX(tManiqAshu[Display Scheme],93)</f>
        <v>Mahindra Manulife Focused Fund Growth</v>
      </c>
      <c r="C194">
        <f>INDEX(tManiqAshu[Date],93)</f>
        <v>45224</v>
      </c>
      <c r="D194">
        <f>INDEX(tManiqAshu[Signed Amount],93)</f>
        <v>1999.9</v>
      </c>
    </row>
    <row r="195" spans="1:4" x14ac:dyDescent="0.3">
      <c r="A195" t="s">
        <v>52</v>
      </c>
      <c r="B195" t="str">
        <f>INDEX(tManiqAshu[Display Scheme],94)</f>
        <v>Mirae Asset Large And Mid Cap Fund Growth</v>
      </c>
      <c r="C195">
        <f>INDEX(tManiqAshu[Date],94)</f>
        <v>45224</v>
      </c>
      <c r="D195">
        <f>INDEX(tManiqAshu[Signed Amount],94)</f>
        <v>2499.88</v>
      </c>
    </row>
    <row r="196" spans="1:4" x14ac:dyDescent="0.3">
      <c r="A196" t="s">
        <v>52</v>
      </c>
      <c r="B196" t="str">
        <f>INDEX(tManiqAshu[Display Scheme],95)</f>
        <v>Aditya Birla Sun Life Banking And Financial Services Fund Growth</v>
      </c>
      <c r="C196">
        <f>INDEX(tManiqAshu[Date],95)</f>
        <v>45224</v>
      </c>
      <c r="D196">
        <f>INDEX(tManiqAshu[Signed Amount],95)</f>
        <v>2499.88</v>
      </c>
    </row>
    <row r="197" spans="1:4" x14ac:dyDescent="0.3">
      <c r="A197" t="s">
        <v>52</v>
      </c>
      <c r="B197" t="str">
        <f>INDEX(tManiqAshu[Display Scheme],96)</f>
        <v>Aditya Birla Sun Life Banking And Financial Services Fund Growth</v>
      </c>
      <c r="C197">
        <f>INDEX(tManiqAshu[Date],96)</f>
        <v>45258</v>
      </c>
      <c r="D197">
        <f>INDEX(tManiqAshu[Signed Amount],96)</f>
        <v>2499.88</v>
      </c>
    </row>
    <row r="198" spans="1:4" x14ac:dyDescent="0.3">
      <c r="A198" t="s">
        <v>52</v>
      </c>
      <c r="B198" t="str">
        <f>INDEX(tManiqAshu[Display Scheme],97)</f>
        <v>Mahindra Manulife Focused Fund Growth</v>
      </c>
      <c r="C198">
        <f>INDEX(tManiqAshu[Date],97)</f>
        <v>45258</v>
      </c>
      <c r="D198">
        <f>INDEX(tManiqAshu[Signed Amount],97)</f>
        <v>1999.9</v>
      </c>
    </row>
    <row r="199" spans="1:4" x14ac:dyDescent="0.3">
      <c r="A199" t="s">
        <v>52</v>
      </c>
      <c r="B199" t="str">
        <f>INDEX(tManiqAshu[Display Scheme],98)</f>
        <v>Mirae Asset Large And Mid Cap Fund Growth</v>
      </c>
      <c r="C199">
        <f>INDEX(tManiqAshu[Date],98)</f>
        <v>45258</v>
      </c>
      <c r="D199">
        <f>INDEX(tManiqAshu[Signed Amount],98)</f>
        <v>2499.88</v>
      </c>
    </row>
    <row r="200" spans="1:4" x14ac:dyDescent="0.3">
      <c r="A200" t="s">
        <v>52</v>
      </c>
      <c r="B200" t="str">
        <f>INDEX(tManiqAshu[Display Scheme],99)</f>
        <v>Mahindra Manulife Focused Fund Growth</v>
      </c>
      <c r="C200">
        <f>INDEX(tManiqAshu[Date],99)</f>
        <v>45286</v>
      </c>
      <c r="D200">
        <f>INDEX(tManiqAshu[Signed Amount],99)</f>
        <v>1999.9</v>
      </c>
    </row>
    <row r="201" spans="1:4" x14ac:dyDescent="0.3">
      <c r="A201" t="s">
        <v>52</v>
      </c>
      <c r="B201" t="str">
        <f>INDEX(tManiqAshu[Display Scheme],100)</f>
        <v>Mirae Asset Large And Mid Cap Fund Growth</v>
      </c>
      <c r="C201">
        <f>INDEX(tManiqAshu[Date],100)</f>
        <v>45286</v>
      </c>
      <c r="D201">
        <f>INDEX(tManiqAshu[Signed Amount],100)</f>
        <v>2499.88</v>
      </c>
    </row>
    <row r="202" spans="1:4" x14ac:dyDescent="0.3">
      <c r="A202" t="s">
        <v>52</v>
      </c>
      <c r="B202" t="str">
        <f>INDEX(tManiqAshu[Display Scheme],101)</f>
        <v>Aditya Birla Sun Life Banking And Financial Services Fund Growth</v>
      </c>
      <c r="C202">
        <f>INDEX(tManiqAshu[Date],101)</f>
        <v>45286</v>
      </c>
      <c r="D202">
        <f>INDEX(tManiqAshu[Signed Amount],101)</f>
        <v>2499.88</v>
      </c>
    </row>
    <row r="203" spans="1:4" x14ac:dyDescent="0.3">
      <c r="A203" t="s">
        <v>52</v>
      </c>
      <c r="B203" t="str">
        <f>INDEX(tManiqAshu[Display Scheme],102)</f>
        <v>Mirae Asset Large And Mid Cap Fund Growth</v>
      </c>
      <c r="C203">
        <f>INDEX(tManiqAshu[Date],102)</f>
        <v>45316</v>
      </c>
      <c r="D203">
        <f>INDEX(tManiqAshu[Signed Amount],102)</f>
        <v>2499.88</v>
      </c>
    </row>
    <row r="204" spans="1:4" x14ac:dyDescent="0.3">
      <c r="A204" t="s">
        <v>52</v>
      </c>
      <c r="B204" t="str">
        <f>INDEX(tManiqAshu[Display Scheme],103)</f>
        <v>Aditya Birla Sun Life Banking And Financial Services Fund Growth</v>
      </c>
      <c r="C204">
        <f>INDEX(tManiqAshu[Date],103)</f>
        <v>45316</v>
      </c>
      <c r="D204">
        <f>INDEX(tManiqAshu[Signed Amount],103)</f>
        <v>2499.88</v>
      </c>
    </row>
    <row r="205" spans="1:4" x14ac:dyDescent="0.3">
      <c r="A205" t="s">
        <v>52</v>
      </c>
      <c r="B205" t="str">
        <f>INDEX(tManiqAshu[Display Scheme],104)</f>
        <v>Mahindra Manulife Focused Fund Growth</v>
      </c>
      <c r="C205">
        <f>INDEX(tManiqAshu[Date],104)</f>
        <v>45316</v>
      </c>
      <c r="D205">
        <f>INDEX(tManiqAshu[Signed Amount],104)</f>
        <v>1999.9</v>
      </c>
    </row>
    <row r="206" spans="1:4" x14ac:dyDescent="0.3">
      <c r="A206" t="s">
        <v>52</v>
      </c>
      <c r="B206" t="str">
        <f>INDEX(tManiqAshu[Display Scheme],105)</f>
        <v>Mirae Asset Large And Mid Cap Fund Growth</v>
      </c>
      <c r="C206">
        <f>INDEX(tManiqAshu[Date],105)</f>
        <v>45348</v>
      </c>
      <c r="D206">
        <f>INDEX(tManiqAshu[Signed Amount],105)</f>
        <v>2499.88</v>
      </c>
    </row>
    <row r="207" spans="1:4" x14ac:dyDescent="0.3">
      <c r="A207" t="s">
        <v>52</v>
      </c>
      <c r="B207" t="str">
        <f>INDEX(tManiqAshu[Display Scheme],106)</f>
        <v>Aditya Birla Sun Life Banking And Financial Services Fund Growth</v>
      </c>
      <c r="C207">
        <f>INDEX(tManiqAshu[Date],106)</f>
        <v>45348</v>
      </c>
      <c r="D207">
        <f>INDEX(tManiqAshu[Signed Amount],106)</f>
        <v>2499.88</v>
      </c>
    </row>
    <row r="208" spans="1:4" x14ac:dyDescent="0.3">
      <c r="A208" t="s">
        <v>52</v>
      </c>
      <c r="B208" t="str">
        <f>INDEX(tManiqAshu[Display Scheme],107)</f>
        <v>Mahindra Manulife Focused Fund Growth</v>
      </c>
      <c r="C208">
        <f>INDEX(tManiqAshu[Date],107)</f>
        <v>45348</v>
      </c>
      <c r="D208">
        <f>INDEX(tManiqAshu[Signed Amount],107)</f>
        <v>1999.9</v>
      </c>
    </row>
    <row r="209" spans="1:4" x14ac:dyDescent="0.3">
      <c r="A209" t="s">
        <v>52</v>
      </c>
      <c r="B209" t="str">
        <f>INDEX(tManiqAshu[Display Scheme],108)</f>
        <v>Mahindra Manulife Focused Fund Growth</v>
      </c>
      <c r="C209">
        <f>INDEX(tManiqAshu[Date],108)</f>
        <v>45378</v>
      </c>
      <c r="D209">
        <f>INDEX(tManiqAshu[Signed Amount],108)</f>
        <v>1999.9</v>
      </c>
    </row>
    <row r="210" spans="1:4" x14ac:dyDescent="0.3">
      <c r="A210" t="s">
        <v>52</v>
      </c>
      <c r="B210" t="str">
        <f>INDEX(tManiqAshu[Display Scheme],109)</f>
        <v>Aditya Birla Sun Life Banking And Financial Services Fund Growth</v>
      </c>
      <c r="C210">
        <f>INDEX(tManiqAshu[Date],109)</f>
        <v>45378</v>
      </c>
      <c r="D210">
        <f>INDEX(tManiqAshu[Signed Amount],109)</f>
        <v>2499.88</v>
      </c>
    </row>
    <row r="211" spans="1:4" x14ac:dyDescent="0.3">
      <c r="A211" t="s">
        <v>52</v>
      </c>
      <c r="B211" t="str">
        <f>INDEX(tManiqAshu[Display Scheme],110)</f>
        <v>Mirae Asset Large And Mid Cap Fund Growth</v>
      </c>
      <c r="C211">
        <f>INDEX(tManiqAshu[Date],110)</f>
        <v>45378</v>
      </c>
      <c r="D211">
        <f>INDEX(tManiqAshu[Signed Amount],110)</f>
        <v>2499.88</v>
      </c>
    </row>
    <row r="212" spans="1:4" x14ac:dyDescent="0.3">
      <c r="A212" t="s">
        <v>52</v>
      </c>
      <c r="B212" t="str">
        <f>INDEX(tManiqAshu[Display Scheme],111)</f>
        <v>Aditya Birla Sun Life Banking And Financial Services Fund Growth</v>
      </c>
      <c r="C212">
        <f>INDEX(tManiqAshu[Date],111)</f>
        <v>45407</v>
      </c>
      <c r="D212">
        <f>INDEX(tManiqAshu[Signed Amount],111)</f>
        <v>2499.88</v>
      </c>
    </row>
    <row r="213" spans="1:4" x14ac:dyDescent="0.3">
      <c r="A213" t="s">
        <v>52</v>
      </c>
      <c r="B213" t="str">
        <f>INDEX(tManiqAshu[Display Scheme],112)</f>
        <v>Mirae Asset Large And Mid Cap Fund Growth</v>
      </c>
      <c r="C213">
        <f>INDEX(tManiqAshu[Date],112)</f>
        <v>45407</v>
      </c>
      <c r="D213">
        <f>INDEX(tManiqAshu[Signed Amount],112)</f>
        <v>2499.88</v>
      </c>
    </row>
    <row r="214" spans="1:4" x14ac:dyDescent="0.3">
      <c r="A214" t="s">
        <v>52</v>
      </c>
      <c r="B214" t="str">
        <f>INDEX(tManiqAshu[Display Scheme],113)</f>
        <v>Mahindra Manulife Focused Fund Growth</v>
      </c>
      <c r="C214">
        <f>INDEX(tManiqAshu[Date],113)</f>
        <v>45407</v>
      </c>
      <c r="D214">
        <f>INDEX(tManiqAshu[Signed Amount],113)</f>
        <v>1999.9</v>
      </c>
    </row>
    <row r="215" spans="1:4" x14ac:dyDescent="0.3">
      <c r="A215" t="s">
        <v>52</v>
      </c>
      <c r="B215" t="str">
        <f>INDEX(tManiqAshu[Display Scheme],114)</f>
        <v>Aditya Birla Sun Life Banking And Financial Services Fund Growth</v>
      </c>
      <c r="C215">
        <f>INDEX(tManiqAshu[Date],114)</f>
        <v>45439</v>
      </c>
      <c r="D215">
        <f>INDEX(tManiqAshu[Signed Amount],114)</f>
        <v>2499.88</v>
      </c>
    </row>
    <row r="216" spans="1:4" x14ac:dyDescent="0.3">
      <c r="A216" t="s">
        <v>52</v>
      </c>
      <c r="B216" t="str">
        <f>INDEX(tManiqAshu[Display Scheme],115)</f>
        <v>Mahindra Manulife Focused Fund Growth</v>
      </c>
      <c r="C216">
        <f>INDEX(tManiqAshu[Date],115)</f>
        <v>45439</v>
      </c>
      <c r="D216">
        <f>INDEX(tManiqAshu[Signed Amount],115)</f>
        <v>1999.9</v>
      </c>
    </row>
    <row r="217" spans="1:4" x14ac:dyDescent="0.3">
      <c r="A217" t="s">
        <v>52</v>
      </c>
      <c r="B217" t="str">
        <f>INDEX(tManiqAshu[Display Scheme],116)</f>
        <v>Mirae Asset Large And Mid Cap Fund Growth</v>
      </c>
      <c r="C217">
        <f>INDEX(tManiqAshu[Date],116)</f>
        <v>45439</v>
      </c>
      <c r="D217">
        <f>INDEX(tManiqAshu[Signed Amount],116)</f>
        <v>2499.88</v>
      </c>
    </row>
    <row r="218" spans="1:4" x14ac:dyDescent="0.3">
      <c r="A218" t="s">
        <v>52</v>
      </c>
      <c r="B218" t="str">
        <f>INDEX(tManiqAshu[Display Scheme],117)</f>
        <v>Aditya Birla Sun Life Banking And Financial Services Fund Growth</v>
      </c>
      <c r="C218">
        <f>INDEX(tManiqAshu[Date],117)</f>
        <v>45468</v>
      </c>
      <c r="D218">
        <f>INDEX(tManiqAshu[Signed Amount],117)</f>
        <v>2499.88</v>
      </c>
    </row>
    <row r="219" spans="1:4" x14ac:dyDescent="0.3">
      <c r="A219" t="s">
        <v>52</v>
      </c>
      <c r="B219" t="str">
        <f>INDEX(tManiqAshu[Display Scheme],118)</f>
        <v>Mahindra Manulife Focused Fund Growth</v>
      </c>
      <c r="C219">
        <f>INDEX(tManiqAshu[Date],118)</f>
        <v>45468</v>
      </c>
      <c r="D219">
        <f>INDEX(tManiqAshu[Signed Amount],118)</f>
        <v>1999.9</v>
      </c>
    </row>
    <row r="220" spans="1:4" x14ac:dyDescent="0.3">
      <c r="A220" t="s">
        <v>52</v>
      </c>
      <c r="B220" t="str">
        <f>INDEX(tManiqAshu[Display Scheme],119)</f>
        <v>Mirae Asset Large And Mid Cap Fund Growth</v>
      </c>
      <c r="C220">
        <f>INDEX(tManiqAshu[Date],119)</f>
        <v>45468</v>
      </c>
      <c r="D220">
        <f>INDEX(tManiqAshu[Signed Amount],119)</f>
        <v>2499.88</v>
      </c>
    </row>
    <row r="221" spans="1:4" x14ac:dyDescent="0.3">
      <c r="A221" t="s">
        <v>52</v>
      </c>
      <c r="B221" t="str">
        <f>INDEX(tManiqAshu[Display Scheme],120)</f>
        <v>Mirae Asset Large And Mid Cap Fund Growth</v>
      </c>
      <c r="C221">
        <f>INDEX(tManiqAshu[Date],120)</f>
        <v>45498</v>
      </c>
      <c r="D221">
        <f>INDEX(tManiqAshu[Signed Amount],120)</f>
        <v>2499.88</v>
      </c>
    </row>
    <row r="222" spans="1:4" x14ac:dyDescent="0.3">
      <c r="A222" t="s">
        <v>52</v>
      </c>
      <c r="B222" t="str">
        <f>INDEX(tManiqAshu[Display Scheme],121)</f>
        <v>Aditya Birla Sun Life Banking And Financial Services Fund Growth</v>
      </c>
      <c r="C222">
        <f>INDEX(tManiqAshu[Date],121)</f>
        <v>45498</v>
      </c>
      <c r="D222">
        <f>INDEX(tManiqAshu[Signed Amount],121)</f>
        <v>2499.88</v>
      </c>
    </row>
    <row r="223" spans="1:4" x14ac:dyDescent="0.3">
      <c r="A223" t="s">
        <v>52</v>
      </c>
      <c r="B223" t="str">
        <f>INDEX(tManiqAshu[Display Scheme],122)</f>
        <v>Mahindra Manulife Focused Fund Growth</v>
      </c>
      <c r="C223">
        <f>INDEX(tManiqAshu[Date],122)</f>
        <v>45498</v>
      </c>
      <c r="D223">
        <f>INDEX(tManiqAshu[Signed Amount],122)</f>
        <v>1999.9</v>
      </c>
    </row>
    <row r="224" spans="1:4" x14ac:dyDescent="0.3">
      <c r="A224" t="s">
        <v>52</v>
      </c>
      <c r="B224" t="str">
        <f>INDEX(tManiqAshu[Display Scheme],123)</f>
        <v>Mirae Asset Large And Mid Cap Fund Growth</v>
      </c>
      <c r="C224">
        <f>INDEX(tManiqAshu[Date],123)</f>
        <v>45530</v>
      </c>
      <c r="D224">
        <f>INDEX(tManiqAshu[Signed Amount],123)</f>
        <v>2499.88</v>
      </c>
    </row>
    <row r="225" spans="1:4" x14ac:dyDescent="0.3">
      <c r="A225" t="s">
        <v>52</v>
      </c>
      <c r="B225" t="str">
        <f>INDEX(tManiqAshu[Display Scheme],124)</f>
        <v>Aditya Birla Sun Life Banking And Financial Services Fund Growth</v>
      </c>
      <c r="C225">
        <f>INDEX(tManiqAshu[Date],124)</f>
        <v>45530</v>
      </c>
      <c r="D225">
        <f>INDEX(tManiqAshu[Signed Amount],124)</f>
        <v>2499.88</v>
      </c>
    </row>
    <row r="226" spans="1:4" x14ac:dyDescent="0.3">
      <c r="A226" t="s">
        <v>52</v>
      </c>
      <c r="B226" t="str">
        <f>INDEX(tManiqAshu[Display Scheme],125)</f>
        <v>Mahindra Manulife Focused Fund Growth</v>
      </c>
      <c r="C226">
        <f>INDEX(tManiqAshu[Date],125)</f>
        <v>45530</v>
      </c>
      <c r="D226">
        <f>INDEX(tManiqAshu[Signed Amount],125)</f>
        <v>1999.9</v>
      </c>
    </row>
    <row r="227" spans="1:4" x14ac:dyDescent="0.3">
      <c r="A227" t="s">
        <v>52</v>
      </c>
      <c r="B227" t="str">
        <f>INDEX(tManiqAshu[Display Scheme],126)</f>
        <v>Aditya Birla Sun Life Banking And Financial Services Fund Growth</v>
      </c>
      <c r="C227">
        <f>INDEX(tManiqAshu[Date],126)</f>
        <v>45560</v>
      </c>
      <c r="D227">
        <f>INDEX(tManiqAshu[Signed Amount],126)</f>
        <v>2499.88</v>
      </c>
    </row>
    <row r="228" spans="1:4" x14ac:dyDescent="0.3">
      <c r="A228" t="s">
        <v>52</v>
      </c>
      <c r="B228" t="str">
        <f>INDEX(tManiqAshu[Display Scheme],127)</f>
        <v>Mahindra Manulife Focused Fund Growth</v>
      </c>
      <c r="C228">
        <f>INDEX(tManiqAshu[Date],127)</f>
        <v>45560</v>
      </c>
      <c r="D228">
        <f>INDEX(tManiqAshu[Signed Amount],127)</f>
        <v>1999.9</v>
      </c>
    </row>
    <row r="229" spans="1:4" x14ac:dyDescent="0.3">
      <c r="A229" t="s">
        <v>52</v>
      </c>
      <c r="B229" t="str">
        <f>INDEX(tManiqAshu[Display Scheme],128)</f>
        <v>Mirae Asset Large And Mid Cap Fund Growth</v>
      </c>
      <c r="C229">
        <f>INDEX(tManiqAshu[Date],128)</f>
        <v>45560</v>
      </c>
      <c r="D229">
        <f>INDEX(tManiqAshu[Signed Amount],128)</f>
        <v>2499.88</v>
      </c>
    </row>
    <row r="230" spans="1:4" x14ac:dyDescent="0.3">
      <c r="A230" t="s">
        <v>52</v>
      </c>
      <c r="B230" t="str">
        <f>INDEX(tManiqAshu[Display Scheme],129)</f>
        <v>Mahindra Manulife Focused Fund Growth</v>
      </c>
      <c r="C230">
        <f>INDEX(tManiqAshu[Date],129)</f>
        <v>45590</v>
      </c>
      <c r="D230">
        <f>INDEX(tManiqAshu[Signed Amount],129)</f>
        <v>1999.9</v>
      </c>
    </row>
    <row r="231" spans="1:4" x14ac:dyDescent="0.3">
      <c r="A231" t="s">
        <v>52</v>
      </c>
      <c r="B231" t="str">
        <f>INDEX(tManiqAshu[Display Scheme],130)</f>
        <v>Mirae Asset Large And Mid Cap Fund Growth</v>
      </c>
      <c r="C231">
        <f>INDEX(tManiqAshu[Date],130)</f>
        <v>45590</v>
      </c>
      <c r="D231">
        <f>INDEX(tManiqAshu[Signed Amount],130)</f>
        <v>2499.88</v>
      </c>
    </row>
    <row r="232" spans="1:4" x14ac:dyDescent="0.3">
      <c r="A232" t="s">
        <v>52</v>
      </c>
      <c r="B232" t="str">
        <f>INDEX(tManiqAshu[Display Scheme],131)</f>
        <v>Aditya Birla Sun Life Banking And Financial Services Fund Growth</v>
      </c>
      <c r="C232">
        <f>INDEX(tManiqAshu[Date],131)</f>
        <v>45590</v>
      </c>
      <c r="D232">
        <f>INDEX(tManiqAshu[Signed Amount],131)</f>
        <v>2499.88</v>
      </c>
    </row>
    <row r="233" spans="1:4" x14ac:dyDescent="0.3">
      <c r="A233" t="s">
        <v>52</v>
      </c>
      <c r="B233" t="str">
        <f>INDEX(tManiqAshu[Display Scheme],132)</f>
        <v>Mahindra Manulife Focused Fund Growth</v>
      </c>
      <c r="C233">
        <f>INDEX(tManiqAshu[Date],132)</f>
        <v>45621</v>
      </c>
      <c r="D233">
        <f>INDEX(tManiqAshu[Signed Amount],132)</f>
        <v>1999.9</v>
      </c>
    </row>
    <row r="234" spans="1:4" x14ac:dyDescent="0.3">
      <c r="A234" t="s">
        <v>52</v>
      </c>
      <c r="B234" t="str">
        <f>INDEX(tManiqAshu[Display Scheme],133)</f>
        <v>Mirae Asset Large And Mid Cap Fund Growth</v>
      </c>
      <c r="C234">
        <f>INDEX(tManiqAshu[Date],133)</f>
        <v>45621</v>
      </c>
      <c r="D234">
        <f>INDEX(tManiqAshu[Signed Amount],133)</f>
        <v>2499.88</v>
      </c>
    </row>
    <row r="235" spans="1:4" x14ac:dyDescent="0.3">
      <c r="A235" t="s">
        <v>52</v>
      </c>
      <c r="B235" t="str">
        <f>INDEX(tManiqAshu[Display Scheme],134)</f>
        <v>Aditya Birla Sun Life Banking And Financial Services Fund Growth</v>
      </c>
      <c r="C235">
        <f>INDEX(tManiqAshu[Date],134)</f>
        <v>45621</v>
      </c>
      <c r="D235">
        <f>INDEX(tManiqAshu[Signed Amount],134)</f>
        <v>2499.88</v>
      </c>
    </row>
    <row r="236" spans="1:4" x14ac:dyDescent="0.3">
      <c r="A236" t="s">
        <v>52</v>
      </c>
      <c r="B236" t="str">
        <f>INDEX(tManiqAshu[Display Scheme],135)</f>
        <v>Mahindra Manulife Focused Fund Growth</v>
      </c>
      <c r="C236">
        <f>INDEX(tManiqAshu[Date],135)</f>
        <v>45652</v>
      </c>
      <c r="D236">
        <f>INDEX(tManiqAshu[Signed Amount],135)</f>
        <v>1999.9</v>
      </c>
    </row>
    <row r="237" spans="1:4" x14ac:dyDescent="0.3">
      <c r="A237" t="s">
        <v>52</v>
      </c>
      <c r="B237" t="str">
        <f>INDEX(tManiqAshu[Display Scheme],136)</f>
        <v>Mirae Asset Large And Mid Cap Fund Growth</v>
      </c>
      <c r="C237">
        <f>INDEX(tManiqAshu[Date],136)</f>
        <v>45652</v>
      </c>
      <c r="D237">
        <f>INDEX(tManiqAshu[Signed Amount],136)</f>
        <v>2499.88</v>
      </c>
    </row>
    <row r="238" spans="1:4" x14ac:dyDescent="0.3">
      <c r="A238" t="s">
        <v>52</v>
      </c>
      <c r="B238" t="str">
        <f>INDEX(tManiqAshu[Display Scheme],137)</f>
        <v>Aditya Birla Sun Life Banking And Financial Services Fund Growth</v>
      </c>
      <c r="C238">
        <f>INDEX(tManiqAshu[Date],137)</f>
        <v>45652</v>
      </c>
      <c r="D238">
        <f>INDEX(tManiqAshu[Signed Amount],137)</f>
        <v>2499.88</v>
      </c>
    </row>
    <row r="239" spans="1:4" x14ac:dyDescent="0.3">
      <c r="A239" t="s">
        <v>52</v>
      </c>
      <c r="B239" t="str">
        <f>INDEX(tManiqAshu[Display Scheme],138)</f>
        <v>Aditya Birla Sun Life Banking And Financial Services Fund Growth</v>
      </c>
      <c r="C239">
        <f>INDEX(tManiqAshu[Date],138)</f>
        <v>45684</v>
      </c>
      <c r="D239">
        <f>INDEX(tManiqAshu[Signed Amount],138)</f>
        <v>2499.88</v>
      </c>
    </row>
    <row r="240" spans="1:4" x14ac:dyDescent="0.3">
      <c r="A240" t="s">
        <v>52</v>
      </c>
      <c r="B240" t="str">
        <f>INDEX(tManiqAshu[Display Scheme],139)</f>
        <v>Mahindra Manulife Focused Fund Growth</v>
      </c>
      <c r="C240">
        <f>INDEX(tManiqAshu[Date],139)</f>
        <v>45684</v>
      </c>
      <c r="D240">
        <f>INDEX(tManiqAshu[Signed Amount],139)</f>
        <v>1999.9</v>
      </c>
    </row>
    <row r="241" spans="1:4" x14ac:dyDescent="0.3">
      <c r="A241" t="s">
        <v>52</v>
      </c>
      <c r="B241" t="str">
        <f>INDEX(tManiqAshu[Display Scheme],140)</f>
        <v>Mirae Asset Large And Mid Cap Fund Growth</v>
      </c>
      <c r="C241">
        <f>INDEX(tManiqAshu[Date],140)</f>
        <v>45684</v>
      </c>
      <c r="D241">
        <f>INDEX(tManiqAshu[Signed Amount],140)</f>
        <v>2499.88</v>
      </c>
    </row>
    <row r="242" spans="1:4" x14ac:dyDescent="0.3">
      <c r="A242" t="s">
        <v>52</v>
      </c>
      <c r="B242" t="str">
        <f>INDEX(tManiqAshu[Display Scheme],141)</f>
        <v>Mirae Asset Large And Mid Cap Fund Growth</v>
      </c>
      <c r="C242">
        <f>INDEX(tManiqAshu[Date],141)</f>
        <v>45713</v>
      </c>
      <c r="D242">
        <f>INDEX(tManiqAshu[Signed Amount],141)</f>
        <v>2499.88</v>
      </c>
    </row>
    <row r="243" spans="1:4" x14ac:dyDescent="0.3">
      <c r="A243" t="s">
        <v>52</v>
      </c>
      <c r="B243" t="str">
        <f>INDEX(tManiqAshu[Display Scheme],142)</f>
        <v>Aditya Birla Sun Life Banking And Financial Services Fund Growth</v>
      </c>
      <c r="C243">
        <f>INDEX(tManiqAshu[Date],142)</f>
        <v>45713</v>
      </c>
      <c r="D243">
        <f>INDEX(tManiqAshu[Signed Amount],142)</f>
        <v>2499.88</v>
      </c>
    </row>
    <row r="244" spans="1:4" x14ac:dyDescent="0.3">
      <c r="A244" t="s">
        <v>52</v>
      </c>
      <c r="B244" t="str">
        <f>INDEX(tManiqAshu[Display Scheme],143)</f>
        <v>Mahindra Manulife Focused Fund Growth</v>
      </c>
      <c r="C244">
        <f>INDEX(tManiqAshu[Date],143)</f>
        <v>45713</v>
      </c>
      <c r="D244">
        <f>INDEX(tManiqAshu[Signed Amount],143)</f>
        <v>1999.9</v>
      </c>
    </row>
    <row r="245" spans="1:4" x14ac:dyDescent="0.3">
      <c r="A245" t="s">
        <v>52</v>
      </c>
      <c r="B245" t="str">
        <f>INDEX(tManiqAshu[Display Scheme],144)</f>
        <v>Mirae Asset Large And Mid Cap Fund Growth</v>
      </c>
      <c r="C245">
        <f>INDEX(tManiqAshu[Date],144)</f>
        <v>45742</v>
      </c>
      <c r="D245">
        <f>INDEX(tManiqAshu[Signed Amount],144)</f>
        <v>2499.88</v>
      </c>
    </row>
    <row r="246" spans="1:4" x14ac:dyDescent="0.3">
      <c r="A246" t="s">
        <v>52</v>
      </c>
      <c r="B246" t="str">
        <f>INDEX(tManiqAshu[Display Scheme],145)</f>
        <v>Mahindra Manulife Focused Fund Growth</v>
      </c>
      <c r="C246">
        <f>INDEX(tManiqAshu[Date],145)</f>
        <v>45742</v>
      </c>
      <c r="D246">
        <f>INDEX(tManiqAshu[Signed Amount],145)</f>
        <v>1999.9</v>
      </c>
    </row>
    <row r="247" spans="1:4" x14ac:dyDescent="0.3">
      <c r="A247" t="s">
        <v>52</v>
      </c>
      <c r="B247" t="str">
        <f>INDEX(tManiqAshu[Display Scheme],146)</f>
        <v>Aditya Birla Sun Life Banking And Financial Services Fund Growth</v>
      </c>
      <c r="C247">
        <f>INDEX(tManiqAshu[Date],146)</f>
        <v>45742</v>
      </c>
      <c r="D247">
        <f>INDEX(tManiqAshu[Signed Amount],146)</f>
        <v>2499.88</v>
      </c>
    </row>
    <row r="248" spans="1:4" x14ac:dyDescent="0.3">
      <c r="A248" t="s">
        <v>52</v>
      </c>
      <c r="B248" t="str">
        <f>INDEX(tManiqAshu[Display Scheme],147)</f>
        <v>Aditya Birla Sun Life Banking And Financial Services Fund Growth</v>
      </c>
      <c r="C248">
        <f>INDEX(tManiqAshu[Date],147)</f>
        <v>45772</v>
      </c>
      <c r="D248">
        <f>INDEX(tManiqAshu[Signed Amount],147)</f>
        <v>2499.88</v>
      </c>
    </row>
    <row r="249" spans="1:4" x14ac:dyDescent="0.3">
      <c r="A249" t="s">
        <v>52</v>
      </c>
      <c r="B249" t="str">
        <f>INDEX(tManiqAshu[Display Scheme],148)</f>
        <v>Mahindra Manulife Focused Fund Growth</v>
      </c>
      <c r="C249">
        <f>INDEX(tManiqAshu[Date],148)</f>
        <v>45772</v>
      </c>
      <c r="D249">
        <f>INDEX(tManiqAshu[Signed Amount],148)</f>
        <v>1999.9</v>
      </c>
    </row>
    <row r="250" spans="1:4" x14ac:dyDescent="0.3">
      <c r="A250" t="s">
        <v>52</v>
      </c>
      <c r="B250" t="str">
        <f>INDEX(tManiqAshu[Display Scheme],149)</f>
        <v>Mirae Asset Large And Mid Cap Fund Growth</v>
      </c>
      <c r="C250">
        <f>INDEX(tManiqAshu[Date],149)</f>
        <v>45772</v>
      </c>
      <c r="D250">
        <f>INDEX(tManiqAshu[Signed Amount],149)</f>
        <v>2499.88</v>
      </c>
    </row>
    <row r="251" spans="1:4" x14ac:dyDescent="0.3">
      <c r="A251" t="s">
        <v>52</v>
      </c>
      <c r="B251" t="str">
        <f>INDEX(tManiqAshu[Display Scheme],150)</f>
        <v>Aditya Birla Sun Life Banking And Financial Services Fund Growth</v>
      </c>
      <c r="C251">
        <f>INDEX(tManiqAshu[Date],150)</f>
        <v>45803</v>
      </c>
      <c r="D251">
        <f>INDEX(tManiqAshu[Signed Amount],150)</f>
        <v>2499.88</v>
      </c>
    </row>
    <row r="252" spans="1:4" x14ac:dyDescent="0.3">
      <c r="A252" t="s">
        <v>52</v>
      </c>
      <c r="B252" t="str">
        <f>INDEX(tManiqAshu[Display Scheme],151)</f>
        <v>Mahindra Manulife Focused Fund Growth</v>
      </c>
      <c r="C252">
        <f>INDEX(tManiqAshu[Date],151)</f>
        <v>45803</v>
      </c>
      <c r="D252">
        <f>INDEX(tManiqAshu[Signed Amount],151)</f>
        <v>1999.9</v>
      </c>
    </row>
    <row r="253" spans="1:4" x14ac:dyDescent="0.3">
      <c r="A253" t="s">
        <v>52</v>
      </c>
      <c r="B253" t="str">
        <f>INDEX(tManiqAshu[Display Scheme],152)</f>
        <v>Mirae Asset Large And Mid Cap Fund Growth</v>
      </c>
      <c r="C253">
        <f>INDEX(tManiqAshu[Date],152)</f>
        <v>45803</v>
      </c>
      <c r="D253">
        <f>INDEX(tManiqAshu[Signed Amount],152)</f>
        <v>2499.88</v>
      </c>
    </row>
    <row r="254" spans="1:4" x14ac:dyDescent="0.3">
      <c r="A254" t="s">
        <v>52</v>
      </c>
      <c r="B254" t="str">
        <f>INDEX(tManiqAshu[Display Scheme],153)</f>
        <v>Mirae Asset Large And Mid Cap Fund Growth</v>
      </c>
      <c r="C254">
        <f>INDEX(tManiqAshu[Date],153)</f>
        <v>45833</v>
      </c>
      <c r="D254">
        <f>INDEX(tManiqAshu[Signed Amount],153)</f>
        <v>2499.88</v>
      </c>
    </row>
    <row r="255" spans="1:4" x14ac:dyDescent="0.3">
      <c r="A255" t="s">
        <v>52</v>
      </c>
      <c r="B255" t="str">
        <f>INDEX(tManiqAshu[Display Scheme],154)</f>
        <v>Mahindra Manulife Focused Fund Growth</v>
      </c>
      <c r="C255">
        <f>INDEX(tManiqAshu[Date],154)</f>
        <v>45833</v>
      </c>
      <c r="D255">
        <f>INDEX(tManiqAshu[Signed Amount],154)</f>
        <v>1999.9</v>
      </c>
    </row>
    <row r="256" spans="1:4" x14ac:dyDescent="0.3">
      <c r="A256" t="s">
        <v>52</v>
      </c>
      <c r="B256" t="str">
        <f>INDEX(tManiqAshu[Display Scheme],155)</f>
        <v>Aditya Birla Sun Life Banking And Financial Services Fund Growth</v>
      </c>
      <c r="C256">
        <f>INDEX(tManiqAshu[Date],155)</f>
        <v>45833</v>
      </c>
      <c r="D256">
        <f>INDEX(tManiqAshu[Signed Amount],155)</f>
        <v>2499.88</v>
      </c>
    </row>
    <row r="257" spans="1:4" x14ac:dyDescent="0.3">
      <c r="A257" t="s">
        <v>52</v>
      </c>
      <c r="B257" t="str">
        <f>INDEX(tManiqAshu[Display Scheme],156)</f>
        <v>Mahindra Manulife Focused Fund Growth</v>
      </c>
      <c r="C257">
        <f>INDEX(tManiqAshu[Date],156)</f>
        <v>45866</v>
      </c>
      <c r="D257">
        <f>INDEX(tManiqAshu[Signed Amount],156)</f>
        <v>1999.9</v>
      </c>
    </row>
    <row r="258" spans="1:4" x14ac:dyDescent="0.3">
      <c r="A258" t="s">
        <v>52</v>
      </c>
      <c r="B258" t="str">
        <f>INDEX(tManiqAshu[Display Scheme],157)</f>
        <v>Aditya Birla Sun Life Banking And Financial Services Fund Growth</v>
      </c>
      <c r="C258">
        <f>INDEX(tManiqAshu[Date],157)</f>
        <v>45866</v>
      </c>
      <c r="D258">
        <f>INDEX(tManiqAshu[Signed Amount],157)</f>
        <v>2499.88</v>
      </c>
    </row>
    <row r="259" spans="1:4" x14ac:dyDescent="0.3">
      <c r="A259" t="s">
        <v>52</v>
      </c>
      <c r="B259" t="str">
        <f>INDEX(tManiqAshu[Display Scheme],158)</f>
        <v>Mirae Asset Large And Mid Cap Fund Growth</v>
      </c>
      <c r="C259">
        <f>INDEX(tManiqAshu[Date],158)</f>
        <v>45866</v>
      </c>
      <c r="D259">
        <f>INDEX(tManiqAshu[Signed Amount],158)</f>
        <v>2499.88</v>
      </c>
    </row>
    <row r="260" spans="1:4" x14ac:dyDescent="0.3">
      <c r="A260" t="s">
        <v>52</v>
      </c>
      <c r="B260" t="str">
        <f>INDEX(tManiqAshu[Display Scheme],159)</f>
        <v>Mahindra Manulife Focused Fund Growth</v>
      </c>
      <c r="C260">
        <f>INDEX(tManiqAshu[Date],159)</f>
        <v>45894</v>
      </c>
      <c r="D260">
        <f>INDEX(tManiqAshu[Signed Amount],159)</f>
        <v>1999.9</v>
      </c>
    </row>
    <row r="261" spans="1:4" x14ac:dyDescent="0.3">
      <c r="A261" t="s">
        <v>52</v>
      </c>
      <c r="B261" t="str">
        <f>INDEX(tManiqAshu[Display Scheme],160)</f>
        <v>Mirae Asset Large And Mid Cap Fund Growth</v>
      </c>
      <c r="C261">
        <f>INDEX(tManiqAshu[Date],160)</f>
        <v>45894</v>
      </c>
      <c r="D261">
        <f>INDEX(tManiqAshu[Signed Amount],160)</f>
        <v>2499.88</v>
      </c>
    </row>
    <row r="262" spans="1:4" x14ac:dyDescent="0.3">
      <c r="A262" t="s">
        <v>52</v>
      </c>
      <c r="B262" t="str">
        <f>INDEX(tManiqAshu[Display Scheme],161)</f>
        <v>Aditya Birla Sun Life Banking And Financial Services Fund Growth</v>
      </c>
      <c r="C262">
        <f>INDEX(tManiqAshu[Date],161)</f>
        <v>45894</v>
      </c>
      <c r="D262">
        <f>INDEX(tManiqAshu[Signed Amount],161)</f>
        <v>2499.88</v>
      </c>
    </row>
    <row r="263" spans="1:4" x14ac:dyDescent="0.3">
      <c r="A263" t="s">
        <v>52</v>
      </c>
      <c r="B263" t="str">
        <f>INDEX(tManiqAshu[Display Scheme],162)</f>
        <v>Mahindra Manulife Focused Fund Growth</v>
      </c>
      <c r="C263">
        <f>INDEX(tManiqAshu[Date],162)</f>
        <v>45925</v>
      </c>
      <c r="D263">
        <f>INDEX(tManiqAshu[Signed Amount],162)</f>
        <v>1999.9</v>
      </c>
    </row>
    <row r="264" spans="1:4" x14ac:dyDescent="0.3">
      <c r="A264" t="s">
        <v>52</v>
      </c>
      <c r="B264" t="str">
        <f>INDEX(tManiqAshu[Display Scheme],163)</f>
        <v>Mirae Asset Large And Mid Cap Fund Growth</v>
      </c>
      <c r="C264">
        <f>INDEX(tManiqAshu[Date],163)</f>
        <v>45925</v>
      </c>
      <c r="D264">
        <f>INDEX(tManiqAshu[Signed Amount],163)</f>
        <v>2499.88</v>
      </c>
    </row>
    <row r="265" spans="1:4" x14ac:dyDescent="0.3">
      <c r="A265" t="s">
        <v>52</v>
      </c>
      <c r="B265" t="str">
        <f>INDEX(tManiqAshu[Display Scheme],164)</f>
        <v>Aditya Birla Sun Life Banking And Financial Services Fund Growth</v>
      </c>
      <c r="C265">
        <f>INDEX(tManiqAshu[Date],164)</f>
        <v>45925</v>
      </c>
      <c r="D265">
        <f>INDEX(tManiqAshu[Signed Amount],164)</f>
        <v>2499.88</v>
      </c>
    </row>
    <row r="266" spans="1:4" x14ac:dyDescent="0.3">
      <c r="A266" t="s">
        <v>52</v>
      </c>
      <c r="B266" t="str">
        <f>INDEX(tManiqAshu[Display Scheme],165)</f>
        <v>Mahindra Manulife Focused Fund Growth</v>
      </c>
      <c r="C266">
        <f>INDEX(tManiqAshu[Date],165)</f>
        <v>45957</v>
      </c>
      <c r="D266">
        <f>INDEX(tManiqAshu[Signed Amount],165)</f>
        <v>1999.9</v>
      </c>
    </row>
    <row r="267" spans="1:4" x14ac:dyDescent="0.3">
      <c r="A267" t="s">
        <v>52</v>
      </c>
      <c r="B267" t="str">
        <f>INDEX(tManiqAshu[Display Scheme],166)</f>
        <v>Mirae Asset Large And Mid Cap Fund Growth</v>
      </c>
      <c r="C267">
        <f>INDEX(tManiqAshu[Date],166)</f>
        <v>45957</v>
      </c>
      <c r="D267">
        <f>INDEX(tManiqAshu[Signed Amount],166)</f>
        <v>2499.88</v>
      </c>
    </row>
    <row r="268" spans="1:4" x14ac:dyDescent="0.3">
      <c r="A268" t="s">
        <v>52</v>
      </c>
      <c r="B268" t="str">
        <f>INDEX(tManiqAshu[Display Scheme],167)</f>
        <v>Aditya Birla Sun Life Banking And Financial Services Fund Growth</v>
      </c>
      <c r="C268">
        <f>INDEX(tManiqAshu[Date],167)</f>
        <v>45957</v>
      </c>
      <c r="D268">
        <f>INDEX(tManiqAshu[Signed Amount],167)</f>
        <v>2499.88</v>
      </c>
    </row>
    <row r="269" spans="1:4" x14ac:dyDescent="0.3">
      <c r="A269" t="s">
        <v>52</v>
      </c>
      <c r="B269" t="str">
        <f>INDEX(tManiqAshu[Display Scheme],168)</f>
        <v>Mirae Asset Large And Mid Cap Fund Growth</v>
      </c>
      <c r="C269">
        <f>INDEX(tManiqAshu[Date],168)</f>
        <v>45986</v>
      </c>
      <c r="D269">
        <f>INDEX(tManiqAshu[Signed Amount],168)</f>
        <v>2499.88</v>
      </c>
    </row>
    <row r="270" spans="1:4" x14ac:dyDescent="0.3">
      <c r="A270" t="s">
        <v>52</v>
      </c>
      <c r="B270" t="str">
        <f>INDEX(tManiqAshu[Display Scheme],169)</f>
        <v>Aditya Birla Sun Life Banking And Financial Services Fund Growth</v>
      </c>
      <c r="C270">
        <f>INDEX(tManiqAshu[Date],169)</f>
        <v>45986</v>
      </c>
      <c r="D270">
        <f>INDEX(tManiqAshu[Signed Amount],169)</f>
        <v>2499.88</v>
      </c>
    </row>
    <row r="271" spans="1:4" x14ac:dyDescent="0.3">
      <c r="A271" t="s">
        <v>52</v>
      </c>
      <c r="B271" t="str">
        <f>INDEX(tManiqAshu[Display Scheme],170)</f>
        <v>Mahindra Manulife Focused Fund Growth</v>
      </c>
      <c r="C271">
        <f>INDEX(tManiqAshu[Date],170)</f>
        <v>45986</v>
      </c>
      <c r="D271">
        <f>INDEX(tManiqAshu[Signed Amount],170)</f>
        <v>1999.9</v>
      </c>
    </row>
    <row r="272" spans="1:4" x14ac:dyDescent="0.3">
      <c r="A272" t="s">
        <v>52</v>
      </c>
      <c r="B272" t="str">
        <f>INDEX(tManiqAshu[Display Scheme],171)</f>
        <v>Mirae Asset Large And Mid Cap Fund Growth</v>
      </c>
      <c r="C272">
        <f>INDEX(tManiqAshu[Date],171)</f>
        <v>46017</v>
      </c>
      <c r="D272">
        <f>INDEX(tManiqAshu[Signed Amount],171)</f>
        <v>2499.88</v>
      </c>
    </row>
    <row r="273" spans="1:4" x14ac:dyDescent="0.3">
      <c r="A273" t="s">
        <v>52</v>
      </c>
      <c r="B273" t="str">
        <f>INDEX(tManiqAshu[Display Scheme],172)</f>
        <v>Aditya Birla Sun Life Banking And Financial Services Fund Growth</v>
      </c>
      <c r="C273">
        <f>INDEX(tManiqAshu[Date],172)</f>
        <v>46017</v>
      </c>
      <c r="D273">
        <f>INDEX(tManiqAshu[Signed Amount],172)</f>
        <v>2499.88</v>
      </c>
    </row>
    <row r="274" spans="1:4" x14ac:dyDescent="0.3">
      <c r="A274" t="s">
        <v>52</v>
      </c>
      <c r="B274" t="str">
        <f>INDEX(tManiqAshu[Display Scheme],173)</f>
        <v>Mahindra Manulife Focused Fund Growth</v>
      </c>
      <c r="C274">
        <f>INDEX(tManiqAshu[Date],173)</f>
        <v>46017</v>
      </c>
      <c r="D274">
        <f>INDEX(tManiqAshu[Signed Amount],173)</f>
        <v>1999.9</v>
      </c>
    </row>
    <row r="275" spans="1:4" x14ac:dyDescent="0.3">
      <c r="A275" t="s">
        <v>52</v>
      </c>
      <c r="B275" t="str">
        <f>INDEX(tManiqAshu[Display Scheme],174)</f>
        <v>Mahindra Manulife Focused Fund Growth</v>
      </c>
      <c r="C275">
        <f>INDEX(tManiqAshu[Date],174)</f>
        <v>46049</v>
      </c>
      <c r="D275">
        <f>INDEX(tManiqAshu[Signed Amount],174)</f>
        <v>1999.9</v>
      </c>
    </row>
    <row r="276" spans="1:4" x14ac:dyDescent="0.3">
      <c r="A276" t="s">
        <v>52</v>
      </c>
      <c r="B276" t="str">
        <f>INDEX(tManiqAshu[Display Scheme],175)</f>
        <v>Mirae Asset Large And Mid Cap Fund Growth</v>
      </c>
      <c r="C276">
        <f>INDEX(tManiqAshu[Date],175)</f>
        <v>46049</v>
      </c>
      <c r="D276">
        <f>INDEX(tManiqAshu[Signed Amount],175)</f>
        <v>2499.88</v>
      </c>
    </row>
    <row r="277" spans="1:4" x14ac:dyDescent="0.3">
      <c r="A277" t="s">
        <v>52</v>
      </c>
      <c r="B277" t="str">
        <f>INDEX(tManiqAshu[Display Scheme],176)</f>
        <v>Aditya Birla Sun Life Banking And Financial Services Fund Growth</v>
      </c>
      <c r="C277">
        <f>INDEX(tManiqAshu[Date],176)</f>
        <v>46049</v>
      </c>
      <c r="D277">
        <f>INDEX(tManiqAshu[Signed Amount],176)</f>
        <v>2499.88</v>
      </c>
    </row>
    <row r="278" spans="1:4" x14ac:dyDescent="0.3">
      <c r="A278" t="s">
        <v>52</v>
      </c>
      <c r="B278" t="str">
        <f>INDEX(tManiqAshu[Display Scheme],177)</f>
        <v>Mirae Asset Large And Mid Cap Fund Growth</v>
      </c>
      <c r="C278">
        <f>INDEX(tManiqAshu[Date],177)</f>
        <v>46078</v>
      </c>
      <c r="D278">
        <f>INDEX(tManiqAshu[Signed Amount],177)</f>
        <v>2499.88</v>
      </c>
    </row>
    <row r="279" spans="1:4" x14ac:dyDescent="0.3">
      <c r="A279" t="s">
        <v>52</v>
      </c>
      <c r="B279" t="str">
        <f>INDEX(tManiqAshu[Display Scheme],178)</f>
        <v>Aditya Birla Sun Life Banking And Financial Services Fund Growth</v>
      </c>
      <c r="C279">
        <f>INDEX(tManiqAshu[Date],178)</f>
        <v>46078</v>
      </c>
      <c r="D279">
        <f>INDEX(tManiqAshu[Signed Amount],178)</f>
        <v>2499.88</v>
      </c>
    </row>
    <row r="280" spans="1:4" x14ac:dyDescent="0.3">
      <c r="A280" t="s">
        <v>52</v>
      </c>
      <c r="B280" t="str">
        <f>INDEX(tManiqAshu[Display Scheme],179)</f>
        <v>Mahindra Manulife Focused Fund Growth</v>
      </c>
      <c r="C280">
        <f>INDEX(tManiqAshu[Date],179)</f>
        <v>46078</v>
      </c>
      <c r="D280">
        <f>INDEX(tManiqAshu[Signed Amount],179)</f>
        <v>1999.9</v>
      </c>
    </row>
    <row r="281" spans="1:4" x14ac:dyDescent="0.3">
      <c r="A281" t="s">
        <v>52</v>
      </c>
      <c r="B281" t="str">
        <f>INDEX(tManiqAshu[Display Scheme],180)</f>
        <v>Mirae Asset Large And Mid Cap Fund Growth</v>
      </c>
      <c r="C281">
        <f>INDEX(tManiqAshu[Date],180)</f>
        <v>46106</v>
      </c>
      <c r="D281">
        <f>INDEX(tManiqAshu[Signed Amount],180)</f>
        <v>2499.88</v>
      </c>
    </row>
    <row r="282" spans="1:4" x14ac:dyDescent="0.3">
      <c r="A282" t="s">
        <v>52</v>
      </c>
      <c r="B282" t="str">
        <f>INDEX(tManiqAshu[Display Scheme],181)</f>
        <v>Aditya Birla Sun Life Banking And Financial Services Fund Growth</v>
      </c>
      <c r="C282">
        <f>INDEX(tManiqAshu[Date],181)</f>
        <v>46106</v>
      </c>
      <c r="D282">
        <f>INDEX(tManiqAshu[Signed Amount],181)</f>
        <v>2499.88</v>
      </c>
    </row>
    <row r="283" spans="1:4" x14ac:dyDescent="0.3">
      <c r="A283" t="s">
        <v>52</v>
      </c>
      <c r="B283" t="str">
        <f>INDEX(tManiqAshu[Display Scheme],182)</f>
        <v>Mahindra Manulife Focused Fund Growth</v>
      </c>
      <c r="C283">
        <f>INDEX(tManiqAshu[Date],182)</f>
        <v>46106</v>
      </c>
      <c r="D283">
        <f>INDEX(tManiqAshu[Signed Amount],182)</f>
        <v>1999.9</v>
      </c>
    </row>
    <row r="284" spans="1:4" x14ac:dyDescent="0.3">
      <c r="A284" t="s">
        <v>53</v>
      </c>
      <c r="B284" t="str">
        <f>INDEX(tManiqHars[Display Scheme],1)</f>
        <v>Mirae Asset Large And Mid Cap Fund Growth</v>
      </c>
      <c r="C284">
        <f>INDEX(tManiqHars[Date],1)</f>
        <v>46049</v>
      </c>
      <c r="D284">
        <f>INDEX(tManiqHars[Signed Amount],1)</f>
        <v>2499.88</v>
      </c>
    </row>
    <row r="285" spans="1:4" x14ac:dyDescent="0.3">
      <c r="A285" t="s">
        <v>53</v>
      </c>
      <c r="B285" t="str">
        <f>INDEX(tManiqHars[Display Scheme],2)</f>
        <v>Sbi Small Cap Fund Growth</v>
      </c>
      <c r="C285">
        <f>INDEX(tManiqHars[Date],2)</f>
        <v>46049</v>
      </c>
      <c r="D285">
        <f>INDEX(tManiqHars[Signed Amount],2)</f>
        <v>2499.88</v>
      </c>
    </row>
    <row r="286" spans="1:4" x14ac:dyDescent="0.3">
      <c r="A286" t="s">
        <v>53</v>
      </c>
      <c r="B286" t="str">
        <f>INDEX(tManiqHars[Display Scheme],3)</f>
        <v>Canara Robeco Large And Mid Cap Fund Growth</v>
      </c>
      <c r="C286">
        <f>INDEX(tManiqHars[Date],3)</f>
        <v>46049</v>
      </c>
      <c r="D286">
        <f>INDEX(tManiqHars[Signed Amount],3)</f>
        <v>2499.88</v>
      </c>
    </row>
    <row r="287" spans="1:4" x14ac:dyDescent="0.3">
      <c r="A287" t="s">
        <v>53</v>
      </c>
      <c r="B287" t="str">
        <f>INDEX(tManiqHars[Display Scheme],4)</f>
        <v>Icici Prudential Focused Equity Fund Growth</v>
      </c>
      <c r="C287">
        <f>INDEX(tManiqHars[Date],4)</f>
        <v>46049</v>
      </c>
      <c r="D287">
        <f>INDEX(tManiqHars[Signed Amount],4)</f>
        <v>2499.88</v>
      </c>
    </row>
    <row r="288" spans="1:4" x14ac:dyDescent="0.3">
      <c r="A288" t="s">
        <v>53</v>
      </c>
      <c r="B288" t="str">
        <f>INDEX(tManiqHars[Display Scheme],5)</f>
        <v>Canara Robeco Large And Mid Cap Fund Growth</v>
      </c>
      <c r="C288">
        <f>INDEX(tManiqHars[Date],5)</f>
        <v>46017</v>
      </c>
      <c r="D288">
        <f>INDEX(tManiqHars[Signed Amount],5)</f>
        <v>2499.88</v>
      </c>
    </row>
    <row r="289" spans="1:4" x14ac:dyDescent="0.3">
      <c r="A289" t="s">
        <v>53</v>
      </c>
      <c r="B289" t="str">
        <f>INDEX(tManiqHars[Display Scheme],6)</f>
        <v>Icici Prudential Focused Equity Fund Growth</v>
      </c>
      <c r="C289">
        <f>INDEX(tManiqHars[Date],6)</f>
        <v>46017</v>
      </c>
      <c r="D289">
        <f>INDEX(tManiqHars[Signed Amount],6)</f>
        <v>2499.88</v>
      </c>
    </row>
    <row r="290" spans="1:4" x14ac:dyDescent="0.3">
      <c r="A290" t="s">
        <v>53</v>
      </c>
      <c r="B290" t="str">
        <f>INDEX(tManiqHars[Display Scheme],7)</f>
        <v>Mirae Asset Large And Mid Cap Fund Growth</v>
      </c>
      <c r="C290">
        <f>INDEX(tManiqHars[Date],7)</f>
        <v>46017</v>
      </c>
      <c r="D290">
        <f>INDEX(tManiqHars[Signed Amount],7)</f>
        <v>2499.88</v>
      </c>
    </row>
    <row r="291" spans="1:4" x14ac:dyDescent="0.3">
      <c r="A291" t="s">
        <v>53</v>
      </c>
      <c r="B291" t="str">
        <f>INDEX(tManiqHars[Display Scheme],8)</f>
        <v>Sbi Small Cap Fund Growth</v>
      </c>
      <c r="C291">
        <f>INDEX(tManiqHars[Date],8)</f>
        <v>46017</v>
      </c>
      <c r="D291">
        <f>INDEX(tManiqHars[Signed Amount],8)</f>
        <v>2499.88</v>
      </c>
    </row>
    <row r="292" spans="1:4" x14ac:dyDescent="0.3">
      <c r="A292" t="s">
        <v>53</v>
      </c>
      <c r="B292" t="str">
        <f>INDEX(tManiqHars[Display Scheme],9)</f>
        <v>Mirae Asset Large And Mid Cap Fund Growth</v>
      </c>
      <c r="C292">
        <f>INDEX(tManiqHars[Date],9)</f>
        <v>45986</v>
      </c>
      <c r="D292">
        <f>INDEX(tManiqHars[Signed Amount],9)</f>
        <v>2499.88</v>
      </c>
    </row>
    <row r="293" spans="1:4" x14ac:dyDescent="0.3">
      <c r="A293" t="s">
        <v>53</v>
      </c>
      <c r="B293" t="str">
        <f>INDEX(tManiqHars[Display Scheme],10)</f>
        <v>Icici Prudential Focused Equity Fund Growth</v>
      </c>
      <c r="C293">
        <f>INDEX(tManiqHars[Date],10)</f>
        <v>45986</v>
      </c>
      <c r="D293">
        <f>INDEX(tManiqHars[Signed Amount],10)</f>
        <v>2499.88</v>
      </c>
    </row>
    <row r="294" spans="1:4" x14ac:dyDescent="0.3">
      <c r="A294" t="s">
        <v>53</v>
      </c>
      <c r="B294" t="str">
        <f>INDEX(tManiqHars[Display Scheme],11)</f>
        <v>Canara Robeco Large And Mid Cap Fund Growth</v>
      </c>
      <c r="C294">
        <f>INDEX(tManiqHars[Date],11)</f>
        <v>45986</v>
      </c>
      <c r="D294">
        <f>INDEX(tManiqHars[Signed Amount],11)</f>
        <v>2499.88</v>
      </c>
    </row>
    <row r="295" spans="1:4" x14ac:dyDescent="0.3">
      <c r="A295" t="s">
        <v>53</v>
      </c>
      <c r="B295" t="str">
        <f>INDEX(tManiqHars[Display Scheme],12)</f>
        <v>Sbi Small Cap Fund Growth</v>
      </c>
      <c r="C295">
        <f>INDEX(tManiqHars[Date],12)</f>
        <v>45986</v>
      </c>
      <c r="D295">
        <f>INDEX(tManiqHars[Signed Amount],12)</f>
        <v>2499.88</v>
      </c>
    </row>
    <row r="296" spans="1:4" x14ac:dyDescent="0.3">
      <c r="A296" t="s">
        <v>53</v>
      </c>
      <c r="B296" t="str">
        <f>INDEX(tManiqHars[Display Scheme],13)</f>
        <v>Sbi Small Cap Fund Growth</v>
      </c>
      <c r="C296">
        <f>INDEX(tManiqHars[Date],13)</f>
        <v>45957</v>
      </c>
      <c r="D296">
        <f>INDEX(tManiqHars[Signed Amount],13)</f>
        <v>2499.88</v>
      </c>
    </row>
    <row r="297" spans="1:4" x14ac:dyDescent="0.3">
      <c r="A297" t="s">
        <v>53</v>
      </c>
      <c r="B297" t="str">
        <f>INDEX(tManiqHars[Display Scheme],14)</f>
        <v>Icici Prudential Focused Equity Fund Growth</v>
      </c>
      <c r="C297">
        <f>INDEX(tManiqHars[Date],14)</f>
        <v>45957</v>
      </c>
      <c r="D297">
        <f>INDEX(tManiqHars[Signed Amount],14)</f>
        <v>2499.88</v>
      </c>
    </row>
    <row r="298" spans="1:4" x14ac:dyDescent="0.3">
      <c r="A298" t="s">
        <v>53</v>
      </c>
      <c r="B298" t="str">
        <f>INDEX(tManiqHars[Display Scheme],15)</f>
        <v>Mirae Asset Large And Mid Cap Fund Growth</v>
      </c>
      <c r="C298">
        <f>INDEX(tManiqHars[Date],15)</f>
        <v>45957</v>
      </c>
      <c r="D298">
        <f>INDEX(tManiqHars[Signed Amount],15)</f>
        <v>2499.88</v>
      </c>
    </row>
    <row r="299" spans="1:4" x14ac:dyDescent="0.3">
      <c r="A299" t="s">
        <v>53</v>
      </c>
      <c r="B299" t="str">
        <f>INDEX(tManiqHars[Display Scheme],16)</f>
        <v>Canara Robeco Large And Mid Cap Fund Growth</v>
      </c>
      <c r="C299">
        <f>INDEX(tManiqHars[Date],16)</f>
        <v>45957</v>
      </c>
      <c r="D299">
        <f>INDEX(tManiqHars[Signed Amount],16)</f>
        <v>2499.88</v>
      </c>
    </row>
    <row r="300" spans="1:4" x14ac:dyDescent="0.3">
      <c r="A300" t="s">
        <v>53</v>
      </c>
      <c r="B300" t="str">
        <f>INDEX(tManiqHars[Display Scheme],17)</f>
        <v>Icici Prudential Focused Equity Fund Growth</v>
      </c>
      <c r="C300">
        <f>INDEX(tManiqHars[Date],17)</f>
        <v>45925</v>
      </c>
      <c r="D300">
        <f>INDEX(tManiqHars[Signed Amount],17)</f>
        <v>2499.88</v>
      </c>
    </row>
    <row r="301" spans="1:4" x14ac:dyDescent="0.3">
      <c r="A301" t="s">
        <v>53</v>
      </c>
      <c r="B301" t="str">
        <f>INDEX(tManiqHars[Display Scheme],18)</f>
        <v>Canara Robeco Large And Mid Cap Fund Growth</v>
      </c>
      <c r="C301">
        <f>INDEX(tManiqHars[Date],18)</f>
        <v>45925</v>
      </c>
      <c r="D301">
        <f>INDEX(tManiqHars[Signed Amount],18)</f>
        <v>2499.88</v>
      </c>
    </row>
    <row r="302" spans="1:4" x14ac:dyDescent="0.3">
      <c r="A302" t="s">
        <v>53</v>
      </c>
      <c r="B302" t="str">
        <f>INDEX(tManiqHars[Display Scheme],19)</f>
        <v>Sbi Small Cap Fund Growth</v>
      </c>
      <c r="C302">
        <f>INDEX(tManiqHars[Date],19)</f>
        <v>45925</v>
      </c>
      <c r="D302">
        <f>INDEX(tManiqHars[Signed Amount],19)</f>
        <v>2499.88</v>
      </c>
    </row>
    <row r="303" spans="1:4" x14ac:dyDescent="0.3">
      <c r="A303" t="s">
        <v>53</v>
      </c>
      <c r="B303" t="str">
        <f>INDEX(tManiqHars[Display Scheme],20)</f>
        <v>Mirae Asset Large And Mid Cap Fund Growth</v>
      </c>
      <c r="C303">
        <f>INDEX(tManiqHars[Date],20)</f>
        <v>45925</v>
      </c>
      <c r="D303">
        <f>INDEX(tManiqHars[Signed Amount],20)</f>
        <v>2499.88</v>
      </c>
    </row>
    <row r="304" spans="1:4" x14ac:dyDescent="0.3">
      <c r="A304" t="s">
        <v>53</v>
      </c>
      <c r="B304" t="str">
        <f>INDEX(tManiqHars[Display Scheme],21)</f>
        <v>Sbi Small Cap Fund Growth</v>
      </c>
      <c r="C304">
        <f>INDEX(tManiqHars[Date],21)</f>
        <v>45894</v>
      </c>
      <c r="D304">
        <f>INDEX(tManiqHars[Signed Amount],21)</f>
        <v>2499.88</v>
      </c>
    </row>
    <row r="305" spans="1:4" x14ac:dyDescent="0.3">
      <c r="A305" t="s">
        <v>53</v>
      </c>
      <c r="B305" t="str">
        <f>INDEX(tManiqHars[Display Scheme],22)</f>
        <v>Mirae Asset Large And Mid Cap Fund Growth</v>
      </c>
      <c r="C305">
        <f>INDEX(tManiqHars[Date],22)</f>
        <v>45894</v>
      </c>
      <c r="D305">
        <f>INDEX(tManiqHars[Signed Amount],22)</f>
        <v>2499.88</v>
      </c>
    </row>
    <row r="306" spans="1:4" x14ac:dyDescent="0.3">
      <c r="A306" t="s">
        <v>53</v>
      </c>
      <c r="B306" t="str">
        <f>INDEX(tManiqHars[Display Scheme],23)</f>
        <v>Canara Robeco Large And Mid Cap Fund Growth</v>
      </c>
      <c r="C306">
        <f>INDEX(tManiqHars[Date],23)</f>
        <v>45894</v>
      </c>
      <c r="D306">
        <f>INDEX(tManiqHars[Signed Amount],23)</f>
        <v>2499.88</v>
      </c>
    </row>
    <row r="307" spans="1:4" x14ac:dyDescent="0.3">
      <c r="A307" t="s">
        <v>53</v>
      </c>
      <c r="B307" t="str">
        <f>INDEX(tManiqHars[Display Scheme],24)</f>
        <v>Icici Prudential Focused Equity Fund Growth</v>
      </c>
      <c r="C307">
        <f>INDEX(tManiqHars[Date],24)</f>
        <v>45894</v>
      </c>
      <c r="D307">
        <f>INDEX(tManiqHars[Signed Amount],24)</f>
        <v>2499.88</v>
      </c>
    </row>
    <row r="308" spans="1:4" x14ac:dyDescent="0.3">
      <c r="A308" t="s">
        <v>53</v>
      </c>
      <c r="B308" t="str">
        <f>INDEX(tManiqHars[Display Scheme],25)</f>
        <v>Icici Prudential Focused Equity Fund Growth</v>
      </c>
      <c r="C308">
        <f>INDEX(tManiqHars[Date],25)</f>
        <v>45863</v>
      </c>
      <c r="D308">
        <f>INDEX(tManiqHars[Signed Amount],25)</f>
        <v>2499.88</v>
      </c>
    </row>
    <row r="309" spans="1:4" x14ac:dyDescent="0.3">
      <c r="A309" t="s">
        <v>53</v>
      </c>
      <c r="B309" t="str">
        <f>INDEX(tManiqHars[Display Scheme],26)</f>
        <v>Mirae Asset Large And Mid Cap Fund Growth</v>
      </c>
      <c r="C309">
        <f>INDEX(tManiqHars[Date],26)</f>
        <v>45863</v>
      </c>
      <c r="D309">
        <f>INDEX(tManiqHars[Signed Amount],26)</f>
        <v>2499.88</v>
      </c>
    </row>
    <row r="310" spans="1:4" x14ac:dyDescent="0.3">
      <c r="A310" t="s">
        <v>53</v>
      </c>
      <c r="B310" t="str">
        <f>INDEX(tManiqHars[Display Scheme],27)</f>
        <v>Sbi Small Cap Fund Growth</v>
      </c>
      <c r="C310">
        <f>INDEX(tManiqHars[Date],27)</f>
        <v>45863</v>
      </c>
      <c r="D310">
        <f>INDEX(tManiqHars[Signed Amount],27)</f>
        <v>2499.88</v>
      </c>
    </row>
    <row r="311" spans="1:4" x14ac:dyDescent="0.3">
      <c r="A311" t="s">
        <v>53</v>
      </c>
      <c r="B311" t="str">
        <f>INDEX(tManiqHars[Display Scheme],28)</f>
        <v>Canara Robeco Large And Mid Cap Fund Growth</v>
      </c>
      <c r="C311">
        <f>INDEX(tManiqHars[Date],28)</f>
        <v>45863</v>
      </c>
      <c r="D311">
        <f>INDEX(tManiqHars[Signed Amount],28)</f>
        <v>2499.88</v>
      </c>
    </row>
    <row r="312" spans="1:4" x14ac:dyDescent="0.3">
      <c r="A312" t="s">
        <v>53</v>
      </c>
      <c r="B312" t="str">
        <f>INDEX(tManiqHars[Display Scheme],29)</f>
        <v>Icici Prudential Focused Equity Fund Growth</v>
      </c>
      <c r="C312">
        <f>INDEX(tManiqHars[Date],29)</f>
        <v>45833</v>
      </c>
      <c r="D312">
        <f>INDEX(tManiqHars[Signed Amount],29)</f>
        <v>2499.88</v>
      </c>
    </row>
    <row r="313" spans="1:4" x14ac:dyDescent="0.3">
      <c r="A313" t="s">
        <v>53</v>
      </c>
      <c r="B313" t="str">
        <f>INDEX(tManiqHars[Display Scheme],30)</f>
        <v>Canara Robeco Large And Mid Cap Fund Growth</v>
      </c>
      <c r="C313">
        <f>INDEX(tManiqHars[Date],30)</f>
        <v>45833</v>
      </c>
      <c r="D313">
        <f>INDEX(tManiqHars[Signed Amount],30)</f>
        <v>2499.88</v>
      </c>
    </row>
    <row r="314" spans="1:4" x14ac:dyDescent="0.3">
      <c r="A314" t="s">
        <v>53</v>
      </c>
      <c r="B314" t="str">
        <f>INDEX(tManiqHars[Display Scheme],31)</f>
        <v>Mirae Asset Large And Mid Cap Fund Growth</v>
      </c>
      <c r="C314">
        <f>INDEX(tManiqHars[Date],31)</f>
        <v>45833</v>
      </c>
      <c r="D314">
        <f>INDEX(tManiqHars[Signed Amount],31)</f>
        <v>2499.88</v>
      </c>
    </row>
    <row r="315" spans="1:4" x14ac:dyDescent="0.3">
      <c r="A315" t="s">
        <v>53</v>
      </c>
      <c r="B315" t="str">
        <f>INDEX(tManiqHars[Display Scheme],32)</f>
        <v>Sbi Small Cap Fund Growth</v>
      </c>
      <c r="C315">
        <f>INDEX(tManiqHars[Date],32)</f>
        <v>45833</v>
      </c>
      <c r="D315">
        <f>INDEX(tManiqHars[Signed Amount],32)</f>
        <v>2499.88</v>
      </c>
    </row>
    <row r="316" spans="1:4" x14ac:dyDescent="0.3">
      <c r="A316" t="s">
        <v>53</v>
      </c>
      <c r="B316" t="str">
        <f>INDEX(tManiqHars[Display Scheme],33)</f>
        <v>Mirae Asset Large And Mid Cap Fund Growth</v>
      </c>
      <c r="C316">
        <f>INDEX(tManiqHars[Date],33)</f>
        <v>45803</v>
      </c>
      <c r="D316">
        <f>INDEX(tManiqHars[Signed Amount],33)</f>
        <v>2499.88</v>
      </c>
    </row>
    <row r="317" spans="1:4" x14ac:dyDescent="0.3">
      <c r="A317" t="s">
        <v>53</v>
      </c>
      <c r="B317" t="str">
        <f>INDEX(tManiqHars[Display Scheme],34)</f>
        <v>Canara Robeco Large And Mid Cap Fund Growth</v>
      </c>
      <c r="C317">
        <f>INDEX(tManiqHars[Date],34)</f>
        <v>45803</v>
      </c>
      <c r="D317">
        <f>INDEX(tManiqHars[Signed Amount],34)</f>
        <v>2499.88</v>
      </c>
    </row>
    <row r="318" spans="1:4" x14ac:dyDescent="0.3">
      <c r="A318" t="s">
        <v>53</v>
      </c>
      <c r="B318" t="str">
        <f>INDEX(tManiqHars[Display Scheme],35)</f>
        <v>Sbi Small Cap Fund Growth</v>
      </c>
      <c r="C318">
        <f>INDEX(tManiqHars[Date],35)</f>
        <v>45803</v>
      </c>
      <c r="D318">
        <f>INDEX(tManiqHars[Signed Amount],35)</f>
        <v>2499.88</v>
      </c>
    </row>
    <row r="319" spans="1:4" x14ac:dyDescent="0.3">
      <c r="A319" t="s">
        <v>53</v>
      </c>
      <c r="B319" t="str">
        <f>INDEX(tManiqHars[Display Scheme],36)</f>
        <v>Icici Prudential Focused Equity Fund Growth</v>
      </c>
      <c r="C319">
        <f>INDEX(tManiqHars[Date],36)</f>
        <v>45803</v>
      </c>
      <c r="D319">
        <f>INDEX(tManiqHars[Signed Amount],36)</f>
        <v>2499.88</v>
      </c>
    </row>
    <row r="320" spans="1:4" x14ac:dyDescent="0.3">
      <c r="A320" t="s">
        <v>53</v>
      </c>
      <c r="B320" t="str">
        <f>INDEX(tManiqHars[Display Scheme],37)</f>
        <v>Canara Robeco Large And Mid Cap Fund Growth</v>
      </c>
      <c r="C320">
        <f>INDEX(tManiqHars[Date],37)</f>
        <v>45772</v>
      </c>
      <c r="D320">
        <f>INDEX(tManiqHars[Signed Amount],37)</f>
        <v>2499.88</v>
      </c>
    </row>
    <row r="321" spans="1:4" x14ac:dyDescent="0.3">
      <c r="A321" t="s">
        <v>53</v>
      </c>
      <c r="B321" t="str">
        <f>INDEX(tManiqHars[Display Scheme],38)</f>
        <v>Mirae Asset Large And Mid Cap Fund Growth</v>
      </c>
      <c r="C321">
        <f>INDEX(tManiqHars[Date],38)</f>
        <v>45772</v>
      </c>
      <c r="D321">
        <f>INDEX(tManiqHars[Signed Amount],38)</f>
        <v>2499.88</v>
      </c>
    </row>
    <row r="322" spans="1:4" x14ac:dyDescent="0.3">
      <c r="A322" t="s">
        <v>53</v>
      </c>
      <c r="B322" t="str">
        <f>INDEX(tManiqHars[Display Scheme],39)</f>
        <v>Icici Prudential Focused Equity Fund Growth</v>
      </c>
      <c r="C322">
        <f>INDEX(tManiqHars[Date],39)</f>
        <v>45772</v>
      </c>
      <c r="D322">
        <f>INDEX(tManiqHars[Signed Amount],39)</f>
        <v>2499.88</v>
      </c>
    </row>
    <row r="323" spans="1:4" x14ac:dyDescent="0.3">
      <c r="A323" t="s">
        <v>53</v>
      </c>
      <c r="B323" t="str">
        <f>INDEX(tManiqHars[Display Scheme],40)</f>
        <v>Sbi Small Cap Fund Growth</v>
      </c>
      <c r="C323">
        <f>INDEX(tManiqHars[Date],40)</f>
        <v>45772</v>
      </c>
      <c r="D323">
        <f>INDEX(tManiqHars[Signed Amount],40)</f>
        <v>2499.88</v>
      </c>
    </row>
    <row r="324" spans="1:4" x14ac:dyDescent="0.3">
      <c r="A324" t="s">
        <v>53</v>
      </c>
      <c r="B324" t="str">
        <f>INDEX(tManiqHars[Display Scheme],41)</f>
        <v>Mirae Asset Large And Mid Cap Fund Growth</v>
      </c>
      <c r="C324">
        <f>INDEX(tManiqHars[Date],41)</f>
        <v>45741</v>
      </c>
      <c r="D324">
        <f>INDEX(tManiqHars[Signed Amount],41)</f>
        <v>2499.88</v>
      </c>
    </row>
    <row r="325" spans="1:4" x14ac:dyDescent="0.3">
      <c r="A325" t="s">
        <v>53</v>
      </c>
      <c r="B325" t="str">
        <f>INDEX(tManiqHars[Display Scheme],42)</f>
        <v>Icici Prudential Focused Equity Fund Growth</v>
      </c>
      <c r="C325">
        <f>INDEX(tManiqHars[Date],42)</f>
        <v>45741</v>
      </c>
      <c r="D325">
        <f>INDEX(tManiqHars[Signed Amount],42)</f>
        <v>2499.88</v>
      </c>
    </row>
    <row r="326" spans="1:4" x14ac:dyDescent="0.3">
      <c r="A326" t="s">
        <v>53</v>
      </c>
      <c r="B326" t="str">
        <f>INDEX(tManiqHars[Display Scheme],43)</f>
        <v>Canara Robeco Large And Mid Cap Fund Growth</v>
      </c>
      <c r="C326">
        <f>INDEX(tManiqHars[Date],43)</f>
        <v>45741</v>
      </c>
      <c r="D326">
        <f>INDEX(tManiqHars[Signed Amount],43)</f>
        <v>2499.88</v>
      </c>
    </row>
    <row r="327" spans="1:4" x14ac:dyDescent="0.3">
      <c r="A327" t="s">
        <v>53</v>
      </c>
      <c r="B327" t="str">
        <f>INDEX(tManiqHars[Display Scheme],44)</f>
        <v>Sbi Small Cap Fund Growth</v>
      </c>
      <c r="C327">
        <f>INDEX(tManiqHars[Date],44)</f>
        <v>45741</v>
      </c>
      <c r="D327">
        <f>INDEX(tManiqHars[Signed Amount],44)</f>
        <v>2499.88</v>
      </c>
    </row>
    <row r="328" spans="1:4" x14ac:dyDescent="0.3">
      <c r="A328" t="s">
        <v>53</v>
      </c>
      <c r="B328" t="str">
        <f>INDEX(tManiqHars[Display Scheme],45)</f>
        <v>Sbi Small Cap Fund Growth</v>
      </c>
      <c r="C328">
        <f>INDEX(tManiqHars[Date],45)</f>
        <v>45715</v>
      </c>
      <c r="D328">
        <f>INDEX(tManiqHars[Signed Amount],45)</f>
        <v>2499.88</v>
      </c>
    </row>
    <row r="329" spans="1:4" x14ac:dyDescent="0.3">
      <c r="A329" t="s">
        <v>53</v>
      </c>
      <c r="B329" t="str">
        <f>INDEX(tManiqHars[Display Scheme],46)</f>
        <v>Mirae Asset Large And Mid Cap Fund Growth</v>
      </c>
      <c r="C329">
        <f>INDEX(tManiqHars[Date],46)</f>
        <v>45715</v>
      </c>
      <c r="D329">
        <f>INDEX(tManiqHars[Signed Amount],46)</f>
        <v>2499.88</v>
      </c>
    </row>
    <row r="330" spans="1:4" x14ac:dyDescent="0.3">
      <c r="A330" t="s">
        <v>53</v>
      </c>
      <c r="B330" t="str">
        <f>INDEX(tManiqHars[Display Scheme],47)</f>
        <v>Canara Robeco Large And Mid Cap Fund Growth</v>
      </c>
      <c r="C330">
        <f>INDEX(tManiqHars[Date],47)</f>
        <v>45715</v>
      </c>
      <c r="D330">
        <f>INDEX(tManiqHars[Signed Amount],47)</f>
        <v>2499.88</v>
      </c>
    </row>
    <row r="331" spans="1:4" x14ac:dyDescent="0.3">
      <c r="A331" t="s">
        <v>53</v>
      </c>
      <c r="B331" t="str">
        <f>INDEX(tManiqHars[Display Scheme],48)</f>
        <v>Icici Prudential Focused Equity Fund Growth</v>
      </c>
      <c r="C331">
        <f>INDEX(tManiqHars[Date],48)</f>
        <v>45715</v>
      </c>
      <c r="D331">
        <f>INDEX(tManiqHars[Signed Amount],48)</f>
        <v>2499.88</v>
      </c>
    </row>
    <row r="332" spans="1:4" x14ac:dyDescent="0.3">
      <c r="A332" t="s">
        <v>53</v>
      </c>
      <c r="B332" t="str">
        <f>INDEX(tManiqHars[Display Scheme],49)</f>
        <v>Icici Prudential Focused Equity Fund Growth</v>
      </c>
      <c r="C332">
        <f>INDEX(tManiqHars[Date],49)</f>
        <v>45685</v>
      </c>
      <c r="D332">
        <f>INDEX(tManiqHars[Signed Amount],49)</f>
        <v>2499.88</v>
      </c>
    </row>
    <row r="333" spans="1:4" x14ac:dyDescent="0.3">
      <c r="A333" t="s">
        <v>53</v>
      </c>
      <c r="B333" t="str">
        <f>INDEX(tManiqHars[Display Scheme],50)</f>
        <v>Mirae Asset Large And Mid Cap Fund Growth</v>
      </c>
      <c r="C333">
        <f>INDEX(tManiqHars[Date],50)</f>
        <v>45685</v>
      </c>
      <c r="D333">
        <f>INDEX(tManiqHars[Signed Amount],50)</f>
        <v>2499.88</v>
      </c>
    </row>
    <row r="334" spans="1:4" x14ac:dyDescent="0.3">
      <c r="A334" t="s">
        <v>53</v>
      </c>
      <c r="B334" t="str">
        <f>INDEX(tManiqHars[Display Scheme],51)</f>
        <v>Canara Robeco Large And Mid Cap Fund Growth</v>
      </c>
      <c r="C334">
        <f>INDEX(tManiqHars[Date],51)</f>
        <v>45685</v>
      </c>
      <c r="D334">
        <f>INDEX(tManiqHars[Signed Amount],51)</f>
        <v>2499.88</v>
      </c>
    </row>
    <row r="335" spans="1:4" x14ac:dyDescent="0.3">
      <c r="A335" t="s">
        <v>53</v>
      </c>
      <c r="B335" t="str">
        <f>INDEX(tManiqHars[Display Scheme],52)</f>
        <v>Sbi Small Cap Fund Growth</v>
      </c>
      <c r="C335">
        <f>INDEX(tManiqHars[Date],52)</f>
        <v>45685</v>
      </c>
      <c r="D335">
        <f>INDEX(tManiqHars[Signed Amount],52)</f>
        <v>2499.88</v>
      </c>
    </row>
    <row r="336" spans="1:4" x14ac:dyDescent="0.3">
      <c r="A336" t="s">
        <v>53</v>
      </c>
      <c r="B336" t="str">
        <f>INDEX(tManiqHars[Display Scheme],53)</f>
        <v>Icici Prudential Focused Equity Fund Growth</v>
      </c>
      <c r="C336">
        <f>INDEX(tManiqHars[Date],53)</f>
        <v>45652</v>
      </c>
      <c r="D336">
        <f>INDEX(tManiqHars[Signed Amount],53)</f>
        <v>2499.88</v>
      </c>
    </row>
    <row r="337" spans="1:4" x14ac:dyDescent="0.3">
      <c r="A337" t="s">
        <v>53</v>
      </c>
      <c r="B337" t="str">
        <f>INDEX(tManiqHars[Display Scheme],54)</f>
        <v>Sbi Small Cap Fund Growth</v>
      </c>
      <c r="C337">
        <f>INDEX(tManiqHars[Date],54)</f>
        <v>45652</v>
      </c>
      <c r="D337">
        <f>INDEX(tManiqHars[Signed Amount],54)</f>
        <v>2499.88</v>
      </c>
    </row>
    <row r="338" spans="1:4" x14ac:dyDescent="0.3">
      <c r="A338" t="s">
        <v>53</v>
      </c>
      <c r="B338" t="str">
        <f>INDEX(tManiqHars[Display Scheme],55)</f>
        <v>Canara Robeco Large And Mid Cap Fund Growth</v>
      </c>
      <c r="C338">
        <f>INDEX(tManiqHars[Date],55)</f>
        <v>45652</v>
      </c>
      <c r="D338">
        <f>INDEX(tManiqHars[Signed Amount],55)</f>
        <v>2499.88</v>
      </c>
    </row>
    <row r="339" spans="1:4" x14ac:dyDescent="0.3">
      <c r="A339" t="s">
        <v>53</v>
      </c>
      <c r="B339" t="str">
        <f>INDEX(tManiqHars[Display Scheme],56)</f>
        <v>Mirae Asset Large And Mid Cap Fund Growth</v>
      </c>
      <c r="C339">
        <f>INDEX(tManiqHars[Date],56)</f>
        <v>45652</v>
      </c>
      <c r="D339">
        <f>INDEX(tManiqHars[Signed Amount],56)</f>
        <v>2499.88</v>
      </c>
    </row>
    <row r="340" spans="1:4" x14ac:dyDescent="0.3">
      <c r="A340" t="s">
        <v>53</v>
      </c>
      <c r="B340" t="str">
        <f>INDEX(tManiqHars[Display Scheme],57)</f>
        <v>Sbi Small Cap Fund Growth</v>
      </c>
      <c r="C340">
        <f>INDEX(tManiqHars[Date],57)</f>
        <v>45621</v>
      </c>
      <c r="D340">
        <f>INDEX(tManiqHars[Signed Amount],57)</f>
        <v>2499.88</v>
      </c>
    </row>
    <row r="341" spans="1:4" x14ac:dyDescent="0.3">
      <c r="A341" t="s">
        <v>53</v>
      </c>
      <c r="B341" t="str">
        <f>INDEX(tManiqHars[Display Scheme],58)</f>
        <v>Icici Prudential Focused Equity Fund Growth</v>
      </c>
      <c r="C341">
        <f>INDEX(tManiqHars[Date],58)</f>
        <v>45621</v>
      </c>
      <c r="D341">
        <f>INDEX(tManiqHars[Signed Amount],58)</f>
        <v>2499.88</v>
      </c>
    </row>
    <row r="342" spans="1:4" x14ac:dyDescent="0.3">
      <c r="A342" t="s">
        <v>53</v>
      </c>
      <c r="B342" t="str">
        <f>INDEX(tManiqHars[Display Scheme],59)</f>
        <v>Canara Robeco Large And Mid Cap Fund Growth</v>
      </c>
      <c r="C342">
        <f>INDEX(tManiqHars[Date],59)</f>
        <v>45621</v>
      </c>
      <c r="D342">
        <f>INDEX(tManiqHars[Signed Amount],59)</f>
        <v>2499.88</v>
      </c>
    </row>
    <row r="343" spans="1:4" x14ac:dyDescent="0.3">
      <c r="A343" t="s">
        <v>53</v>
      </c>
      <c r="B343" t="str">
        <f>INDEX(tManiqHars[Display Scheme],60)</f>
        <v>Mirae Asset Large And Mid Cap Fund Growth</v>
      </c>
      <c r="C343">
        <f>INDEX(tManiqHars[Date],60)</f>
        <v>45621</v>
      </c>
      <c r="D343">
        <f>INDEX(tManiqHars[Signed Amount],60)</f>
        <v>2499.88</v>
      </c>
    </row>
    <row r="344" spans="1:4" x14ac:dyDescent="0.3">
      <c r="A344" t="s">
        <v>53</v>
      </c>
      <c r="B344" t="str">
        <f>INDEX(tManiqHars[Display Scheme],61)</f>
        <v>Mirae Asset Large And Mid Cap Fund Growth</v>
      </c>
      <c r="C344">
        <f>INDEX(tManiqHars[Date],61)</f>
        <v>45590</v>
      </c>
      <c r="D344">
        <f>INDEX(tManiqHars[Signed Amount],61)</f>
        <v>2499.88</v>
      </c>
    </row>
    <row r="345" spans="1:4" x14ac:dyDescent="0.3">
      <c r="A345" t="s">
        <v>53</v>
      </c>
      <c r="B345" t="str">
        <f>INDEX(tManiqHars[Display Scheme],62)</f>
        <v>Icici Prudential Focused Equity Fund Growth</v>
      </c>
      <c r="C345">
        <f>INDEX(tManiqHars[Date],62)</f>
        <v>45590</v>
      </c>
      <c r="D345">
        <f>INDEX(tManiqHars[Signed Amount],62)</f>
        <v>2499.88</v>
      </c>
    </row>
    <row r="346" spans="1:4" x14ac:dyDescent="0.3">
      <c r="A346" t="s">
        <v>53</v>
      </c>
      <c r="B346" t="str">
        <f>INDEX(tManiqHars[Display Scheme],63)</f>
        <v>Canara Robeco Large And Mid Cap Fund Growth</v>
      </c>
      <c r="C346">
        <f>INDEX(tManiqHars[Date],63)</f>
        <v>45590</v>
      </c>
      <c r="D346">
        <f>INDEX(tManiqHars[Signed Amount],63)</f>
        <v>2499.88</v>
      </c>
    </row>
    <row r="347" spans="1:4" x14ac:dyDescent="0.3">
      <c r="A347" t="s">
        <v>53</v>
      </c>
      <c r="B347" t="str">
        <f>INDEX(tManiqHars[Display Scheme],64)</f>
        <v>Sbi Small Cap Fund Growth</v>
      </c>
      <c r="C347">
        <f>INDEX(tManiqHars[Date],64)</f>
        <v>45590</v>
      </c>
      <c r="D347">
        <f>INDEX(tManiqHars[Signed Amount],64)</f>
        <v>2499.88</v>
      </c>
    </row>
    <row r="348" spans="1:4" x14ac:dyDescent="0.3">
      <c r="A348" t="s">
        <v>53</v>
      </c>
      <c r="B348" t="str">
        <f>INDEX(tManiqHars[Display Scheme],65)</f>
        <v>Mirae Asset Large And Mid Cap Fund Growth</v>
      </c>
      <c r="C348">
        <f>INDEX(tManiqHars[Date],65)</f>
        <v>45561</v>
      </c>
      <c r="D348">
        <f>INDEX(tManiqHars[Signed Amount],65)</f>
        <v>2499.88</v>
      </c>
    </row>
    <row r="349" spans="1:4" x14ac:dyDescent="0.3">
      <c r="A349" t="s">
        <v>53</v>
      </c>
      <c r="B349" t="str">
        <f>INDEX(tManiqHars[Display Scheme],66)</f>
        <v>Sbi Small Cap Fund Growth</v>
      </c>
      <c r="C349">
        <f>INDEX(tManiqHars[Date],66)</f>
        <v>45561</v>
      </c>
      <c r="D349">
        <f>INDEX(tManiqHars[Signed Amount],66)</f>
        <v>2499.88</v>
      </c>
    </row>
    <row r="350" spans="1:4" x14ac:dyDescent="0.3">
      <c r="A350" t="s">
        <v>53</v>
      </c>
      <c r="B350" t="str">
        <f>INDEX(tManiqHars[Display Scheme],67)</f>
        <v>Icici Prudential Focused Equity Fund Growth</v>
      </c>
      <c r="C350">
        <f>INDEX(tManiqHars[Date],67)</f>
        <v>45561</v>
      </c>
      <c r="D350">
        <f>INDEX(tManiqHars[Signed Amount],67)</f>
        <v>2499.88</v>
      </c>
    </row>
    <row r="351" spans="1:4" x14ac:dyDescent="0.3">
      <c r="A351" t="s">
        <v>53</v>
      </c>
      <c r="B351" t="str">
        <f>INDEX(tManiqHars[Display Scheme],68)</f>
        <v>Canara Robeco Large And Mid Cap Fund Growth</v>
      </c>
      <c r="C351">
        <f>INDEX(tManiqHars[Date],68)</f>
        <v>45561</v>
      </c>
      <c r="D351">
        <f>INDEX(tManiqHars[Signed Amount],68)</f>
        <v>2499.88</v>
      </c>
    </row>
    <row r="352" spans="1:4" x14ac:dyDescent="0.3">
      <c r="A352" t="s">
        <v>53</v>
      </c>
      <c r="B352" t="str">
        <f>INDEX(tManiqHars[Display Scheme],69)</f>
        <v>Icici Prudential Focused Equity Fund Growth</v>
      </c>
      <c r="C352">
        <f>INDEX(tManiqHars[Date],69)</f>
        <v>45530</v>
      </c>
      <c r="D352">
        <f>INDEX(tManiqHars[Signed Amount],69)</f>
        <v>2499.88</v>
      </c>
    </row>
    <row r="353" spans="1:4" x14ac:dyDescent="0.3">
      <c r="A353" t="s">
        <v>53</v>
      </c>
      <c r="B353" t="str">
        <f>INDEX(tManiqHars[Display Scheme],70)</f>
        <v>Mirae Asset Large And Mid Cap Fund Growth</v>
      </c>
      <c r="C353">
        <f>INDEX(tManiqHars[Date],70)</f>
        <v>45530</v>
      </c>
      <c r="D353">
        <f>INDEX(tManiqHars[Signed Amount],70)</f>
        <v>2499.88</v>
      </c>
    </row>
    <row r="354" spans="1:4" x14ac:dyDescent="0.3">
      <c r="A354" t="s">
        <v>53</v>
      </c>
      <c r="B354" t="str">
        <f>INDEX(tManiqHars[Display Scheme],71)</f>
        <v>Sbi Small Cap Fund Growth</v>
      </c>
      <c r="C354">
        <f>INDEX(tManiqHars[Date],71)</f>
        <v>45530</v>
      </c>
      <c r="D354">
        <f>INDEX(tManiqHars[Signed Amount],71)</f>
        <v>2499.88</v>
      </c>
    </row>
    <row r="355" spans="1:4" x14ac:dyDescent="0.3">
      <c r="A355" t="s">
        <v>53</v>
      </c>
      <c r="B355" t="str">
        <f>INDEX(tManiqHars[Display Scheme],72)</f>
        <v>Canara Robeco Large And Mid Cap Fund Growth</v>
      </c>
      <c r="C355">
        <f>INDEX(tManiqHars[Date],72)</f>
        <v>45530</v>
      </c>
      <c r="D355">
        <f>INDEX(tManiqHars[Signed Amount],72)</f>
        <v>2499.88</v>
      </c>
    </row>
    <row r="356" spans="1:4" x14ac:dyDescent="0.3">
      <c r="A356" t="s">
        <v>53</v>
      </c>
      <c r="B356" t="str">
        <f>INDEX(tManiqHars[Display Scheme],73)</f>
        <v>Icici Prudential Focused Equity Fund Growth</v>
      </c>
      <c r="C356">
        <f>INDEX(tManiqHars[Date],73)</f>
        <v>45499</v>
      </c>
      <c r="D356">
        <f>INDEX(tManiqHars[Signed Amount],73)</f>
        <v>2499.88</v>
      </c>
    </row>
    <row r="357" spans="1:4" x14ac:dyDescent="0.3">
      <c r="A357" t="s">
        <v>53</v>
      </c>
      <c r="B357" t="str">
        <f>INDEX(tManiqHars[Display Scheme],74)</f>
        <v>Mirae Asset Large And Mid Cap Fund Growth</v>
      </c>
      <c r="C357">
        <f>INDEX(tManiqHars[Date],74)</f>
        <v>45499</v>
      </c>
      <c r="D357">
        <f>INDEX(tManiqHars[Signed Amount],74)</f>
        <v>2499.88</v>
      </c>
    </row>
    <row r="358" spans="1:4" x14ac:dyDescent="0.3">
      <c r="A358" t="s">
        <v>53</v>
      </c>
      <c r="B358" t="str">
        <f>INDEX(tManiqHars[Display Scheme],75)</f>
        <v>Sbi Small Cap Fund Growth</v>
      </c>
      <c r="C358">
        <f>INDEX(tManiqHars[Date],75)</f>
        <v>45499</v>
      </c>
      <c r="D358">
        <f>INDEX(tManiqHars[Signed Amount],75)</f>
        <v>2499.88</v>
      </c>
    </row>
    <row r="359" spans="1:4" x14ac:dyDescent="0.3">
      <c r="A359" t="s">
        <v>53</v>
      </c>
      <c r="B359" t="str">
        <f>INDEX(tManiqHars[Display Scheme],76)</f>
        <v>Canara Robeco Large And Mid Cap Fund Growth</v>
      </c>
      <c r="C359">
        <f>INDEX(tManiqHars[Date],76)</f>
        <v>45499</v>
      </c>
      <c r="D359">
        <f>INDEX(tManiqHars[Signed Amount],76)</f>
        <v>2499.88</v>
      </c>
    </row>
    <row r="360" spans="1:4" x14ac:dyDescent="0.3">
      <c r="A360" t="s">
        <v>53</v>
      </c>
      <c r="B360" t="str">
        <f>INDEX(tManiqHars[Display Scheme],77)</f>
        <v>Canara Robeco Large And Mid Cap Fund Growth</v>
      </c>
      <c r="C360">
        <f>INDEX(tManiqHars[Date],77)</f>
        <v>45469</v>
      </c>
      <c r="D360">
        <f>INDEX(tManiqHars[Signed Amount],77)</f>
        <v>2499.88</v>
      </c>
    </row>
    <row r="361" spans="1:4" x14ac:dyDescent="0.3">
      <c r="A361" t="s">
        <v>53</v>
      </c>
      <c r="B361" t="str">
        <f>INDEX(tManiqHars[Display Scheme],78)</f>
        <v>Icici Prudential Focused Equity Fund Growth</v>
      </c>
      <c r="C361">
        <f>INDEX(tManiqHars[Date],78)</f>
        <v>45469</v>
      </c>
      <c r="D361">
        <f>INDEX(tManiqHars[Signed Amount],78)</f>
        <v>2499.88</v>
      </c>
    </row>
    <row r="362" spans="1:4" x14ac:dyDescent="0.3">
      <c r="A362" t="s">
        <v>53</v>
      </c>
      <c r="B362" t="str">
        <f>INDEX(tManiqHars[Display Scheme],79)</f>
        <v>Mirae Asset Large And Mid Cap Fund Growth</v>
      </c>
      <c r="C362">
        <f>INDEX(tManiqHars[Date],79)</f>
        <v>45469</v>
      </c>
      <c r="D362">
        <f>INDEX(tManiqHars[Signed Amount],79)</f>
        <v>2499.88</v>
      </c>
    </row>
    <row r="363" spans="1:4" x14ac:dyDescent="0.3">
      <c r="A363" t="s">
        <v>53</v>
      </c>
      <c r="B363" t="str">
        <f>INDEX(tManiqHars[Display Scheme],80)</f>
        <v>Sbi Small Cap Fund Growth</v>
      </c>
      <c r="C363">
        <f>INDEX(tManiqHars[Date],80)</f>
        <v>45469</v>
      </c>
      <c r="D363">
        <f>INDEX(tManiqHars[Signed Amount],80)</f>
        <v>2499.88</v>
      </c>
    </row>
    <row r="364" spans="1:4" x14ac:dyDescent="0.3">
      <c r="A364" t="s">
        <v>53</v>
      </c>
      <c r="B364" t="str">
        <f>INDEX(tManiqHars[Display Scheme],81)</f>
        <v>Sbi Small Cap Fund Growth</v>
      </c>
      <c r="C364">
        <f>INDEX(tManiqHars[Date],81)</f>
        <v>45440</v>
      </c>
      <c r="D364">
        <f>INDEX(tManiqHars[Signed Amount],81)</f>
        <v>2499.88</v>
      </c>
    </row>
    <row r="365" spans="1:4" x14ac:dyDescent="0.3">
      <c r="A365" t="s">
        <v>53</v>
      </c>
      <c r="B365" t="str">
        <f>INDEX(tManiqHars[Display Scheme],82)</f>
        <v>Icici Prudential Focused Equity Fund Growth</v>
      </c>
      <c r="C365">
        <f>INDEX(tManiqHars[Date],82)</f>
        <v>45440</v>
      </c>
      <c r="D365">
        <f>INDEX(tManiqHars[Signed Amount],82)</f>
        <v>2499.88</v>
      </c>
    </row>
    <row r="366" spans="1:4" x14ac:dyDescent="0.3">
      <c r="A366" t="s">
        <v>53</v>
      </c>
      <c r="B366" t="str">
        <f>INDEX(tManiqHars[Display Scheme],83)</f>
        <v>Canara Robeco Large And Mid Cap Fund Growth</v>
      </c>
      <c r="C366">
        <f>INDEX(tManiqHars[Date],83)</f>
        <v>45440</v>
      </c>
      <c r="D366">
        <f>INDEX(tManiqHars[Signed Amount],83)</f>
        <v>2499.88</v>
      </c>
    </row>
    <row r="367" spans="1:4" x14ac:dyDescent="0.3">
      <c r="A367" t="s">
        <v>53</v>
      </c>
      <c r="B367" t="str">
        <f>INDEX(tManiqHars[Display Scheme],84)</f>
        <v>Mirae Asset Large And Mid Cap Fund Growth</v>
      </c>
      <c r="C367">
        <f>INDEX(tManiqHars[Date],84)</f>
        <v>45440</v>
      </c>
      <c r="D367">
        <f>INDEX(tManiqHars[Signed Amount],84)</f>
        <v>2499.88</v>
      </c>
    </row>
    <row r="368" spans="1:4" x14ac:dyDescent="0.3">
      <c r="A368" t="s">
        <v>53</v>
      </c>
      <c r="B368" t="str">
        <f>INDEX(tManiqHars[Display Scheme],85)</f>
        <v>Sbi Small Cap Fund Growth</v>
      </c>
      <c r="C368">
        <f>INDEX(tManiqHars[Date],85)</f>
        <v>45407</v>
      </c>
      <c r="D368">
        <f>INDEX(tManiqHars[Signed Amount],85)</f>
        <v>2499.88</v>
      </c>
    </row>
    <row r="369" spans="1:4" x14ac:dyDescent="0.3">
      <c r="A369" t="s">
        <v>53</v>
      </c>
      <c r="B369" t="str">
        <f>INDEX(tManiqHars[Display Scheme],86)</f>
        <v>Canara Robeco Large And Mid Cap Fund Growth</v>
      </c>
      <c r="C369">
        <f>INDEX(tManiqHars[Date],86)</f>
        <v>45407</v>
      </c>
      <c r="D369">
        <f>INDEX(tManiqHars[Signed Amount],86)</f>
        <v>2499.88</v>
      </c>
    </row>
    <row r="370" spans="1:4" x14ac:dyDescent="0.3">
      <c r="A370" t="s">
        <v>53</v>
      </c>
      <c r="B370" t="str">
        <f>INDEX(tManiqHars[Display Scheme],87)</f>
        <v>Mirae Asset Large And Mid Cap Fund Growth</v>
      </c>
      <c r="C370">
        <f>INDEX(tManiqHars[Date],87)</f>
        <v>45407</v>
      </c>
      <c r="D370">
        <f>INDEX(tManiqHars[Signed Amount],87)</f>
        <v>2499.88</v>
      </c>
    </row>
    <row r="371" spans="1:4" x14ac:dyDescent="0.3">
      <c r="A371" t="s">
        <v>53</v>
      </c>
      <c r="B371" t="str">
        <f>INDEX(tManiqHars[Display Scheme],88)</f>
        <v>Icici Prudential Focused Equity Fund Growth</v>
      </c>
      <c r="C371">
        <f>INDEX(tManiqHars[Date],88)</f>
        <v>45407</v>
      </c>
      <c r="D371">
        <f>INDEX(tManiqHars[Signed Amount],88)</f>
        <v>2499.88</v>
      </c>
    </row>
    <row r="372" spans="1:4" x14ac:dyDescent="0.3">
      <c r="A372" t="s">
        <v>53</v>
      </c>
      <c r="B372" t="str">
        <f>INDEX(tManiqHars[Display Scheme],89)</f>
        <v>Canara Robeco Large And Mid Cap Fund Growth</v>
      </c>
      <c r="C372">
        <f>INDEX(tManiqHars[Date],89)</f>
        <v>45378</v>
      </c>
      <c r="D372">
        <f>INDEX(tManiqHars[Signed Amount],89)</f>
        <v>2499.88</v>
      </c>
    </row>
    <row r="373" spans="1:4" x14ac:dyDescent="0.3">
      <c r="A373" t="s">
        <v>53</v>
      </c>
      <c r="B373" t="str">
        <f>INDEX(tManiqHars[Display Scheme],90)</f>
        <v>Mirae Asset Large And Mid Cap Fund Growth</v>
      </c>
      <c r="C373">
        <f>INDEX(tManiqHars[Date],90)</f>
        <v>45378</v>
      </c>
      <c r="D373">
        <f>INDEX(tManiqHars[Signed Amount],90)</f>
        <v>2499.88</v>
      </c>
    </row>
    <row r="374" spans="1:4" x14ac:dyDescent="0.3">
      <c r="A374" t="s">
        <v>53</v>
      </c>
      <c r="B374" t="str">
        <f>INDEX(tManiqHars[Display Scheme],91)</f>
        <v>Icici Prudential Focused Equity Fund Growth</v>
      </c>
      <c r="C374">
        <f>INDEX(tManiqHars[Date],91)</f>
        <v>45378</v>
      </c>
      <c r="D374">
        <f>INDEX(tManiqHars[Signed Amount],91)</f>
        <v>2499.88</v>
      </c>
    </row>
    <row r="375" spans="1:4" x14ac:dyDescent="0.3">
      <c r="A375" t="s">
        <v>53</v>
      </c>
      <c r="B375" t="str">
        <f>INDEX(tManiqHars[Display Scheme],92)</f>
        <v>Sbi Small Cap Fund Growth</v>
      </c>
      <c r="C375">
        <f>INDEX(tManiqHars[Date],92)</f>
        <v>45378</v>
      </c>
      <c r="D375">
        <f>INDEX(tManiqHars[Signed Amount],92)</f>
        <v>2499.88</v>
      </c>
    </row>
    <row r="376" spans="1:4" x14ac:dyDescent="0.3">
      <c r="A376" t="s">
        <v>53</v>
      </c>
      <c r="B376" t="str">
        <f>INDEX(tManiqHars[Display Scheme],93)</f>
        <v>Icici Prudential Focused Equity Fund Growth</v>
      </c>
      <c r="C376">
        <f>INDEX(tManiqHars[Date],93)</f>
        <v>45348</v>
      </c>
      <c r="D376">
        <f>INDEX(tManiqHars[Signed Amount],93)</f>
        <v>2499.88</v>
      </c>
    </row>
    <row r="377" spans="1:4" x14ac:dyDescent="0.3">
      <c r="A377" t="s">
        <v>53</v>
      </c>
      <c r="B377" t="str">
        <f>INDEX(tManiqHars[Display Scheme],94)</f>
        <v>Sbi Small Cap Fund Growth</v>
      </c>
      <c r="C377">
        <f>INDEX(tManiqHars[Date],94)</f>
        <v>45348</v>
      </c>
      <c r="D377">
        <f>INDEX(tManiqHars[Signed Amount],94)</f>
        <v>2499.88</v>
      </c>
    </row>
    <row r="378" spans="1:4" x14ac:dyDescent="0.3">
      <c r="A378" t="s">
        <v>53</v>
      </c>
      <c r="B378" t="str">
        <f>INDEX(tManiqHars[Display Scheme],95)</f>
        <v>Canara Robeco Large And Mid Cap Fund Growth</v>
      </c>
      <c r="C378">
        <f>INDEX(tManiqHars[Date],95)</f>
        <v>45348</v>
      </c>
      <c r="D378">
        <f>INDEX(tManiqHars[Signed Amount],95)</f>
        <v>2499.88</v>
      </c>
    </row>
    <row r="379" spans="1:4" x14ac:dyDescent="0.3">
      <c r="A379" t="s">
        <v>53</v>
      </c>
      <c r="B379" t="str">
        <f>INDEX(tManiqHars[Display Scheme],96)</f>
        <v>Mirae Asset Large And Mid Cap Fund Growth</v>
      </c>
      <c r="C379">
        <f>INDEX(tManiqHars[Date],96)</f>
        <v>45348</v>
      </c>
      <c r="D379">
        <f>INDEX(tManiqHars[Signed Amount],96)</f>
        <v>2499.88</v>
      </c>
    </row>
    <row r="380" spans="1:4" x14ac:dyDescent="0.3">
      <c r="A380" t="s">
        <v>53</v>
      </c>
      <c r="B380" t="str">
        <f>INDEX(tManiqHars[Display Scheme],97)</f>
        <v>Icici Prudential Focused Equity Fund Growth</v>
      </c>
      <c r="C380">
        <f>INDEX(tManiqHars[Date],97)</f>
        <v>45316</v>
      </c>
      <c r="D380">
        <f>INDEX(tManiqHars[Signed Amount],97)</f>
        <v>2499.88</v>
      </c>
    </row>
    <row r="381" spans="1:4" x14ac:dyDescent="0.3">
      <c r="A381" t="s">
        <v>53</v>
      </c>
      <c r="B381" t="str">
        <f>INDEX(tManiqHars[Display Scheme],98)</f>
        <v>Sbi Small Cap Fund Growth</v>
      </c>
      <c r="C381">
        <f>INDEX(tManiqHars[Date],98)</f>
        <v>45316</v>
      </c>
      <c r="D381">
        <f>INDEX(tManiqHars[Signed Amount],98)</f>
        <v>2499.88</v>
      </c>
    </row>
    <row r="382" spans="1:4" x14ac:dyDescent="0.3">
      <c r="A382" t="s">
        <v>53</v>
      </c>
      <c r="B382" t="str">
        <f>INDEX(tManiqHars[Display Scheme],99)</f>
        <v>Canara Robeco Large And Mid Cap Fund Growth</v>
      </c>
      <c r="C382">
        <f>INDEX(tManiqHars[Date],99)</f>
        <v>45316</v>
      </c>
      <c r="D382">
        <f>INDEX(tManiqHars[Signed Amount],99)</f>
        <v>2499.88</v>
      </c>
    </row>
    <row r="383" spans="1:4" x14ac:dyDescent="0.3">
      <c r="A383" t="s">
        <v>53</v>
      </c>
      <c r="B383" t="str">
        <f>INDEX(tManiqHars[Display Scheme],100)</f>
        <v>Mirae Asset Large And Mid Cap Fund Growth</v>
      </c>
      <c r="C383">
        <f>INDEX(tManiqHars[Date],100)</f>
        <v>45316</v>
      </c>
      <c r="D383">
        <f>INDEX(tManiqHars[Signed Amount],100)</f>
        <v>2499.88</v>
      </c>
    </row>
    <row r="384" spans="1:4" x14ac:dyDescent="0.3">
      <c r="A384" t="s">
        <v>53</v>
      </c>
      <c r="B384" t="str">
        <f>INDEX(tManiqHars[Display Scheme],101)</f>
        <v>Mirae Asset Large And Mid Cap Fund Growth</v>
      </c>
      <c r="C384">
        <f>INDEX(tManiqHars[Date],101)</f>
        <v>45287</v>
      </c>
      <c r="D384">
        <f>INDEX(tManiqHars[Signed Amount],101)</f>
        <v>2499.88</v>
      </c>
    </row>
    <row r="385" spans="1:4" x14ac:dyDescent="0.3">
      <c r="A385" t="s">
        <v>53</v>
      </c>
      <c r="B385" t="str">
        <f>INDEX(tManiqHars[Display Scheme],102)</f>
        <v>Canara Robeco Large And Mid Cap Fund Growth</v>
      </c>
      <c r="C385">
        <f>INDEX(tManiqHars[Date],102)</f>
        <v>45287</v>
      </c>
      <c r="D385">
        <f>INDEX(tManiqHars[Signed Amount],102)</f>
        <v>2499.88</v>
      </c>
    </row>
    <row r="386" spans="1:4" x14ac:dyDescent="0.3">
      <c r="A386" t="s">
        <v>53</v>
      </c>
      <c r="B386" t="str">
        <f>INDEX(tManiqHars[Display Scheme],103)</f>
        <v>Icici Prudential Focused Equity Fund Growth</v>
      </c>
      <c r="C386">
        <f>INDEX(tManiqHars[Date],103)</f>
        <v>45287</v>
      </c>
      <c r="D386">
        <f>INDEX(tManiqHars[Signed Amount],103)</f>
        <v>2499.88</v>
      </c>
    </row>
    <row r="387" spans="1:4" x14ac:dyDescent="0.3">
      <c r="A387" t="s">
        <v>53</v>
      </c>
      <c r="B387" t="str">
        <f>INDEX(tManiqHars[Display Scheme],104)</f>
        <v>Sbi Small Cap Fund Growth</v>
      </c>
      <c r="C387">
        <f>INDEX(tManiqHars[Date],104)</f>
        <v>45287</v>
      </c>
      <c r="D387">
        <f>INDEX(tManiqHars[Signed Amount],104)</f>
        <v>2499.88</v>
      </c>
    </row>
    <row r="388" spans="1:4" x14ac:dyDescent="0.3">
      <c r="A388" t="s">
        <v>53</v>
      </c>
      <c r="B388" t="str">
        <f>INDEX(tManiqHars[Display Scheme],105)</f>
        <v>Sbi Small Cap Fund Growth</v>
      </c>
      <c r="C388">
        <f>INDEX(tManiqHars[Date],105)</f>
        <v>45259</v>
      </c>
      <c r="D388">
        <f>INDEX(tManiqHars[Signed Amount],105)</f>
        <v>2499.88</v>
      </c>
    </row>
    <row r="389" spans="1:4" x14ac:dyDescent="0.3">
      <c r="A389" t="s">
        <v>53</v>
      </c>
      <c r="B389" t="str">
        <f>INDEX(tManiqHars[Display Scheme],106)</f>
        <v>Mirae Asset Large And Mid Cap Fund Growth</v>
      </c>
      <c r="C389">
        <f>INDEX(tManiqHars[Date],106)</f>
        <v>45259</v>
      </c>
      <c r="D389">
        <f>INDEX(tManiqHars[Signed Amount],106)</f>
        <v>2499.88</v>
      </c>
    </row>
    <row r="390" spans="1:4" x14ac:dyDescent="0.3">
      <c r="A390" t="s">
        <v>53</v>
      </c>
      <c r="B390" t="str">
        <f>INDEX(tManiqHars[Display Scheme],107)</f>
        <v>Canara Robeco Large And Mid Cap Fund Growth</v>
      </c>
      <c r="C390">
        <f>INDEX(tManiqHars[Date],107)</f>
        <v>45259</v>
      </c>
      <c r="D390">
        <f>INDEX(tManiqHars[Signed Amount],107)</f>
        <v>2499.88</v>
      </c>
    </row>
    <row r="391" spans="1:4" x14ac:dyDescent="0.3">
      <c r="A391" t="s">
        <v>53</v>
      </c>
      <c r="B391" t="str">
        <f>INDEX(tManiqHars[Display Scheme],108)</f>
        <v>Icici Prudential Focused Equity Fund Growth</v>
      </c>
      <c r="C391">
        <f>INDEX(tManiqHars[Date],108)</f>
        <v>45259</v>
      </c>
      <c r="D391">
        <f>INDEX(tManiqHars[Signed Amount],108)</f>
        <v>2499.88</v>
      </c>
    </row>
    <row r="392" spans="1:4" x14ac:dyDescent="0.3">
      <c r="A392" t="s">
        <v>53</v>
      </c>
      <c r="B392" t="str">
        <f>INDEX(tManiqHars[Display Scheme],109)</f>
        <v>Canara Robeco Large And Mid Cap Fund Growth</v>
      </c>
      <c r="C392">
        <f>INDEX(tManiqHars[Date],109)</f>
        <v>45224</v>
      </c>
      <c r="D392">
        <f>INDEX(tManiqHars[Signed Amount],109)</f>
        <v>2499.88</v>
      </c>
    </row>
    <row r="393" spans="1:4" x14ac:dyDescent="0.3">
      <c r="A393" t="s">
        <v>53</v>
      </c>
      <c r="B393" t="str">
        <f>INDEX(tManiqHars[Display Scheme],110)</f>
        <v>Icici Prudential Focused Equity Fund Growth</v>
      </c>
      <c r="C393">
        <f>INDEX(tManiqHars[Date],110)</f>
        <v>45224</v>
      </c>
      <c r="D393">
        <f>INDEX(tManiqHars[Signed Amount],110)</f>
        <v>2499.88</v>
      </c>
    </row>
    <row r="394" spans="1:4" x14ac:dyDescent="0.3">
      <c r="A394" t="s">
        <v>53</v>
      </c>
      <c r="B394" t="str">
        <f>INDEX(tManiqHars[Display Scheme],111)</f>
        <v>Sbi Small Cap Fund Growth</v>
      </c>
      <c r="C394">
        <f>INDEX(tManiqHars[Date],111)</f>
        <v>45224</v>
      </c>
      <c r="D394">
        <f>INDEX(tManiqHars[Signed Amount],111)</f>
        <v>2499.88</v>
      </c>
    </row>
    <row r="395" spans="1:4" x14ac:dyDescent="0.3">
      <c r="A395" t="s">
        <v>53</v>
      </c>
      <c r="B395" t="str">
        <f>INDEX(tManiqHars[Display Scheme],112)</f>
        <v>Mirae Asset Large And Mid Cap Fund Growth</v>
      </c>
      <c r="C395">
        <f>INDEX(tManiqHars[Date],112)</f>
        <v>45224</v>
      </c>
      <c r="D395">
        <f>INDEX(tManiqHars[Signed Amount],112)</f>
        <v>2499.88</v>
      </c>
    </row>
    <row r="396" spans="1:4" x14ac:dyDescent="0.3">
      <c r="A396" t="s">
        <v>53</v>
      </c>
      <c r="B396" t="str">
        <f>INDEX(tManiqHars[Display Scheme],113)</f>
        <v>Canara Robeco Large And Mid Cap Fund Growth</v>
      </c>
      <c r="C396">
        <f>INDEX(tManiqHars[Date],113)</f>
        <v>45195</v>
      </c>
      <c r="D396">
        <f>INDEX(tManiqHars[Signed Amount],113)</f>
        <v>2499.88</v>
      </c>
    </row>
    <row r="397" spans="1:4" x14ac:dyDescent="0.3">
      <c r="A397" t="s">
        <v>53</v>
      </c>
      <c r="B397" t="str">
        <f>INDEX(tManiqHars[Display Scheme],114)</f>
        <v>Sbi Small Cap Fund Growth</v>
      </c>
      <c r="C397">
        <f>INDEX(tManiqHars[Date],114)</f>
        <v>45195</v>
      </c>
      <c r="D397">
        <f>INDEX(tManiqHars[Signed Amount],114)</f>
        <v>2499.88</v>
      </c>
    </row>
    <row r="398" spans="1:4" x14ac:dyDescent="0.3">
      <c r="A398" t="s">
        <v>53</v>
      </c>
      <c r="B398" t="str">
        <f>INDEX(tManiqHars[Display Scheme],115)</f>
        <v>Mirae Asset Large And Mid Cap Fund Growth</v>
      </c>
      <c r="C398">
        <f>INDEX(tManiqHars[Date],115)</f>
        <v>45195</v>
      </c>
      <c r="D398">
        <f>INDEX(tManiqHars[Signed Amount],115)</f>
        <v>2499.88</v>
      </c>
    </row>
    <row r="399" spans="1:4" x14ac:dyDescent="0.3">
      <c r="A399" t="s">
        <v>53</v>
      </c>
      <c r="B399" t="str">
        <f>INDEX(tManiqHars[Display Scheme],116)</f>
        <v>Icici Prudential Focused Equity Fund Growth</v>
      </c>
      <c r="C399">
        <f>INDEX(tManiqHars[Date],116)</f>
        <v>45195</v>
      </c>
      <c r="D399">
        <f>INDEX(tManiqHars[Signed Amount],116)</f>
        <v>2499.88</v>
      </c>
    </row>
    <row r="400" spans="1:4" x14ac:dyDescent="0.3">
      <c r="A400" t="s">
        <v>53</v>
      </c>
      <c r="B400" t="str">
        <f>INDEX(tManiqHars[Display Scheme],117)</f>
        <v>Sbi Small Cap Fund Growth</v>
      </c>
      <c r="C400">
        <f>INDEX(tManiqHars[Date],117)</f>
        <v>45163</v>
      </c>
      <c r="D400">
        <f>INDEX(tManiqHars[Signed Amount],117)</f>
        <v>2499.88</v>
      </c>
    </row>
    <row r="401" spans="1:4" x14ac:dyDescent="0.3">
      <c r="A401" t="s">
        <v>53</v>
      </c>
      <c r="B401" t="str">
        <f>INDEX(tManiqHars[Display Scheme],118)</f>
        <v>Canara Robeco Large And Mid Cap Fund Growth</v>
      </c>
      <c r="C401">
        <f>INDEX(tManiqHars[Date],118)</f>
        <v>45163</v>
      </c>
      <c r="D401">
        <f>INDEX(tManiqHars[Signed Amount],118)</f>
        <v>2499.88</v>
      </c>
    </row>
    <row r="402" spans="1:4" x14ac:dyDescent="0.3">
      <c r="A402" t="s">
        <v>53</v>
      </c>
      <c r="B402" t="str">
        <f>INDEX(tManiqHars[Display Scheme],119)</f>
        <v>Mirae Asset Large And Mid Cap Fund Growth</v>
      </c>
      <c r="C402">
        <f>INDEX(tManiqHars[Date],119)</f>
        <v>45163</v>
      </c>
      <c r="D402">
        <f>INDEX(tManiqHars[Signed Amount],119)</f>
        <v>2499.88</v>
      </c>
    </row>
    <row r="403" spans="1:4" x14ac:dyDescent="0.3">
      <c r="A403" t="s">
        <v>53</v>
      </c>
      <c r="B403" t="str">
        <f>INDEX(tManiqHars[Display Scheme],120)</f>
        <v>Icici Prudential Focused Equity Fund Growth</v>
      </c>
      <c r="C403">
        <f>INDEX(tManiqHars[Date],120)</f>
        <v>45163</v>
      </c>
      <c r="D403">
        <f>INDEX(tManiqHars[Signed Amount],120)</f>
        <v>2499.88</v>
      </c>
    </row>
    <row r="404" spans="1:4" x14ac:dyDescent="0.3">
      <c r="A404" t="s">
        <v>53</v>
      </c>
      <c r="B404" t="str">
        <f>INDEX(tManiqHars[Display Scheme],121)</f>
        <v>Sbi Small Cap Fund Growth</v>
      </c>
      <c r="C404">
        <f>INDEX(tManiqHars[Date],121)</f>
        <v>45132</v>
      </c>
      <c r="D404">
        <f>INDEX(tManiqHars[Signed Amount],121)</f>
        <v>2499.88</v>
      </c>
    </row>
    <row r="405" spans="1:4" x14ac:dyDescent="0.3">
      <c r="A405" t="s">
        <v>53</v>
      </c>
      <c r="B405" t="str">
        <f>INDEX(tManiqHars[Display Scheme],122)</f>
        <v>Mirae Asset Large And Mid Cap Fund Growth</v>
      </c>
      <c r="C405">
        <f>INDEX(tManiqHars[Date],122)</f>
        <v>45132</v>
      </c>
      <c r="D405">
        <f>INDEX(tManiqHars[Signed Amount],122)</f>
        <v>2499.88</v>
      </c>
    </row>
    <row r="406" spans="1:4" x14ac:dyDescent="0.3">
      <c r="A406" t="s">
        <v>53</v>
      </c>
      <c r="B406" t="str">
        <f>INDEX(tManiqHars[Display Scheme],123)</f>
        <v>Canara Robeco Large And Mid Cap Fund Growth</v>
      </c>
      <c r="C406">
        <f>INDEX(tManiqHars[Date],123)</f>
        <v>45132</v>
      </c>
      <c r="D406">
        <f>INDEX(tManiqHars[Signed Amount],123)</f>
        <v>2499.88</v>
      </c>
    </row>
    <row r="407" spans="1:4" x14ac:dyDescent="0.3">
      <c r="A407" t="s">
        <v>53</v>
      </c>
      <c r="B407" t="str">
        <f>INDEX(tManiqHars[Display Scheme],124)</f>
        <v>Icici Prudential Focused Equity Fund Growth</v>
      </c>
      <c r="C407">
        <f>INDEX(tManiqHars[Date],124)</f>
        <v>45132</v>
      </c>
      <c r="D407">
        <f>INDEX(tManiqHars[Signed Amount],124)</f>
        <v>2499.88</v>
      </c>
    </row>
    <row r="408" spans="1:4" x14ac:dyDescent="0.3">
      <c r="A408" t="s">
        <v>53</v>
      </c>
      <c r="B408" t="str">
        <f>INDEX(tManiqHars[Display Scheme],125)</f>
        <v>Invesco India Multicap Fund Growth</v>
      </c>
      <c r="C408">
        <f>INDEX(tManiqHars[Date],125)</f>
        <v>45114</v>
      </c>
      <c r="D408">
        <f>INDEX(tManiqHars[Signed Amount],125)</f>
        <v>-274440.43</v>
      </c>
    </row>
    <row r="409" spans="1:4" x14ac:dyDescent="0.3">
      <c r="A409" t="s">
        <v>53</v>
      </c>
      <c r="B409" t="str">
        <f>INDEX(tManiqHars[Display Scheme],126)</f>
        <v>Sundaram Large And Mid Cap Fund Growth</v>
      </c>
      <c r="C409">
        <f>INDEX(tManiqHars[Date],126)</f>
        <v>45114</v>
      </c>
      <c r="D409">
        <f>INDEX(tManiqHars[Signed Amount],126)</f>
        <v>-276174.69</v>
      </c>
    </row>
    <row r="410" spans="1:4" x14ac:dyDescent="0.3">
      <c r="A410" t="s">
        <v>53</v>
      </c>
      <c r="B410" t="str">
        <f>INDEX(tManiqHars[Display Scheme],127)</f>
        <v>Sundaram Large And Mid Cap Fund Growth</v>
      </c>
      <c r="C410">
        <f>INDEX(tManiqHars[Date],127)</f>
        <v>45114</v>
      </c>
      <c r="D410">
        <f>INDEX(tManiqHars[Signed Amount],127)</f>
        <v>-102422.24</v>
      </c>
    </row>
    <row r="411" spans="1:4" x14ac:dyDescent="0.3">
      <c r="A411" t="s">
        <v>53</v>
      </c>
      <c r="B411" t="str">
        <f>INDEX(tManiqHars[Display Scheme],128)</f>
        <v>Uti Focused Fund Growth</v>
      </c>
      <c r="C411">
        <f>INDEX(tManiqHars[Date],128)</f>
        <v>45114</v>
      </c>
      <c r="D411">
        <f>INDEX(tManiqHars[Signed Amount],128)</f>
        <v>-569291.53</v>
      </c>
    </row>
    <row r="412" spans="1:4" x14ac:dyDescent="0.3">
      <c r="A412" t="s">
        <v>53</v>
      </c>
      <c r="B412" t="str">
        <f>INDEX(tManiqHars[Display Scheme],129)</f>
        <v>Canara Robeco Large And Mid Cap Fund Growth</v>
      </c>
      <c r="C412">
        <f>INDEX(tManiqHars[Date],129)</f>
        <v>45103</v>
      </c>
      <c r="D412">
        <f>INDEX(tManiqHars[Signed Amount],129)</f>
        <v>2499.88</v>
      </c>
    </row>
    <row r="413" spans="1:4" x14ac:dyDescent="0.3">
      <c r="A413" t="s">
        <v>53</v>
      </c>
      <c r="B413" t="str">
        <f>INDEX(tManiqHars[Display Scheme],130)</f>
        <v>Mirae Asset Large And Mid Cap Fund Growth</v>
      </c>
      <c r="C413">
        <f>INDEX(tManiqHars[Date],130)</f>
        <v>45103</v>
      </c>
      <c r="D413">
        <f>INDEX(tManiqHars[Signed Amount],130)</f>
        <v>2499.88</v>
      </c>
    </row>
    <row r="414" spans="1:4" x14ac:dyDescent="0.3">
      <c r="A414" t="s">
        <v>53</v>
      </c>
      <c r="B414" t="str">
        <f>INDEX(tManiqHars[Display Scheme],131)</f>
        <v>Icici Prudential Focused Equity Fund Growth</v>
      </c>
      <c r="C414">
        <f>INDEX(tManiqHars[Date],131)</f>
        <v>45103</v>
      </c>
      <c r="D414">
        <f>INDEX(tManiqHars[Signed Amount],131)</f>
        <v>2499.88</v>
      </c>
    </row>
    <row r="415" spans="1:4" x14ac:dyDescent="0.3">
      <c r="A415" t="s">
        <v>53</v>
      </c>
      <c r="B415" t="str">
        <f>INDEX(tManiqHars[Display Scheme],132)</f>
        <v>Sbi Small Cap Fund Growth</v>
      </c>
      <c r="C415">
        <f>INDEX(tManiqHars[Date],132)</f>
        <v>45103</v>
      </c>
      <c r="D415">
        <f>INDEX(tManiqHars[Signed Amount],132)</f>
        <v>2499.88</v>
      </c>
    </row>
    <row r="416" spans="1:4" x14ac:dyDescent="0.3">
      <c r="A416" t="s">
        <v>53</v>
      </c>
      <c r="B416" t="str">
        <f>INDEX(tManiqHars[Display Scheme],133)</f>
        <v>Canara Robeco Large And Mid Cap Fund Growth</v>
      </c>
      <c r="C416">
        <f>INDEX(tManiqHars[Date],133)</f>
        <v>45071</v>
      </c>
      <c r="D416">
        <f>INDEX(tManiqHars[Signed Amount],133)</f>
        <v>2499.88</v>
      </c>
    </row>
    <row r="417" spans="1:4" x14ac:dyDescent="0.3">
      <c r="A417" t="s">
        <v>53</v>
      </c>
      <c r="B417" t="str">
        <f>INDEX(tManiqHars[Display Scheme],134)</f>
        <v>Mirae Asset Large And Mid Cap Fund Growth</v>
      </c>
      <c r="C417">
        <f>INDEX(tManiqHars[Date],134)</f>
        <v>45071</v>
      </c>
      <c r="D417">
        <f>INDEX(tManiqHars[Signed Amount],134)</f>
        <v>2499.88</v>
      </c>
    </row>
    <row r="418" spans="1:4" x14ac:dyDescent="0.3">
      <c r="A418" t="s">
        <v>53</v>
      </c>
      <c r="B418" t="str">
        <f>INDEX(tManiqHars[Display Scheme],135)</f>
        <v>Icici Prudential Focused Equity Fund Growth</v>
      </c>
      <c r="C418">
        <f>INDEX(tManiqHars[Date],135)</f>
        <v>45071</v>
      </c>
      <c r="D418">
        <f>INDEX(tManiqHars[Signed Amount],135)</f>
        <v>2499.88</v>
      </c>
    </row>
    <row r="419" spans="1:4" x14ac:dyDescent="0.3">
      <c r="A419" t="s">
        <v>53</v>
      </c>
      <c r="B419" t="str">
        <f>INDEX(tManiqHars[Display Scheme],136)</f>
        <v>Sbi Small Cap Fund Growth</v>
      </c>
      <c r="C419">
        <f>INDEX(tManiqHars[Date],136)</f>
        <v>45071</v>
      </c>
      <c r="D419">
        <f>INDEX(tManiqHars[Signed Amount],136)</f>
        <v>2499.88</v>
      </c>
    </row>
    <row r="420" spans="1:4" x14ac:dyDescent="0.3">
      <c r="A420" t="s">
        <v>53</v>
      </c>
      <c r="B420" t="str">
        <f>INDEX(tManiqHars[Display Scheme],137)</f>
        <v>Icici Prudential Focused Equity Fund Growth</v>
      </c>
      <c r="C420">
        <f>INDEX(tManiqHars[Date],137)</f>
        <v>45041</v>
      </c>
      <c r="D420">
        <f>INDEX(tManiqHars[Signed Amount],137)</f>
        <v>2499.88</v>
      </c>
    </row>
    <row r="421" spans="1:4" x14ac:dyDescent="0.3">
      <c r="A421" t="s">
        <v>53</v>
      </c>
      <c r="B421" t="str">
        <f>INDEX(tManiqHars[Display Scheme],138)</f>
        <v>Sbi Small Cap Fund Growth</v>
      </c>
      <c r="C421">
        <f>INDEX(tManiqHars[Date],138)</f>
        <v>45041</v>
      </c>
      <c r="D421">
        <f>INDEX(tManiqHars[Signed Amount],138)</f>
        <v>2499.88</v>
      </c>
    </row>
    <row r="422" spans="1:4" x14ac:dyDescent="0.3">
      <c r="A422" t="s">
        <v>53</v>
      </c>
      <c r="B422" t="str">
        <f>INDEX(tManiqHars[Display Scheme],139)</f>
        <v>Mirae Asset Large And Mid Cap Fund Growth</v>
      </c>
      <c r="C422">
        <f>INDEX(tManiqHars[Date],139)</f>
        <v>45041</v>
      </c>
      <c r="D422">
        <f>INDEX(tManiqHars[Signed Amount],139)</f>
        <v>2499.88</v>
      </c>
    </row>
    <row r="423" spans="1:4" x14ac:dyDescent="0.3">
      <c r="A423" t="s">
        <v>53</v>
      </c>
      <c r="B423" t="str">
        <f>INDEX(tManiqHars[Display Scheme],140)</f>
        <v>Canara Robeco Large And Mid Cap Fund Growth</v>
      </c>
      <c r="C423">
        <f>INDEX(tManiqHars[Date],140)</f>
        <v>45041</v>
      </c>
      <c r="D423">
        <f>INDEX(tManiqHars[Signed Amount],140)</f>
        <v>2499.88</v>
      </c>
    </row>
    <row r="424" spans="1:4" x14ac:dyDescent="0.3">
      <c r="A424" t="s">
        <v>53</v>
      </c>
      <c r="B424" t="str">
        <f>INDEX(tManiqHars[Display Scheme],141)</f>
        <v>Canara Robeco Large And Mid Cap Fund Growth</v>
      </c>
      <c r="C424">
        <f>INDEX(tManiqHars[Date],141)</f>
        <v>45014</v>
      </c>
      <c r="D424">
        <f>INDEX(tManiqHars[Signed Amount],141)</f>
        <v>2499.88</v>
      </c>
    </row>
    <row r="425" spans="1:4" x14ac:dyDescent="0.3">
      <c r="A425" t="s">
        <v>53</v>
      </c>
      <c r="B425" t="str">
        <f>INDEX(tManiqHars[Display Scheme],142)</f>
        <v>Mirae Asset Large And Mid Cap Fund Growth</v>
      </c>
      <c r="C425">
        <f>INDEX(tManiqHars[Date],142)</f>
        <v>45014</v>
      </c>
      <c r="D425">
        <f>INDEX(tManiqHars[Signed Amount],142)</f>
        <v>2499.88</v>
      </c>
    </row>
    <row r="426" spans="1:4" x14ac:dyDescent="0.3">
      <c r="A426" t="s">
        <v>53</v>
      </c>
      <c r="B426" t="str">
        <f>INDEX(tManiqHars[Display Scheme],143)</f>
        <v>Sbi Small Cap Fund Growth</v>
      </c>
      <c r="C426">
        <f>INDEX(tManiqHars[Date],143)</f>
        <v>45014</v>
      </c>
      <c r="D426">
        <f>INDEX(tManiqHars[Signed Amount],143)</f>
        <v>2499.88</v>
      </c>
    </row>
    <row r="427" spans="1:4" x14ac:dyDescent="0.3">
      <c r="A427" t="s">
        <v>53</v>
      </c>
      <c r="B427" t="str">
        <f>INDEX(tManiqHars[Display Scheme],144)</f>
        <v>Icici Prudential Focused Equity Fund Growth</v>
      </c>
      <c r="C427">
        <f>INDEX(tManiqHars[Date],144)</f>
        <v>45014</v>
      </c>
      <c r="D427">
        <f>INDEX(tManiqHars[Signed Amount],144)</f>
        <v>2499.88</v>
      </c>
    </row>
    <row r="428" spans="1:4" x14ac:dyDescent="0.3">
      <c r="A428" t="s">
        <v>53</v>
      </c>
      <c r="B428" t="str">
        <f>INDEX(tManiqHars[Display Scheme],145)</f>
        <v>Canara Robeco Large And Mid Cap Fund Growth</v>
      </c>
      <c r="C428">
        <f>INDEX(tManiqHars[Date],145)</f>
        <v>44985</v>
      </c>
      <c r="D428">
        <f>INDEX(tManiqHars[Signed Amount],145)</f>
        <v>2499.88</v>
      </c>
    </row>
    <row r="429" spans="1:4" x14ac:dyDescent="0.3">
      <c r="A429" t="s">
        <v>53</v>
      </c>
      <c r="B429" t="str">
        <f>INDEX(tManiqHars[Display Scheme],146)</f>
        <v>Mirae Asset Large And Mid Cap Fund Growth</v>
      </c>
      <c r="C429">
        <f>INDEX(tManiqHars[Date],146)</f>
        <v>44985</v>
      </c>
      <c r="D429">
        <f>INDEX(tManiqHars[Signed Amount],146)</f>
        <v>2499.88</v>
      </c>
    </row>
    <row r="430" spans="1:4" x14ac:dyDescent="0.3">
      <c r="A430" t="s">
        <v>53</v>
      </c>
      <c r="B430" t="str">
        <f>INDEX(tManiqHars[Display Scheme],147)</f>
        <v>Icici Prudential Focused Equity Fund Growth</v>
      </c>
      <c r="C430">
        <f>INDEX(tManiqHars[Date],147)</f>
        <v>44985</v>
      </c>
      <c r="D430">
        <f>INDEX(tManiqHars[Signed Amount],147)</f>
        <v>2499.88</v>
      </c>
    </row>
    <row r="431" spans="1:4" x14ac:dyDescent="0.3">
      <c r="A431" t="s">
        <v>53</v>
      </c>
      <c r="B431" t="str">
        <f>INDEX(tManiqHars[Display Scheme],148)</f>
        <v>Sbi Small Cap Fund Growth</v>
      </c>
      <c r="C431">
        <f>INDEX(tManiqHars[Date],148)</f>
        <v>44985</v>
      </c>
      <c r="D431">
        <f>INDEX(tManiqHars[Signed Amount],148)</f>
        <v>2499.88</v>
      </c>
    </row>
    <row r="432" spans="1:4" x14ac:dyDescent="0.3">
      <c r="A432" t="s">
        <v>53</v>
      </c>
      <c r="B432" t="str">
        <f>INDEX(tManiqHars[Display Scheme],149)</f>
        <v>Canara Robeco Large And Mid Cap Fund Growth</v>
      </c>
      <c r="C432">
        <f>INDEX(tManiqHars[Date],149)</f>
        <v>44951</v>
      </c>
      <c r="D432">
        <f>INDEX(tManiqHars[Signed Amount],149)</f>
        <v>2499.88</v>
      </c>
    </row>
    <row r="433" spans="1:4" x14ac:dyDescent="0.3">
      <c r="A433" t="s">
        <v>53</v>
      </c>
      <c r="B433" t="str">
        <f>INDEX(tManiqHars[Display Scheme],150)</f>
        <v>Mirae Asset Large And Mid Cap Fund Growth</v>
      </c>
      <c r="C433">
        <f>INDEX(tManiqHars[Date],150)</f>
        <v>44951</v>
      </c>
      <c r="D433">
        <f>INDEX(tManiqHars[Signed Amount],150)</f>
        <v>2499.88</v>
      </c>
    </row>
    <row r="434" spans="1:4" x14ac:dyDescent="0.3">
      <c r="A434" t="s">
        <v>53</v>
      </c>
      <c r="B434" t="str">
        <f>INDEX(tManiqHars[Display Scheme],151)</f>
        <v>Sbi Small Cap Fund Growth</v>
      </c>
      <c r="C434">
        <f>INDEX(tManiqHars[Date],151)</f>
        <v>44951</v>
      </c>
      <c r="D434">
        <f>INDEX(tManiqHars[Signed Amount],151)</f>
        <v>2499.88</v>
      </c>
    </row>
    <row r="435" spans="1:4" x14ac:dyDescent="0.3">
      <c r="A435" t="s">
        <v>53</v>
      </c>
      <c r="B435" t="str">
        <f>INDEX(tManiqHars[Display Scheme],152)</f>
        <v>Icici Prudential Focused Equity Fund Growth</v>
      </c>
      <c r="C435">
        <f>INDEX(tManiqHars[Date],152)</f>
        <v>44951</v>
      </c>
      <c r="D435">
        <f>INDEX(tManiqHars[Signed Amount],152)</f>
        <v>2499.88</v>
      </c>
    </row>
    <row r="436" spans="1:4" x14ac:dyDescent="0.3">
      <c r="A436" t="s">
        <v>53</v>
      </c>
      <c r="B436" t="str">
        <f>INDEX(tManiqHars[Display Scheme],153)</f>
        <v>Mirae Asset Large And Mid Cap Fund Growth</v>
      </c>
      <c r="C436">
        <f>INDEX(tManiqHars[Date],153)</f>
        <v>44922</v>
      </c>
      <c r="D436">
        <f>INDEX(tManiqHars[Signed Amount],153)</f>
        <v>2499.88</v>
      </c>
    </row>
    <row r="437" spans="1:4" x14ac:dyDescent="0.3">
      <c r="A437" t="s">
        <v>53</v>
      </c>
      <c r="B437" t="str">
        <f>INDEX(tManiqHars[Display Scheme],154)</f>
        <v>Sbi Small Cap Fund Growth</v>
      </c>
      <c r="C437">
        <f>INDEX(tManiqHars[Date],154)</f>
        <v>44922</v>
      </c>
      <c r="D437">
        <f>INDEX(tManiqHars[Signed Amount],154)</f>
        <v>2499.88</v>
      </c>
    </row>
    <row r="438" spans="1:4" x14ac:dyDescent="0.3">
      <c r="A438" t="s">
        <v>53</v>
      </c>
      <c r="B438" t="str">
        <f>INDEX(tManiqHars[Display Scheme],155)</f>
        <v>Icici Prudential Focused Equity Fund Growth</v>
      </c>
      <c r="C438">
        <f>INDEX(tManiqHars[Date],155)</f>
        <v>44922</v>
      </c>
      <c r="D438">
        <f>INDEX(tManiqHars[Signed Amount],155)</f>
        <v>2499.88</v>
      </c>
    </row>
    <row r="439" spans="1:4" x14ac:dyDescent="0.3">
      <c r="A439" t="s">
        <v>53</v>
      </c>
      <c r="B439" t="str">
        <f>INDEX(tManiqHars[Display Scheme],156)</f>
        <v>Canara Robeco Large And Mid Cap Fund Growth</v>
      </c>
      <c r="C439">
        <f>INDEX(tManiqHars[Date],156)</f>
        <v>44922</v>
      </c>
      <c r="D439">
        <f>INDEX(tManiqHars[Signed Amount],156)</f>
        <v>2499.88</v>
      </c>
    </row>
    <row r="440" spans="1:4" x14ac:dyDescent="0.3">
      <c r="A440" t="s">
        <v>53</v>
      </c>
      <c r="B440" t="str">
        <f>INDEX(tManiqHars[Display Scheme],157)</f>
        <v>Mirae Asset Large And Mid Cap Fund Growth</v>
      </c>
      <c r="C440">
        <f>INDEX(tManiqHars[Date],157)</f>
        <v>44890</v>
      </c>
      <c r="D440">
        <f>INDEX(tManiqHars[Signed Amount],157)</f>
        <v>2499.88</v>
      </c>
    </row>
    <row r="441" spans="1:4" x14ac:dyDescent="0.3">
      <c r="A441" t="s">
        <v>53</v>
      </c>
      <c r="B441" t="str">
        <f>INDEX(tManiqHars[Display Scheme],158)</f>
        <v>Icici Prudential Focused Equity Fund Growth</v>
      </c>
      <c r="C441">
        <f>INDEX(tManiqHars[Date],158)</f>
        <v>44890</v>
      </c>
      <c r="D441">
        <f>INDEX(tManiqHars[Signed Amount],158)</f>
        <v>2499.88</v>
      </c>
    </row>
    <row r="442" spans="1:4" x14ac:dyDescent="0.3">
      <c r="A442" t="s">
        <v>53</v>
      </c>
      <c r="B442" t="str">
        <f>INDEX(tManiqHars[Display Scheme],159)</f>
        <v>Canara Robeco Large And Mid Cap Fund Growth</v>
      </c>
      <c r="C442">
        <f>INDEX(tManiqHars[Date],159)</f>
        <v>44890</v>
      </c>
      <c r="D442">
        <f>INDEX(tManiqHars[Signed Amount],159)</f>
        <v>2499.88</v>
      </c>
    </row>
    <row r="443" spans="1:4" x14ac:dyDescent="0.3">
      <c r="A443" t="s">
        <v>53</v>
      </c>
      <c r="B443" t="str">
        <f>INDEX(tManiqHars[Display Scheme],160)</f>
        <v>Sbi Small Cap Fund Growth</v>
      </c>
      <c r="C443">
        <f>INDEX(tManiqHars[Date],160)</f>
        <v>44890</v>
      </c>
      <c r="D443">
        <f>INDEX(tManiqHars[Signed Amount],160)</f>
        <v>2499.88</v>
      </c>
    </row>
    <row r="444" spans="1:4" x14ac:dyDescent="0.3">
      <c r="A444" t="s">
        <v>53</v>
      </c>
      <c r="B444" t="str">
        <f>INDEX(tManiqHars[Display Scheme],161)</f>
        <v>Icici Prudential Focused Equity Fund Growth</v>
      </c>
      <c r="C444">
        <f>INDEX(tManiqHars[Date],161)</f>
        <v>44859</v>
      </c>
      <c r="D444">
        <f>INDEX(tManiqHars[Signed Amount],161)</f>
        <v>2499.88</v>
      </c>
    </row>
    <row r="445" spans="1:4" x14ac:dyDescent="0.3">
      <c r="A445" t="s">
        <v>53</v>
      </c>
      <c r="B445" t="str">
        <f>INDEX(tManiqHars[Display Scheme],162)</f>
        <v>Sbi Small Cap Fund Growth</v>
      </c>
      <c r="C445">
        <f>INDEX(tManiqHars[Date],162)</f>
        <v>44859</v>
      </c>
      <c r="D445">
        <f>INDEX(tManiqHars[Signed Amount],162)</f>
        <v>2499.88</v>
      </c>
    </row>
    <row r="446" spans="1:4" x14ac:dyDescent="0.3">
      <c r="A446" t="s">
        <v>53</v>
      </c>
      <c r="B446" t="str">
        <f>INDEX(tManiqHars[Display Scheme],163)</f>
        <v>Canara Robeco Large And Mid Cap Fund Growth</v>
      </c>
      <c r="C446">
        <f>INDEX(tManiqHars[Date],163)</f>
        <v>44859</v>
      </c>
      <c r="D446">
        <f>INDEX(tManiqHars[Signed Amount],163)</f>
        <v>2499.88</v>
      </c>
    </row>
    <row r="447" spans="1:4" x14ac:dyDescent="0.3">
      <c r="A447" t="s">
        <v>53</v>
      </c>
      <c r="B447" t="str">
        <f>INDEX(tManiqHars[Display Scheme],164)</f>
        <v>Mirae Asset Large And Mid Cap Fund Growth</v>
      </c>
      <c r="C447">
        <f>INDEX(tManiqHars[Date],164)</f>
        <v>44859</v>
      </c>
      <c r="D447">
        <f>INDEX(tManiqHars[Signed Amount],164)</f>
        <v>2499.88</v>
      </c>
    </row>
    <row r="448" spans="1:4" x14ac:dyDescent="0.3">
      <c r="A448" t="s">
        <v>53</v>
      </c>
      <c r="B448" t="str">
        <f>INDEX(tManiqHars[Display Scheme],165)</f>
        <v>Icici Prudential Value Fund Growth</v>
      </c>
      <c r="C448">
        <f>INDEX(tManiqHars[Date],165)</f>
        <v>44844</v>
      </c>
      <c r="D448">
        <f>INDEX(tManiqHars[Signed Amount],165)</f>
        <v>4999.75</v>
      </c>
    </row>
    <row r="449" spans="1:4" x14ac:dyDescent="0.3">
      <c r="A449" t="s">
        <v>53</v>
      </c>
      <c r="B449" t="str">
        <f>INDEX(tManiqHars[Display Scheme],166)</f>
        <v>Canara Robeco Large And Mid Cap Fund Growth</v>
      </c>
      <c r="C449">
        <f>INDEX(tManiqHars[Date],166)</f>
        <v>44844</v>
      </c>
      <c r="D449">
        <f>INDEX(tManiqHars[Signed Amount],166)</f>
        <v>4999.75</v>
      </c>
    </row>
    <row r="450" spans="1:4" x14ac:dyDescent="0.3">
      <c r="A450" t="s">
        <v>53</v>
      </c>
      <c r="B450" t="str">
        <f>INDEX(tManiqHars[Display Scheme],167)</f>
        <v>Aditya Birla Sun Life Value Fund Growth</v>
      </c>
      <c r="C450">
        <f>INDEX(tManiqHars[Date],167)</f>
        <v>44844</v>
      </c>
      <c r="D450">
        <f>INDEX(tManiqHars[Signed Amount],167)</f>
        <v>4999.75</v>
      </c>
    </row>
    <row r="451" spans="1:4" x14ac:dyDescent="0.3">
      <c r="A451" t="s">
        <v>53</v>
      </c>
      <c r="B451" t="str">
        <f>INDEX(tManiqHars[Display Scheme],168)</f>
        <v>Mahindra Manulife Mid Cap Fund Growth</v>
      </c>
      <c r="C451">
        <f>INDEX(tManiqHars[Date],168)</f>
        <v>44844</v>
      </c>
      <c r="D451">
        <f>INDEX(tManiqHars[Signed Amount],168)</f>
        <v>4999.75</v>
      </c>
    </row>
    <row r="452" spans="1:4" x14ac:dyDescent="0.3">
      <c r="A452" t="s">
        <v>53</v>
      </c>
      <c r="B452" t="str">
        <f>INDEX(tManiqHars[Display Scheme],169)</f>
        <v>Mirae Asset Large And Mid Cap Fund Growth</v>
      </c>
      <c r="C452">
        <f>INDEX(tManiqHars[Date],169)</f>
        <v>44830</v>
      </c>
      <c r="D452">
        <f>INDEX(tManiqHars[Signed Amount],169)</f>
        <v>2499.88</v>
      </c>
    </row>
    <row r="453" spans="1:4" x14ac:dyDescent="0.3">
      <c r="A453" t="s">
        <v>53</v>
      </c>
      <c r="B453" t="str">
        <f>INDEX(tManiqHars[Display Scheme],170)</f>
        <v>Sbi Small Cap Fund Growth</v>
      </c>
      <c r="C453">
        <f>INDEX(tManiqHars[Date],170)</f>
        <v>44830</v>
      </c>
      <c r="D453">
        <f>INDEX(tManiqHars[Signed Amount],170)</f>
        <v>2499.88</v>
      </c>
    </row>
    <row r="454" spans="1:4" x14ac:dyDescent="0.3">
      <c r="A454" t="s">
        <v>53</v>
      </c>
      <c r="B454" t="str">
        <f>INDEX(tManiqHars[Display Scheme],171)</f>
        <v>Mirae Asset Large And Mid Cap Fund Growth</v>
      </c>
      <c r="C454">
        <f>INDEX(tManiqHars[Date],171)</f>
        <v>44798</v>
      </c>
      <c r="D454">
        <f>INDEX(tManiqHars[Signed Amount],171)</f>
        <v>2499.88</v>
      </c>
    </row>
    <row r="455" spans="1:4" x14ac:dyDescent="0.3">
      <c r="A455" t="s">
        <v>53</v>
      </c>
      <c r="B455" t="str">
        <f>INDEX(tManiqHars[Display Scheme],172)</f>
        <v>Icici Prudential Focused Equity Fund Growth</v>
      </c>
      <c r="C455">
        <f>INDEX(tManiqHars[Date],172)</f>
        <v>44798</v>
      </c>
      <c r="D455">
        <f>INDEX(tManiqHars[Signed Amount],172)</f>
        <v>2499.88</v>
      </c>
    </row>
    <row r="456" spans="1:4" x14ac:dyDescent="0.3">
      <c r="A456" t="s">
        <v>53</v>
      </c>
      <c r="B456" t="str">
        <f>INDEX(tManiqHars[Display Scheme],173)</f>
        <v>Sbi Small Cap Fund Growth</v>
      </c>
      <c r="C456">
        <f>INDEX(tManiqHars[Date],173)</f>
        <v>44798</v>
      </c>
      <c r="D456">
        <f>INDEX(tManiqHars[Signed Amount],173)</f>
        <v>2499.88</v>
      </c>
    </row>
    <row r="457" spans="1:4" x14ac:dyDescent="0.3">
      <c r="A457" t="s">
        <v>53</v>
      </c>
      <c r="B457" t="str">
        <f>INDEX(tManiqHars[Display Scheme],174)</f>
        <v>Canara Robeco Large And Mid Cap Fund Growth</v>
      </c>
      <c r="C457">
        <f>INDEX(tManiqHars[Date],174)</f>
        <v>44798</v>
      </c>
      <c r="D457">
        <f>INDEX(tManiqHars[Signed Amount],174)</f>
        <v>2499.88</v>
      </c>
    </row>
    <row r="458" spans="1:4" x14ac:dyDescent="0.3">
      <c r="A458" t="s">
        <v>53</v>
      </c>
      <c r="B458" t="str">
        <f>INDEX(tManiqHars[Display Scheme],175)</f>
        <v>Mirae Asset Large And Mid Cap Fund Growth</v>
      </c>
      <c r="C458">
        <f>INDEX(tManiqHars[Date],175)</f>
        <v>44767</v>
      </c>
      <c r="D458">
        <f>INDEX(tManiqHars[Signed Amount],175)</f>
        <v>2499.88</v>
      </c>
    </row>
    <row r="459" spans="1:4" x14ac:dyDescent="0.3">
      <c r="A459" t="s">
        <v>53</v>
      </c>
      <c r="B459" t="str">
        <f>INDEX(tManiqHars[Display Scheme],176)</f>
        <v>Canara Robeco Large And Mid Cap Fund Growth</v>
      </c>
      <c r="C459">
        <f>INDEX(tManiqHars[Date],176)</f>
        <v>44767</v>
      </c>
      <c r="D459">
        <f>INDEX(tManiqHars[Signed Amount],176)</f>
        <v>2499.88</v>
      </c>
    </row>
    <row r="460" spans="1:4" x14ac:dyDescent="0.3">
      <c r="A460" t="s">
        <v>53</v>
      </c>
      <c r="B460" t="str">
        <f>INDEX(tManiqHars[Display Scheme],177)</f>
        <v>Sbi Small Cap Fund Growth</v>
      </c>
      <c r="C460">
        <f>INDEX(tManiqHars[Date],177)</f>
        <v>44767</v>
      </c>
      <c r="D460">
        <f>INDEX(tManiqHars[Signed Amount],177)</f>
        <v>2499.88</v>
      </c>
    </row>
    <row r="461" spans="1:4" x14ac:dyDescent="0.3">
      <c r="A461" t="s">
        <v>53</v>
      </c>
      <c r="B461" t="str">
        <f>INDEX(tManiqHars[Display Scheme],178)</f>
        <v>Icici Prudential Focused Equity Fund Growth</v>
      </c>
      <c r="C461">
        <f>INDEX(tManiqHars[Date],178)</f>
        <v>44767</v>
      </c>
      <c r="D461">
        <f>INDEX(tManiqHars[Signed Amount],178)</f>
        <v>2499.88</v>
      </c>
    </row>
    <row r="462" spans="1:4" x14ac:dyDescent="0.3">
      <c r="A462" t="s">
        <v>53</v>
      </c>
      <c r="B462" t="str">
        <f>INDEX(tManiqHars[Display Scheme],179)</f>
        <v>Mirae Asset Large And Mid Cap Fund Growth</v>
      </c>
      <c r="C462">
        <f>INDEX(tManiqHars[Date],179)</f>
        <v>44739</v>
      </c>
      <c r="D462">
        <f>INDEX(tManiqHars[Signed Amount],179)</f>
        <v>2499.88</v>
      </c>
    </row>
    <row r="463" spans="1:4" x14ac:dyDescent="0.3">
      <c r="A463" t="s">
        <v>53</v>
      </c>
      <c r="B463" t="str">
        <f>INDEX(tManiqHars[Display Scheme],180)</f>
        <v>Canara Robeco Large And Mid Cap Fund Growth</v>
      </c>
      <c r="C463">
        <f>INDEX(tManiqHars[Date],180)</f>
        <v>44739</v>
      </c>
      <c r="D463">
        <f>INDEX(tManiqHars[Signed Amount],180)</f>
        <v>2499.88</v>
      </c>
    </row>
    <row r="464" spans="1:4" x14ac:dyDescent="0.3">
      <c r="A464" t="s">
        <v>53</v>
      </c>
      <c r="B464" t="str">
        <f>INDEX(tManiqHars[Display Scheme],181)</f>
        <v>Sbi Small Cap Fund Growth</v>
      </c>
      <c r="C464">
        <f>INDEX(tManiqHars[Date],181)</f>
        <v>44739</v>
      </c>
      <c r="D464">
        <f>INDEX(tManiqHars[Signed Amount],181)</f>
        <v>2499.88</v>
      </c>
    </row>
    <row r="465" spans="1:4" x14ac:dyDescent="0.3">
      <c r="A465" t="s">
        <v>53</v>
      </c>
      <c r="B465" t="str">
        <f>INDEX(tManiqHars[Display Scheme],182)</f>
        <v>Mirae Asset Large And Mid Cap Fund Growth</v>
      </c>
      <c r="C465">
        <f>INDEX(tManiqHars[Date],182)</f>
        <v>44706</v>
      </c>
      <c r="D465">
        <f>INDEX(tManiqHars[Signed Amount],182)</f>
        <v>2499.88</v>
      </c>
    </row>
    <row r="466" spans="1:4" x14ac:dyDescent="0.3">
      <c r="A466" t="s">
        <v>53</v>
      </c>
      <c r="B466" t="str">
        <f>INDEX(tManiqHars[Display Scheme],183)</f>
        <v>Canara Robeco Large And Mid Cap Fund Growth</v>
      </c>
      <c r="C466">
        <f>INDEX(tManiqHars[Date],183)</f>
        <v>44706</v>
      </c>
      <c r="D466">
        <f>INDEX(tManiqHars[Signed Amount],183)</f>
        <v>2499.88</v>
      </c>
    </row>
    <row r="467" spans="1:4" x14ac:dyDescent="0.3">
      <c r="A467" t="s">
        <v>53</v>
      </c>
      <c r="B467" t="str">
        <f>INDEX(tManiqHars[Display Scheme],184)</f>
        <v>Sbi Small Cap Fund Growth</v>
      </c>
      <c r="C467">
        <f>INDEX(tManiqHars[Date],184)</f>
        <v>44706</v>
      </c>
      <c r="D467">
        <f>INDEX(tManiqHars[Signed Amount],184)</f>
        <v>2499.88</v>
      </c>
    </row>
    <row r="468" spans="1:4" x14ac:dyDescent="0.3">
      <c r="A468" t="s">
        <v>53</v>
      </c>
      <c r="B468" t="str">
        <f>INDEX(tManiqHars[Display Scheme],185)</f>
        <v>Icici Prudential Focused Equity Fund Growth</v>
      </c>
      <c r="C468">
        <f>INDEX(tManiqHars[Date],185)</f>
        <v>44706</v>
      </c>
      <c r="D468">
        <f>INDEX(tManiqHars[Signed Amount],185)</f>
        <v>2499.88</v>
      </c>
    </row>
    <row r="469" spans="1:4" x14ac:dyDescent="0.3">
      <c r="A469" t="s">
        <v>53</v>
      </c>
      <c r="B469" t="str">
        <f>INDEX(tManiqHars[Display Scheme],186)</f>
        <v>Canara Robeco Large And Mid Cap Fund Growth</v>
      </c>
      <c r="C469">
        <f>INDEX(tManiqHars[Date],186)</f>
        <v>44691</v>
      </c>
      <c r="D469">
        <f>INDEX(tManiqHars[Signed Amount],186)</f>
        <v>4999.75</v>
      </c>
    </row>
    <row r="470" spans="1:4" x14ac:dyDescent="0.3">
      <c r="A470" t="s">
        <v>53</v>
      </c>
      <c r="B470" t="str">
        <f>INDEX(tManiqHars[Display Scheme],187)</f>
        <v>Icici Prudential Value Fund Growth</v>
      </c>
      <c r="C470">
        <f>INDEX(tManiqHars[Date],187)</f>
        <v>44691</v>
      </c>
      <c r="D470">
        <f>INDEX(tManiqHars[Signed Amount],187)</f>
        <v>4999.75</v>
      </c>
    </row>
    <row r="471" spans="1:4" x14ac:dyDescent="0.3">
      <c r="A471" t="s">
        <v>53</v>
      </c>
      <c r="B471" t="str">
        <f>INDEX(tManiqHars[Display Scheme],188)</f>
        <v>Mahindra Manulife Mid Cap Fund Growth</v>
      </c>
      <c r="C471">
        <f>INDEX(tManiqHars[Date],188)</f>
        <v>44691</v>
      </c>
      <c r="D471">
        <f>INDEX(tManiqHars[Signed Amount],188)</f>
        <v>4999.75</v>
      </c>
    </row>
    <row r="472" spans="1:4" x14ac:dyDescent="0.3">
      <c r="A472" t="s">
        <v>53</v>
      </c>
      <c r="B472" t="str">
        <f>INDEX(tManiqHars[Display Scheme],189)</f>
        <v>Aditya Birla Sun Life Value Fund Growth</v>
      </c>
      <c r="C472">
        <f>INDEX(tManiqHars[Date],189)</f>
        <v>44691</v>
      </c>
      <c r="D472">
        <f>INDEX(tManiqHars[Signed Amount],189)</f>
        <v>4999.75</v>
      </c>
    </row>
    <row r="473" spans="1:4" x14ac:dyDescent="0.3">
      <c r="A473" t="s">
        <v>53</v>
      </c>
      <c r="B473" t="str">
        <f>INDEX(tManiqHars[Display Scheme],190)</f>
        <v>Sbi Small Cap Fund Growth</v>
      </c>
      <c r="C473">
        <f>INDEX(tManiqHars[Date],190)</f>
        <v>44676</v>
      </c>
      <c r="D473">
        <f>INDEX(tManiqHars[Signed Amount],190)</f>
        <v>2499.88</v>
      </c>
    </row>
    <row r="474" spans="1:4" x14ac:dyDescent="0.3">
      <c r="A474" t="s">
        <v>53</v>
      </c>
      <c r="B474" t="str">
        <f>INDEX(tManiqHars[Display Scheme],191)</f>
        <v>Icici Prudential Focused Equity Fund Growth</v>
      </c>
      <c r="C474">
        <f>INDEX(tManiqHars[Date],191)</f>
        <v>44676</v>
      </c>
      <c r="D474">
        <f>INDEX(tManiqHars[Signed Amount],191)</f>
        <v>2499.88</v>
      </c>
    </row>
    <row r="475" spans="1:4" x14ac:dyDescent="0.3">
      <c r="A475" t="s">
        <v>53</v>
      </c>
      <c r="B475" t="str">
        <f>INDEX(tManiqHars[Display Scheme],192)</f>
        <v>Mirae Asset Large And Mid Cap Fund Growth</v>
      </c>
      <c r="C475">
        <f>INDEX(tManiqHars[Date],192)</f>
        <v>44676</v>
      </c>
      <c r="D475">
        <f>INDEX(tManiqHars[Signed Amount],192)</f>
        <v>2499.88</v>
      </c>
    </row>
    <row r="476" spans="1:4" x14ac:dyDescent="0.3">
      <c r="A476" t="s">
        <v>53</v>
      </c>
      <c r="B476" t="str">
        <f>INDEX(tManiqHars[Display Scheme],193)</f>
        <v>Canara Robeco Large And Mid Cap Fund Growth</v>
      </c>
      <c r="C476">
        <f>INDEX(tManiqHars[Date],193)</f>
        <v>44676</v>
      </c>
      <c r="D476">
        <f>INDEX(tManiqHars[Signed Amount],193)</f>
        <v>2499.88</v>
      </c>
    </row>
    <row r="477" spans="1:4" x14ac:dyDescent="0.3">
      <c r="A477" t="s">
        <v>53</v>
      </c>
      <c r="B477" t="str">
        <f>INDEX(tManiqHars[Display Scheme],194)</f>
        <v>Aditya Birla Sun Life Value Fund Growth</v>
      </c>
      <c r="C477">
        <f>INDEX(tManiqHars[Date],194)</f>
        <v>44662</v>
      </c>
      <c r="D477">
        <f>INDEX(tManiqHars[Signed Amount],194)</f>
        <v>4999.75</v>
      </c>
    </row>
    <row r="478" spans="1:4" x14ac:dyDescent="0.3">
      <c r="A478" t="s">
        <v>53</v>
      </c>
      <c r="B478" t="str">
        <f>INDEX(tManiqHars[Display Scheme],195)</f>
        <v>Mahindra Manulife Mid Cap Fund Growth</v>
      </c>
      <c r="C478">
        <f>INDEX(tManiqHars[Date],195)</f>
        <v>44662</v>
      </c>
      <c r="D478">
        <f>INDEX(tManiqHars[Signed Amount],195)</f>
        <v>4999.75</v>
      </c>
    </row>
    <row r="479" spans="1:4" x14ac:dyDescent="0.3">
      <c r="A479" t="s">
        <v>53</v>
      </c>
      <c r="B479" t="str">
        <f>INDEX(tManiqHars[Display Scheme],196)</f>
        <v>Canara Robeco Large And Mid Cap Fund Growth</v>
      </c>
      <c r="C479">
        <f>INDEX(tManiqHars[Date],196)</f>
        <v>44662</v>
      </c>
      <c r="D479">
        <f>INDEX(tManiqHars[Signed Amount],196)</f>
        <v>4999.75</v>
      </c>
    </row>
    <row r="480" spans="1:4" x14ac:dyDescent="0.3">
      <c r="A480" t="s">
        <v>53</v>
      </c>
      <c r="B480" t="str">
        <f>INDEX(tManiqHars[Display Scheme],197)</f>
        <v>Icici Prudential Value Fund Growth</v>
      </c>
      <c r="C480">
        <f>INDEX(tManiqHars[Date],197)</f>
        <v>44662</v>
      </c>
      <c r="D480">
        <f>INDEX(tManiqHars[Signed Amount],197)</f>
        <v>4999.75</v>
      </c>
    </row>
    <row r="481" spans="1:4" x14ac:dyDescent="0.3">
      <c r="A481" t="s">
        <v>53</v>
      </c>
      <c r="B481" t="str">
        <f>INDEX(tManiqHars[Display Scheme],198)</f>
        <v>Mirae Asset Large And Mid Cap Fund Growth</v>
      </c>
      <c r="C481">
        <f>INDEX(tManiqHars[Date],198)</f>
        <v>44645</v>
      </c>
      <c r="D481">
        <f>INDEX(tManiqHars[Signed Amount],198)</f>
        <v>2499.88</v>
      </c>
    </row>
    <row r="482" spans="1:4" x14ac:dyDescent="0.3">
      <c r="A482" t="s">
        <v>53</v>
      </c>
      <c r="B482" t="str">
        <f>INDEX(tManiqHars[Display Scheme],199)</f>
        <v>Icici Prudential Focused Equity Fund Growth</v>
      </c>
      <c r="C482">
        <f>INDEX(tManiqHars[Date],199)</f>
        <v>44645</v>
      </c>
      <c r="D482">
        <f>INDEX(tManiqHars[Signed Amount],199)</f>
        <v>2499.88</v>
      </c>
    </row>
    <row r="483" spans="1:4" x14ac:dyDescent="0.3">
      <c r="A483" t="s">
        <v>53</v>
      </c>
      <c r="B483" t="str">
        <f>INDEX(tManiqHars[Display Scheme],200)</f>
        <v>Canara Robeco Large And Mid Cap Fund Growth</v>
      </c>
      <c r="C483">
        <f>INDEX(tManiqHars[Date],200)</f>
        <v>44645</v>
      </c>
      <c r="D483">
        <f>INDEX(tManiqHars[Signed Amount],200)</f>
        <v>2499.88</v>
      </c>
    </row>
    <row r="484" spans="1:4" x14ac:dyDescent="0.3">
      <c r="A484" t="s">
        <v>53</v>
      </c>
      <c r="B484" t="str">
        <f>INDEX(tManiqHars[Display Scheme],201)</f>
        <v>Sbi Small Cap Fund Growth</v>
      </c>
      <c r="C484">
        <f>INDEX(tManiqHars[Date],201)</f>
        <v>44645</v>
      </c>
      <c r="D484">
        <f>INDEX(tManiqHars[Signed Amount],201)</f>
        <v>2499.88</v>
      </c>
    </row>
    <row r="485" spans="1:4" x14ac:dyDescent="0.3">
      <c r="A485" t="s">
        <v>53</v>
      </c>
      <c r="B485" t="str">
        <f>INDEX(tManiqHars[Display Scheme],202)</f>
        <v>Icici Prudential Value Fund Growth</v>
      </c>
      <c r="C485">
        <f>INDEX(tManiqHars[Date],202)</f>
        <v>44630</v>
      </c>
      <c r="D485">
        <f>INDEX(tManiqHars[Signed Amount],202)</f>
        <v>4999.75</v>
      </c>
    </row>
    <row r="486" spans="1:4" x14ac:dyDescent="0.3">
      <c r="A486" t="s">
        <v>53</v>
      </c>
      <c r="B486" t="str">
        <f>INDEX(tManiqHars[Display Scheme],203)</f>
        <v>Aditya Birla Sun Life Value Fund Growth</v>
      </c>
      <c r="C486">
        <f>INDEX(tManiqHars[Date],203)</f>
        <v>44630</v>
      </c>
      <c r="D486">
        <f>INDEX(tManiqHars[Signed Amount],203)</f>
        <v>4999.75</v>
      </c>
    </row>
    <row r="487" spans="1:4" x14ac:dyDescent="0.3">
      <c r="A487" t="s">
        <v>53</v>
      </c>
      <c r="B487" t="str">
        <f>INDEX(tManiqHars[Display Scheme],204)</f>
        <v>Mahindra Manulife Mid Cap Fund Growth</v>
      </c>
      <c r="C487">
        <f>INDEX(tManiqHars[Date],204)</f>
        <v>44630</v>
      </c>
      <c r="D487">
        <f>INDEX(tManiqHars[Signed Amount],204)</f>
        <v>4999.75</v>
      </c>
    </row>
    <row r="488" spans="1:4" x14ac:dyDescent="0.3">
      <c r="A488" t="s">
        <v>53</v>
      </c>
      <c r="B488" t="str">
        <f>INDEX(tManiqHars[Display Scheme],205)</f>
        <v>Canara Robeco Large And Mid Cap Fund Growth</v>
      </c>
      <c r="C488">
        <f>INDEX(tManiqHars[Date],205)</f>
        <v>44630</v>
      </c>
      <c r="D488">
        <f>INDEX(tManiqHars[Signed Amount],205)</f>
        <v>4999.75</v>
      </c>
    </row>
    <row r="489" spans="1:4" x14ac:dyDescent="0.3">
      <c r="A489" t="s">
        <v>53</v>
      </c>
      <c r="B489" t="str">
        <f>INDEX(tManiqHars[Display Scheme],206)</f>
        <v>Canara Robeco Large And Mid Cap Fund Growth</v>
      </c>
      <c r="C489">
        <f>INDEX(tManiqHars[Date],206)</f>
        <v>44617</v>
      </c>
      <c r="D489">
        <f>INDEX(tManiqHars[Signed Amount],206)</f>
        <v>2499.88</v>
      </c>
    </row>
    <row r="490" spans="1:4" x14ac:dyDescent="0.3">
      <c r="A490" t="s">
        <v>53</v>
      </c>
      <c r="B490" t="str">
        <f>INDEX(tManiqHars[Display Scheme],207)</f>
        <v>Sbi Small Cap Fund Growth</v>
      </c>
      <c r="C490">
        <f>INDEX(tManiqHars[Date],207)</f>
        <v>44617</v>
      </c>
      <c r="D490">
        <f>INDEX(tManiqHars[Signed Amount],207)</f>
        <v>2499.88</v>
      </c>
    </row>
    <row r="491" spans="1:4" x14ac:dyDescent="0.3">
      <c r="A491" t="s">
        <v>53</v>
      </c>
      <c r="B491" t="str">
        <f>INDEX(tManiqHars[Display Scheme],208)</f>
        <v>Icici Prudential Focused Equity Fund Growth</v>
      </c>
      <c r="C491">
        <f>INDEX(tManiqHars[Date],208)</f>
        <v>44617</v>
      </c>
      <c r="D491">
        <f>INDEX(tManiqHars[Signed Amount],208)</f>
        <v>2499.88</v>
      </c>
    </row>
    <row r="492" spans="1:4" x14ac:dyDescent="0.3">
      <c r="A492" t="s">
        <v>53</v>
      </c>
      <c r="B492" t="str">
        <f>INDEX(tManiqHars[Display Scheme],209)</f>
        <v>Mirae Asset Large And Mid Cap Fund Growth</v>
      </c>
      <c r="C492">
        <f>INDEX(tManiqHars[Date],209)</f>
        <v>44617</v>
      </c>
      <c r="D492">
        <f>INDEX(tManiqHars[Signed Amount],209)</f>
        <v>2499.88</v>
      </c>
    </row>
    <row r="493" spans="1:4" x14ac:dyDescent="0.3">
      <c r="A493" t="s">
        <v>53</v>
      </c>
      <c r="B493" t="str">
        <f>INDEX(tManiqHars[Display Scheme],210)</f>
        <v>Canara Robeco Large And Mid Cap Fund Growth</v>
      </c>
      <c r="C493">
        <f>INDEX(tManiqHars[Date],210)</f>
        <v>44602</v>
      </c>
      <c r="D493">
        <f>INDEX(tManiqHars[Signed Amount],210)</f>
        <v>4999.75</v>
      </c>
    </row>
    <row r="494" spans="1:4" x14ac:dyDescent="0.3">
      <c r="A494" t="s">
        <v>53</v>
      </c>
      <c r="B494" t="str">
        <f>INDEX(tManiqHars[Display Scheme],211)</f>
        <v>Icici Prudential Value Fund Growth</v>
      </c>
      <c r="C494">
        <f>INDEX(tManiqHars[Date],211)</f>
        <v>44602</v>
      </c>
      <c r="D494">
        <f>INDEX(tManiqHars[Signed Amount],211)</f>
        <v>4999.75</v>
      </c>
    </row>
    <row r="495" spans="1:4" x14ac:dyDescent="0.3">
      <c r="A495" t="s">
        <v>53</v>
      </c>
      <c r="B495" t="str">
        <f>INDEX(tManiqHars[Display Scheme],212)</f>
        <v>Aditya Birla Sun Life Value Fund Growth</v>
      </c>
      <c r="C495">
        <f>INDEX(tManiqHars[Date],212)</f>
        <v>44602</v>
      </c>
      <c r="D495">
        <f>INDEX(tManiqHars[Signed Amount],212)</f>
        <v>4999.75</v>
      </c>
    </row>
    <row r="496" spans="1:4" x14ac:dyDescent="0.3">
      <c r="A496" t="s">
        <v>53</v>
      </c>
      <c r="B496" t="str">
        <f>INDEX(tManiqHars[Display Scheme],213)</f>
        <v>Mahindra Manulife Mid Cap Fund Growth</v>
      </c>
      <c r="C496">
        <f>INDEX(tManiqHars[Date],213)</f>
        <v>44602</v>
      </c>
      <c r="D496">
        <f>INDEX(tManiqHars[Signed Amount],213)</f>
        <v>4999.75</v>
      </c>
    </row>
    <row r="497" spans="1:4" x14ac:dyDescent="0.3">
      <c r="A497" t="s">
        <v>53</v>
      </c>
      <c r="B497" t="str">
        <f>INDEX(tManiqHars[Display Scheme],214)</f>
        <v>Icici Prudential Focused Equity Fund Growth</v>
      </c>
      <c r="C497">
        <f>INDEX(tManiqHars[Date],214)</f>
        <v>44586</v>
      </c>
      <c r="D497">
        <f>INDEX(tManiqHars[Signed Amount],214)</f>
        <v>2499.88</v>
      </c>
    </row>
    <row r="498" spans="1:4" x14ac:dyDescent="0.3">
      <c r="A498" t="s">
        <v>53</v>
      </c>
      <c r="B498" t="str">
        <f>INDEX(tManiqHars[Display Scheme],215)</f>
        <v>Sbi Small Cap Fund Growth</v>
      </c>
      <c r="C498">
        <f>INDEX(tManiqHars[Date],215)</f>
        <v>44586</v>
      </c>
      <c r="D498">
        <f>INDEX(tManiqHars[Signed Amount],215)</f>
        <v>2499.88</v>
      </c>
    </row>
    <row r="499" spans="1:4" x14ac:dyDescent="0.3">
      <c r="A499" t="s">
        <v>53</v>
      </c>
      <c r="B499" t="str">
        <f>INDEX(tManiqHars[Display Scheme],216)</f>
        <v>Mirae Asset Large And Mid Cap Fund Growth</v>
      </c>
      <c r="C499">
        <f>INDEX(tManiqHars[Date],216)</f>
        <v>44586</v>
      </c>
      <c r="D499">
        <f>INDEX(tManiqHars[Signed Amount],216)</f>
        <v>2499.88</v>
      </c>
    </row>
    <row r="500" spans="1:4" x14ac:dyDescent="0.3">
      <c r="A500" t="s">
        <v>53</v>
      </c>
      <c r="B500" t="str">
        <f>INDEX(tManiqHars[Display Scheme],217)</f>
        <v>Canara Robeco Large And Mid Cap Fund Growth</v>
      </c>
      <c r="C500">
        <f>INDEX(tManiqHars[Date],217)</f>
        <v>44586</v>
      </c>
      <c r="D500">
        <f>INDEX(tManiqHars[Signed Amount],217)</f>
        <v>2499.88</v>
      </c>
    </row>
    <row r="501" spans="1:4" x14ac:dyDescent="0.3">
      <c r="A501" t="s">
        <v>53</v>
      </c>
      <c r="B501" t="str">
        <f>INDEX(tManiqHars[Display Scheme],218)</f>
        <v>Mahindra Manulife Mid Cap Fund Growth</v>
      </c>
      <c r="C501">
        <f>INDEX(tManiqHars[Date],218)</f>
        <v>44571</v>
      </c>
      <c r="D501">
        <f>INDEX(tManiqHars[Signed Amount],218)</f>
        <v>4999.75</v>
      </c>
    </row>
    <row r="502" spans="1:4" x14ac:dyDescent="0.3">
      <c r="A502" t="s">
        <v>53</v>
      </c>
      <c r="B502" t="str">
        <f>INDEX(tManiqHars[Display Scheme],219)</f>
        <v>Canara Robeco Large And Mid Cap Fund Growth</v>
      </c>
      <c r="C502">
        <f>INDEX(tManiqHars[Date],219)</f>
        <v>44571</v>
      </c>
      <c r="D502">
        <f>INDEX(tManiqHars[Signed Amount],219)</f>
        <v>4999.75</v>
      </c>
    </row>
    <row r="503" spans="1:4" x14ac:dyDescent="0.3">
      <c r="A503" t="s">
        <v>53</v>
      </c>
      <c r="B503" t="str">
        <f>INDEX(tManiqHars[Display Scheme],220)</f>
        <v>Icici Prudential Value Fund Growth</v>
      </c>
      <c r="C503">
        <f>INDEX(tManiqHars[Date],220)</f>
        <v>44571</v>
      </c>
      <c r="D503">
        <f>INDEX(tManiqHars[Signed Amount],220)</f>
        <v>4999.75</v>
      </c>
    </row>
    <row r="504" spans="1:4" x14ac:dyDescent="0.3">
      <c r="A504" t="s">
        <v>53</v>
      </c>
      <c r="B504" t="str">
        <f>INDEX(tManiqHars[Display Scheme],221)</f>
        <v>Aditya Birla Sun Life Value Fund Growth</v>
      </c>
      <c r="C504">
        <f>INDEX(tManiqHars[Date],221)</f>
        <v>44571</v>
      </c>
      <c r="D504">
        <f>INDEX(tManiqHars[Signed Amount],221)</f>
        <v>4999.75</v>
      </c>
    </row>
    <row r="505" spans="1:4" x14ac:dyDescent="0.3">
      <c r="A505" t="s">
        <v>53</v>
      </c>
      <c r="B505" t="str">
        <f>INDEX(tManiqHars[Display Scheme],222)</f>
        <v>Principal Emerging Bluechip Fund Growth</v>
      </c>
      <c r="C505">
        <f>INDEX(tManiqHars[Date],222)</f>
        <v>44561</v>
      </c>
      <c r="D505">
        <f>INDEX(tManiqHars[Signed Amount],222)</f>
        <v>-258980.86</v>
      </c>
    </row>
    <row r="506" spans="1:4" x14ac:dyDescent="0.3">
      <c r="A506" t="s">
        <v>53</v>
      </c>
      <c r="B506" t="str">
        <f>INDEX(tManiqHars[Display Scheme],223)</f>
        <v>Principal Emerging Bluechip Fund Growth</v>
      </c>
      <c r="C506">
        <f>INDEX(tManiqHars[Date],223)</f>
        <v>44561</v>
      </c>
      <c r="D506">
        <f>INDEX(tManiqHars[Signed Amount],223)</f>
        <v>-96045.75</v>
      </c>
    </row>
    <row r="507" spans="1:4" x14ac:dyDescent="0.3">
      <c r="A507" t="s">
        <v>53</v>
      </c>
      <c r="B507" t="str">
        <f>INDEX(tManiqHars[Display Scheme],224)</f>
        <v>Sundaram Large And Mid Cap Fund Growth</v>
      </c>
      <c r="C507">
        <f>INDEX(tManiqHars[Date],224)</f>
        <v>44561</v>
      </c>
      <c r="D507">
        <f>INDEX(tManiqHars[Signed Amount],224)</f>
        <v>96045.75</v>
      </c>
    </row>
    <row r="508" spans="1:4" x14ac:dyDescent="0.3">
      <c r="A508" t="s">
        <v>53</v>
      </c>
      <c r="B508" t="str">
        <f>INDEX(tManiqHars[Display Scheme],225)</f>
        <v>Sundaram Large And Mid Cap Fund Growth</v>
      </c>
      <c r="C508">
        <f>INDEX(tManiqHars[Date],225)</f>
        <v>44561</v>
      </c>
      <c r="D508">
        <f>INDEX(tManiqHars[Signed Amount],225)</f>
        <v>258980.86</v>
      </c>
    </row>
    <row r="509" spans="1:4" x14ac:dyDescent="0.3">
      <c r="A509" t="s">
        <v>53</v>
      </c>
      <c r="B509" t="str">
        <f>INDEX(tManiqHars[Display Scheme],226)</f>
        <v>Sbi Small Cap Fund Growth</v>
      </c>
      <c r="C509">
        <f>INDEX(tManiqHars[Date],226)</f>
        <v>44557</v>
      </c>
      <c r="D509">
        <f>INDEX(tManiqHars[Signed Amount],226)</f>
        <v>2499.88</v>
      </c>
    </row>
    <row r="510" spans="1:4" x14ac:dyDescent="0.3">
      <c r="A510" t="s">
        <v>53</v>
      </c>
      <c r="B510" t="str">
        <f>INDEX(tManiqHars[Display Scheme],227)</f>
        <v>Icici Prudential Focused Equity Fund Growth</v>
      </c>
      <c r="C510">
        <f>INDEX(tManiqHars[Date],227)</f>
        <v>44557</v>
      </c>
      <c r="D510">
        <f>INDEX(tManiqHars[Signed Amount],227)</f>
        <v>2499.88</v>
      </c>
    </row>
    <row r="511" spans="1:4" x14ac:dyDescent="0.3">
      <c r="A511" t="s">
        <v>53</v>
      </c>
      <c r="B511" t="str">
        <f>INDEX(tManiqHars[Display Scheme],228)</f>
        <v>Mirae Asset Large And Mid Cap Fund Growth</v>
      </c>
      <c r="C511">
        <f>INDEX(tManiqHars[Date],228)</f>
        <v>44557</v>
      </c>
      <c r="D511">
        <f>INDEX(tManiqHars[Signed Amount],228)</f>
        <v>2499.88</v>
      </c>
    </row>
    <row r="512" spans="1:4" x14ac:dyDescent="0.3">
      <c r="A512" t="s">
        <v>53</v>
      </c>
      <c r="B512" t="str">
        <f>INDEX(tManiqHars[Display Scheme],229)</f>
        <v>Canara Robeco Large And Mid Cap Fund Growth</v>
      </c>
      <c r="C512">
        <f>INDEX(tManiqHars[Date],229)</f>
        <v>44557</v>
      </c>
      <c r="D512">
        <f>INDEX(tManiqHars[Signed Amount],229)</f>
        <v>2499.88</v>
      </c>
    </row>
    <row r="513" spans="1:4" x14ac:dyDescent="0.3">
      <c r="A513" t="s">
        <v>53</v>
      </c>
      <c r="B513" t="str">
        <f>INDEX(tManiqHars[Display Scheme],230)</f>
        <v>Canara Robeco Large And Mid Cap Fund Growth</v>
      </c>
      <c r="C513">
        <f>INDEX(tManiqHars[Date],230)</f>
        <v>44540</v>
      </c>
      <c r="D513">
        <f>INDEX(tManiqHars[Signed Amount],230)</f>
        <v>4999.75</v>
      </c>
    </row>
    <row r="514" spans="1:4" x14ac:dyDescent="0.3">
      <c r="A514" t="s">
        <v>53</v>
      </c>
      <c r="B514" t="str">
        <f>INDEX(tManiqHars[Display Scheme],231)</f>
        <v>Mahindra Manulife Mid Cap Fund Growth</v>
      </c>
      <c r="C514">
        <f>INDEX(tManiqHars[Date],231)</f>
        <v>44540</v>
      </c>
      <c r="D514">
        <f>INDEX(tManiqHars[Signed Amount],231)</f>
        <v>4999.75</v>
      </c>
    </row>
    <row r="515" spans="1:4" x14ac:dyDescent="0.3">
      <c r="A515" t="s">
        <v>53</v>
      </c>
      <c r="B515" t="str">
        <f>INDEX(tManiqHars[Display Scheme],232)</f>
        <v>Aditya Birla Sun Life Value Fund Growth</v>
      </c>
      <c r="C515">
        <f>INDEX(tManiqHars[Date],232)</f>
        <v>44540</v>
      </c>
      <c r="D515">
        <f>INDEX(tManiqHars[Signed Amount],232)</f>
        <v>4999.75</v>
      </c>
    </row>
    <row r="516" spans="1:4" x14ac:dyDescent="0.3">
      <c r="A516" t="s">
        <v>53</v>
      </c>
      <c r="B516" t="str">
        <f>INDEX(tManiqHars[Display Scheme],233)</f>
        <v>Icici Prudential Value Fund Growth</v>
      </c>
      <c r="C516">
        <f>INDEX(tManiqHars[Date],233)</f>
        <v>44540</v>
      </c>
      <c r="D516">
        <f>INDEX(tManiqHars[Signed Amount],233)</f>
        <v>4999.75</v>
      </c>
    </row>
    <row r="517" spans="1:4" x14ac:dyDescent="0.3">
      <c r="A517" t="s">
        <v>53</v>
      </c>
      <c r="B517" t="str">
        <f>INDEX(tManiqHars[Display Scheme],234)</f>
        <v>Icici Prudential Focused Equity Fund Growth</v>
      </c>
      <c r="C517">
        <f>INDEX(tManiqHars[Date],234)</f>
        <v>44525</v>
      </c>
      <c r="D517">
        <f>INDEX(tManiqHars[Signed Amount],234)</f>
        <v>2499.88</v>
      </c>
    </row>
    <row r="518" spans="1:4" x14ac:dyDescent="0.3">
      <c r="A518" t="s">
        <v>53</v>
      </c>
      <c r="B518" t="str">
        <f>INDEX(tManiqHars[Display Scheme],235)</f>
        <v>Mirae Asset Large And Mid Cap Fund Growth</v>
      </c>
      <c r="C518">
        <f>INDEX(tManiqHars[Date],235)</f>
        <v>44525</v>
      </c>
      <c r="D518">
        <f>INDEX(tManiqHars[Signed Amount],235)</f>
        <v>2499.88</v>
      </c>
    </row>
    <row r="519" spans="1:4" x14ac:dyDescent="0.3">
      <c r="A519" t="s">
        <v>53</v>
      </c>
      <c r="B519" t="str">
        <f>INDEX(tManiqHars[Display Scheme],236)</f>
        <v>Canara Robeco Large And Mid Cap Fund Growth</v>
      </c>
      <c r="C519">
        <f>INDEX(tManiqHars[Date],236)</f>
        <v>44525</v>
      </c>
      <c r="D519">
        <f>INDEX(tManiqHars[Signed Amount],236)</f>
        <v>2499.88</v>
      </c>
    </row>
    <row r="520" spans="1:4" x14ac:dyDescent="0.3">
      <c r="A520" t="s">
        <v>53</v>
      </c>
      <c r="B520" t="str">
        <f>INDEX(tManiqHars[Display Scheme],237)</f>
        <v>Sbi Small Cap Fund Growth</v>
      </c>
      <c r="C520">
        <f>INDEX(tManiqHars[Date],237)</f>
        <v>44525</v>
      </c>
      <c r="D520">
        <f>INDEX(tManiqHars[Signed Amount],237)</f>
        <v>2499.88</v>
      </c>
    </row>
    <row r="521" spans="1:4" x14ac:dyDescent="0.3">
      <c r="A521" t="s">
        <v>53</v>
      </c>
      <c r="B521" t="str">
        <f>INDEX(tManiqHars[Display Scheme],238)</f>
        <v>Canara Robeco Large And Mid Cap Fund Growth</v>
      </c>
      <c r="C521">
        <f>INDEX(tManiqHars[Date],238)</f>
        <v>44510</v>
      </c>
      <c r="D521">
        <f>INDEX(tManiqHars[Signed Amount],238)</f>
        <v>4999.75</v>
      </c>
    </row>
    <row r="522" spans="1:4" x14ac:dyDescent="0.3">
      <c r="A522" t="s">
        <v>53</v>
      </c>
      <c r="B522" t="str">
        <f>INDEX(tManiqHars[Display Scheme],239)</f>
        <v>Icici Prudential Value Fund Growth</v>
      </c>
      <c r="C522">
        <f>INDEX(tManiqHars[Date],239)</f>
        <v>44510</v>
      </c>
      <c r="D522">
        <f>INDEX(tManiqHars[Signed Amount],239)</f>
        <v>4999.75</v>
      </c>
    </row>
    <row r="523" spans="1:4" x14ac:dyDescent="0.3">
      <c r="A523" t="s">
        <v>53</v>
      </c>
      <c r="B523" t="str">
        <f>INDEX(tManiqHars[Display Scheme],240)</f>
        <v>Aditya Birla Sun Life Value Fund Growth</v>
      </c>
      <c r="C523">
        <f>INDEX(tManiqHars[Date],240)</f>
        <v>44510</v>
      </c>
      <c r="D523">
        <f>INDEX(tManiqHars[Signed Amount],240)</f>
        <v>4999.75</v>
      </c>
    </row>
    <row r="524" spans="1:4" x14ac:dyDescent="0.3">
      <c r="A524" t="s">
        <v>53</v>
      </c>
      <c r="B524" t="str">
        <f>INDEX(tManiqHars[Display Scheme],241)</f>
        <v>Mahindra Manulife Mid Cap Fund Growth</v>
      </c>
      <c r="C524">
        <f>INDEX(tManiqHars[Date],241)</f>
        <v>44510</v>
      </c>
      <c r="D524">
        <f>INDEX(tManiqHars[Signed Amount],241)</f>
        <v>4999.75</v>
      </c>
    </row>
    <row r="525" spans="1:4" x14ac:dyDescent="0.3">
      <c r="A525" t="s">
        <v>53</v>
      </c>
      <c r="B525" t="str">
        <f>INDEX(tManiqHars[Display Scheme],242)</f>
        <v>Canara Robeco Large And Mid Cap Fund Growth</v>
      </c>
      <c r="C525">
        <f>INDEX(tManiqHars[Date],242)</f>
        <v>44495</v>
      </c>
      <c r="D525">
        <f>INDEX(tManiqHars[Signed Amount],242)</f>
        <v>2499.88</v>
      </c>
    </row>
    <row r="526" spans="1:4" x14ac:dyDescent="0.3">
      <c r="A526" t="s">
        <v>53</v>
      </c>
      <c r="B526" t="str">
        <f>INDEX(tManiqHars[Display Scheme],243)</f>
        <v>Mirae Asset Large And Mid Cap Fund Growth</v>
      </c>
      <c r="C526">
        <f>INDEX(tManiqHars[Date],243)</f>
        <v>44495</v>
      </c>
      <c r="D526">
        <f>INDEX(tManiqHars[Signed Amount],243)</f>
        <v>2499.88</v>
      </c>
    </row>
    <row r="527" spans="1:4" x14ac:dyDescent="0.3">
      <c r="A527" t="s">
        <v>53</v>
      </c>
      <c r="B527" t="str">
        <f>INDEX(tManiqHars[Display Scheme],244)</f>
        <v>Sbi Small Cap Fund Growth</v>
      </c>
      <c r="C527">
        <f>INDEX(tManiqHars[Date],244)</f>
        <v>44495</v>
      </c>
      <c r="D527">
        <f>INDEX(tManiqHars[Signed Amount],244)</f>
        <v>2499.88</v>
      </c>
    </row>
    <row r="528" spans="1:4" x14ac:dyDescent="0.3">
      <c r="A528" t="s">
        <v>53</v>
      </c>
      <c r="B528" t="str">
        <f>INDEX(tManiqHars[Display Scheme],245)</f>
        <v>Icici Prudential Focused Equity Fund Growth</v>
      </c>
      <c r="C528">
        <f>INDEX(tManiqHars[Date],245)</f>
        <v>44495</v>
      </c>
      <c r="D528">
        <f>INDEX(tManiqHars[Signed Amount],245)</f>
        <v>2499.88</v>
      </c>
    </row>
    <row r="529" spans="1:4" x14ac:dyDescent="0.3">
      <c r="A529" t="s">
        <v>53</v>
      </c>
      <c r="B529" t="str">
        <f>INDEX(tManiqHars[Display Scheme],246)</f>
        <v>Aditya Birla Sun Life Value Fund Growth</v>
      </c>
      <c r="C529">
        <f>INDEX(tManiqHars[Date],246)</f>
        <v>44480</v>
      </c>
      <c r="D529">
        <f>INDEX(tManiqHars[Signed Amount],246)</f>
        <v>4999.75</v>
      </c>
    </row>
    <row r="530" spans="1:4" x14ac:dyDescent="0.3">
      <c r="A530" t="s">
        <v>53</v>
      </c>
      <c r="B530" t="str">
        <f>INDEX(tManiqHars[Display Scheme],247)</f>
        <v>Icici Prudential Value Fund Growth</v>
      </c>
      <c r="C530">
        <f>INDEX(tManiqHars[Date],247)</f>
        <v>44480</v>
      </c>
      <c r="D530">
        <f>INDEX(tManiqHars[Signed Amount],247)</f>
        <v>4999.75</v>
      </c>
    </row>
    <row r="531" spans="1:4" x14ac:dyDescent="0.3">
      <c r="A531" t="s">
        <v>53</v>
      </c>
      <c r="B531" t="str">
        <f>INDEX(tManiqHars[Display Scheme],248)</f>
        <v>Canara Robeco Large And Mid Cap Fund Growth</v>
      </c>
      <c r="C531">
        <f>INDEX(tManiqHars[Date],248)</f>
        <v>44480</v>
      </c>
      <c r="D531">
        <f>INDEX(tManiqHars[Signed Amount],248)</f>
        <v>4999.75</v>
      </c>
    </row>
    <row r="532" spans="1:4" x14ac:dyDescent="0.3">
      <c r="A532" t="s">
        <v>53</v>
      </c>
      <c r="B532" t="str">
        <f>INDEX(tManiqHars[Display Scheme],249)</f>
        <v>Mahindra Manulife Mid Cap Fund Growth</v>
      </c>
      <c r="C532">
        <f>INDEX(tManiqHars[Date],249)</f>
        <v>44480</v>
      </c>
      <c r="D532">
        <f>INDEX(tManiqHars[Signed Amount],249)</f>
        <v>4999.75</v>
      </c>
    </row>
    <row r="533" spans="1:4" x14ac:dyDescent="0.3">
      <c r="A533" t="s">
        <v>53</v>
      </c>
      <c r="B533" t="str">
        <f>INDEX(tManiqHars[Display Scheme],250)</f>
        <v>Kotak Multicap Fund Growth</v>
      </c>
      <c r="C533">
        <f>INDEX(tManiqHars[Date],250)</f>
        <v>44468</v>
      </c>
      <c r="D533">
        <f>INDEX(tManiqHars[Signed Amount],250)</f>
        <v>249987.5</v>
      </c>
    </row>
    <row r="534" spans="1:4" x14ac:dyDescent="0.3">
      <c r="A534" t="s">
        <v>53</v>
      </c>
      <c r="B534" t="str">
        <f>INDEX(tManiqHars[Display Scheme],251)</f>
        <v>Mirae Asset Large And Mid Cap Fund Growth</v>
      </c>
      <c r="C534">
        <f>INDEX(tManiqHars[Date],251)</f>
        <v>44466</v>
      </c>
      <c r="D534">
        <f>INDEX(tManiqHars[Signed Amount],251)</f>
        <v>2499.88</v>
      </c>
    </row>
    <row r="535" spans="1:4" x14ac:dyDescent="0.3">
      <c r="A535" t="s">
        <v>53</v>
      </c>
      <c r="B535" t="str">
        <f>INDEX(tManiqHars[Display Scheme],252)</f>
        <v>Sbi Small Cap Fund Growth</v>
      </c>
      <c r="C535">
        <f>INDEX(tManiqHars[Date],252)</f>
        <v>44466</v>
      </c>
      <c r="D535">
        <f>INDEX(tManiqHars[Signed Amount],252)</f>
        <v>2499.88</v>
      </c>
    </row>
    <row r="536" spans="1:4" x14ac:dyDescent="0.3">
      <c r="A536" t="s">
        <v>53</v>
      </c>
      <c r="B536" t="str">
        <f>INDEX(tManiqHars[Display Scheme],253)</f>
        <v>Icici Prudential Focused Equity Fund Growth</v>
      </c>
      <c r="C536">
        <f>INDEX(tManiqHars[Date],253)</f>
        <v>44466</v>
      </c>
      <c r="D536">
        <f>INDEX(tManiqHars[Signed Amount],253)</f>
        <v>2499.88</v>
      </c>
    </row>
    <row r="537" spans="1:4" x14ac:dyDescent="0.3">
      <c r="A537" t="s">
        <v>53</v>
      </c>
      <c r="B537" t="str">
        <f>INDEX(tManiqHars[Display Scheme],254)</f>
        <v>Canara Robeco Large And Mid Cap Fund Growth</v>
      </c>
      <c r="C537">
        <f>INDEX(tManiqHars[Date],254)</f>
        <v>44466</v>
      </c>
      <c r="D537">
        <f>INDEX(tManiqHars[Signed Amount],254)</f>
        <v>2499.88</v>
      </c>
    </row>
    <row r="538" spans="1:4" x14ac:dyDescent="0.3">
      <c r="A538" t="s">
        <v>53</v>
      </c>
      <c r="B538" t="str">
        <f>INDEX(tManiqHars[Display Scheme],255)</f>
        <v>Invesco India Multicap Fund Growth</v>
      </c>
      <c r="C538">
        <f>INDEX(tManiqHars[Date],255)</f>
        <v>44460</v>
      </c>
      <c r="D538">
        <f>INDEX(tManiqHars[Signed Amount],255)</f>
        <v>249987.5</v>
      </c>
    </row>
    <row r="539" spans="1:4" x14ac:dyDescent="0.3">
      <c r="A539" t="s">
        <v>53</v>
      </c>
      <c r="B539" t="str">
        <f>INDEX(tManiqHars[Display Scheme],256)</f>
        <v>Mahindra Manulife Large And Mid Cap Fund Growth</v>
      </c>
      <c r="C539">
        <f>INDEX(tManiqHars[Date],256)</f>
        <v>44460</v>
      </c>
      <c r="D539">
        <f>INDEX(tManiqHars[Signed Amount],256)</f>
        <v>249987.5</v>
      </c>
    </row>
    <row r="540" spans="1:4" x14ac:dyDescent="0.3">
      <c r="A540" t="s">
        <v>53</v>
      </c>
      <c r="B540" t="str">
        <f>INDEX(tManiqHars[Display Scheme],257)</f>
        <v>Principal Emerging Bluechip Fund Growth</v>
      </c>
      <c r="C540">
        <f>INDEX(tManiqHars[Date],257)</f>
        <v>44460</v>
      </c>
      <c r="D540">
        <f>INDEX(tManiqHars[Signed Amount],257)</f>
        <v>249987.5</v>
      </c>
    </row>
    <row r="541" spans="1:4" x14ac:dyDescent="0.3">
      <c r="A541" t="s">
        <v>53</v>
      </c>
      <c r="B541" t="str">
        <f>INDEX(tManiqHars[Display Scheme],258)</f>
        <v>Canara Robeco Large And Mid Cap Fund Growth</v>
      </c>
      <c r="C541">
        <f>INDEX(tManiqHars[Date],258)</f>
        <v>44452</v>
      </c>
      <c r="D541">
        <f>INDEX(tManiqHars[Signed Amount],258)</f>
        <v>4999.75</v>
      </c>
    </row>
    <row r="542" spans="1:4" x14ac:dyDescent="0.3">
      <c r="A542" t="s">
        <v>53</v>
      </c>
      <c r="B542" t="str">
        <f>INDEX(tManiqHars[Display Scheme],259)</f>
        <v>Icici Prudential Value Fund Growth</v>
      </c>
      <c r="C542">
        <f>INDEX(tManiqHars[Date],259)</f>
        <v>44452</v>
      </c>
      <c r="D542">
        <f>INDEX(tManiqHars[Signed Amount],259)</f>
        <v>4999.75</v>
      </c>
    </row>
    <row r="543" spans="1:4" x14ac:dyDescent="0.3">
      <c r="A543" t="s">
        <v>53</v>
      </c>
      <c r="B543" t="str">
        <f>INDEX(tManiqHars[Display Scheme],260)</f>
        <v>Aditya Birla Sun Life Value Fund Growth</v>
      </c>
      <c r="C543">
        <f>INDEX(tManiqHars[Date],260)</f>
        <v>44452</v>
      </c>
      <c r="D543">
        <f>INDEX(tManiqHars[Signed Amount],260)</f>
        <v>4999.75</v>
      </c>
    </row>
    <row r="544" spans="1:4" x14ac:dyDescent="0.3">
      <c r="A544" t="s">
        <v>53</v>
      </c>
      <c r="B544" t="str">
        <f>INDEX(tManiqHars[Display Scheme],261)</f>
        <v>Mahindra Manulife Mid Cap Fund Growth</v>
      </c>
      <c r="C544">
        <f>INDEX(tManiqHars[Date],261)</f>
        <v>44452</v>
      </c>
      <c r="D544">
        <f>INDEX(tManiqHars[Signed Amount],261)</f>
        <v>4999.75</v>
      </c>
    </row>
    <row r="545" spans="1:4" x14ac:dyDescent="0.3">
      <c r="A545" t="s">
        <v>53</v>
      </c>
      <c r="B545" t="str">
        <f>INDEX(tManiqHars[Display Scheme],262)</f>
        <v>Uti Focused Fund Growth</v>
      </c>
      <c r="C545">
        <f>INDEX(tManiqHars[Date],262)</f>
        <v>44433</v>
      </c>
      <c r="D545">
        <f>INDEX(tManiqHars[Signed Amount],262)</f>
        <v>499975</v>
      </c>
    </row>
    <row r="546" spans="1:4" x14ac:dyDescent="0.3">
      <c r="A546" t="s">
        <v>53</v>
      </c>
      <c r="B546" t="str">
        <f>INDEX(tManiqHars[Display Scheme],263)</f>
        <v>Icici Prudential Focused Equity Fund Growth</v>
      </c>
      <c r="C546">
        <f>INDEX(tManiqHars[Date],263)</f>
        <v>44433</v>
      </c>
      <c r="D546">
        <f>INDEX(tManiqHars[Signed Amount],263)</f>
        <v>2499.88</v>
      </c>
    </row>
    <row r="547" spans="1:4" x14ac:dyDescent="0.3">
      <c r="A547" t="s">
        <v>53</v>
      </c>
      <c r="B547" t="str">
        <f>INDEX(tManiqHars[Display Scheme],264)</f>
        <v>Canara Robeco Large And Mid Cap Fund Growth</v>
      </c>
      <c r="C547">
        <f>INDEX(tManiqHars[Date],264)</f>
        <v>44433</v>
      </c>
      <c r="D547">
        <f>INDEX(tManiqHars[Signed Amount],264)</f>
        <v>2499.88</v>
      </c>
    </row>
    <row r="548" spans="1:4" x14ac:dyDescent="0.3">
      <c r="A548" t="s">
        <v>53</v>
      </c>
      <c r="B548" t="str">
        <f>INDEX(tManiqHars[Display Scheme],265)</f>
        <v>Mirae Asset Large And Mid Cap Fund Growth</v>
      </c>
      <c r="C548">
        <f>INDEX(tManiqHars[Date],265)</f>
        <v>44433</v>
      </c>
      <c r="D548">
        <f>INDEX(tManiqHars[Signed Amount],265)</f>
        <v>2499.88</v>
      </c>
    </row>
    <row r="549" spans="1:4" x14ac:dyDescent="0.3">
      <c r="A549" t="s">
        <v>53</v>
      </c>
      <c r="B549" t="str">
        <f>INDEX(tManiqHars[Display Scheme],266)</f>
        <v>Sbi Small Cap Fund Growth</v>
      </c>
      <c r="C549">
        <f>INDEX(tManiqHars[Date],266)</f>
        <v>44433</v>
      </c>
      <c r="D549">
        <f>INDEX(tManiqHars[Signed Amount],266)</f>
        <v>2499.88</v>
      </c>
    </row>
    <row r="550" spans="1:4" x14ac:dyDescent="0.3">
      <c r="A550" t="s">
        <v>53</v>
      </c>
      <c r="B550" t="str">
        <f>INDEX(tManiqHars[Display Scheme],267)</f>
        <v>Uti Focused Fund Growth</v>
      </c>
      <c r="C550">
        <f>INDEX(tManiqHars[Date],267)</f>
        <v>44424</v>
      </c>
      <c r="D550">
        <f>INDEX(tManiqHars[Signed Amount],267)</f>
        <v>0</v>
      </c>
    </row>
    <row r="551" spans="1:4" x14ac:dyDescent="0.3">
      <c r="A551" t="s">
        <v>53</v>
      </c>
      <c r="B551" t="str">
        <f>INDEX(tManiqHars[Display Scheme],268)</f>
        <v>Icici Prudential Value Fund Growth</v>
      </c>
      <c r="C551">
        <f>INDEX(tManiqHars[Date],268)</f>
        <v>44418</v>
      </c>
      <c r="D551">
        <f>INDEX(tManiqHars[Signed Amount],268)</f>
        <v>4999.75</v>
      </c>
    </row>
    <row r="552" spans="1:4" x14ac:dyDescent="0.3">
      <c r="A552" t="s">
        <v>53</v>
      </c>
      <c r="B552" t="str">
        <f>INDEX(tManiqHars[Display Scheme],269)</f>
        <v>Aditya Birla Sun Life Value Fund Growth</v>
      </c>
      <c r="C552">
        <f>INDEX(tManiqHars[Date],269)</f>
        <v>44418</v>
      </c>
      <c r="D552">
        <f>INDEX(tManiqHars[Signed Amount],269)</f>
        <v>4999.75</v>
      </c>
    </row>
    <row r="553" spans="1:4" x14ac:dyDescent="0.3">
      <c r="A553" t="s">
        <v>53</v>
      </c>
      <c r="B553" t="str">
        <f>INDEX(tManiqHars[Display Scheme],270)</f>
        <v>Mahindra Manulife Mid Cap Fund Growth</v>
      </c>
      <c r="C553">
        <f>INDEX(tManiqHars[Date],270)</f>
        <v>44418</v>
      </c>
      <c r="D553">
        <f>INDEX(tManiqHars[Signed Amount],270)</f>
        <v>4999.75</v>
      </c>
    </row>
    <row r="554" spans="1:4" x14ac:dyDescent="0.3">
      <c r="A554" t="s">
        <v>53</v>
      </c>
      <c r="B554" t="str">
        <f>INDEX(tManiqHars[Display Scheme],271)</f>
        <v>Canara Robeco Large And Mid Cap Fund Growth</v>
      </c>
      <c r="C554">
        <f>INDEX(tManiqHars[Date],271)</f>
        <v>44418</v>
      </c>
      <c r="D554">
        <f>INDEX(tManiqHars[Signed Amount],271)</f>
        <v>4999.75</v>
      </c>
    </row>
    <row r="555" spans="1:4" x14ac:dyDescent="0.3">
      <c r="A555" t="s">
        <v>53</v>
      </c>
      <c r="B555" t="str">
        <f>INDEX(tManiqHars[Display Scheme],272)</f>
        <v>Icici Prudential Focused Equity Fund Growth</v>
      </c>
      <c r="C555">
        <f>INDEX(tManiqHars[Date],272)</f>
        <v>44403</v>
      </c>
      <c r="D555">
        <f>INDEX(tManiqHars[Signed Amount],272)</f>
        <v>2499.88</v>
      </c>
    </row>
    <row r="556" spans="1:4" x14ac:dyDescent="0.3">
      <c r="A556" t="s">
        <v>53</v>
      </c>
      <c r="B556" t="str">
        <f>INDEX(tManiqHars[Display Scheme],273)</f>
        <v>Canara Robeco Large And Mid Cap Fund Growth</v>
      </c>
      <c r="C556">
        <f>INDEX(tManiqHars[Date],273)</f>
        <v>44403</v>
      </c>
      <c r="D556">
        <f>INDEX(tManiqHars[Signed Amount],273)</f>
        <v>2499.88</v>
      </c>
    </row>
    <row r="557" spans="1:4" x14ac:dyDescent="0.3">
      <c r="A557" t="s">
        <v>53</v>
      </c>
      <c r="B557" t="str">
        <f>INDEX(tManiqHars[Display Scheme],274)</f>
        <v>Mirae Asset Large And Mid Cap Fund Growth</v>
      </c>
      <c r="C557">
        <f>INDEX(tManiqHars[Date],274)</f>
        <v>44403</v>
      </c>
      <c r="D557">
        <f>INDEX(tManiqHars[Signed Amount],274)</f>
        <v>2499.88</v>
      </c>
    </row>
    <row r="558" spans="1:4" x14ac:dyDescent="0.3">
      <c r="A558" t="s">
        <v>53</v>
      </c>
      <c r="B558" t="str">
        <f>INDEX(tManiqHars[Display Scheme],275)</f>
        <v>Sbi Small Cap Fund Growth</v>
      </c>
      <c r="C558">
        <f>INDEX(tManiqHars[Date],275)</f>
        <v>44403</v>
      </c>
      <c r="D558">
        <f>INDEX(tManiqHars[Signed Amount],275)</f>
        <v>2499.88</v>
      </c>
    </row>
    <row r="559" spans="1:4" x14ac:dyDescent="0.3">
      <c r="A559" t="s">
        <v>53</v>
      </c>
      <c r="B559" t="str">
        <f>INDEX(tManiqHars[Display Scheme],276)</f>
        <v>Canara Robeco Large And Mid Cap Fund Growth</v>
      </c>
      <c r="C559">
        <f>INDEX(tManiqHars[Date],276)</f>
        <v>44389</v>
      </c>
      <c r="D559">
        <f>INDEX(tManiqHars[Signed Amount],276)</f>
        <v>4999.75</v>
      </c>
    </row>
    <row r="560" spans="1:4" x14ac:dyDescent="0.3">
      <c r="A560" t="s">
        <v>53</v>
      </c>
      <c r="B560" t="str">
        <f>INDEX(tManiqHars[Display Scheme],277)</f>
        <v>Mahindra Manulife Mid Cap Fund Growth</v>
      </c>
      <c r="C560">
        <f>INDEX(tManiqHars[Date],277)</f>
        <v>44389</v>
      </c>
      <c r="D560">
        <f>INDEX(tManiqHars[Signed Amount],277)</f>
        <v>4999.75</v>
      </c>
    </row>
    <row r="561" spans="1:4" x14ac:dyDescent="0.3">
      <c r="A561" t="s">
        <v>53</v>
      </c>
      <c r="B561" t="str">
        <f>INDEX(tManiqHars[Display Scheme],278)</f>
        <v>Aditya Birla Sun Life Value Fund Growth</v>
      </c>
      <c r="C561">
        <f>INDEX(tManiqHars[Date],278)</f>
        <v>44389</v>
      </c>
      <c r="D561">
        <f>INDEX(tManiqHars[Signed Amount],278)</f>
        <v>4999.75</v>
      </c>
    </row>
    <row r="562" spans="1:4" x14ac:dyDescent="0.3">
      <c r="A562" t="s">
        <v>53</v>
      </c>
      <c r="B562" t="str">
        <f>INDEX(tManiqHars[Display Scheme],279)</f>
        <v>Icici Prudential Value Fund Growth</v>
      </c>
      <c r="C562">
        <f>INDEX(tManiqHars[Date],279)</f>
        <v>44389</v>
      </c>
      <c r="D562">
        <f>INDEX(tManiqHars[Signed Amount],279)</f>
        <v>4999.75</v>
      </c>
    </row>
    <row r="563" spans="1:4" x14ac:dyDescent="0.3">
      <c r="A563" t="s">
        <v>53</v>
      </c>
      <c r="B563" t="str">
        <f>INDEX(tManiqHars[Display Scheme],280)</f>
        <v>Canara Robeco Large And Mid Cap Fund Growth</v>
      </c>
      <c r="C563">
        <f>INDEX(tManiqHars[Date],280)</f>
        <v>44372</v>
      </c>
      <c r="D563">
        <f>INDEX(tManiqHars[Signed Amount],280)</f>
        <v>2499.88</v>
      </c>
    </row>
    <row r="564" spans="1:4" x14ac:dyDescent="0.3">
      <c r="A564" t="s">
        <v>53</v>
      </c>
      <c r="B564" t="str">
        <f>INDEX(tManiqHars[Display Scheme],281)</f>
        <v>Icici Prudential Focused Equity Fund Growth</v>
      </c>
      <c r="C564">
        <f>INDEX(tManiqHars[Date],281)</f>
        <v>44372</v>
      </c>
      <c r="D564">
        <f>INDEX(tManiqHars[Signed Amount],281)</f>
        <v>2499.88</v>
      </c>
    </row>
    <row r="565" spans="1:4" x14ac:dyDescent="0.3">
      <c r="A565" t="s">
        <v>53</v>
      </c>
      <c r="B565" t="str">
        <f>INDEX(tManiqHars[Display Scheme],282)</f>
        <v>Sbi Small Cap Fund Growth</v>
      </c>
      <c r="C565">
        <f>INDEX(tManiqHars[Date],282)</f>
        <v>44372</v>
      </c>
      <c r="D565">
        <f>INDEX(tManiqHars[Signed Amount],282)</f>
        <v>2499.88</v>
      </c>
    </row>
    <row r="566" spans="1:4" x14ac:dyDescent="0.3">
      <c r="A566" t="s">
        <v>53</v>
      </c>
      <c r="B566" t="str">
        <f>INDEX(tManiqHars[Display Scheme],283)</f>
        <v>Mirae Asset Large And Mid Cap Fund Growth</v>
      </c>
      <c r="C566">
        <f>INDEX(tManiqHars[Date],283)</f>
        <v>44372</v>
      </c>
      <c r="D566">
        <f>INDEX(tManiqHars[Signed Amount],283)</f>
        <v>2499.88</v>
      </c>
    </row>
    <row r="567" spans="1:4" x14ac:dyDescent="0.3">
      <c r="A567" t="s">
        <v>53</v>
      </c>
      <c r="B567" t="str">
        <f>INDEX(tManiqHars[Display Scheme],284)</f>
        <v>Icici Prudential Focused Equity Fund Growth</v>
      </c>
      <c r="C567">
        <f>INDEX(tManiqHars[Date],284)</f>
        <v>44342</v>
      </c>
      <c r="D567">
        <f>INDEX(tManiqHars[Signed Amount],284)</f>
        <v>2499.88</v>
      </c>
    </row>
    <row r="568" spans="1:4" x14ac:dyDescent="0.3">
      <c r="A568" t="s">
        <v>53</v>
      </c>
      <c r="B568" t="str">
        <f>INDEX(tManiqHars[Display Scheme],285)</f>
        <v>Aditya Birla Sun Life Value Fund Growth</v>
      </c>
      <c r="C568">
        <f>INDEX(tManiqHars[Date],285)</f>
        <v>44342</v>
      </c>
      <c r="D568">
        <f>INDEX(tManiqHars[Signed Amount],285)</f>
        <v>4999.75</v>
      </c>
    </row>
    <row r="569" spans="1:4" x14ac:dyDescent="0.3">
      <c r="A569" t="s">
        <v>53</v>
      </c>
      <c r="B569" t="str">
        <f>INDEX(tManiqHars[Display Scheme],286)</f>
        <v>Mirae Asset Large And Mid Cap Fund Growth</v>
      </c>
      <c r="C569">
        <f>INDEX(tManiqHars[Date],286)</f>
        <v>44342</v>
      </c>
      <c r="D569">
        <f>INDEX(tManiqHars[Signed Amount],286)</f>
        <v>2499.88</v>
      </c>
    </row>
    <row r="570" spans="1:4" x14ac:dyDescent="0.3">
      <c r="A570" t="s">
        <v>53</v>
      </c>
      <c r="B570" t="str">
        <f>INDEX(tManiqHars[Display Scheme],287)</f>
        <v>Icici Prudential Value Fund Growth</v>
      </c>
      <c r="C570">
        <f>INDEX(tManiqHars[Date],287)</f>
        <v>44342</v>
      </c>
      <c r="D570">
        <f>INDEX(tManiqHars[Signed Amount],287)</f>
        <v>4999.75</v>
      </c>
    </row>
    <row r="571" spans="1:4" x14ac:dyDescent="0.3">
      <c r="A571" t="s">
        <v>53</v>
      </c>
      <c r="B571" t="str">
        <f>INDEX(tManiqHars[Display Scheme],288)</f>
        <v>Canara Robeco Large And Mid Cap Fund Growth</v>
      </c>
      <c r="C571">
        <f>INDEX(tManiqHars[Date],288)</f>
        <v>44342</v>
      </c>
      <c r="D571">
        <f>INDEX(tManiqHars[Signed Amount],288)</f>
        <v>2499.88</v>
      </c>
    </row>
    <row r="572" spans="1:4" x14ac:dyDescent="0.3">
      <c r="A572" t="s">
        <v>53</v>
      </c>
      <c r="B572" t="str">
        <f>INDEX(tManiqHars[Display Scheme],289)</f>
        <v>Canara Robeco Large And Mid Cap Fund Growth</v>
      </c>
      <c r="C572">
        <f>INDEX(tManiqHars[Date],289)</f>
        <v>44342</v>
      </c>
      <c r="D572">
        <f>INDEX(tManiqHars[Signed Amount],289)</f>
        <v>4999.75</v>
      </c>
    </row>
    <row r="573" spans="1:4" x14ac:dyDescent="0.3">
      <c r="A573" t="s">
        <v>53</v>
      </c>
      <c r="B573" t="str">
        <f>INDEX(tManiqHars[Display Scheme],290)</f>
        <v>Sbi Small Cap Fund Growth</v>
      </c>
      <c r="C573">
        <f>INDEX(tManiqHars[Date],290)</f>
        <v>44342</v>
      </c>
      <c r="D573">
        <f>INDEX(tManiqHars[Signed Amount],290)</f>
        <v>2499.88</v>
      </c>
    </row>
    <row r="574" spans="1:4" x14ac:dyDescent="0.3">
      <c r="A574" t="s">
        <v>53</v>
      </c>
      <c r="B574" t="str">
        <f>INDEX(tManiqHars[Display Scheme],291)</f>
        <v>Mahindra Manulife Mid Cap Fund Growth</v>
      </c>
      <c r="C574">
        <f>INDEX(tManiqHars[Date],291)</f>
        <v>44342</v>
      </c>
      <c r="D574">
        <f>INDEX(tManiqHars[Signed Amount],291)</f>
        <v>4999.75</v>
      </c>
    </row>
    <row r="575" spans="1:4" x14ac:dyDescent="0.3">
      <c r="A575" t="s">
        <v>53</v>
      </c>
      <c r="B575" t="str">
        <f>INDEX(tManiqHars[Display Scheme],292)</f>
        <v>Canara Robeco Large And Mid Cap Fund Growth</v>
      </c>
      <c r="C575">
        <f>INDEX(tManiqHars[Date],292)</f>
        <v>44313</v>
      </c>
      <c r="D575">
        <f>INDEX(tManiqHars[Signed Amount],292)</f>
        <v>2499.88</v>
      </c>
    </row>
    <row r="576" spans="1:4" x14ac:dyDescent="0.3">
      <c r="A576" t="s">
        <v>53</v>
      </c>
      <c r="B576" t="str">
        <f>INDEX(tManiqHars[Display Scheme],293)</f>
        <v>Mirae Asset Large And Mid Cap Fund Growth</v>
      </c>
      <c r="C576">
        <f>INDEX(tManiqHars[Date],293)</f>
        <v>44313</v>
      </c>
      <c r="D576">
        <f>INDEX(tManiqHars[Signed Amount],293)</f>
        <v>2499.88</v>
      </c>
    </row>
    <row r="577" spans="1:4" x14ac:dyDescent="0.3">
      <c r="A577" t="s">
        <v>53</v>
      </c>
      <c r="B577" t="str">
        <f>INDEX(tManiqHars[Display Scheme],294)</f>
        <v>Icici Prudential Focused Equity Fund Growth</v>
      </c>
      <c r="C577">
        <f>INDEX(tManiqHars[Date],294)</f>
        <v>44313</v>
      </c>
      <c r="D577">
        <f>INDEX(tManiqHars[Signed Amount],294)</f>
        <v>2499.88</v>
      </c>
    </row>
    <row r="578" spans="1:4" x14ac:dyDescent="0.3">
      <c r="A578" t="s">
        <v>53</v>
      </c>
      <c r="B578" t="str">
        <f>INDEX(tManiqHars[Display Scheme],295)</f>
        <v>Sbi Small Cap Fund Growth</v>
      </c>
      <c r="C578">
        <f>INDEX(tManiqHars[Date],295)</f>
        <v>44313</v>
      </c>
      <c r="D578">
        <f>INDEX(tManiqHars[Signed Amount],295)</f>
        <v>2499.88</v>
      </c>
    </row>
    <row r="579" spans="1:4" x14ac:dyDescent="0.3">
      <c r="A579" t="s">
        <v>53</v>
      </c>
      <c r="B579" t="str">
        <f>INDEX(tManiqHars[Display Scheme],296)</f>
        <v>Canara Robeco Large And Mid Cap Fund Growth</v>
      </c>
      <c r="C579">
        <f>INDEX(tManiqHars[Date],296)</f>
        <v>44286</v>
      </c>
      <c r="D579">
        <f>INDEX(tManiqHars[Signed Amount],296)</f>
        <v>74996.25</v>
      </c>
    </row>
    <row r="580" spans="1:4" x14ac:dyDescent="0.3">
      <c r="A580" t="s">
        <v>53</v>
      </c>
      <c r="B580" t="str">
        <f>INDEX(tManiqHars[Display Scheme],297)</f>
        <v>Principal Emerging Bluechip Fund Growth</v>
      </c>
      <c r="C580">
        <f>INDEX(tManiqHars[Date],297)</f>
        <v>44286</v>
      </c>
      <c r="D580">
        <f>INDEX(tManiqHars[Signed Amount],297)</f>
        <v>74996.25</v>
      </c>
    </row>
    <row r="581" spans="1:4" x14ac:dyDescent="0.3">
      <c r="A581" t="s">
        <v>53</v>
      </c>
      <c r="B581" t="str">
        <f>INDEX(tManiqHars[Display Scheme],298)</f>
        <v>Canara Robeco Large And Mid Cap Fund Growth</v>
      </c>
      <c r="C581">
        <f>INDEX(tManiqHars[Date],298)</f>
        <v>44271</v>
      </c>
      <c r="D581">
        <f>INDEX(tManiqHars[Signed Amount],298)</f>
        <v>2499.88</v>
      </c>
    </row>
    <row r="582" spans="1:4" x14ac:dyDescent="0.3">
      <c r="A582" t="s">
        <v>53</v>
      </c>
      <c r="B582" t="str">
        <f>INDEX(tManiqHars[Display Scheme],299)</f>
        <v>Icici Prudential Focused Equity Fund Growth</v>
      </c>
      <c r="C582">
        <f>INDEX(tManiqHars[Date],299)</f>
        <v>44271</v>
      </c>
      <c r="D582">
        <f>INDEX(tManiqHars[Signed Amount],299)</f>
        <v>2499.88</v>
      </c>
    </row>
    <row r="583" spans="1:4" x14ac:dyDescent="0.3">
      <c r="A583" t="s">
        <v>53</v>
      </c>
      <c r="B583" t="str">
        <f>INDEX(tManiqHars[Display Scheme],300)</f>
        <v>Sbi Small Cap Fund Growth</v>
      </c>
      <c r="C583">
        <f>INDEX(tManiqHars[Date],300)</f>
        <v>44271</v>
      </c>
      <c r="D583">
        <f>INDEX(tManiqHars[Signed Amount],300)</f>
        <v>2499.88</v>
      </c>
    </row>
    <row r="584" spans="1:4" x14ac:dyDescent="0.3">
      <c r="A584" t="s">
        <v>53</v>
      </c>
      <c r="B584" t="str">
        <f>INDEX(tManiqHars[Display Scheme],301)</f>
        <v>Mirae Asset Large And Mid Cap Fund Growth</v>
      </c>
      <c r="C584">
        <f>INDEX(tManiqHars[Date],301)</f>
        <v>44271</v>
      </c>
      <c r="D584">
        <f>INDEX(tManiqHars[Signed Amount],301)</f>
        <v>2499.88</v>
      </c>
    </row>
    <row r="585" spans="1:4" x14ac:dyDescent="0.3">
      <c r="A585" t="s">
        <v>54</v>
      </c>
      <c r="B585" t="str">
        <f>INDEX(tZerodhAshu[Display Scheme],1)</f>
        <v>Mirae Asset Large And Mid Cap Fund Growth</v>
      </c>
      <c r="C585">
        <f>INDEX(tZerodhAshu[Date],1)</f>
        <v>45987</v>
      </c>
      <c r="D585">
        <f>INDEX(tZerodhAshu[Signed Amount],1)</f>
        <v>49997.56</v>
      </c>
    </row>
    <row r="586" spans="1:4" x14ac:dyDescent="0.3">
      <c r="A586" t="s">
        <v>54</v>
      </c>
      <c r="B586" t="str">
        <f>INDEX(tZerodhAshu[Display Scheme],2)</f>
        <v>Mirae Asset Large And Mid Cap Fund Growth</v>
      </c>
      <c r="C586">
        <f>INDEX(tZerodhAshu[Date],2)</f>
        <v>45980</v>
      </c>
      <c r="D586">
        <f>INDEX(tZerodhAshu[Signed Amount],2)</f>
        <v>49997.58</v>
      </c>
    </row>
    <row r="587" spans="1:4" x14ac:dyDescent="0.3">
      <c r="A587" t="s">
        <v>54</v>
      </c>
      <c r="B587" t="str">
        <f>INDEX(tZerodhAshu[Display Scheme],3)</f>
        <v>Hdfc Gold Etf Fund Of Fund Direct Growth Option</v>
      </c>
      <c r="C587">
        <f>INDEX(tZerodhAshu[Date],3)</f>
        <v>45973</v>
      </c>
      <c r="D587">
        <f>INDEX(tZerodhAshu[Signed Amount],3)</f>
        <v>49997.51</v>
      </c>
    </row>
    <row r="588" spans="1:4" x14ac:dyDescent="0.3">
      <c r="A588" t="s">
        <v>54</v>
      </c>
      <c r="B588" t="str">
        <f>INDEX(tZerodhAshu[Display Scheme],4)</f>
        <v>Mirae Asset Large And Mid Cap Fund Growth</v>
      </c>
      <c r="C588">
        <f>INDEX(tZerodhAshu[Date],4)</f>
        <v>45897</v>
      </c>
      <c r="D588">
        <f>INDEX(tZerodhAshu[Signed Amount],4)</f>
        <v>49997.5</v>
      </c>
    </row>
    <row r="589" spans="1:4" x14ac:dyDescent="0.3">
      <c r="A589" t="s">
        <v>54</v>
      </c>
      <c r="B589" t="str">
        <f>INDEX(tZerodhAshu[Display Scheme],5)</f>
        <v>Invesco India Contra Fund - Direct Plan</v>
      </c>
      <c r="C589">
        <f>INDEX(tZerodhAshu[Date],5)</f>
        <v>45866</v>
      </c>
      <c r="D589">
        <f>INDEX(tZerodhAshu[Signed Amount],5)</f>
        <v>49997.56</v>
      </c>
    </row>
    <row r="590" spans="1:4" x14ac:dyDescent="0.3">
      <c r="A590" t="s">
        <v>54</v>
      </c>
      <c r="B590" t="str">
        <f>INDEX(tZerodhAshu[Display Scheme],6)</f>
        <v>Invesco India Contra Fund - Direct Plan</v>
      </c>
      <c r="C590">
        <f>INDEX(tZerodhAshu[Date],6)</f>
        <v>44294</v>
      </c>
      <c r="D590">
        <f>INDEX(tZerodhAshu[Signed Amount],6)</f>
        <v>49997.52</v>
      </c>
    </row>
    <row r="591" spans="1:4" x14ac:dyDescent="0.3">
      <c r="A591" t="s">
        <v>55</v>
      </c>
      <c r="B591" t="str">
        <f>INDEX(tZerodhHars[Display Scheme],1)</f>
        <v>Icici Prudential Balanced Advantage Fund Direct Growth</v>
      </c>
      <c r="C591">
        <f>INDEX(tZerodhHars[Date],1)</f>
        <v>46125</v>
      </c>
      <c r="D591">
        <f>INDEX(tZerodhHars[Signed Amount],1)</f>
        <v>2499.91</v>
      </c>
    </row>
    <row r="592" spans="1:4" x14ac:dyDescent="0.3">
      <c r="A592" t="s">
        <v>55</v>
      </c>
      <c r="B592" t="str">
        <f>INDEX(tZerodhHars[Display Scheme],2)</f>
        <v>Icici Prudential Balanced Advantage Fund Direct Growth</v>
      </c>
      <c r="C592">
        <f>INDEX(tZerodhHars[Date],2)</f>
        <v>46108</v>
      </c>
      <c r="D592">
        <f>INDEX(tZerodhHars[Signed Amount],2)</f>
        <v>2499.9</v>
      </c>
    </row>
    <row r="593" spans="1:4" x14ac:dyDescent="0.3">
      <c r="A593" t="s">
        <v>55</v>
      </c>
      <c r="B593" t="str">
        <f>INDEX(tZerodhHars[Display Scheme],3)</f>
        <v>Icici Prudential Balanced Advantage Fund Direct Growth</v>
      </c>
      <c r="C593">
        <f>INDEX(tZerodhHars[Date],3)</f>
        <v>46093</v>
      </c>
      <c r="D593">
        <f>INDEX(tZerodhHars[Signed Amount],3)</f>
        <v>2499.9</v>
      </c>
    </row>
    <row r="594" spans="1:4" x14ac:dyDescent="0.3">
      <c r="A594" t="s">
        <v>55</v>
      </c>
      <c r="B594" t="str">
        <f>INDEX(tZerodhHars[Display Scheme],4)</f>
        <v>Icici Prudential Balanced Advantage Fund Direct Growth</v>
      </c>
      <c r="C594">
        <f>INDEX(tZerodhHars[Date],4)</f>
        <v>46063</v>
      </c>
      <c r="D594">
        <f>INDEX(tZerodhHars[Signed Amount],4)</f>
        <v>2499.85</v>
      </c>
    </row>
    <row r="595" spans="1:4" x14ac:dyDescent="0.3">
      <c r="A595" t="s">
        <v>55</v>
      </c>
      <c r="B595" t="str">
        <f>INDEX(tZerodhHars[Display Scheme],5)</f>
        <v>Hdfc Gold Etf Fund Of Fund Direct Growth Option</v>
      </c>
      <c r="C595">
        <f>INDEX(tZerodhHars[Date],5)</f>
        <v>46052</v>
      </c>
      <c r="D595">
        <f>INDEX(tZerodhHars[Signed Amount],5)</f>
        <v>49997.5</v>
      </c>
    </row>
    <row r="596" spans="1:4" x14ac:dyDescent="0.3">
      <c r="A596" t="s">
        <v>55</v>
      </c>
      <c r="B596" t="str">
        <f>INDEX(tZerodhHars[Display Scheme],6)</f>
        <v>Hdfc Silver Etf Fund Of Fund Direct Growth</v>
      </c>
      <c r="C596">
        <f>INDEX(tZerodhHars[Date],6)</f>
        <v>46052</v>
      </c>
      <c r="D596">
        <f>INDEX(tZerodhHars[Signed Amount],6)</f>
        <v>49997.48</v>
      </c>
    </row>
    <row r="597" spans="1:4" x14ac:dyDescent="0.3">
      <c r="A597" t="s">
        <v>55</v>
      </c>
      <c r="B597" t="str">
        <f>INDEX(tZerodhHars[Display Scheme],7)</f>
        <v>Invesco India Arbitrage Fund - Direct Plan Growth</v>
      </c>
      <c r="C597">
        <f>INDEX(tZerodhHars[Date],7)</f>
        <v>46052</v>
      </c>
      <c r="D597">
        <f>INDEX(tZerodhHars[Signed Amount],7)</f>
        <v>49997.51</v>
      </c>
    </row>
    <row r="598" spans="1:4" x14ac:dyDescent="0.3">
      <c r="A598" t="s">
        <v>55</v>
      </c>
      <c r="B598" t="str">
        <f>INDEX(tZerodhHars[Display Scheme],8)</f>
        <v>Invesco India Arbitrage Fund - Direct Plan Growth</v>
      </c>
      <c r="C598">
        <f>INDEX(tZerodhHars[Date],8)</f>
        <v>46052</v>
      </c>
      <c r="D598">
        <f>INDEX(tZerodhHars[Signed Amount],8)</f>
        <v>49997.51</v>
      </c>
    </row>
    <row r="599" spans="1:4" x14ac:dyDescent="0.3">
      <c r="A599" t="s">
        <v>55</v>
      </c>
      <c r="B599" t="str">
        <f>INDEX(tZerodhHars[Display Scheme],9)</f>
        <v>Hdfc Gold Etf Fund Of Fund Direct Growth Option</v>
      </c>
      <c r="C599">
        <f>INDEX(tZerodhHars[Date],9)</f>
        <v>46049</v>
      </c>
      <c r="D599">
        <f>INDEX(tZerodhHars[Signed Amount],9)</f>
        <v>49997.49</v>
      </c>
    </row>
    <row r="600" spans="1:4" x14ac:dyDescent="0.3">
      <c r="A600" t="s">
        <v>55</v>
      </c>
      <c r="B600" t="str">
        <f>INDEX(tZerodhHars[Display Scheme],10)</f>
        <v>Hdfc Silver Etf Fund Of Fund Direct Growth</v>
      </c>
      <c r="C600">
        <f>INDEX(tZerodhHars[Date],10)</f>
        <v>46049</v>
      </c>
      <c r="D600">
        <f>INDEX(tZerodhHars[Signed Amount],10)</f>
        <v>49997.49</v>
      </c>
    </row>
    <row r="601" spans="1:4" x14ac:dyDescent="0.3">
      <c r="A601" t="s">
        <v>55</v>
      </c>
      <c r="B601" t="str">
        <f>INDEX(tZerodhHars[Display Scheme],11)</f>
        <v>Icici Prudential Balanced Advantage Fund Direct Growth</v>
      </c>
      <c r="C601">
        <f>INDEX(tZerodhHars[Date],11)</f>
        <v>46049</v>
      </c>
      <c r="D601">
        <f>INDEX(tZerodhHars[Signed Amount],11)</f>
        <v>4999.7299999999996</v>
      </c>
    </row>
    <row r="602" spans="1:4" x14ac:dyDescent="0.3">
      <c r="A602" t="s">
        <v>55</v>
      </c>
      <c r="B602" t="str">
        <f>INDEX(tZerodhHars[Display Scheme],12)</f>
        <v>Hdfc Silver Etf Fund Of Fund Direct Growth</v>
      </c>
      <c r="C602">
        <f>INDEX(tZerodhHars[Date],12)</f>
        <v>46028</v>
      </c>
      <c r="D602">
        <f>INDEX(tZerodhHars[Signed Amount],12)</f>
        <v>9999.51</v>
      </c>
    </row>
    <row r="603" spans="1:4" x14ac:dyDescent="0.3">
      <c r="A603" t="s">
        <v>55</v>
      </c>
      <c r="B603" t="str">
        <f>INDEX(tZerodhHars[Display Scheme],13)</f>
        <v>Hdfc Silver Etf Fund Of Fund Direct Growth</v>
      </c>
      <c r="C603">
        <f>INDEX(tZerodhHars[Date],13)</f>
        <v>46028</v>
      </c>
      <c r="D603">
        <f>INDEX(tZerodhHars[Signed Amount],13)</f>
        <v>19998.990000000002</v>
      </c>
    </row>
    <row r="604" spans="1:4" x14ac:dyDescent="0.3">
      <c r="A604" t="s">
        <v>55</v>
      </c>
      <c r="B604" t="str">
        <f>INDEX(tZerodhHars[Display Scheme],14)</f>
        <v>Hdfc Flexicap Fund Direct Growth Option</v>
      </c>
      <c r="C604">
        <f>INDEX(tZerodhHars[Date],14)</f>
        <v>45989</v>
      </c>
      <c r="D604">
        <f>INDEX(tZerodhHars[Signed Amount],14)</f>
        <v>49998.5</v>
      </c>
    </row>
    <row r="605" spans="1:4" x14ac:dyDescent="0.3">
      <c r="A605" t="s">
        <v>55</v>
      </c>
      <c r="B605" t="str">
        <f>INDEX(tZerodhHars[Display Scheme],15)</f>
        <v>Hdfc Gold Etf Fund Of Fund Direct Growth Option</v>
      </c>
      <c r="C605">
        <f>INDEX(tZerodhHars[Date],15)</f>
        <v>45989</v>
      </c>
      <c r="D605">
        <f>INDEX(tZerodhHars[Signed Amount],15)</f>
        <v>49997.51</v>
      </c>
    </row>
    <row r="606" spans="1:4" x14ac:dyDescent="0.3">
      <c r="A606" t="s">
        <v>55</v>
      </c>
      <c r="B606" t="str">
        <f>INDEX(tZerodhHars[Display Scheme],16)</f>
        <v>Hdfc Flexicap Fund Direct Growth Option</v>
      </c>
      <c r="C606">
        <f>INDEX(tZerodhHars[Date],16)</f>
        <v>45971</v>
      </c>
      <c r="D606">
        <f>INDEX(tZerodhHars[Signed Amount],16)</f>
        <v>199991.11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5EFC3D-C5EE-4747-A57C-B4FDAD3011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How to Use</vt:lpstr>
      <vt:lpstr>Dashboard</vt:lpstr>
      <vt:lpstr>NAV Reference</vt:lpstr>
      <vt:lpstr>Scheme Map</vt:lpstr>
      <vt:lpstr>Txn-ICICI-Ashu</vt:lpstr>
      <vt:lpstr>Txn-Maniqm-Ashu</vt:lpstr>
      <vt:lpstr>Txn-Maniqm-Hars</vt:lpstr>
      <vt:lpstr>Txn-Zerodh-Ashu</vt:lpstr>
      <vt:lpstr>Txn-Zerodh-Hars</vt:lpstr>
      <vt:lpstr>SIPs</vt:lpstr>
      <vt:lpstr>NAVAll</vt:lpstr>
      <vt:lpstr>_CashFlows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Ashutosh Aggarwal</cp:lastModifiedBy>
  <cp:revision>0</cp:revision>
  <dcterms:created xsi:type="dcterms:W3CDTF">2026-04-25T12:07:22Z</dcterms:created>
  <dcterms:modified xsi:type="dcterms:W3CDTF">2026-06-27T14:54:28Z</dcterms:modified>
  <dc:language>en-US</dc:language>
</cp:coreProperties>
</file>